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drawings/drawing3.xml" ContentType="application/vnd.openxmlformats-officedocument.drawing+xml"/>
  <Override PartName="/xl/charts/chart25.xml" ContentType="application/vnd.openxmlformats-officedocument.drawingml.chart+xml"/>
  <Override PartName="/xl/drawings/drawing4.xml" ContentType="application/vnd.openxmlformats-officedocument.drawing+xml"/>
  <Override PartName="/xl/charts/chart26.xml" ContentType="application/vnd.openxmlformats-officedocument.drawingml.chart+xml"/>
  <Override PartName="/xl/drawings/drawing5.xml" ContentType="application/vnd.openxmlformats-officedocument.drawing+xml"/>
  <Override PartName="/xl/charts/chart27.xml" ContentType="application/vnd.openxmlformats-officedocument.drawingml.chart+xml"/>
  <Override PartName="/xl/drawings/drawing6.xml" ContentType="application/vnd.openxmlformats-officedocument.drawing+xml"/>
  <Override PartName="/xl/charts/chart28.xml" ContentType="application/vnd.openxmlformats-officedocument.drawingml.chart+xml"/>
  <Override PartName="/xl/drawings/drawing7.xml" ContentType="application/vnd.openxmlformats-officedocument.drawingml.chartshapes+xml"/>
  <Override PartName="/xl/charts/chart29.xml" ContentType="application/vnd.openxmlformats-officedocument.drawingml.chart+xml"/>
  <Override PartName="/xl/drawings/drawing8.xml" ContentType="application/vnd.openxmlformats-officedocument.drawingml.chartshapes+xml"/>
  <Override PartName="/xl/charts/chart30.xml" ContentType="application/vnd.openxmlformats-officedocument.drawingml.chart+xml"/>
  <Override PartName="/xl/drawings/drawing9.xml" ContentType="application/vnd.openxmlformats-officedocument.drawingml.chartshapes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0" yWindow="7350" windowWidth="19215" windowHeight="4710" tabRatio="811" activeTab="1"/>
  </bookViews>
  <sheets>
    <sheet name="Projects" sheetId="1" r:id="rId1"/>
    <sheet name="Material Analysis" sheetId="13" r:id="rId2"/>
    <sheet name="Analysis - Belfort (old)" sheetId="4" r:id="rId3"/>
    <sheet name="Curves - Belfort (old)" sheetId="5" r:id="rId4"/>
    <sheet name="Global analysis (old)" sheetId="6" r:id="rId5"/>
    <sheet name="Material curves &quot;DL&quot; (old)" sheetId="7" r:id="rId6"/>
    <sheet name="Material curves &quot;D²L&quot; (old)" sheetId="10" r:id="rId7"/>
    <sheet name="Material costs per kg (old)" sheetId="9" r:id="rId8"/>
    <sheet name="Parameters (old)" sheetId="11" r:id="rId9"/>
    <sheet name="Feuil1" sheetId="12" r:id="rId10"/>
  </sheets>
  <externalReferences>
    <externalReference r:id="rId11"/>
  </externalReferences>
  <definedNames>
    <definedName name="_xlnm._FilterDatabase" localSheetId="3" hidden="1">'Curves - Belfort (old)'!$J$3:$K$3</definedName>
    <definedName name="_xlnm._FilterDatabase" localSheetId="1" hidden="1">'Material Analysis'!$A$31:$H$116</definedName>
    <definedName name="_xlnm._FilterDatabase" localSheetId="0" hidden="1">Projects!$B$5:$B$19</definedName>
    <definedName name="solver_adj" localSheetId="3" hidden="1">'Curves - Belfort (old)'!$AN$22:$AN$26</definedName>
    <definedName name="solver_adj" localSheetId="8" hidden="1">'Parameters (old)'!$AH$43:$AH$47</definedName>
    <definedName name="solver_cvg" localSheetId="3" hidden="1">0.0001</definedName>
    <definedName name="solver_cvg" localSheetId="8" hidden="1">0.000000001</definedName>
    <definedName name="solver_drv" localSheetId="3" hidden="1">1</definedName>
    <definedName name="solver_drv" localSheetId="8" hidden="1">1</definedName>
    <definedName name="solver_eng" localSheetId="3" hidden="1">1</definedName>
    <definedName name="solver_eng" localSheetId="8" hidden="1">1</definedName>
    <definedName name="solver_est" localSheetId="3" hidden="1">1</definedName>
    <definedName name="solver_est" localSheetId="8" hidden="1">1</definedName>
    <definedName name="solver_itr" localSheetId="3" hidden="1">2147483647</definedName>
    <definedName name="solver_itr" localSheetId="8" hidden="1">2147483647</definedName>
    <definedName name="solver_lhs1" localSheetId="3" hidden="1">'Curves - Belfort (old)'!$AN$22:$AN$26</definedName>
    <definedName name="solver_lhs1" localSheetId="8" hidden="1">'Parameters (old)'!$AH$43:$AH$47</definedName>
    <definedName name="solver_lhs2" localSheetId="3" hidden="1">'Curves - Belfort (old)'!$AN$22:$AN$26</definedName>
    <definedName name="solver_lhs2" localSheetId="8" hidden="1">'Parameters (old)'!$AH$43:$AH$47</definedName>
    <definedName name="solver_lhs3" localSheetId="8" hidden="1">'Parameters (old)'!$AQ$5:$AQ$9</definedName>
    <definedName name="solver_mip" localSheetId="3" hidden="1">2147483647</definedName>
    <definedName name="solver_mip" localSheetId="8" hidden="1">2147483647</definedName>
    <definedName name="solver_mni" localSheetId="3" hidden="1">30</definedName>
    <definedName name="solver_mni" localSheetId="8" hidden="1">30</definedName>
    <definedName name="solver_mrt" localSheetId="3" hidden="1">0.075</definedName>
    <definedName name="solver_mrt" localSheetId="8" hidden="1">0.075</definedName>
    <definedName name="solver_msl" localSheetId="3" hidden="1">2</definedName>
    <definedName name="solver_msl" localSheetId="8" hidden="1">2</definedName>
    <definedName name="solver_neg" localSheetId="3" hidden="1">1</definedName>
    <definedName name="solver_neg" localSheetId="8" hidden="1">2</definedName>
    <definedName name="solver_nod" localSheetId="3" hidden="1">2147483647</definedName>
    <definedName name="solver_nod" localSheetId="8" hidden="1">2147483647</definedName>
    <definedName name="solver_num" localSheetId="3" hidden="1">2</definedName>
    <definedName name="solver_num" localSheetId="8" hidden="1">2</definedName>
    <definedName name="solver_nwt" localSheetId="3" hidden="1">1</definedName>
    <definedName name="solver_nwt" localSheetId="8" hidden="1">1</definedName>
    <definedName name="solver_opt" localSheetId="3" hidden="1">'Curves - Belfort (old)'!$AN$30</definedName>
    <definedName name="solver_opt" localSheetId="8" hidden="1">'Parameters (old)'!$AK$57</definedName>
    <definedName name="solver_pre" localSheetId="3" hidden="1">0.000001</definedName>
    <definedName name="solver_pre" localSheetId="8" hidden="1">0.000000001</definedName>
    <definedName name="solver_rbv" localSheetId="3" hidden="1">1</definedName>
    <definedName name="solver_rbv" localSheetId="8" hidden="1">1</definedName>
    <definedName name="solver_rel1" localSheetId="3" hidden="1">1</definedName>
    <definedName name="solver_rel1" localSheetId="8" hidden="1">1</definedName>
    <definedName name="solver_rel2" localSheetId="3" hidden="1">3</definedName>
    <definedName name="solver_rel2" localSheetId="8" hidden="1">3</definedName>
    <definedName name="solver_rel3" localSheetId="8" hidden="1">1</definedName>
    <definedName name="solver_rhs1" localSheetId="3" hidden="1">'Curves - Belfort (old)'!$AO$22:$AO$26</definedName>
    <definedName name="solver_rhs1" localSheetId="8" hidden="1">'Parameters (old)'!$AI$43:$AI$47</definedName>
    <definedName name="solver_rhs2" localSheetId="3" hidden="1">'Curves - Belfort (old)'!$AM$22:$AM$26</definedName>
    <definedName name="solver_rhs2" localSheetId="8" hidden="1">'Parameters (old)'!$AG$43:$AG$47</definedName>
    <definedName name="solver_rhs3" localSheetId="8" hidden="1">'Parameters (old)'!$AR$5:$AR$9</definedName>
    <definedName name="solver_rlx" localSheetId="3" hidden="1">2</definedName>
    <definedName name="solver_rlx" localSheetId="8" hidden="1">2</definedName>
    <definedName name="solver_rsd" localSheetId="3" hidden="1">0</definedName>
    <definedName name="solver_rsd" localSheetId="8" hidden="1">0</definedName>
    <definedName name="solver_scl" localSheetId="3" hidden="1">1</definedName>
    <definedName name="solver_scl" localSheetId="8" hidden="1">1</definedName>
    <definedName name="solver_sho" localSheetId="3" hidden="1">2</definedName>
    <definedName name="solver_sho" localSheetId="8" hidden="1">2</definedName>
    <definedName name="solver_ssz" localSheetId="3" hidden="1">100</definedName>
    <definedName name="solver_ssz" localSheetId="8" hidden="1">100</definedName>
    <definedName name="solver_tim" localSheetId="3" hidden="1">2147483647</definedName>
    <definedName name="solver_tim" localSheetId="8" hidden="1">2147483647</definedName>
    <definedName name="solver_tol" localSheetId="3" hidden="1">0.01</definedName>
    <definedName name="solver_tol" localSheetId="8" hidden="1">0.01</definedName>
    <definedName name="solver_typ" localSheetId="3" hidden="1">3</definedName>
    <definedName name="solver_typ" localSheetId="8" hidden="1">1</definedName>
    <definedName name="solver_val" localSheetId="3" hidden="1">1</definedName>
    <definedName name="solver_val" localSheetId="8" hidden="1">1</definedName>
    <definedName name="solver_ver" localSheetId="3" hidden="1">3</definedName>
    <definedName name="solver_ver" localSheetId="8" hidden="1">3</definedName>
    <definedName name="xMC" comment="Magnetic core cost - x values">'Material Analysis'!$J$32:$J$116</definedName>
    <definedName name="yMC" comment="Magnetic core cost - y values">'Material Analysis'!$K$32:$K$116</definedName>
  </definedNames>
  <calcPr calcId="145621"/>
</workbook>
</file>

<file path=xl/calcChain.xml><?xml version="1.0" encoding="utf-8"?>
<calcChain xmlns="http://schemas.openxmlformats.org/spreadsheetml/2006/main">
  <c r="AU37" i="5" l="1"/>
  <c r="AV37" i="5"/>
  <c r="B37" i="5"/>
  <c r="AV19" i="5"/>
  <c r="D19" i="5"/>
  <c r="AU19" i="5"/>
  <c r="B19" i="5"/>
  <c r="T21" i="4"/>
  <c r="P21" i="4"/>
  <c r="AA21" i="4"/>
  <c r="V21" i="4"/>
  <c r="W21" i="4"/>
  <c r="X21" i="4"/>
  <c r="Y21" i="4"/>
  <c r="Z21" i="4"/>
  <c r="AB21" i="4"/>
  <c r="AH21" i="4"/>
  <c r="AI21" i="4"/>
  <c r="AJ21" i="4" s="1"/>
  <c r="B110" i="13" l="1"/>
  <c r="C110" i="13"/>
  <c r="D110" i="13"/>
  <c r="E110" i="13"/>
  <c r="F110" i="13"/>
  <c r="G110" i="13"/>
  <c r="H110" i="13"/>
  <c r="B111" i="13"/>
  <c r="C111" i="13"/>
  <c r="D111" i="13"/>
  <c r="E111" i="13"/>
  <c r="F111" i="13"/>
  <c r="G111" i="13"/>
  <c r="H111" i="13"/>
  <c r="B112" i="13"/>
  <c r="C112" i="13"/>
  <c r="D112" i="13"/>
  <c r="E112" i="13"/>
  <c r="F112" i="13"/>
  <c r="G112" i="13"/>
  <c r="H112" i="13"/>
  <c r="B113" i="13"/>
  <c r="C113" i="13"/>
  <c r="D113" i="13"/>
  <c r="E113" i="13"/>
  <c r="F113" i="13"/>
  <c r="G113" i="13"/>
  <c r="H113" i="13"/>
  <c r="B114" i="13"/>
  <c r="C114" i="13"/>
  <c r="D114" i="13"/>
  <c r="E114" i="13"/>
  <c r="F114" i="13"/>
  <c r="G114" i="13"/>
  <c r="H114" i="13"/>
  <c r="B115" i="13"/>
  <c r="C115" i="13"/>
  <c r="D115" i="13"/>
  <c r="E115" i="13"/>
  <c r="F115" i="13"/>
  <c r="G115" i="13"/>
  <c r="H115" i="13"/>
  <c r="B116" i="13"/>
  <c r="C116" i="13"/>
  <c r="D116" i="13"/>
  <c r="E116" i="13"/>
  <c r="F116" i="13"/>
  <c r="G116" i="13"/>
  <c r="H116" i="13"/>
  <c r="B101" i="13"/>
  <c r="C101" i="13"/>
  <c r="D101" i="13"/>
  <c r="E101" i="13"/>
  <c r="F101" i="13"/>
  <c r="G101" i="13"/>
  <c r="H101" i="13"/>
  <c r="B102" i="13"/>
  <c r="C102" i="13"/>
  <c r="D102" i="13"/>
  <c r="E102" i="13"/>
  <c r="F102" i="13"/>
  <c r="G102" i="13"/>
  <c r="H102" i="13"/>
  <c r="B103" i="13"/>
  <c r="C103" i="13"/>
  <c r="D103" i="13"/>
  <c r="E103" i="13"/>
  <c r="F103" i="13"/>
  <c r="G103" i="13"/>
  <c r="H103" i="13"/>
  <c r="B104" i="13"/>
  <c r="C104" i="13"/>
  <c r="D104" i="13"/>
  <c r="E104" i="13"/>
  <c r="F104" i="13"/>
  <c r="G104" i="13"/>
  <c r="H104" i="13"/>
  <c r="B105" i="13"/>
  <c r="C105" i="13"/>
  <c r="D105" i="13"/>
  <c r="E105" i="13"/>
  <c r="F105" i="13"/>
  <c r="G105" i="13"/>
  <c r="H105" i="13"/>
  <c r="B106" i="13"/>
  <c r="C106" i="13"/>
  <c r="D106" i="13"/>
  <c r="E106" i="13"/>
  <c r="F106" i="13"/>
  <c r="G106" i="13"/>
  <c r="H106" i="13"/>
  <c r="B107" i="13"/>
  <c r="C107" i="13"/>
  <c r="D107" i="13"/>
  <c r="E107" i="13"/>
  <c r="F107" i="13"/>
  <c r="G107" i="13"/>
  <c r="H107" i="13"/>
  <c r="B108" i="13"/>
  <c r="C108" i="13"/>
  <c r="D108" i="13"/>
  <c r="E108" i="13"/>
  <c r="F108" i="13"/>
  <c r="G108" i="13"/>
  <c r="H108" i="13"/>
  <c r="B109" i="13"/>
  <c r="C109" i="13"/>
  <c r="D109" i="13"/>
  <c r="E109" i="13"/>
  <c r="F109" i="13"/>
  <c r="G109" i="13"/>
  <c r="H109" i="13"/>
  <c r="B92" i="13"/>
  <c r="C92" i="13"/>
  <c r="D92" i="13"/>
  <c r="E92" i="13"/>
  <c r="F92" i="13"/>
  <c r="G92" i="13"/>
  <c r="H92" i="13"/>
  <c r="B93" i="13"/>
  <c r="C93" i="13"/>
  <c r="D93" i="13"/>
  <c r="E93" i="13"/>
  <c r="F93" i="13"/>
  <c r="G93" i="13"/>
  <c r="H93" i="13"/>
  <c r="B94" i="13"/>
  <c r="C94" i="13"/>
  <c r="D94" i="13"/>
  <c r="E94" i="13"/>
  <c r="F94" i="13"/>
  <c r="G94" i="13"/>
  <c r="H94" i="13"/>
  <c r="B95" i="13"/>
  <c r="C95" i="13"/>
  <c r="D95" i="13"/>
  <c r="E95" i="13"/>
  <c r="F95" i="13"/>
  <c r="G95" i="13"/>
  <c r="H95" i="13"/>
  <c r="B96" i="13"/>
  <c r="C96" i="13"/>
  <c r="D96" i="13"/>
  <c r="E96" i="13"/>
  <c r="F96" i="13"/>
  <c r="G96" i="13"/>
  <c r="H96" i="13"/>
  <c r="B97" i="13"/>
  <c r="C97" i="13"/>
  <c r="D97" i="13"/>
  <c r="E97" i="13"/>
  <c r="F97" i="13"/>
  <c r="G97" i="13"/>
  <c r="H97" i="13"/>
  <c r="B98" i="13"/>
  <c r="C98" i="13"/>
  <c r="D98" i="13"/>
  <c r="E98" i="13"/>
  <c r="F98" i="13"/>
  <c r="G98" i="13"/>
  <c r="H98" i="13"/>
  <c r="B99" i="13"/>
  <c r="C99" i="13"/>
  <c r="D99" i="13"/>
  <c r="E99" i="13"/>
  <c r="F99" i="13"/>
  <c r="G99" i="13"/>
  <c r="H99" i="13"/>
  <c r="B100" i="13"/>
  <c r="C100" i="13"/>
  <c r="D100" i="13"/>
  <c r="E100" i="13"/>
  <c r="F100" i="13"/>
  <c r="G100" i="13"/>
  <c r="H100" i="13"/>
  <c r="B57" i="13"/>
  <c r="C57" i="13"/>
  <c r="D57" i="13"/>
  <c r="E57" i="13"/>
  <c r="F57" i="13"/>
  <c r="G57" i="13"/>
  <c r="H57" i="13"/>
  <c r="B58" i="13"/>
  <c r="C58" i="13"/>
  <c r="D58" i="13"/>
  <c r="E58" i="13"/>
  <c r="F58" i="13"/>
  <c r="G58" i="13"/>
  <c r="H58" i="13"/>
  <c r="B59" i="13"/>
  <c r="C59" i="13"/>
  <c r="D59" i="13"/>
  <c r="E59" i="13"/>
  <c r="F59" i="13"/>
  <c r="G59" i="13"/>
  <c r="H59" i="13"/>
  <c r="B60" i="13"/>
  <c r="C60" i="13"/>
  <c r="D60" i="13"/>
  <c r="E60" i="13"/>
  <c r="F60" i="13"/>
  <c r="G60" i="13"/>
  <c r="H60" i="13"/>
  <c r="B61" i="13"/>
  <c r="C61" i="13"/>
  <c r="D61" i="13"/>
  <c r="E61" i="13"/>
  <c r="F61" i="13"/>
  <c r="G61" i="13"/>
  <c r="H61" i="13"/>
  <c r="B62" i="13"/>
  <c r="C62" i="13"/>
  <c r="D62" i="13"/>
  <c r="E62" i="13"/>
  <c r="F62" i="13"/>
  <c r="G62" i="13"/>
  <c r="H62" i="13"/>
  <c r="B63" i="13"/>
  <c r="C63" i="13"/>
  <c r="D63" i="13"/>
  <c r="E63" i="13"/>
  <c r="F63" i="13"/>
  <c r="G63" i="13"/>
  <c r="H63" i="13"/>
  <c r="B64" i="13"/>
  <c r="C64" i="13"/>
  <c r="D64" i="13"/>
  <c r="E64" i="13"/>
  <c r="F64" i="13"/>
  <c r="G64" i="13"/>
  <c r="H64" i="13"/>
  <c r="B65" i="13"/>
  <c r="C65" i="13"/>
  <c r="D65" i="13"/>
  <c r="E65" i="13"/>
  <c r="F65" i="13"/>
  <c r="G65" i="13"/>
  <c r="H65" i="13"/>
  <c r="B66" i="13"/>
  <c r="C66" i="13"/>
  <c r="D66" i="13"/>
  <c r="E66" i="13"/>
  <c r="F66" i="13"/>
  <c r="G66" i="13"/>
  <c r="H66" i="13"/>
  <c r="B67" i="13"/>
  <c r="C67" i="13"/>
  <c r="D67" i="13"/>
  <c r="E67" i="13"/>
  <c r="F67" i="13"/>
  <c r="G67" i="13"/>
  <c r="H67" i="13"/>
  <c r="B68" i="13"/>
  <c r="C68" i="13"/>
  <c r="D68" i="13"/>
  <c r="E68" i="13"/>
  <c r="F68" i="13"/>
  <c r="G68" i="13"/>
  <c r="H68" i="13"/>
  <c r="B69" i="13"/>
  <c r="C69" i="13"/>
  <c r="D69" i="13"/>
  <c r="E69" i="13"/>
  <c r="F69" i="13"/>
  <c r="G69" i="13"/>
  <c r="H69" i="13"/>
  <c r="B70" i="13"/>
  <c r="C70" i="13"/>
  <c r="D70" i="13"/>
  <c r="E70" i="13"/>
  <c r="F70" i="13"/>
  <c r="G70" i="13"/>
  <c r="H70" i="13"/>
  <c r="B71" i="13"/>
  <c r="C71" i="13"/>
  <c r="D71" i="13"/>
  <c r="E71" i="13"/>
  <c r="F71" i="13"/>
  <c r="G71" i="13"/>
  <c r="H71" i="13"/>
  <c r="B72" i="13"/>
  <c r="C72" i="13"/>
  <c r="D72" i="13"/>
  <c r="E72" i="13"/>
  <c r="F72" i="13"/>
  <c r="G72" i="13"/>
  <c r="H72" i="13"/>
  <c r="B73" i="13"/>
  <c r="C73" i="13"/>
  <c r="D73" i="13"/>
  <c r="E73" i="13"/>
  <c r="F73" i="13"/>
  <c r="G73" i="13"/>
  <c r="H73" i="13"/>
  <c r="B74" i="13"/>
  <c r="C74" i="13"/>
  <c r="D74" i="13"/>
  <c r="E74" i="13"/>
  <c r="F74" i="13"/>
  <c r="G74" i="13"/>
  <c r="H74" i="13"/>
  <c r="B75" i="13"/>
  <c r="C75" i="13"/>
  <c r="D75" i="13"/>
  <c r="E75" i="13"/>
  <c r="F75" i="13"/>
  <c r="G75" i="13"/>
  <c r="H75" i="13"/>
  <c r="B76" i="13"/>
  <c r="C76" i="13"/>
  <c r="D76" i="13"/>
  <c r="E76" i="13"/>
  <c r="F76" i="13"/>
  <c r="G76" i="13"/>
  <c r="H76" i="13"/>
  <c r="B77" i="13"/>
  <c r="C77" i="13"/>
  <c r="D77" i="13"/>
  <c r="E77" i="13"/>
  <c r="F77" i="13"/>
  <c r="G77" i="13"/>
  <c r="H77" i="13"/>
  <c r="B78" i="13"/>
  <c r="C78" i="13"/>
  <c r="D78" i="13"/>
  <c r="E78" i="13"/>
  <c r="F78" i="13"/>
  <c r="G78" i="13"/>
  <c r="H78" i="13"/>
  <c r="B79" i="13"/>
  <c r="C79" i="13"/>
  <c r="D79" i="13"/>
  <c r="E79" i="13"/>
  <c r="F79" i="13"/>
  <c r="G79" i="13"/>
  <c r="H79" i="13"/>
  <c r="B80" i="13"/>
  <c r="C80" i="13"/>
  <c r="D80" i="13"/>
  <c r="E80" i="13"/>
  <c r="F80" i="13"/>
  <c r="G80" i="13"/>
  <c r="H80" i="13"/>
  <c r="B81" i="13"/>
  <c r="C81" i="13"/>
  <c r="D81" i="13"/>
  <c r="E81" i="13"/>
  <c r="F81" i="13"/>
  <c r="G81" i="13"/>
  <c r="H81" i="13"/>
  <c r="B82" i="13"/>
  <c r="C82" i="13"/>
  <c r="D82" i="13"/>
  <c r="E82" i="13"/>
  <c r="F82" i="13"/>
  <c r="G82" i="13"/>
  <c r="H82" i="13"/>
  <c r="B83" i="13"/>
  <c r="C83" i="13"/>
  <c r="D83" i="13"/>
  <c r="E83" i="13"/>
  <c r="F83" i="13"/>
  <c r="G83" i="13"/>
  <c r="H83" i="13"/>
  <c r="B84" i="13"/>
  <c r="C84" i="13"/>
  <c r="D84" i="13"/>
  <c r="E84" i="13"/>
  <c r="F84" i="13"/>
  <c r="G84" i="13"/>
  <c r="H84" i="13"/>
  <c r="B85" i="13"/>
  <c r="C85" i="13"/>
  <c r="D85" i="13"/>
  <c r="E85" i="13"/>
  <c r="F85" i="13"/>
  <c r="G85" i="13"/>
  <c r="H85" i="13"/>
  <c r="B86" i="13"/>
  <c r="C86" i="13"/>
  <c r="D86" i="13"/>
  <c r="E86" i="13"/>
  <c r="F86" i="13"/>
  <c r="G86" i="13"/>
  <c r="H86" i="13"/>
  <c r="B87" i="13"/>
  <c r="C87" i="13"/>
  <c r="D87" i="13"/>
  <c r="E87" i="13"/>
  <c r="F87" i="13"/>
  <c r="G87" i="13"/>
  <c r="H87" i="13"/>
  <c r="B88" i="13"/>
  <c r="C88" i="13"/>
  <c r="D88" i="13"/>
  <c r="E88" i="13"/>
  <c r="F88" i="13"/>
  <c r="G88" i="13"/>
  <c r="H88" i="13"/>
  <c r="B89" i="13"/>
  <c r="C89" i="13"/>
  <c r="D89" i="13"/>
  <c r="E89" i="13"/>
  <c r="F89" i="13"/>
  <c r="G89" i="13"/>
  <c r="H89" i="13"/>
  <c r="B90" i="13"/>
  <c r="C90" i="13"/>
  <c r="D90" i="13"/>
  <c r="E90" i="13"/>
  <c r="F90" i="13"/>
  <c r="G90" i="13"/>
  <c r="H90" i="13"/>
  <c r="B91" i="13"/>
  <c r="C91" i="13"/>
  <c r="D91" i="13"/>
  <c r="E91" i="13"/>
  <c r="F91" i="13"/>
  <c r="G91" i="13"/>
  <c r="H91" i="13"/>
  <c r="B47" i="13"/>
  <c r="C47" i="13"/>
  <c r="D47" i="13"/>
  <c r="E47" i="13"/>
  <c r="F47" i="13"/>
  <c r="G47" i="13"/>
  <c r="H47" i="13"/>
  <c r="B48" i="13"/>
  <c r="C48" i="13"/>
  <c r="D48" i="13"/>
  <c r="E48" i="13"/>
  <c r="F48" i="13"/>
  <c r="G48" i="13"/>
  <c r="H48" i="13"/>
  <c r="B49" i="13"/>
  <c r="C49" i="13"/>
  <c r="D49" i="13"/>
  <c r="E49" i="13"/>
  <c r="F49" i="13"/>
  <c r="G49" i="13"/>
  <c r="H49" i="13"/>
  <c r="B50" i="13"/>
  <c r="C50" i="13"/>
  <c r="D50" i="13"/>
  <c r="E50" i="13"/>
  <c r="F50" i="13"/>
  <c r="G50" i="13"/>
  <c r="H50" i="13"/>
  <c r="B51" i="13"/>
  <c r="C51" i="13"/>
  <c r="D51" i="13"/>
  <c r="E51" i="13"/>
  <c r="F51" i="13"/>
  <c r="G51" i="13"/>
  <c r="H51" i="13"/>
  <c r="B52" i="13"/>
  <c r="C52" i="13"/>
  <c r="D52" i="13"/>
  <c r="E52" i="13"/>
  <c r="F52" i="13"/>
  <c r="G52" i="13"/>
  <c r="H52" i="13"/>
  <c r="B53" i="13"/>
  <c r="C53" i="13"/>
  <c r="D53" i="13"/>
  <c r="E53" i="13"/>
  <c r="F53" i="13"/>
  <c r="G53" i="13"/>
  <c r="H53" i="13"/>
  <c r="B54" i="13"/>
  <c r="C54" i="13"/>
  <c r="D54" i="13"/>
  <c r="E54" i="13"/>
  <c r="F54" i="13"/>
  <c r="G54" i="13"/>
  <c r="H54" i="13"/>
  <c r="B55" i="13"/>
  <c r="C55" i="13"/>
  <c r="D55" i="13"/>
  <c r="E55" i="13"/>
  <c r="F55" i="13"/>
  <c r="G55" i="13"/>
  <c r="H55" i="13"/>
  <c r="B56" i="13"/>
  <c r="C56" i="13"/>
  <c r="D56" i="13"/>
  <c r="E56" i="13"/>
  <c r="F56" i="13"/>
  <c r="G56" i="13"/>
  <c r="H56" i="13"/>
  <c r="H33" i="13"/>
  <c r="H34" i="13"/>
  <c r="H35" i="13"/>
  <c r="H36" i="13"/>
  <c r="H37" i="13"/>
  <c r="H38" i="13"/>
  <c r="H39" i="13"/>
  <c r="H40" i="13"/>
  <c r="H41" i="13"/>
  <c r="H42" i="13"/>
  <c r="H43" i="13"/>
  <c r="H44" i="13"/>
  <c r="H46" i="13"/>
  <c r="H32" i="13"/>
  <c r="H31" i="13"/>
  <c r="BO5" i="1"/>
  <c r="BO6" i="1"/>
  <c r="BO7" i="1"/>
  <c r="BO8" i="1"/>
  <c r="BO9" i="1"/>
  <c r="BO10" i="1"/>
  <c r="BO11" i="1"/>
  <c r="BO12" i="1"/>
  <c r="BO13" i="1"/>
  <c r="BO14" i="1"/>
  <c r="BO15" i="1"/>
  <c r="BO16" i="1"/>
  <c r="BO17" i="1"/>
  <c r="BO18" i="1"/>
  <c r="BO19" i="1"/>
  <c r="K57" i="13" l="1"/>
  <c r="J57" i="13"/>
  <c r="K99" i="13"/>
  <c r="J99" i="13"/>
  <c r="K97" i="13"/>
  <c r="J97" i="13"/>
  <c r="K95" i="13"/>
  <c r="J95" i="13"/>
  <c r="K93" i="13"/>
  <c r="J93" i="13"/>
  <c r="K109" i="13"/>
  <c r="J109" i="13"/>
  <c r="K107" i="13"/>
  <c r="J107" i="13"/>
  <c r="K105" i="13"/>
  <c r="J105" i="13"/>
  <c r="K103" i="13"/>
  <c r="J103" i="13"/>
  <c r="K101" i="13"/>
  <c r="J101" i="13"/>
  <c r="K115" i="13"/>
  <c r="J115" i="13"/>
  <c r="K113" i="13"/>
  <c r="J113" i="13"/>
  <c r="K111" i="13"/>
  <c r="J111" i="13"/>
  <c r="K56" i="13"/>
  <c r="J56" i="13"/>
  <c r="K91" i="13"/>
  <c r="J91" i="13"/>
  <c r="K89" i="13"/>
  <c r="J89" i="13"/>
  <c r="K79" i="13"/>
  <c r="J79" i="13"/>
  <c r="K77" i="13"/>
  <c r="J77" i="13"/>
  <c r="K75" i="13"/>
  <c r="J75" i="13"/>
  <c r="K69" i="13"/>
  <c r="J69" i="13"/>
  <c r="K67" i="13"/>
  <c r="J67" i="13"/>
  <c r="K65" i="13"/>
  <c r="J65" i="13"/>
  <c r="K63" i="13"/>
  <c r="J63" i="13"/>
  <c r="K61" i="13"/>
  <c r="J61" i="13"/>
  <c r="K59" i="13"/>
  <c r="J59" i="13"/>
  <c r="K55" i="13"/>
  <c r="J55" i="13"/>
  <c r="K51" i="13"/>
  <c r="J51" i="13"/>
  <c r="K49" i="13"/>
  <c r="J49" i="13"/>
  <c r="K90" i="13"/>
  <c r="J90" i="13"/>
  <c r="K88" i="13"/>
  <c r="J88" i="13"/>
  <c r="K86" i="13"/>
  <c r="J86" i="13"/>
  <c r="K84" i="13"/>
  <c r="J84" i="13"/>
  <c r="K82" i="13"/>
  <c r="J82" i="13"/>
  <c r="K80" i="13"/>
  <c r="J80" i="13"/>
  <c r="K78" i="13"/>
  <c r="J78" i="13"/>
  <c r="K76" i="13"/>
  <c r="J76" i="13"/>
  <c r="K74" i="13"/>
  <c r="J74" i="13"/>
  <c r="K72" i="13"/>
  <c r="J72" i="13"/>
  <c r="K70" i="13"/>
  <c r="J70" i="13"/>
  <c r="K68" i="13"/>
  <c r="J68" i="13"/>
  <c r="K66" i="13"/>
  <c r="J66" i="13"/>
  <c r="K64" i="13"/>
  <c r="J64" i="13"/>
  <c r="K62" i="13"/>
  <c r="J62" i="13"/>
  <c r="K60" i="13"/>
  <c r="J60" i="13"/>
  <c r="K58" i="13"/>
  <c r="J58" i="13"/>
  <c r="K54" i="13"/>
  <c r="J54" i="13"/>
  <c r="K52" i="13"/>
  <c r="J52" i="13"/>
  <c r="K50" i="13"/>
  <c r="J50" i="13"/>
  <c r="K48" i="13"/>
  <c r="J48" i="13"/>
  <c r="K87" i="13"/>
  <c r="J87" i="13"/>
  <c r="K85" i="13"/>
  <c r="J85" i="13"/>
  <c r="K83" i="13"/>
  <c r="J83" i="13"/>
  <c r="K81" i="13"/>
  <c r="J81" i="13"/>
  <c r="K73" i="13"/>
  <c r="J73" i="13"/>
  <c r="K71" i="13"/>
  <c r="J71" i="13"/>
  <c r="K53" i="13"/>
  <c r="J53" i="13"/>
  <c r="K47" i="13"/>
  <c r="J47" i="13"/>
  <c r="K100" i="13"/>
  <c r="J100" i="13"/>
  <c r="K98" i="13"/>
  <c r="J98" i="13"/>
  <c r="K96" i="13"/>
  <c r="J96" i="13"/>
  <c r="K94" i="13"/>
  <c r="J94" i="13"/>
  <c r="K92" i="13"/>
  <c r="J92" i="13"/>
  <c r="K108" i="13"/>
  <c r="J108" i="13"/>
  <c r="K106" i="13"/>
  <c r="J106" i="13"/>
  <c r="K104" i="13"/>
  <c r="J104" i="13"/>
  <c r="K102" i="13"/>
  <c r="J102" i="13"/>
  <c r="K116" i="13"/>
  <c r="J116" i="13"/>
  <c r="K114" i="13"/>
  <c r="J114" i="13"/>
  <c r="K112" i="13"/>
  <c r="J112" i="13"/>
  <c r="K110" i="13"/>
  <c r="J110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32" i="13"/>
  <c r="G31" i="13"/>
  <c r="F33" i="13"/>
  <c r="F34" i="13"/>
  <c r="F35" i="13"/>
  <c r="F36" i="13"/>
  <c r="F37" i="13"/>
  <c r="F38" i="13"/>
  <c r="F39" i="13"/>
  <c r="F40" i="13"/>
  <c r="F41" i="13"/>
  <c r="F42" i="13"/>
  <c r="F43" i="13"/>
  <c r="F44" i="13"/>
  <c r="F45" i="13"/>
  <c r="F46" i="13"/>
  <c r="F32" i="13"/>
  <c r="F31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32" i="13"/>
  <c r="E31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32" i="13"/>
  <c r="D31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32" i="13"/>
  <c r="C31" i="13"/>
  <c r="B33" i="13"/>
  <c r="K33" i="13" s="1"/>
  <c r="B34" i="13"/>
  <c r="K34" i="13" s="1"/>
  <c r="B35" i="13"/>
  <c r="K35" i="13" s="1"/>
  <c r="B36" i="13"/>
  <c r="K36" i="13" s="1"/>
  <c r="B37" i="13"/>
  <c r="K37" i="13" s="1"/>
  <c r="B38" i="13"/>
  <c r="K38" i="13" s="1"/>
  <c r="B39" i="13"/>
  <c r="K39" i="13" s="1"/>
  <c r="B40" i="13"/>
  <c r="K40" i="13" s="1"/>
  <c r="B41" i="13"/>
  <c r="K41" i="13" s="1"/>
  <c r="B42" i="13"/>
  <c r="K42" i="13" s="1"/>
  <c r="B43" i="13"/>
  <c r="K43" i="13" s="1"/>
  <c r="B44" i="13"/>
  <c r="K44" i="13" s="1"/>
  <c r="B45" i="13"/>
  <c r="B46" i="13"/>
  <c r="K46" i="13" s="1"/>
  <c r="B32" i="13"/>
  <c r="K32" i="13" s="1"/>
  <c r="B31" i="13"/>
  <c r="A31" i="13"/>
  <c r="AU8" i="5"/>
  <c r="AU4" i="5"/>
  <c r="AU23" i="5"/>
  <c r="AU24" i="5"/>
  <c r="AU25" i="5"/>
  <c r="AU26" i="5"/>
  <c r="AU27" i="5"/>
  <c r="AU28" i="5"/>
  <c r="AU29" i="5"/>
  <c r="AU30" i="5"/>
  <c r="AU31" i="5"/>
  <c r="AU32" i="5"/>
  <c r="AU33" i="5"/>
  <c r="AU34" i="5"/>
  <c r="AU35" i="5"/>
  <c r="AU36" i="5"/>
  <c r="AU22" i="5"/>
  <c r="C17" i="5"/>
  <c r="C16" i="5"/>
  <c r="C15" i="5"/>
  <c r="AM32" i="5"/>
  <c r="AU21" i="5"/>
  <c r="AU5" i="5"/>
  <c r="AU6" i="5"/>
  <c r="AU7" i="5"/>
  <c r="AU9" i="5"/>
  <c r="AU10" i="5"/>
  <c r="AU11" i="5"/>
  <c r="AU12" i="5"/>
  <c r="AU13" i="5"/>
  <c r="AU14" i="5"/>
  <c r="AU15" i="5"/>
  <c r="AU16" i="5"/>
  <c r="AU17" i="5"/>
  <c r="AU18" i="5"/>
  <c r="J39" i="13" l="1"/>
  <c r="J33" i="13"/>
  <c r="J43" i="13"/>
  <c r="J37" i="13"/>
  <c r="J32" i="13"/>
  <c r="J41" i="13"/>
  <c r="J35" i="13"/>
  <c r="J40" i="13"/>
  <c r="J34" i="13"/>
  <c r="J46" i="13"/>
  <c r="J42" i="13"/>
  <c r="J44" i="13"/>
  <c r="J38" i="13"/>
  <c r="J36" i="13"/>
  <c r="AN14" i="5"/>
  <c r="W42" i="11"/>
  <c r="W41" i="11"/>
  <c r="W40" i="11"/>
  <c r="W39" i="11"/>
  <c r="W38" i="11"/>
  <c r="W37" i="11"/>
  <c r="W36" i="11"/>
  <c r="W35" i="11"/>
  <c r="W34" i="11"/>
  <c r="W33" i="11"/>
  <c r="W32" i="11"/>
  <c r="W31" i="11"/>
  <c r="W30" i="11"/>
  <c r="W29" i="11"/>
  <c r="W28" i="11"/>
  <c r="V29" i="11"/>
  <c r="V30" i="11"/>
  <c r="V31" i="11"/>
  <c r="V32" i="11"/>
  <c r="V33" i="11"/>
  <c r="V34" i="11"/>
  <c r="V35" i="11"/>
  <c r="V36" i="11"/>
  <c r="V37" i="11"/>
  <c r="V38" i="11"/>
  <c r="V41" i="11"/>
  <c r="V42" i="11"/>
  <c r="V28" i="11"/>
  <c r="U29" i="11" l="1"/>
  <c r="U30" i="11"/>
  <c r="U31" i="11"/>
  <c r="U32" i="11"/>
  <c r="U33" i="11"/>
  <c r="U34" i="11"/>
  <c r="U35" i="11"/>
  <c r="U36" i="11"/>
  <c r="U37" i="11"/>
  <c r="U38" i="11"/>
  <c r="U39" i="11"/>
  <c r="U40" i="11"/>
  <c r="U41" i="11"/>
  <c r="U42" i="11"/>
  <c r="U28" i="11"/>
  <c r="AO43" i="11" l="1"/>
  <c r="AO44" i="11"/>
  <c r="AO45" i="11"/>
  <c r="AO46" i="11"/>
  <c r="AO47" i="11"/>
  <c r="AO48" i="11"/>
  <c r="AO49" i="11"/>
  <c r="AO50" i="11"/>
  <c r="AO51" i="11"/>
  <c r="AO52" i="11"/>
  <c r="AO53" i="11"/>
  <c r="AO54" i="11"/>
  <c r="AO42" i="11"/>
  <c r="Q30" i="11"/>
  <c r="Q31" i="11"/>
  <c r="Q34" i="11"/>
  <c r="Q35" i="11"/>
  <c r="Q38" i="11"/>
  <c r="Q39" i="11"/>
  <c r="Q42" i="11"/>
  <c r="Q28" i="11"/>
  <c r="P29" i="11"/>
  <c r="Q29" i="11" s="1"/>
  <c r="P30" i="11"/>
  <c r="P31" i="11"/>
  <c r="P32" i="11"/>
  <c r="Q32" i="11" s="1"/>
  <c r="P33" i="11"/>
  <c r="Q33" i="11" s="1"/>
  <c r="P34" i="11"/>
  <c r="P35" i="11"/>
  <c r="P36" i="11"/>
  <c r="Q36" i="11" s="1"/>
  <c r="P37" i="11"/>
  <c r="Q37" i="11" s="1"/>
  <c r="P38" i="11"/>
  <c r="P39" i="11"/>
  <c r="P40" i="11"/>
  <c r="Q40" i="11" s="1"/>
  <c r="P41" i="11"/>
  <c r="Q41" i="11" s="1"/>
  <c r="P42" i="11"/>
  <c r="P28" i="11"/>
  <c r="BK6" i="11"/>
  <c r="BK7" i="11"/>
  <c r="BK8" i="11"/>
  <c r="BK9" i="11"/>
  <c r="BK10" i="11"/>
  <c r="BK11" i="11"/>
  <c r="BK12" i="11"/>
  <c r="BK13" i="11"/>
  <c r="BK14" i="11"/>
  <c r="BK15" i="11"/>
  <c r="BK16" i="11"/>
  <c r="BK17" i="11"/>
  <c r="BK18" i="11"/>
  <c r="BK5" i="11"/>
  <c r="AK57" i="11" l="1"/>
  <c r="AJ57" i="11"/>
  <c r="AV36" i="5"/>
  <c r="AE35" i="5"/>
  <c r="AE36" i="5"/>
  <c r="X35" i="5"/>
  <c r="X36" i="5"/>
  <c r="Q35" i="5"/>
  <c r="Q36" i="5"/>
  <c r="J35" i="5"/>
  <c r="J36" i="5"/>
  <c r="C35" i="5"/>
  <c r="D35" i="5"/>
  <c r="AF35" i="5" s="1"/>
  <c r="C36" i="5"/>
  <c r="D36" i="5"/>
  <c r="AF36" i="5" s="1"/>
  <c r="U8" i="5"/>
  <c r="K35" i="5" l="1"/>
  <c r="R35" i="5" s="1"/>
  <c r="Y35" i="5"/>
  <c r="AV35" i="5"/>
  <c r="K36" i="5"/>
  <c r="R36" i="5" s="1"/>
  <c r="Y36" i="5"/>
  <c r="U5" i="5" l="1"/>
  <c r="U6" i="5"/>
  <c r="U7" i="5"/>
  <c r="U9" i="5"/>
  <c r="U10" i="5"/>
  <c r="U11" i="5"/>
  <c r="U12" i="5"/>
  <c r="U13" i="5"/>
  <c r="U14" i="5"/>
  <c r="U15" i="5"/>
  <c r="U16" i="5"/>
  <c r="U17" i="5"/>
  <c r="U18" i="5"/>
  <c r="U4" i="5"/>
  <c r="J17" i="5"/>
  <c r="J18" i="5"/>
  <c r="D17" i="5"/>
  <c r="AV17" i="5" s="1"/>
  <c r="C18" i="5"/>
  <c r="D18" i="5"/>
  <c r="AV18" i="5" s="1"/>
  <c r="B17" i="5"/>
  <c r="B35" i="5" s="1"/>
  <c r="B18" i="5"/>
  <c r="B36" i="5" s="1"/>
  <c r="K17" i="5" l="1"/>
  <c r="K18" i="5"/>
  <c r="V18" i="5"/>
  <c r="V17" i="5"/>
  <c r="BA16" i="11"/>
  <c r="AZ6" i="11"/>
  <c r="AZ7" i="11"/>
  <c r="AZ8" i="11"/>
  <c r="AZ9" i="11"/>
  <c r="AZ10" i="11"/>
  <c r="AZ11" i="11"/>
  <c r="AZ12" i="11"/>
  <c r="AZ13" i="11"/>
  <c r="AZ14" i="11"/>
  <c r="AZ15" i="11"/>
  <c r="AZ16" i="11"/>
  <c r="AZ17" i="11"/>
  <c r="AZ5" i="11"/>
  <c r="BG22" i="11" l="1"/>
  <c r="BQ18" i="1"/>
  <c r="H45" i="13" s="1"/>
  <c r="K45" i="13" l="1"/>
  <c r="J45" i="13"/>
  <c r="B122" i="11"/>
  <c r="L27" i="13" l="1" a="1"/>
  <c r="L27" i="13" s="1"/>
  <c r="L49" i="11"/>
  <c r="M49" i="11" s="1"/>
  <c r="L50" i="11"/>
  <c r="M50" i="11" s="1"/>
  <c r="N50" i="11" s="1"/>
  <c r="L51" i="11"/>
  <c r="M51" i="11" s="1"/>
  <c r="L52" i="11"/>
  <c r="M52" i="11" s="1"/>
  <c r="L53" i="11"/>
  <c r="M53" i="11" s="1"/>
  <c r="L54" i="11"/>
  <c r="M54" i="11" s="1"/>
  <c r="N54" i="11" s="1"/>
  <c r="L55" i="11"/>
  <c r="M55" i="11" s="1"/>
  <c r="L56" i="11"/>
  <c r="M56" i="11" s="1"/>
  <c r="L57" i="11"/>
  <c r="M57" i="11" s="1"/>
  <c r="L58" i="11"/>
  <c r="M58" i="11" s="1"/>
  <c r="N58" i="11" s="1"/>
  <c r="L59" i="11"/>
  <c r="M59" i="11" s="1"/>
  <c r="L60" i="11"/>
  <c r="M60" i="11" s="1"/>
  <c r="L61" i="11"/>
  <c r="M61" i="11" s="1"/>
  <c r="L62" i="11"/>
  <c r="M62" i="11" s="1"/>
  <c r="N62" i="11" s="1"/>
  <c r="L48" i="11"/>
  <c r="M48" i="11" s="1"/>
  <c r="K49" i="11"/>
  <c r="K50" i="11"/>
  <c r="K51" i="11"/>
  <c r="K52" i="11"/>
  <c r="K53" i="11"/>
  <c r="K54" i="11"/>
  <c r="K55" i="11"/>
  <c r="K56" i="11"/>
  <c r="K57" i="11"/>
  <c r="K58" i="11"/>
  <c r="K59" i="11"/>
  <c r="K60" i="11"/>
  <c r="K61" i="11"/>
  <c r="K62" i="11"/>
  <c r="K48" i="11"/>
  <c r="A46" i="11"/>
  <c r="A26" i="11"/>
  <c r="C122" i="11"/>
  <c r="D117" i="11"/>
  <c r="C120" i="11"/>
  <c r="B120" i="11"/>
  <c r="B117" i="11"/>
  <c r="A120" i="11"/>
  <c r="A117" i="11"/>
  <c r="A115" i="11"/>
  <c r="D122" i="11" s="1"/>
  <c r="C113" i="11"/>
  <c r="B113" i="11"/>
  <c r="A122" i="11"/>
  <c r="A113" i="11"/>
  <c r="N56" i="11" l="1"/>
  <c r="O56" i="11" s="1"/>
  <c r="N61" i="11"/>
  <c r="P61" i="11" s="1"/>
  <c r="N57" i="11"/>
  <c r="O57" i="11" s="1"/>
  <c r="N53" i="11"/>
  <c r="P53" i="11" s="1"/>
  <c r="N49" i="11"/>
  <c r="P49" i="11" s="1"/>
  <c r="N48" i="11"/>
  <c r="O48" i="11" s="1"/>
  <c r="N59" i="11"/>
  <c r="O59" i="11" s="1"/>
  <c r="N55" i="11"/>
  <c r="O55" i="11" s="1"/>
  <c r="N60" i="11"/>
  <c r="P60" i="11" s="1"/>
  <c r="N52" i="11"/>
  <c r="P52" i="11" s="1"/>
  <c r="N51" i="11"/>
  <c r="O51" i="11" s="1"/>
  <c r="O53" i="11"/>
  <c r="O49" i="11"/>
  <c r="P62" i="11"/>
  <c r="O62" i="11"/>
  <c r="P54" i="11"/>
  <c r="O54" i="11"/>
  <c r="P48" i="11"/>
  <c r="P55" i="11"/>
  <c r="O52" i="11"/>
  <c r="P58" i="11"/>
  <c r="O58" i="11"/>
  <c r="P50" i="11"/>
  <c r="O50" i="11"/>
  <c r="BA17" i="11"/>
  <c r="BA15" i="11"/>
  <c r="BA14" i="11"/>
  <c r="BA13" i="11"/>
  <c r="BA12" i="11"/>
  <c r="BA11" i="11"/>
  <c r="BA10" i="11"/>
  <c r="BA9" i="11"/>
  <c r="BA8" i="11"/>
  <c r="BA7" i="11"/>
  <c r="BA6" i="11"/>
  <c r="BA5" i="11"/>
  <c r="AA31" i="11"/>
  <c r="AA29" i="11"/>
  <c r="AA30" i="11"/>
  <c r="AA32" i="11"/>
  <c r="AA33" i="11"/>
  <c r="AA34" i="11"/>
  <c r="AA35" i="11"/>
  <c r="AA36" i="11"/>
  <c r="AA37" i="11"/>
  <c r="AA38" i="11"/>
  <c r="AA41" i="11"/>
  <c r="AA42" i="11"/>
  <c r="AA28" i="11"/>
  <c r="P56" i="11" l="1"/>
  <c r="Q56" i="11" s="1"/>
  <c r="R56" i="11" s="1"/>
  <c r="O60" i="11"/>
  <c r="Q48" i="11"/>
  <c r="R48" i="11" s="1"/>
  <c r="P57" i="11"/>
  <c r="Q57" i="11" s="1"/>
  <c r="R57" i="11" s="1"/>
  <c r="Q62" i="11"/>
  <c r="R62" i="11" s="1"/>
  <c r="O61" i="11"/>
  <c r="Q61" i="11" s="1"/>
  <c r="R61" i="11" s="1"/>
  <c r="Q54" i="11"/>
  <c r="R54" i="11" s="1"/>
  <c r="AU21" i="11"/>
  <c r="P59" i="11"/>
  <c r="Q50" i="11"/>
  <c r="R50" i="11" s="1"/>
  <c r="P51" i="11"/>
  <c r="Q58" i="11"/>
  <c r="R58" i="11" s="1"/>
  <c r="Q59" i="11"/>
  <c r="R59" i="11" s="1"/>
  <c r="Q60" i="11"/>
  <c r="R60" i="11" s="1"/>
  <c r="Q55" i="11"/>
  <c r="R55" i="11" s="1"/>
  <c r="Q49" i="11"/>
  <c r="R49" i="11" s="1"/>
  <c r="Q52" i="11"/>
  <c r="R52" i="11" s="1"/>
  <c r="Q51" i="11"/>
  <c r="R51" i="11" s="1"/>
  <c r="Q53" i="11"/>
  <c r="R53" i="11" s="1"/>
  <c r="BA18" i="11"/>
  <c r="BA20" i="11"/>
  <c r="BA19" i="11"/>
  <c r="AR44" i="11"/>
  <c r="AR45" i="11"/>
  <c r="AR47" i="11"/>
  <c r="AR48" i="11"/>
  <c r="AR49" i="11"/>
  <c r="AR50" i="11"/>
  <c r="AR51" i="11"/>
  <c r="AR52" i="11"/>
  <c r="AR53" i="11"/>
  <c r="AR43" i="11"/>
  <c r="L42" i="11"/>
  <c r="L41" i="11"/>
  <c r="L40" i="11"/>
  <c r="L39" i="11"/>
  <c r="L38" i="11"/>
  <c r="L37" i="11"/>
  <c r="L36" i="11"/>
  <c r="L35" i="11"/>
  <c r="L34" i="11"/>
  <c r="L33" i="11"/>
  <c r="L32" i="11"/>
  <c r="L31" i="11"/>
  <c r="L30" i="11"/>
  <c r="L29" i="11"/>
  <c r="L28" i="11"/>
  <c r="M29" i="11" l="1"/>
  <c r="M30" i="11"/>
  <c r="N30" i="11" s="1"/>
  <c r="O30" i="11" s="1"/>
  <c r="R30" i="11" s="1"/>
  <c r="M31" i="11"/>
  <c r="N31" i="11" s="1"/>
  <c r="O31" i="11" s="1"/>
  <c r="R31" i="11" s="1"/>
  <c r="M32" i="11"/>
  <c r="N32" i="11" s="1"/>
  <c r="M33" i="11"/>
  <c r="M34" i="11"/>
  <c r="N34" i="11" s="1"/>
  <c r="O34" i="11" s="1"/>
  <c r="R34" i="11" s="1"/>
  <c r="M35" i="11"/>
  <c r="N35" i="11" s="1"/>
  <c r="O35" i="11" s="1"/>
  <c r="R35" i="11" s="1"/>
  <c r="M36" i="11"/>
  <c r="M37" i="11"/>
  <c r="M38" i="11"/>
  <c r="N38" i="11" s="1"/>
  <c r="O38" i="11" s="1"/>
  <c r="R38" i="11" s="1"/>
  <c r="M39" i="11"/>
  <c r="N39" i="11" s="1"/>
  <c r="O39" i="11" s="1"/>
  <c r="R39" i="11" s="1"/>
  <c r="M40" i="11"/>
  <c r="N40" i="11" s="1"/>
  <c r="M41" i="11"/>
  <c r="M42" i="11"/>
  <c r="N42" i="11" s="1"/>
  <c r="O42" i="11" s="1"/>
  <c r="R42" i="11" s="1"/>
  <c r="M28" i="11"/>
  <c r="N28" i="11" s="1"/>
  <c r="O28" i="11" s="1"/>
  <c r="R28" i="11" s="1"/>
  <c r="G13" i="11"/>
  <c r="O40" i="11" l="1"/>
  <c r="O32" i="11"/>
  <c r="R32" i="11" s="1"/>
  <c r="N36" i="11"/>
  <c r="O36" i="11" s="1"/>
  <c r="S28" i="11"/>
  <c r="T28" i="11" s="1"/>
  <c r="S39" i="11"/>
  <c r="T39" i="11" s="1"/>
  <c r="Y39" i="11" s="1"/>
  <c r="Z39" i="11" s="1"/>
  <c r="S35" i="11"/>
  <c r="T35" i="11" s="1"/>
  <c r="S31" i="11"/>
  <c r="T31" i="11" s="1"/>
  <c r="S42" i="11"/>
  <c r="T42" i="11" s="1"/>
  <c r="S34" i="11"/>
  <c r="T34" i="11" s="1"/>
  <c r="S32" i="11"/>
  <c r="S38" i="11"/>
  <c r="T38" i="11" s="1"/>
  <c r="S30" i="11"/>
  <c r="T30" i="11" s="1"/>
  <c r="N41" i="11"/>
  <c r="O41" i="11" s="1"/>
  <c r="R41" i="11" s="1"/>
  <c r="N37" i="11"/>
  <c r="O37" i="11" s="1"/>
  <c r="R37" i="11" s="1"/>
  <c r="N33" i="11"/>
  <c r="O33" i="11" s="1"/>
  <c r="R33" i="11" s="1"/>
  <c r="N29" i="11"/>
  <c r="O29" i="11" s="1"/>
  <c r="R29" i="11" s="1"/>
  <c r="AH5" i="1"/>
  <c r="AH6" i="1"/>
  <c r="AH7" i="1"/>
  <c r="AH8" i="1"/>
  <c r="AH9" i="1"/>
  <c r="AH10" i="1"/>
  <c r="AH12" i="1"/>
  <c r="AH13" i="1"/>
  <c r="AH14" i="1"/>
  <c r="AH15" i="1"/>
  <c r="AH16" i="1"/>
  <c r="AH17" i="1"/>
  <c r="AH18" i="1"/>
  <c r="AH19" i="1"/>
  <c r="AH11" i="1"/>
  <c r="G16" i="11"/>
  <c r="W6" i="11"/>
  <c r="W7" i="11"/>
  <c r="W9" i="11"/>
  <c r="W10" i="11"/>
  <c r="W11" i="11"/>
  <c r="W12" i="11"/>
  <c r="W13" i="11"/>
  <c r="W14" i="11"/>
  <c r="W15" i="11"/>
  <c r="W16" i="11"/>
  <c r="W17" i="11"/>
  <c r="W18" i="11"/>
  <c r="W19" i="11"/>
  <c r="W5" i="11"/>
  <c r="U19" i="11"/>
  <c r="U18" i="11"/>
  <c r="U17" i="11"/>
  <c r="U16" i="11"/>
  <c r="U15" i="11"/>
  <c r="U14" i="11"/>
  <c r="U13" i="11"/>
  <c r="U12" i="11"/>
  <c r="U11" i="11"/>
  <c r="U10" i="11"/>
  <c r="U9" i="11"/>
  <c r="U8" i="11"/>
  <c r="U7" i="11"/>
  <c r="U6" i="11"/>
  <c r="U5" i="11"/>
  <c r="R19" i="11"/>
  <c r="R18" i="11"/>
  <c r="R17" i="11"/>
  <c r="R16" i="11"/>
  <c r="R15" i="11"/>
  <c r="R14" i="11"/>
  <c r="R13" i="11"/>
  <c r="R12" i="11"/>
  <c r="R11" i="11"/>
  <c r="R10" i="11"/>
  <c r="R9" i="11"/>
  <c r="R8" i="11"/>
  <c r="R7" i="11"/>
  <c r="R6" i="11"/>
  <c r="R5" i="11"/>
  <c r="R4" i="11"/>
  <c r="U4" i="11" s="1"/>
  <c r="R36" i="11" l="1"/>
  <c r="S36" i="11" s="1"/>
  <c r="T36" i="11" s="1"/>
  <c r="Y36" i="11" s="1"/>
  <c r="Z36" i="11" s="1"/>
  <c r="R40" i="11"/>
  <c r="S40" i="11" s="1"/>
  <c r="Y30" i="11"/>
  <c r="Z30" i="11" s="1"/>
  <c r="AB30" i="11"/>
  <c r="AC30" i="11" s="1"/>
  <c r="Y42" i="11"/>
  <c r="AB42" i="11"/>
  <c r="AC42" i="11" s="1"/>
  <c r="Y28" i="11"/>
  <c r="Z28" i="11" s="1"/>
  <c r="AB28" i="11"/>
  <c r="AC28" i="11" s="1"/>
  <c r="Y38" i="11"/>
  <c r="Z38" i="11" s="1"/>
  <c r="AB38" i="11"/>
  <c r="AC38" i="11" s="1"/>
  <c r="Y31" i="11"/>
  <c r="AB31" i="11"/>
  <c r="AC31" i="11" s="1"/>
  <c r="Y35" i="11"/>
  <c r="Z35" i="11" s="1"/>
  <c r="AB35" i="11"/>
  <c r="AC35" i="11" s="1"/>
  <c r="Y34" i="11"/>
  <c r="Z34" i="11" s="1"/>
  <c r="AB34" i="11"/>
  <c r="AC34" i="11" s="1"/>
  <c r="X38" i="11"/>
  <c r="X42" i="11"/>
  <c r="X28" i="11"/>
  <c r="X31" i="11"/>
  <c r="X35" i="11"/>
  <c r="X30" i="11"/>
  <c r="X34" i="11"/>
  <c r="X39" i="11"/>
  <c r="T32" i="11"/>
  <c r="S29" i="11"/>
  <c r="T29" i="11" s="1"/>
  <c r="S37" i="11"/>
  <c r="T37" i="11" s="1"/>
  <c r="S41" i="11"/>
  <c r="T41" i="11" s="1"/>
  <c r="S33" i="11"/>
  <c r="T33" i="11" s="1"/>
  <c r="R20" i="11"/>
  <c r="U22" i="11"/>
  <c r="U20" i="11"/>
  <c r="U21" i="11"/>
  <c r="R21" i="11"/>
  <c r="R22" i="11"/>
  <c r="X36" i="11" l="1"/>
  <c r="AB36" i="11"/>
  <c r="AC36" i="11" s="1"/>
  <c r="T40" i="11"/>
  <c r="Y40" i="11" s="1"/>
  <c r="Y33" i="11"/>
  <c r="Z33" i="11" s="1"/>
  <c r="AB33" i="11"/>
  <c r="AC33" i="11" s="1"/>
  <c r="Y41" i="11"/>
  <c r="AB41" i="11"/>
  <c r="AC41" i="11" s="1"/>
  <c r="Y32" i="11"/>
  <c r="Z32" i="11" s="1"/>
  <c r="AB32" i="11"/>
  <c r="AC32" i="11" s="1"/>
  <c r="Y29" i="11"/>
  <c r="Z29" i="11" s="1"/>
  <c r="AB29" i="11"/>
  <c r="AC29" i="11" s="1"/>
  <c r="Y37" i="11"/>
  <c r="Z37" i="11" s="1"/>
  <c r="AB37" i="11"/>
  <c r="AC37" i="11" s="1"/>
  <c r="X29" i="11"/>
  <c r="X33" i="11"/>
  <c r="X41" i="11"/>
  <c r="X32" i="11"/>
  <c r="X37" i="11"/>
  <c r="J6" i="11"/>
  <c r="J7" i="11"/>
  <c r="J8" i="11"/>
  <c r="J10" i="11"/>
  <c r="J11" i="11"/>
  <c r="J12" i="11"/>
  <c r="J13" i="11"/>
  <c r="J14" i="11"/>
  <c r="J15" i="11"/>
  <c r="J16" i="11"/>
  <c r="J17" i="11"/>
  <c r="J18" i="11"/>
  <c r="J19" i="11"/>
  <c r="J5" i="11"/>
  <c r="G19" i="11"/>
  <c r="G18" i="11"/>
  <c r="G17" i="11"/>
  <c r="G15" i="11"/>
  <c r="G14" i="11"/>
  <c r="G12" i="11"/>
  <c r="G11" i="11"/>
  <c r="G10" i="11"/>
  <c r="G9" i="11"/>
  <c r="G8" i="11"/>
  <c r="G7" i="11"/>
  <c r="G6" i="11"/>
  <c r="G5" i="11"/>
  <c r="X40" i="11" l="1"/>
  <c r="X44" i="11"/>
  <c r="X43" i="11"/>
  <c r="G20" i="11"/>
  <c r="G21" i="11"/>
  <c r="G22" i="11"/>
  <c r="L16" i="11"/>
  <c r="L15" i="11"/>
  <c r="L14" i="11" l="1"/>
  <c r="L13" i="11"/>
  <c r="L12" i="11"/>
  <c r="L11" i="11"/>
  <c r="L10" i="11"/>
  <c r="I9" i="11"/>
  <c r="J9" i="11" s="1"/>
  <c r="D8" i="11"/>
  <c r="D11" i="11"/>
  <c r="D13" i="11"/>
  <c r="D14" i="11"/>
  <c r="D15" i="11"/>
  <c r="D17" i="11"/>
  <c r="D18" i="11"/>
  <c r="D19" i="11"/>
  <c r="D5" i="11"/>
  <c r="L6" i="11"/>
  <c r="L7" i="11"/>
  <c r="L5" i="11"/>
  <c r="J21" i="11" l="1"/>
  <c r="J20" i="11"/>
  <c r="J22" i="11"/>
  <c r="D20" i="11"/>
  <c r="D22" i="11"/>
  <c r="D21" i="11"/>
  <c r="L9" i="11"/>
  <c r="Y6" i="11"/>
  <c r="Y7" i="11"/>
  <c r="Y8" i="11"/>
  <c r="Y9" i="11"/>
  <c r="Y10" i="11"/>
  <c r="Y11" i="11"/>
  <c r="Y12" i="11"/>
  <c r="Y13" i="11"/>
  <c r="Y14" i="11"/>
  <c r="Y15" i="11"/>
  <c r="Y16" i="11"/>
  <c r="Y17" i="11"/>
  <c r="Y18" i="11"/>
  <c r="Y19" i="11"/>
  <c r="Y5" i="11"/>
  <c r="AK6" i="11" l="1"/>
  <c r="AK7" i="11"/>
  <c r="AK8" i="11"/>
  <c r="AK9" i="11"/>
  <c r="AK10" i="11"/>
  <c r="AK11" i="11"/>
  <c r="AK12" i="11"/>
  <c r="AK13" i="11"/>
  <c r="AK14" i="11"/>
  <c r="AK15" i="11"/>
  <c r="AK16" i="11"/>
  <c r="AK17" i="11"/>
  <c r="AK5" i="11"/>
  <c r="AM3" i="11"/>
  <c r="AJ6" i="11"/>
  <c r="AJ7" i="11"/>
  <c r="AJ8" i="11"/>
  <c r="AJ9" i="11"/>
  <c r="AJ10" i="11"/>
  <c r="AJ11" i="11"/>
  <c r="AJ12" i="11"/>
  <c r="AJ13" i="11"/>
  <c r="AJ14" i="11"/>
  <c r="AJ15" i="11"/>
  <c r="AJ16" i="11"/>
  <c r="AJ17" i="11"/>
  <c r="AJ5" i="11"/>
  <c r="M7" i="6"/>
  <c r="M8" i="6"/>
  <c r="M9" i="6"/>
  <c r="M10" i="6"/>
  <c r="M11" i="6"/>
  <c r="M12" i="6"/>
  <c r="M13" i="6"/>
  <c r="M14" i="6"/>
  <c r="M15" i="6"/>
  <c r="M16" i="6"/>
  <c r="M17" i="6"/>
  <c r="M18" i="6"/>
  <c r="M19" i="6"/>
  <c r="M20" i="6"/>
  <c r="M6" i="6"/>
  <c r="AP19" i="1"/>
  <c r="AP18" i="1"/>
  <c r="AP17" i="1"/>
  <c r="AP16" i="1"/>
  <c r="AP15" i="1"/>
  <c r="AP14" i="1"/>
  <c r="AP13" i="1"/>
  <c r="AP12" i="1"/>
  <c r="AP6" i="1"/>
  <c r="AP7" i="1"/>
  <c r="AP8" i="1"/>
  <c r="AP9" i="1"/>
  <c r="AP10" i="1"/>
  <c r="AP11" i="1"/>
  <c r="AP5" i="1"/>
  <c r="AL15" i="11" l="1"/>
  <c r="AL11" i="11"/>
  <c r="AL7" i="11"/>
  <c r="AL5" i="11"/>
  <c r="AL14" i="11"/>
  <c r="AL16" i="11"/>
  <c r="AL12" i="11"/>
  <c r="AL8" i="11"/>
  <c r="AL10" i="11"/>
  <c r="AL6" i="11"/>
  <c r="AL17" i="11"/>
  <c r="AL13" i="11"/>
  <c r="AL9" i="11"/>
  <c r="AB7" i="6"/>
  <c r="AB8" i="6"/>
  <c r="AB9" i="6"/>
  <c r="AB10" i="6"/>
  <c r="AB11" i="6"/>
  <c r="AB12" i="6"/>
  <c r="AB13" i="6"/>
  <c r="AB14" i="6"/>
  <c r="AB15" i="6"/>
  <c r="AB16" i="6"/>
  <c r="AB17" i="6"/>
  <c r="AB18" i="6"/>
  <c r="AB19" i="6"/>
  <c r="AB20" i="6"/>
  <c r="AB6" i="6"/>
  <c r="AA7" i="6"/>
  <c r="AA8" i="6"/>
  <c r="AA9" i="6"/>
  <c r="AA10" i="6"/>
  <c r="AA11" i="6"/>
  <c r="AA12" i="6"/>
  <c r="AA13" i="6"/>
  <c r="AA14" i="6"/>
  <c r="AA15" i="6"/>
  <c r="AA16" i="6"/>
  <c r="AA17" i="6"/>
  <c r="AA18" i="6"/>
  <c r="AA19" i="6"/>
  <c r="AA20" i="6"/>
  <c r="AA6" i="6"/>
  <c r="Y7" i="6"/>
  <c r="Y8" i="6"/>
  <c r="Y9" i="6"/>
  <c r="Y10" i="6"/>
  <c r="Y11" i="6"/>
  <c r="Y12" i="6"/>
  <c r="Y13" i="6"/>
  <c r="Y14" i="6"/>
  <c r="Y15" i="6"/>
  <c r="Y16" i="6"/>
  <c r="Y17" i="6"/>
  <c r="Y18" i="6"/>
  <c r="Y19" i="6"/>
  <c r="Y20" i="6"/>
  <c r="Y6" i="6"/>
  <c r="W7" i="6"/>
  <c r="W8" i="6"/>
  <c r="W9" i="6"/>
  <c r="W10" i="6"/>
  <c r="W11" i="6"/>
  <c r="W12" i="6"/>
  <c r="W13" i="6"/>
  <c r="W14" i="6"/>
  <c r="W15" i="6"/>
  <c r="W16" i="6"/>
  <c r="W17" i="6"/>
  <c r="W18" i="6"/>
  <c r="W19" i="6"/>
  <c r="W20" i="6"/>
  <c r="W6" i="6"/>
  <c r="AC7" i="6" l="1"/>
  <c r="AC8" i="6"/>
  <c r="AC9" i="6"/>
  <c r="AC10" i="6"/>
  <c r="AC11" i="6"/>
  <c r="AC12" i="6"/>
  <c r="AC13" i="6"/>
  <c r="AC14" i="6"/>
  <c r="AC15" i="6"/>
  <c r="AC16" i="6"/>
  <c r="AC17" i="6"/>
  <c r="AC18" i="6"/>
  <c r="AC19" i="6"/>
  <c r="AC20" i="6"/>
  <c r="AC6" i="6"/>
  <c r="U9" i="6"/>
  <c r="U12" i="6"/>
  <c r="U14" i="6"/>
  <c r="U15" i="6"/>
  <c r="U16" i="6"/>
  <c r="U18" i="6"/>
  <c r="U19" i="6"/>
  <c r="U20" i="6"/>
  <c r="U6" i="6"/>
  <c r="K19" i="11" l="1"/>
  <c r="AM17" i="11" s="1"/>
  <c r="M19" i="11"/>
  <c r="O19" i="11" s="1"/>
  <c r="CK19" i="1"/>
  <c r="K18" i="11"/>
  <c r="AM16" i="11" s="1"/>
  <c r="M18" i="11"/>
  <c r="O18" i="11" s="1"/>
  <c r="K17" i="11"/>
  <c r="M17" i="11"/>
  <c r="O17" i="11" s="1"/>
  <c r="K16" i="11" l="1"/>
  <c r="M16" i="11"/>
  <c r="K15" i="11"/>
  <c r="AM15" i="11" s="1"/>
  <c r="M15" i="11"/>
  <c r="O15" i="11" s="1"/>
  <c r="O16" i="11" l="1"/>
  <c r="K14" i="11"/>
  <c r="AM14" i="11" s="1"/>
  <c r="M14" i="11"/>
  <c r="O14" i="11" s="1"/>
  <c r="K13" i="11"/>
  <c r="AM13" i="11" s="1"/>
  <c r="M13" i="11"/>
  <c r="O13" i="11" s="1"/>
  <c r="K12" i="11"/>
  <c r="AM12" i="11" s="1"/>
  <c r="M12" i="11"/>
  <c r="O12" i="11" s="1"/>
  <c r="K11" i="11"/>
  <c r="AM11" i="11" s="1"/>
  <c r="M11" i="11"/>
  <c r="O11" i="11" s="1"/>
  <c r="V6" i="11"/>
  <c r="V7" i="11"/>
  <c r="V8" i="11"/>
  <c r="V9" i="11"/>
  <c r="V10" i="11"/>
  <c r="V11" i="11"/>
  <c r="V12" i="11"/>
  <c r="V13" i="11"/>
  <c r="V14" i="11"/>
  <c r="V15" i="11"/>
  <c r="V16" i="11"/>
  <c r="V17" i="11"/>
  <c r="V18" i="11"/>
  <c r="V19" i="11"/>
  <c r="V5" i="11"/>
  <c r="K6" i="11"/>
  <c r="AM6" i="11" s="1"/>
  <c r="K7" i="11"/>
  <c r="AM7" i="11" s="1"/>
  <c r="K8" i="11"/>
  <c r="AM8" i="11" s="1"/>
  <c r="K9" i="11"/>
  <c r="AM9" i="11" s="1"/>
  <c r="K10" i="11"/>
  <c r="AM10" i="11" s="1"/>
  <c r="K5" i="11"/>
  <c r="AM5" i="11" s="1"/>
  <c r="M10" i="11"/>
  <c r="O10" i="11" s="1"/>
  <c r="AJ19" i="11" l="1"/>
  <c r="M9" i="11"/>
  <c r="O9" i="11" s="1"/>
  <c r="S20" i="6"/>
  <c r="S7" i="6"/>
  <c r="S8" i="6"/>
  <c r="S9" i="6"/>
  <c r="S10" i="6"/>
  <c r="S11" i="6"/>
  <c r="S12" i="6"/>
  <c r="S13" i="6"/>
  <c r="S14" i="6"/>
  <c r="S15" i="6"/>
  <c r="S16" i="6"/>
  <c r="S17" i="6"/>
  <c r="S18" i="6"/>
  <c r="S19" i="6"/>
  <c r="S6" i="6"/>
  <c r="M8" i="11" l="1"/>
  <c r="O8" i="11" s="1"/>
  <c r="M7" i="11"/>
  <c r="O7" i="11" s="1"/>
  <c r="M6" i="11"/>
  <c r="O6" i="11" s="1"/>
  <c r="M5" i="11"/>
  <c r="X6" i="11"/>
  <c r="X7" i="11"/>
  <c r="X8" i="11"/>
  <c r="X9" i="11"/>
  <c r="X10" i="11"/>
  <c r="X11" i="11"/>
  <c r="X12" i="11"/>
  <c r="X13" i="11"/>
  <c r="X14" i="11"/>
  <c r="X15" i="11"/>
  <c r="X16" i="11"/>
  <c r="X17" i="11"/>
  <c r="X18" i="11"/>
  <c r="X19" i="11"/>
  <c r="X5" i="11"/>
  <c r="O5" i="11" l="1"/>
  <c r="H66" i="7"/>
  <c r="I66" i="7"/>
  <c r="J66" i="7"/>
  <c r="K66" i="7"/>
  <c r="G67" i="7"/>
  <c r="H67" i="7"/>
  <c r="I67" i="7"/>
  <c r="J67" i="7"/>
  <c r="K67" i="7"/>
  <c r="G68" i="7"/>
  <c r="H68" i="7"/>
  <c r="I68" i="7"/>
  <c r="J68" i="7"/>
  <c r="K68" i="7"/>
  <c r="G69" i="7"/>
  <c r="H69" i="7"/>
  <c r="I69" i="7"/>
  <c r="J69" i="7"/>
  <c r="K69" i="7"/>
  <c r="G70" i="7"/>
  <c r="H70" i="7"/>
  <c r="I70" i="7"/>
  <c r="J70" i="7"/>
  <c r="K70" i="7"/>
  <c r="H65" i="7"/>
  <c r="J65" i="7"/>
  <c r="G65" i="7"/>
  <c r="D14" i="10"/>
  <c r="D15" i="10"/>
  <c r="E164" i="5"/>
  <c r="E165" i="5"/>
  <c r="E166" i="5"/>
  <c r="E167" i="5"/>
  <c r="E168" i="5"/>
  <c r="E169" i="5"/>
  <c r="E170" i="5"/>
  <c r="E171" i="5"/>
  <c r="E172" i="5"/>
  <c r="E173" i="5"/>
  <c r="E174" i="5"/>
  <c r="E175" i="5"/>
  <c r="E163" i="5"/>
  <c r="O21" i="11" l="1"/>
  <c r="O20" i="11"/>
  <c r="O22" i="11"/>
  <c r="AE21" i="5"/>
  <c r="AA7" i="4"/>
  <c r="AA8" i="4"/>
  <c r="AA9" i="4"/>
  <c r="X25" i="5" s="1"/>
  <c r="AA10" i="4"/>
  <c r="X26" i="5" s="1"/>
  <c r="AA11" i="4"/>
  <c r="AA12" i="4"/>
  <c r="AA13" i="4"/>
  <c r="X29" i="5" s="1"/>
  <c r="AA14" i="4"/>
  <c r="X30" i="5" s="1"/>
  <c r="AA15" i="4"/>
  <c r="AA16" i="4"/>
  <c r="AA17" i="4"/>
  <c r="X33" i="5" s="1"/>
  <c r="AA18" i="4"/>
  <c r="X34" i="5" s="1"/>
  <c r="AA19" i="4"/>
  <c r="AA20" i="4"/>
  <c r="AA6" i="4"/>
  <c r="X22" i="5" s="1"/>
  <c r="BS15" i="1"/>
  <c r="BS14" i="1"/>
  <c r="BS11" i="1"/>
  <c r="BS12" i="1"/>
  <c r="BS10" i="1"/>
  <c r="BS9" i="1"/>
  <c r="BS7" i="1"/>
  <c r="BS6" i="1"/>
  <c r="R7" i="4"/>
  <c r="X23" i="5"/>
  <c r="X24" i="5"/>
  <c r="X27" i="5"/>
  <c r="X28" i="5"/>
  <c r="X31" i="5"/>
  <c r="X32" i="5"/>
  <c r="X21" i="5"/>
  <c r="BU8" i="1" l="1"/>
  <c r="BU9" i="1"/>
  <c r="BU10" i="1"/>
  <c r="BU11" i="1"/>
  <c r="BU12" i="1"/>
  <c r="BU13" i="1"/>
  <c r="BU14" i="1"/>
  <c r="BU15" i="1"/>
  <c r="BU16" i="1"/>
  <c r="BU17" i="1"/>
  <c r="BU18" i="1"/>
  <c r="BU19" i="1"/>
  <c r="BU30" i="1"/>
  <c r="BU33" i="1"/>
  <c r="BU34" i="1"/>
  <c r="BU35" i="1"/>
  <c r="BU38" i="1"/>
  <c r="BU50" i="1"/>
  <c r="BU53" i="1"/>
  <c r="BU54" i="1"/>
  <c r="BU58" i="1"/>
  <c r="BU59" i="1"/>
  <c r="BU60" i="1"/>
  <c r="BU61" i="1"/>
  <c r="BU64" i="1"/>
  <c r="BU65" i="1"/>
  <c r="BU73" i="1"/>
  <c r="BU75" i="1"/>
  <c r="BU77" i="1"/>
  <c r="BU5" i="1"/>
  <c r="BU4" i="1"/>
  <c r="BR19" i="1"/>
  <c r="BY19" i="1" s="1"/>
  <c r="CM19" i="1" s="1"/>
  <c r="BR30" i="1"/>
  <c r="BR33" i="1"/>
  <c r="BR34" i="1"/>
  <c r="BR35" i="1"/>
  <c r="BR38" i="1"/>
  <c r="BR50" i="1"/>
  <c r="BR53" i="1"/>
  <c r="BR54" i="1"/>
  <c r="BR58" i="1"/>
  <c r="BR59" i="1"/>
  <c r="BR60" i="1"/>
  <c r="BR61" i="1"/>
  <c r="BR64" i="1"/>
  <c r="BR65" i="1"/>
  <c r="BR77" i="1"/>
  <c r="BR8" i="1"/>
  <c r="BR9" i="1"/>
  <c r="BR10" i="1"/>
  <c r="BR11" i="1"/>
  <c r="BR12" i="1"/>
  <c r="BR13" i="1"/>
  <c r="BR14" i="1"/>
  <c r="BR15" i="1"/>
  <c r="BR16" i="1"/>
  <c r="BR17" i="1"/>
  <c r="BR5" i="1"/>
  <c r="CH19" i="1" l="1"/>
  <c r="CL19" i="1"/>
  <c r="J3" i="5"/>
  <c r="D7" i="7"/>
  <c r="AO7" i="6"/>
  <c r="AO8" i="6"/>
  <c r="AO9" i="6"/>
  <c r="AO10" i="6"/>
  <c r="AO11" i="6"/>
  <c r="AO12" i="6"/>
  <c r="AO13" i="6"/>
  <c r="AO14" i="6"/>
  <c r="AO15" i="6"/>
  <c r="AO16" i="6"/>
  <c r="AO17" i="6"/>
  <c r="AO18" i="6"/>
  <c r="AO19" i="6"/>
  <c r="AO6" i="6"/>
  <c r="AL8" i="6"/>
  <c r="AL7" i="6"/>
  <c r="CG5" i="1" l="1"/>
  <c r="D22" i="10" l="1"/>
  <c r="D26" i="10"/>
  <c r="D30" i="10"/>
  <c r="D34" i="10"/>
  <c r="D38" i="10"/>
  <c r="D42" i="10"/>
  <c r="D46" i="10"/>
  <c r="D50" i="10"/>
  <c r="D54" i="10"/>
  <c r="D58" i="10"/>
  <c r="D62" i="10"/>
  <c r="D66" i="10"/>
  <c r="D70" i="10"/>
  <c r="D2" i="10"/>
  <c r="G66" i="7" s="1"/>
  <c r="AE23" i="6"/>
  <c r="D19" i="10" s="1"/>
  <c r="AE24" i="6"/>
  <c r="D20" i="10" s="1"/>
  <c r="AE25" i="6"/>
  <c r="D21" i="10" s="1"/>
  <c r="AE26" i="6"/>
  <c r="AE27" i="6"/>
  <c r="D23" i="10" s="1"/>
  <c r="AE28" i="6"/>
  <c r="D24" i="10" s="1"/>
  <c r="AE29" i="6"/>
  <c r="D25" i="10" s="1"/>
  <c r="AE30" i="6"/>
  <c r="AE31" i="6"/>
  <c r="D27" i="10" s="1"/>
  <c r="AE32" i="6"/>
  <c r="D28" i="10" s="1"/>
  <c r="AE33" i="6"/>
  <c r="D29" i="10" s="1"/>
  <c r="AE34" i="6"/>
  <c r="AE35" i="6"/>
  <c r="D31" i="10" s="1"/>
  <c r="AE36" i="6"/>
  <c r="D32" i="10" s="1"/>
  <c r="AE37" i="6"/>
  <c r="D33" i="10" s="1"/>
  <c r="AE38" i="6"/>
  <c r="AE39" i="6"/>
  <c r="D35" i="10" s="1"/>
  <c r="AE40" i="6"/>
  <c r="D36" i="10" s="1"/>
  <c r="AE41" i="6"/>
  <c r="D37" i="10" s="1"/>
  <c r="AE42" i="6"/>
  <c r="AE43" i="6"/>
  <c r="D39" i="10" s="1"/>
  <c r="AE44" i="6"/>
  <c r="D40" i="10" s="1"/>
  <c r="AE45" i="6"/>
  <c r="D41" i="10" s="1"/>
  <c r="AE46" i="6"/>
  <c r="AE47" i="6"/>
  <c r="D43" i="10" s="1"/>
  <c r="AE48" i="6"/>
  <c r="D44" i="10" s="1"/>
  <c r="AE49" i="6"/>
  <c r="D45" i="10" s="1"/>
  <c r="AE50" i="6"/>
  <c r="AE51" i="6"/>
  <c r="D47" i="10" s="1"/>
  <c r="AE52" i="6"/>
  <c r="D48" i="10" s="1"/>
  <c r="AE53" i="6"/>
  <c r="D49" i="10" s="1"/>
  <c r="AE54" i="6"/>
  <c r="AE55" i="6"/>
  <c r="D51" i="10" s="1"/>
  <c r="AE56" i="6"/>
  <c r="D52" i="10" s="1"/>
  <c r="AE57" i="6"/>
  <c r="D53" i="10" s="1"/>
  <c r="AE58" i="6"/>
  <c r="AE59" i="6"/>
  <c r="D55" i="10" s="1"/>
  <c r="AE60" i="6"/>
  <c r="D56" i="10" s="1"/>
  <c r="AE61" i="6"/>
  <c r="D57" i="10" s="1"/>
  <c r="AE62" i="6"/>
  <c r="AE63" i="6"/>
  <c r="D59" i="10" s="1"/>
  <c r="AE64" i="6"/>
  <c r="D60" i="10" s="1"/>
  <c r="AE65" i="6"/>
  <c r="D61" i="10" s="1"/>
  <c r="AE66" i="6"/>
  <c r="AE67" i="6"/>
  <c r="D63" i="10" s="1"/>
  <c r="AE68" i="6"/>
  <c r="D64" i="10" s="1"/>
  <c r="AE69" i="6"/>
  <c r="D65" i="10" s="1"/>
  <c r="AE70" i="6"/>
  <c r="AE71" i="6"/>
  <c r="D67" i="10" s="1"/>
  <c r="AE72" i="6"/>
  <c r="D68" i="10" s="1"/>
  <c r="AE73" i="6"/>
  <c r="D69" i="10" s="1"/>
  <c r="AE74" i="6"/>
  <c r="AE75" i="6"/>
  <c r="D71" i="10" s="1"/>
  <c r="AE76" i="6"/>
  <c r="AE77" i="6"/>
  <c r="AE78" i="6"/>
  <c r="AE79" i="6"/>
  <c r="AE80" i="6"/>
  <c r="AJ23" i="6"/>
  <c r="AJ24" i="6"/>
  <c r="AJ25" i="6"/>
  <c r="AJ26" i="6"/>
  <c r="AJ27" i="6"/>
  <c r="AJ28" i="6"/>
  <c r="AJ29" i="6"/>
  <c r="AJ30" i="6"/>
  <c r="AJ31" i="6"/>
  <c r="AJ32" i="6"/>
  <c r="AJ33" i="6"/>
  <c r="AJ34" i="6"/>
  <c r="AJ35" i="6"/>
  <c r="AJ36" i="6"/>
  <c r="AJ37" i="6"/>
  <c r="AJ38" i="6"/>
  <c r="AJ39" i="6"/>
  <c r="AJ40" i="6"/>
  <c r="AJ41" i="6"/>
  <c r="AJ42" i="6"/>
  <c r="AJ43" i="6"/>
  <c r="AJ44" i="6"/>
  <c r="AJ45" i="6"/>
  <c r="AJ46" i="6"/>
  <c r="AJ47" i="6"/>
  <c r="AJ48" i="6"/>
  <c r="AJ49" i="6"/>
  <c r="AJ50" i="6"/>
  <c r="AJ51" i="6"/>
  <c r="AJ52" i="6"/>
  <c r="AJ53" i="6"/>
  <c r="AJ54" i="6"/>
  <c r="AJ55" i="6"/>
  <c r="AJ56" i="6"/>
  <c r="AJ57" i="6"/>
  <c r="AJ58" i="6"/>
  <c r="AJ59" i="6"/>
  <c r="AJ60" i="6"/>
  <c r="AJ61" i="6"/>
  <c r="AJ62" i="6"/>
  <c r="AJ63" i="6"/>
  <c r="AJ64" i="6"/>
  <c r="AJ65" i="6"/>
  <c r="AJ66" i="6"/>
  <c r="AJ67" i="6"/>
  <c r="AJ68" i="6"/>
  <c r="AJ69" i="6"/>
  <c r="AJ70" i="6"/>
  <c r="AJ71" i="6"/>
  <c r="AJ72" i="6"/>
  <c r="AJ73" i="6"/>
  <c r="AJ74" i="6"/>
  <c r="AJ75" i="6"/>
  <c r="AJ76" i="6"/>
  <c r="AJ77" i="6"/>
  <c r="AJ78" i="6"/>
  <c r="AJ79" i="6"/>
  <c r="AJ80" i="6"/>
  <c r="E75" i="10"/>
  <c r="C75" i="10"/>
  <c r="E74" i="10"/>
  <c r="C74" i="10"/>
  <c r="E73" i="10"/>
  <c r="C73" i="10"/>
  <c r="E72" i="10"/>
  <c r="C72" i="10"/>
  <c r="E71" i="10"/>
  <c r="C71" i="10"/>
  <c r="E70" i="10"/>
  <c r="C70" i="10"/>
  <c r="E69" i="10"/>
  <c r="C69" i="10"/>
  <c r="E68" i="10"/>
  <c r="C68" i="10"/>
  <c r="E67" i="10"/>
  <c r="C67" i="10"/>
  <c r="E66" i="10"/>
  <c r="C66" i="10"/>
  <c r="E65" i="10"/>
  <c r="C65" i="10"/>
  <c r="E64" i="10"/>
  <c r="C64" i="10"/>
  <c r="E63" i="10"/>
  <c r="C63" i="10"/>
  <c r="E62" i="10"/>
  <c r="C62" i="10"/>
  <c r="E61" i="10"/>
  <c r="C61" i="10"/>
  <c r="E60" i="10"/>
  <c r="C60" i="10"/>
  <c r="E59" i="10"/>
  <c r="C59" i="10"/>
  <c r="E58" i="10"/>
  <c r="C58" i="10"/>
  <c r="E57" i="10"/>
  <c r="C57" i="10"/>
  <c r="E56" i="10"/>
  <c r="C56" i="10"/>
  <c r="E55" i="10"/>
  <c r="C55" i="10"/>
  <c r="E54" i="10"/>
  <c r="C54" i="10"/>
  <c r="E53" i="10"/>
  <c r="C53" i="10"/>
  <c r="E52" i="10"/>
  <c r="C52" i="10"/>
  <c r="E51" i="10"/>
  <c r="C51" i="10"/>
  <c r="E50" i="10"/>
  <c r="C50" i="10"/>
  <c r="E49" i="10"/>
  <c r="C49" i="10"/>
  <c r="E48" i="10"/>
  <c r="C48" i="10"/>
  <c r="E47" i="10"/>
  <c r="C47" i="10"/>
  <c r="E46" i="10"/>
  <c r="C46" i="10"/>
  <c r="E45" i="10"/>
  <c r="C45" i="10"/>
  <c r="E44" i="10"/>
  <c r="C44" i="10"/>
  <c r="E43" i="10"/>
  <c r="C43" i="10"/>
  <c r="E42" i="10"/>
  <c r="C42" i="10"/>
  <c r="E41" i="10"/>
  <c r="C41" i="10"/>
  <c r="E40" i="10"/>
  <c r="C40" i="10"/>
  <c r="E39" i="10"/>
  <c r="C39" i="10"/>
  <c r="E38" i="10"/>
  <c r="C38" i="10"/>
  <c r="E37" i="10"/>
  <c r="C37" i="10"/>
  <c r="E36" i="10"/>
  <c r="C36" i="10"/>
  <c r="E35" i="10"/>
  <c r="C35" i="10"/>
  <c r="E34" i="10"/>
  <c r="C34" i="10"/>
  <c r="E33" i="10"/>
  <c r="C33" i="10"/>
  <c r="E32" i="10"/>
  <c r="C32" i="10"/>
  <c r="E31" i="10"/>
  <c r="C31" i="10"/>
  <c r="E30" i="10"/>
  <c r="C30" i="10"/>
  <c r="E29" i="10"/>
  <c r="C29" i="10"/>
  <c r="E28" i="10"/>
  <c r="C28" i="10"/>
  <c r="E27" i="10"/>
  <c r="C27" i="10"/>
  <c r="E26" i="10"/>
  <c r="C26" i="10"/>
  <c r="E25" i="10"/>
  <c r="C25" i="10"/>
  <c r="E24" i="10"/>
  <c r="C24" i="10"/>
  <c r="E23" i="10"/>
  <c r="C23" i="10"/>
  <c r="E22" i="10"/>
  <c r="C22" i="10"/>
  <c r="E21" i="10"/>
  <c r="C21" i="10"/>
  <c r="E20" i="10"/>
  <c r="C20" i="10"/>
  <c r="E19" i="10"/>
  <c r="C19" i="10"/>
  <c r="E16" i="10"/>
  <c r="C16" i="10"/>
  <c r="B16" i="10"/>
  <c r="E15" i="10"/>
  <c r="C15" i="10"/>
  <c r="B15" i="10"/>
  <c r="E14" i="10"/>
  <c r="C14" i="10"/>
  <c r="B14" i="10"/>
  <c r="E13" i="10"/>
  <c r="C13" i="10"/>
  <c r="B13" i="10"/>
  <c r="E12" i="10"/>
  <c r="C12" i="10"/>
  <c r="B12" i="10"/>
  <c r="E11" i="10"/>
  <c r="C11" i="10"/>
  <c r="B11" i="10"/>
  <c r="E10" i="10"/>
  <c r="C10" i="10"/>
  <c r="B10" i="10"/>
  <c r="E9" i="10"/>
  <c r="C9" i="10"/>
  <c r="B9" i="10"/>
  <c r="E8" i="10"/>
  <c r="C8" i="10"/>
  <c r="B8" i="10"/>
  <c r="E7" i="10"/>
  <c r="C7" i="10"/>
  <c r="B7" i="10"/>
  <c r="E6" i="10"/>
  <c r="C6" i="10"/>
  <c r="B6" i="10"/>
  <c r="E5" i="10"/>
  <c r="C5" i="10"/>
  <c r="B5" i="10"/>
  <c r="E4" i="10"/>
  <c r="C4" i="10"/>
  <c r="B4" i="10"/>
  <c r="E3" i="10"/>
  <c r="C3" i="10"/>
  <c r="B3" i="10"/>
  <c r="A1" i="10"/>
  <c r="G75" i="9" l="1"/>
  <c r="E75" i="9" s="1"/>
  <c r="C75" i="9"/>
  <c r="G74" i="9"/>
  <c r="E74" i="9" s="1"/>
  <c r="C74" i="9"/>
  <c r="G73" i="9"/>
  <c r="E73" i="9" s="1"/>
  <c r="C73" i="9"/>
  <c r="G72" i="9"/>
  <c r="E72" i="9" s="1"/>
  <c r="C72" i="9"/>
  <c r="G71" i="9"/>
  <c r="E71" i="9" s="1"/>
  <c r="C71" i="9"/>
  <c r="G70" i="9"/>
  <c r="E70" i="9" s="1"/>
  <c r="C70" i="9"/>
  <c r="G69" i="9"/>
  <c r="E69" i="9" s="1"/>
  <c r="C69" i="9"/>
  <c r="G68" i="9"/>
  <c r="E68" i="9" s="1"/>
  <c r="C68" i="9"/>
  <c r="G67" i="9"/>
  <c r="E67" i="9" s="1"/>
  <c r="C67" i="9"/>
  <c r="G66" i="9"/>
  <c r="E66" i="9" s="1"/>
  <c r="C66" i="9"/>
  <c r="G65" i="9"/>
  <c r="E65" i="9" s="1"/>
  <c r="C65" i="9"/>
  <c r="G64" i="9"/>
  <c r="E64" i="9" s="1"/>
  <c r="C64" i="9"/>
  <c r="G63" i="9"/>
  <c r="E63" i="9" s="1"/>
  <c r="C63" i="9"/>
  <c r="G62" i="9"/>
  <c r="E62" i="9" s="1"/>
  <c r="C62" i="9"/>
  <c r="G61" i="9"/>
  <c r="E61" i="9" s="1"/>
  <c r="C61" i="9"/>
  <c r="G60" i="9"/>
  <c r="E60" i="9" s="1"/>
  <c r="C60" i="9"/>
  <c r="G59" i="9"/>
  <c r="E59" i="9" s="1"/>
  <c r="C59" i="9"/>
  <c r="G58" i="9"/>
  <c r="E58" i="9" s="1"/>
  <c r="C58" i="9"/>
  <c r="G57" i="9"/>
  <c r="E57" i="9" s="1"/>
  <c r="C57" i="9"/>
  <c r="G56" i="9"/>
  <c r="E56" i="9" s="1"/>
  <c r="C56" i="9"/>
  <c r="G55" i="9"/>
  <c r="E55" i="9" s="1"/>
  <c r="C55" i="9"/>
  <c r="G54" i="9"/>
  <c r="E54" i="9" s="1"/>
  <c r="C54" i="9"/>
  <c r="G53" i="9"/>
  <c r="E53" i="9" s="1"/>
  <c r="C53" i="9"/>
  <c r="G52" i="9"/>
  <c r="E52" i="9" s="1"/>
  <c r="C52" i="9"/>
  <c r="G51" i="9"/>
  <c r="E51" i="9" s="1"/>
  <c r="C51" i="9"/>
  <c r="G50" i="9"/>
  <c r="E50" i="9" s="1"/>
  <c r="C50" i="9"/>
  <c r="G49" i="9"/>
  <c r="E49" i="9" s="1"/>
  <c r="C49" i="9"/>
  <c r="G48" i="9"/>
  <c r="E48" i="9" s="1"/>
  <c r="C48" i="9"/>
  <c r="G47" i="9"/>
  <c r="E47" i="9" s="1"/>
  <c r="C47" i="9"/>
  <c r="G46" i="9"/>
  <c r="E46" i="9" s="1"/>
  <c r="C46" i="9"/>
  <c r="G45" i="9"/>
  <c r="E45" i="9" s="1"/>
  <c r="C45" i="9"/>
  <c r="G44" i="9"/>
  <c r="E44" i="9" s="1"/>
  <c r="C44" i="9"/>
  <c r="G43" i="9"/>
  <c r="E43" i="9" s="1"/>
  <c r="C43" i="9"/>
  <c r="G42" i="9"/>
  <c r="E42" i="9" s="1"/>
  <c r="C42" i="9"/>
  <c r="G41" i="9"/>
  <c r="E41" i="9" s="1"/>
  <c r="C41" i="9"/>
  <c r="G40" i="9"/>
  <c r="E40" i="9" s="1"/>
  <c r="C40" i="9"/>
  <c r="G39" i="9"/>
  <c r="E39" i="9" s="1"/>
  <c r="C39" i="9"/>
  <c r="G38" i="9"/>
  <c r="E38" i="9" s="1"/>
  <c r="C38" i="9"/>
  <c r="G37" i="9"/>
  <c r="E37" i="9" s="1"/>
  <c r="C37" i="9"/>
  <c r="G36" i="9"/>
  <c r="E36" i="9" s="1"/>
  <c r="C36" i="9"/>
  <c r="G35" i="9"/>
  <c r="E35" i="9" s="1"/>
  <c r="C35" i="9"/>
  <c r="G34" i="9"/>
  <c r="E34" i="9" s="1"/>
  <c r="C34" i="9"/>
  <c r="G33" i="9"/>
  <c r="E33" i="9" s="1"/>
  <c r="C33" i="9"/>
  <c r="G32" i="9"/>
  <c r="E32" i="9" s="1"/>
  <c r="C32" i="9"/>
  <c r="G31" i="9"/>
  <c r="E31" i="9" s="1"/>
  <c r="C31" i="9"/>
  <c r="G30" i="9"/>
  <c r="E30" i="9" s="1"/>
  <c r="C30" i="9"/>
  <c r="G29" i="9"/>
  <c r="E29" i="9" s="1"/>
  <c r="C29" i="9"/>
  <c r="G28" i="9"/>
  <c r="E28" i="9" s="1"/>
  <c r="C28" i="9"/>
  <c r="G27" i="9"/>
  <c r="E27" i="9" s="1"/>
  <c r="C27" i="9"/>
  <c r="G26" i="9"/>
  <c r="E26" i="9" s="1"/>
  <c r="C26" i="9"/>
  <c r="G25" i="9"/>
  <c r="E25" i="9" s="1"/>
  <c r="C25" i="9"/>
  <c r="G24" i="9"/>
  <c r="E24" i="9" s="1"/>
  <c r="C24" i="9"/>
  <c r="G23" i="9"/>
  <c r="E23" i="9" s="1"/>
  <c r="C23" i="9"/>
  <c r="G22" i="9"/>
  <c r="E22" i="9" s="1"/>
  <c r="C22" i="9"/>
  <c r="G21" i="9"/>
  <c r="E21" i="9" s="1"/>
  <c r="C21" i="9"/>
  <c r="G20" i="9"/>
  <c r="E20" i="9" s="1"/>
  <c r="C20" i="9"/>
  <c r="G19" i="9"/>
  <c r="E19" i="9" s="1"/>
  <c r="C19" i="9"/>
  <c r="G16" i="9"/>
  <c r="E16" i="9" s="1"/>
  <c r="C16" i="9"/>
  <c r="B16" i="9"/>
  <c r="G15" i="9"/>
  <c r="E15" i="9" s="1"/>
  <c r="C15" i="9"/>
  <c r="B15" i="9"/>
  <c r="G14" i="9"/>
  <c r="E14" i="9" s="1"/>
  <c r="C14" i="9"/>
  <c r="B14" i="9"/>
  <c r="G13" i="9"/>
  <c r="E13" i="9" s="1"/>
  <c r="C13" i="9"/>
  <c r="B13" i="9"/>
  <c r="G12" i="9"/>
  <c r="E12" i="9" s="1"/>
  <c r="C12" i="9"/>
  <c r="B12" i="9"/>
  <c r="G11" i="9"/>
  <c r="E11" i="9" s="1"/>
  <c r="C11" i="9"/>
  <c r="B11" i="9"/>
  <c r="G10" i="9"/>
  <c r="E10" i="9" s="1"/>
  <c r="C10" i="9"/>
  <c r="B10" i="9"/>
  <c r="G9" i="9"/>
  <c r="E9" i="9" s="1"/>
  <c r="C9" i="9"/>
  <c r="B9" i="9"/>
  <c r="G8" i="9"/>
  <c r="E8" i="9" s="1"/>
  <c r="C8" i="9"/>
  <c r="B8" i="9"/>
  <c r="G7" i="9"/>
  <c r="E7" i="9" s="1"/>
  <c r="C7" i="9"/>
  <c r="B7" i="9"/>
  <c r="G6" i="9"/>
  <c r="E6" i="9" s="1"/>
  <c r="C6" i="9"/>
  <c r="B6" i="9"/>
  <c r="G5" i="9"/>
  <c r="E5" i="9" s="1"/>
  <c r="C5" i="9"/>
  <c r="B5" i="9"/>
  <c r="G4" i="9"/>
  <c r="E4" i="9" s="1"/>
  <c r="C4" i="9"/>
  <c r="B4" i="9"/>
  <c r="G3" i="9"/>
  <c r="E3" i="9" s="1"/>
  <c r="C3" i="9"/>
  <c r="B3" i="9"/>
  <c r="D2" i="9"/>
  <c r="A1" i="9"/>
  <c r="BY5" i="1"/>
  <c r="BY8" i="1"/>
  <c r="BY9" i="1"/>
  <c r="BY10" i="1"/>
  <c r="BY11" i="1"/>
  <c r="BY12" i="1"/>
  <c r="BY13" i="1"/>
  <c r="BY14" i="1"/>
  <c r="BY15" i="1"/>
  <c r="BY16" i="1"/>
  <c r="BY17" i="1"/>
  <c r="C3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19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19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3" i="7"/>
  <c r="A1" i="7"/>
  <c r="AQ23" i="6"/>
  <c r="D19" i="7" s="1"/>
  <c r="AQ24" i="6"/>
  <c r="D20" i="9" s="1"/>
  <c r="AQ25" i="6"/>
  <c r="D21" i="9" s="1"/>
  <c r="AQ26" i="6"/>
  <c r="D22" i="9" s="1"/>
  <c r="AQ27" i="6"/>
  <c r="D23" i="9" s="1"/>
  <c r="AQ28" i="6"/>
  <c r="D24" i="9" s="1"/>
  <c r="AQ29" i="6"/>
  <c r="D25" i="9" s="1"/>
  <c r="AQ30" i="6"/>
  <c r="D26" i="7" s="1"/>
  <c r="AQ31" i="6"/>
  <c r="D27" i="9" s="1"/>
  <c r="AQ32" i="6"/>
  <c r="D28" i="9" s="1"/>
  <c r="AQ33" i="6"/>
  <c r="D29" i="9" s="1"/>
  <c r="AQ34" i="6"/>
  <c r="D30" i="9" s="1"/>
  <c r="AQ35" i="6"/>
  <c r="D31" i="9" s="1"/>
  <c r="AQ36" i="6"/>
  <c r="D32" i="9" s="1"/>
  <c r="AQ37" i="6"/>
  <c r="D33" i="9" s="1"/>
  <c r="AQ38" i="6"/>
  <c r="D34" i="9" s="1"/>
  <c r="AQ39" i="6"/>
  <c r="D35" i="9" s="1"/>
  <c r="AQ40" i="6"/>
  <c r="D36" i="9" s="1"/>
  <c r="AQ41" i="6"/>
  <c r="D37" i="9" s="1"/>
  <c r="AQ42" i="6"/>
  <c r="D38" i="7" s="1"/>
  <c r="AQ43" i="6"/>
  <c r="D39" i="9" s="1"/>
  <c r="AQ44" i="6"/>
  <c r="D40" i="9" s="1"/>
  <c r="AQ45" i="6"/>
  <c r="D41" i="9" s="1"/>
  <c r="AQ46" i="6"/>
  <c r="D42" i="7" s="1"/>
  <c r="AQ47" i="6"/>
  <c r="D43" i="9" s="1"/>
  <c r="AQ48" i="6"/>
  <c r="D44" i="9" s="1"/>
  <c r="AQ49" i="6"/>
  <c r="D45" i="9" s="1"/>
  <c r="AQ50" i="6"/>
  <c r="D46" i="9" s="1"/>
  <c r="AQ51" i="6"/>
  <c r="D47" i="9" s="1"/>
  <c r="AQ52" i="6"/>
  <c r="D48" i="9" s="1"/>
  <c r="AQ53" i="6"/>
  <c r="D49" i="9" s="1"/>
  <c r="AQ54" i="6"/>
  <c r="D50" i="9" s="1"/>
  <c r="AQ55" i="6"/>
  <c r="D51" i="9" s="1"/>
  <c r="AQ56" i="6"/>
  <c r="D52" i="9" s="1"/>
  <c r="AQ57" i="6"/>
  <c r="D53" i="9" s="1"/>
  <c r="AQ58" i="6"/>
  <c r="D54" i="9" s="1"/>
  <c r="AQ59" i="6"/>
  <c r="D55" i="9" s="1"/>
  <c r="AQ60" i="6"/>
  <c r="D56" i="9" s="1"/>
  <c r="AQ61" i="6"/>
  <c r="D57" i="9" s="1"/>
  <c r="AQ62" i="6"/>
  <c r="D58" i="7" s="1"/>
  <c r="AQ63" i="6"/>
  <c r="D59" i="9" s="1"/>
  <c r="AQ64" i="6"/>
  <c r="D60" i="9" s="1"/>
  <c r="AQ65" i="6"/>
  <c r="D61" i="9" s="1"/>
  <c r="AQ66" i="6"/>
  <c r="D62" i="9" s="1"/>
  <c r="AQ67" i="6"/>
  <c r="D63" i="9" s="1"/>
  <c r="AQ68" i="6"/>
  <c r="D64" i="9" s="1"/>
  <c r="AQ69" i="6"/>
  <c r="D65" i="9" s="1"/>
  <c r="AQ70" i="6"/>
  <c r="D66" i="9" s="1"/>
  <c r="AQ71" i="6"/>
  <c r="D67" i="9" s="1"/>
  <c r="AQ72" i="6"/>
  <c r="D68" i="9" s="1"/>
  <c r="AQ73" i="6"/>
  <c r="D69" i="9" s="1"/>
  <c r="AQ74" i="6"/>
  <c r="D70" i="7" s="1"/>
  <c r="AQ75" i="6"/>
  <c r="D71" i="9" s="1"/>
  <c r="AQ76" i="6"/>
  <c r="AQ77" i="6"/>
  <c r="AQ78" i="6"/>
  <c r="AQ79" i="6"/>
  <c r="AQ80" i="6"/>
  <c r="D2" i="7"/>
  <c r="G59" i="7" s="1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3" i="7"/>
  <c r="AW20" i="6"/>
  <c r="AR20" i="6"/>
  <c r="AS20" i="6" s="1"/>
  <c r="AQ20" i="6"/>
  <c r="AJ20" i="6"/>
  <c r="AI20" i="6"/>
  <c r="AH20" i="6"/>
  <c r="AG20" i="6"/>
  <c r="AF20" i="6"/>
  <c r="AE20" i="6"/>
  <c r="AW19" i="6"/>
  <c r="AR19" i="6"/>
  <c r="AS19" i="6" s="1"/>
  <c r="AQ19" i="6"/>
  <c r="D16" i="7" s="1"/>
  <c r="AJ19" i="6"/>
  <c r="AI19" i="6"/>
  <c r="AH19" i="6"/>
  <c r="AG19" i="6"/>
  <c r="AF19" i="6"/>
  <c r="AE19" i="6"/>
  <c r="D16" i="10" s="1"/>
  <c r="AW18" i="6"/>
  <c r="AR18" i="6"/>
  <c r="AS18" i="6" s="1"/>
  <c r="AQ18" i="6"/>
  <c r="D15" i="7" s="1"/>
  <c r="AJ18" i="6"/>
  <c r="AI18" i="6"/>
  <c r="AH18" i="6"/>
  <c r="AG18" i="6"/>
  <c r="AF18" i="6"/>
  <c r="AE18" i="6"/>
  <c r="AW17" i="6"/>
  <c r="AR17" i="6"/>
  <c r="AS17" i="6" s="1"/>
  <c r="AQ17" i="6"/>
  <c r="D14" i="7" s="1"/>
  <c r="AN17" i="6"/>
  <c r="AM17" i="6"/>
  <c r="AK17" i="6"/>
  <c r="AJ17" i="6"/>
  <c r="AI17" i="6"/>
  <c r="AH17" i="6"/>
  <c r="AG17" i="6"/>
  <c r="AF17" i="6"/>
  <c r="AE17" i="6"/>
  <c r="AW16" i="6"/>
  <c r="AR16" i="6"/>
  <c r="AS16" i="6" s="1"/>
  <c r="AQ16" i="6"/>
  <c r="D13" i="9" s="1"/>
  <c r="AJ16" i="6"/>
  <c r="AI16" i="6"/>
  <c r="AH16" i="6"/>
  <c r="AG16" i="6"/>
  <c r="AF16" i="6"/>
  <c r="AE16" i="6"/>
  <c r="D13" i="10" s="1"/>
  <c r="AW15" i="6"/>
  <c r="AR15" i="6"/>
  <c r="AS15" i="6" s="1"/>
  <c r="AQ15" i="6"/>
  <c r="D12" i="7" s="1"/>
  <c r="AY15" i="6"/>
  <c r="AJ15" i="6"/>
  <c r="AI15" i="6"/>
  <c r="AH15" i="6"/>
  <c r="AG15" i="6"/>
  <c r="AF15" i="6"/>
  <c r="AE15" i="6"/>
  <c r="D12" i="10" s="1"/>
  <c r="AW14" i="6"/>
  <c r="AR14" i="6"/>
  <c r="AS14" i="6" s="1"/>
  <c r="AQ14" i="6"/>
  <c r="D11" i="7" s="1"/>
  <c r="AJ14" i="6"/>
  <c r="AI14" i="6"/>
  <c r="AH14" i="6"/>
  <c r="AG14" i="6"/>
  <c r="AF14" i="6"/>
  <c r="AE14" i="6"/>
  <c r="D11" i="10" s="1"/>
  <c r="AW13" i="6"/>
  <c r="AR13" i="6"/>
  <c r="AS13" i="6" s="1"/>
  <c r="AQ13" i="6"/>
  <c r="D10" i="7" s="1"/>
  <c r="AJ13" i="6"/>
  <c r="AI13" i="6"/>
  <c r="AH13" i="6"/>
  <c r="AG13" i="6"/>
  <c r="AF13" i="6"/>
  <c r="AE13" i="6"/>
  <c r="D10" i="10" s="1"/>
  <c r="AW12" i="6"/>
  <c r="AR12" i="6"/>
  <c r="AS12" i="6" s="1"/>
  <c r="AQ12" i="6"/>
  <c r="D9" i="9" s="1"/>
  <c r="AJ12" i="6"/>
  <c r="AI12" i="6"/>
  <c r="AH12" i="6"/>
  <c r="AG12" i="6"/>
  <c r="AF12" i="6"/>
  <c r="AE12" i="6"/>
  <c r="D9" i="10" s="1"/>
  <c r="AW11" i="6"/>
  <c r="AR11" i="6"/>
  <c r="AS11" i="6" s="1"/>
  <c r="AQ11" i="6"/>
  <c r="D8" i="7" s="1"/>
  <c r="AJ11" i="6"/>
  <c r="AI11" i="6"/>
  <c r="AH11" i="6"/>
  <c r="AG11" i="6"/>
  <c r="AF11" i="6"/>
  <c r="AE11" i="6"/>
  <c r="D8" i="10" s="1"/>
  <c r="AW10" i="6"/>
  <c r="AR10" i="6"/>
  <c r="AS10" i="6" s="1"/>
  <c r="AQ10" i="6"/>
  <c r="AJ10" i="6"/>
  <c r="AI10" i="6"/>
  <c r="AH10" i="6"/>
  <c r="AG10" i="6"/>
  <c r="AF10" i="6"/>
  <c r="AE10" i="6"/>
  <c r="D7" i="10" s="1"/>
  <c r="AW9" i="6"/>
  <c r="AR9" i="6"/>
  <c r="AS9" i="6" s="1"/>
  <c r="AQ9" i="6"/>
  <c r="D6" i="7" s="1"/>
  <c r="AJ9" i="6"/>
  <c r="AI9" i="6"/>
  <c r="AH9" i="6"/>
  <c r="AG9" i="6"/>
  <c r="AF9" i="6"/>
  <c r="AE9" i="6"/>
  <c r="D6" i="10" s="1"/>
  <c r="AW8" i="6"/>
  <c r="AR8" i="6"/>
  <c r="AS8" i="6" s="1"/>
  <c r="AQ8" i="6"/>
  <c r="D5" i="9" s="1"/>
  <c r="AN8" i="6"/>
  <c r="AM8" i="6"/>
  <c r="AK8" i="6"/>
  <c r="AJ8" i="6"/>
  <c r="AI8" i="6"/>
  <c r="AH8" i="6"/>
  <c r="AG8" i="6"/>
  <c r="AF8" i="6"/>
  <c r="AE8" i="6"/>
  <c r="D5" i="10" s="1"/>
  <c r="Z8" i="6"/>
  <c r="AW7" i="6"/>
  <c r="AR7" i="6"/>
  <c r="AS7" i="6" s="1"/>
  <c r="AQ7" i="6"/>
  <c r="D4" i="7" s="1"/>
  <c r="AN7" i="6"/>
  <c r="AM7" i="6"/>
  <c r="AK7" i="6"/>
  <c r="AJ7" i="6"/>
  <c r="AI7" i="6"/>
  <c r="AH7" i="6"/>
  <c r="AG7" i="6"/>
  <c r="AF7" i="6"/>
  <c r="AE7" i="6"/>
  <c r="D4" i="10" s="1"/>
  <c r="Z7" i="6"/>
  <c r="AW6" i="6"/>
  <c r="AR6" i="6"/>
  <c r="AS6" i="6" s="1"/>
  <c r="AQ6" i="6"/>
  <c r="D3" i="7" s="1"/>
  <c r="AJ6" i="6"/>
  <c r="AI6" i="6"/>
  <c r="AH6" i="6"/>
  <c r="AG6" i="6"/>
  <c r="AF6" i="6"/>
  <c r="AE6" i="6"/>
  <c r="D3" i="10" s="1"/>
  <c r="AX3" i="6"/>
  <c r="AP3" i="6"/>
  <c r="X3" i="6"/>
  <c r="AQ1" i="6"/>
  <c r="D13" i="7" l="1"/>
  <c r="D4" i="9"/>
  <c r="D12" i="9"/>
  <c r="D14" i="9"/>
  <c r="D15" i="9"/>
  <c r="D16" i="9"/>
  <c r="D3" i="9"/>
  <c r="D10" i="9"/>
  <c r="D8" i="9"/>
  <c r="D6" i="9"/>
  <c r="D5" i="7"/>
  <c r="D66" i="7"/>
  <c r="D54" i="7"/>
  <c r="D46" i="7"/>
  <c r="D34" i="7"/>
  <c r="D22" i="7"/>
  <c r="D70" i="9"/>
  <c r="D71" i="7"/>
  <c r="D67" i="7"/>
  <c r="D63" i="7"/>
  <c r="D59" i="7"/>
  <c r="D55" i="7"/>
  <c r="D51" i="7"/>
  <c r="D47" i="7"/>
  <c r="D43" i="7"/>
  <c r="D39" i="7"/>
  <c r="D35" i="7"/>
  <c r="D31" i="7"/>
  <c r="D27" i="7"/>
  <c r="D23" i="7"/>
  <c r="D19" i="9"/>
  <c r="D62" i="7"/>
  <c r="D50" i="7"/>
  <c r="D30" i="7"/>
  <c r="D11" i="9"/>
  <c r="D26" i="9"/>
  <c r="D38" i="9"/>
  <c r="D42" i="9"/>
  <c r="D58" i="9"/>
  <c r="D69" i="7"/>
  <c r="D65" i="7"/>
  <c r="D61" i="7"/>
  <c r="D57" i="7"/>
  <c r="D53" i="7"/>
  <c r="D49" i="7"/>
  <c r="D45" i="7"/>
  <c r="D41" i="7"/>
  <c r="D37" i="7"/>
  <c r="D33" i="7"/>
  <c r="D29" i="7"/>
  <c r="D25" i="7"/>
  <c r="D21" i="7"/>
  <c r="D9" i="7"/>
  <c r="D7" i="9"/>
  <c r="D68" i="7"/>
  <c r="D64" i="7"/>
  <c r="D60" i="7"/>
  <c r="D56" i="7"/>
  <c r="D52" i="7"/>
  <c r="D48" i="7"/>
  <c r="D44" i="7"/>
  <c r="D40" i="7"/>
  <c r="D36" i="7"/>
  <c r="D32" i="7"/>
  <c r="D28" i="7"/>
  <c r="D24" i="7"/>
  <c r="D20" i="7"/>
  <c r="AY8" i="6"/>
  <c r="AZ8" i="6" s="1"/>
  <c r="AY6" i="6"/>
  <c r="AZ6" i="6" s="1"/>
  <c r="AY7" i="6"/>
  <c r="AZ7" i="6" s="1"/>
  <c r="AY11" i="6"/>
  <c r="AZ11" i="6" s="1"/>
  <c r="AY13" i="6"/>
  <c r="AZ13" i="6" s="1"/>
  <c r="AY9" i="6"/>
  <c r="AZ9" i="6" s="1"/>
  <c r="AY18" i="6"/>
  <c r="AX18" i="6" s="1"/>
  <c r="AZ15" i="6"/>
  <c r="AX15" i="6"/>
  <c r="AY12" i="6"/>
  <c r="AZ12" i="6" s="1"/>
  <c r="AY17" i="6"/>
  <c r="AP17" i="6" s="1"/>
  <c r="AY20" i="6"/>
  <c r="AY16" i="6"/>
  <c r="AZ16" i="6" s="1"/>
  <c r="AY10" i="6"/>
  <c r="AZ10" i="6" s="1"/>
  <c r="AY14" i="6"/>
  <c r="AZ14" i="6" s="1"/>
  <c r="AD15" i="6"/>
  <c r="AP15" i="6"/>
  <c r="AY19" i="6"/>
  <c r="AZ19" i="6" s="1"/>
  <c r="BO86" i="1"/>
  <c r="BO79" i="1"/>
  <c r="BO80" i="1"/>
  <c r="BO81" i="1"/>
  <c r="BO82" i="1"/>
  <c r="BO83" i="1"/>
  <c r="BO84" i="1"/>
  <c r="BO85" i="1"/>
  <c r="BO87" i="1"/>
  <c r="BO88" i="1"/>
  <c r="BO89" i="1"/>
  <c r="BO78" i="1"/>
  <c r="AZ20" i="6" l="1"/>
  <c r="AP20" i="6"/>
  <c r="AD20" i="6"/>
  <c r="AD18" i="6"/>
  <c r="AX9" i="6"/>
  <c r="AD6" i="6"/>
  <c r="AD13" i="6"/>
  <c r="AK6" i="6"/>
  <c r="AP13" i="6"/>
  <c r="AX6" i="6"/>
  <c r="AX13" i="6"/>
  <c r="AD16" i="6"/>
  <c r="AP6" i="6"/>
  <c r="AX11" i="6"/>
  <c r="AD11" i="6"/>
  <c r="AP18" i="6"/>
  <c r="AZ18" i="6"/>
  <c r="AP11" i="6"/>
  <c r="AD12" i="6"/>
  <c r="AP14" i="6"/>
  <c r="AX10" i="6"/>
  <c r="AD10" i="6"/>
  <c r="AP9" i="6"/>
  <c r="AD19" i="6"/>
  <c r="AX19" i="6"/>
  <c r="AP10" i="6"/>
  <c r="AX12" i="6"/>
  <c r="AD9" i="6"/>
  <c r="AP19" i="6"/>
  <c r="AX14" i="6"/>
  <c r="AP12" i="6"/>
  <c r="AX20" i="6"/>
  <c r="AX16" i="6"/>
  <c r="AP16" i="6"/>
  <c r="AP8" i="6"/>
  <c r="AD8" i="6"/>
  <c r="AX7" i="6"/>
  <c r="AD7" i="6"/>
  <c r="AZ17" i="6"/>
  <c r="AX17" i="6"/>
  <c r="AD17" i="6"/>
  <c r="AD14" i="6"/>
  <c r="AP7" i="6"/>
  <c r="AX8" i="6"/>
  <c r="BY75" i="1"/>
  <c r="BY73" i="1"/>
  <c r="BY65" i="1"/>
  <c r="BY64" i="1"/>
  <c r="BY61" i="1"/>
  <c r="BO61" i="1"/>
  <c r="BY60" i="1"/>
  <c r="BY59" i="1"/>
  <c r="BY58" i="1"/>
  <c r="BY53" i="1"/>
  <c r="BY54" i="1"/>
  <c r="BO54" i="1"/>
  <c r="BY50" i="1"/>
  <c r="BY38" i="1"/>
  <c r="BO38" i="1"/>
  <c r="BY34" i="1"/>
  <c r="BY35" i="1"/>
  <c r="BY33" i="1"/>
  <c r="BN33" i="1"/>
  <c r="BN35" i="1" l="1"/>
  <c r="BN73" i="1"/>
  <c r="BN58" i="1"/>
  <c r="BN50" i="1"/>
  <c r="BN59" i="1"/>
  <c r="BN77" i="1"/>
  <c r="BN75" i="1"/>
  <c r="BN53" i="1"/>
  <c r="BN34" i="1"/>
  <c r="AH19" i="4" l="1"/>
  <c r="AI19" i="4"/>
  <c r="AJ19" i="4" s="1"/>
  <c r="AH20" i="4"/>
  <c r="AI20" i="4"/>
  <c r="AJ20" i="4" s="1"/>
  <c r="V19" i="4"/>
  <c r="W19" i="4"/>
  <c r="X19" i="4"/>
  <c r="Y19" i="4"/>
  <c r="Z19" i="4"/>
  <c r="AB19" i="4"/>
  <c r="V20" i="4"/>
  <c r="W20" i="4"/>
  <c r="X20" i="4"/>
  <c r="Y20" i="4"/>
  <c r="Z20" i="4"/>
  <c r="AB20" i="4"/>
  <c r="D87" i="5" l="1"/>
  <c r="K87" i="5" s="1"/>
  <c r="D71" i="5"/>
  <c r="D33" i="5"/>
  <c r="AV33" i="5" s="1"/>
  <c r="D34" i="5"/>
  <c r="B15" i="5"/>
  <c r="B33" i="5" s="1"/>
  <c r="B51" i="5" s="1"/>
  <c r="B102" i="5" s="1"/>
  <c r="D15" i="5"/>
  <c r="B16" i="5"/>
  <c r="B71" i="5" s="1"/>
  <c r="B87" i="5" s="1"/>
  <c r="D16" i="5"/>
  <c r="AH17" i="4"/>
  <c r="AI17" i="4"/>
  <c r="J86" i="5" s="1"/>
  <c r="AH18" i="4"/>
  <c r="AI18" i="4"/>
  <c r="J87" i="5" s="1"/>
  <c r="V17" i="4"/>
  <c r="W17" i="4"/>
  <c r="X17" i="4"/>
  <c r="C33" i="5" s="1"/>
  <c r="Y17" i="4"/>
  <c r="Q33" i="5" s="1"/>
  <c r="Z17" i="4"/>
  <c r="J33" i="5" s="1"/>
  <c r="AB17" i="4"/>
  <c r="J51" i="5" s="1"/>
  <c r="V18" i="4"/>
  <c r="W18" i="4"/>
  <c r="X18" i="4"/>
  <c r="C34" i="5" s="1"/>
  <c r="Y18" i="4"/>
  <c r="Q34" i="5" s="1"/>
  <c r="Z18" i="4"/>
  <c r="J34" i="5" s="1"/>
  <c r="AB18" i="4"/>
  <c r="J52" i="5" s="1"/>
  <c r="AF9" i="4"/>
  <c r="AF10" i="4"/>
  <c r="AF11" i="4"/>
  <c r="AF12" i="4"/>
  <c r="AF13" i="4"/>
  <c r="AF14" i="4"/>
  <c r="AF15" i="4"/>
  <c r="AF16" i="4"/>
  <c r="AF18" i="4"/>
  <c r="AF19" i="4"/>
  <c r="AF6" i="4"/>
  <c r="J58" i="5"/>
  <c r="B90" i="5"/>
  <c r="B143" i="5" s="1"/>
  <c r="B162" i="5" s="1"/>
  <c r="J74" i="5"/>
  <c r="AI7" i="4"/>
  <c r="AJ7" i="4" s="1"/>
  <c r="J60" i="5" s="1"/>
  <c r="AI8" i="4"/>
  <c r="J77" i="5" s="1"/>
  <c r="AI9" i="4"/>
  <c r="AI10" i="4"/>
  <c r="J79" i="5" s="1"/>
  <c r="AI11" i="4"/>
  <c r="AJ11" i="4" s="1"/>
  <c r="J64" i="5" s="1"/>
  <c r="AI12" i="4"/>
  <c r="J81" i="5" s="1"/>
  <c r="AI13" i="4"/>
  <c r="AJ13" i="4" s="1"/>
  <c r="J66" i="5" s="1"/>
  <c r="AI14" i="4"/>
  <c r="AI15" i="4"/>
  <c r="AJ15" i="4" s="1"/>
  <c r="J68" i="5" s="1"/>
  <c r="AI16" i="4"/>
  <c r="J85" i="5" s="1"/>
  <c r="AI6" i="4"/>
  <c r="AJ6" i="4" s="1"/>
  <c r="J59" i="5" s="1"/>
  <c r="D78" i="5"/>
  <c r="K78" i="5" s="1"/>
  <c r="D79" i="5"/>
  <c r="K79" i="5" s="1"/>
  <c r="D80" i="5"/>
  <c r="D81" i="5"/>
  <c r="K81" i="5" s="1"/>
  <c r="D82" i="5"/>
  <c r="K82" i="5" s="1"/>
  <c r="D83" i="5"/>
  <c r="K83" i="5" s="1"/>
  <c r="D84" i="5"/>
  <c r="K84" i="5" s="1"/>
  <c r="D85" i="5"/>
  <c r="K85" i="5" s="1"/>
  <c r="D75" i="5"/>
  <c r="K75" i="5" s="1"/>
  <c r="B74" i="5"/>
  <c r="B125" i="5" s="1"/>
  <c r="C58" i="5"/>
  <c r="D62" i="5"/>
  <c r="K62" i="5" s="1"/>
  <c r="D63" i="5"/>
  <c r="D64" i="5"/>
  <c r="K64" i="5" s="1"/>
  <c r="D65" i="5"/>
  <c r="K65" i="5" s="1"/>
  <c r="D66" i="5"/>
  <c r="K66" i="5" s="1"/>
  <c r="D67" i="5"/>
  <c r="D68" i="5"/>
  <c r="K68" i="5" s="1"/>
  <c r="D69" i="5"/>
  <c r="D59" i="5"/>
  <c r="K59" i="5" s="1"/>
  <c r="AH7" i="4"/>
  <c r="AH8" i="4"/>
  <c r="AH9" i="4"/>
  <c r="AH10" i="4"/>
  <c r="AH11" i="4"/>
  <c r="AH12" i="4"/>
  <c r="AH13" i="4"/>
  <c r="AH14" i="4"/>
  <c r="AH15" i="4"/>
  <c r="AH16" i="4"/>
  <c r="AH6" i="4"/>
  <c r="AH1" i="4"/>
  <c r="B58" i="5"/>
  <c r="B107" i="5" s="1"/>
  <c r="Y7" i="4"/>
  <c r="Q23" i="5" s="1"/>
  <c r="Y8" i="4"/>
  <c r="Q24" i="5" s="1"/>
  <c r="Y9" i="4"/>
  <c r="Q25" i="5" s="1"/>
  <c r="Y10" i="4"/>
  <c r="Q26" i="5" s="1"/>
  <c r="Y11" i="4"/>
  <c r="Q27" i="5" s="1"/>
  <c r="Y12" i="4"/>
  <c r="Q28" i="5" s="1"/>
  <c r="Y13" i="4"/>
  <c r="Q29" i="5" s="1"/>
  <c r="Y14" i="4"/>
  <c r="Q30" i="5" s="1"/>
  <c r="Y15" i="4"/>
  <c r="Q31" i="5" s="1"/>
  <c r="Y16" i="4"/>
  <c r="Q32" i="5" s="1"/>
  <c r="Y6" i="4"/>
  <c r="Q22" i="5" s="1"/>
  <c r="Q21" i="5"/>
  <c r="K16" i="5" l="1"/>
  <c r="AV16" i="5"/>
  <c r="V16" i="5"/>
  <c r="K15" i="5"/>
  <c r="AV15" i="5"/>
  <c r="V15" i="5"/>
  <c r="AF34" i="5"/>
  <c r="AV34" i="5"/>
  <c r="C68" i="5"/>
  <c r="C49" i="5" s="1"/>
  <c r="AE31" i="5"/>
  <c r="J13" i="5"/>
  <c r="C60" i="5"/>
  <c r="C76" i="5" s="1"/>
  <c r="AE23" i="5"/>
  <c r="J5" i="5"/>
  <c r="C63" i="5"/>
  <c r="C44" i="5" s="1"/>
  <c r="AE26" i="5"/>
  <c r="J8" i="5"/>
  <c r="C59" i="5"/>
  <c r="C40" i="5" s="1"/>
  <c r="AE22" i="5"/>
  <c r="J4" i="5"/>
  <c r="C69" i="5"/>
  <c r="AE32" i="5"/>
  <c r="J14" i="5"/>
  <c r="C65" i="5"/>
  <c r="C46" i="5" s="1"/>
  <c r="AE28" i="5"/>
  <c r="J10" i="5"/>
  <c r="C61" i="5"/>
  <c r="C110" i="5" s="1"/>
  <c r="C128" i="5" s="1"/>
  <c r="C146" i="5" s="1"/>
  <c r="C165" i="5" s="1"/>
  <c r="AE24" i="5"/>
  <c r="J6" i="5"/>
  <c r="C64" i="5"/>
  <c r="C96" i="5" s="1"/>
  <c r="AE27" i="5"/>
  <c r="J9" i="5"/>
  <c r="C71" i="5"/>
  <c r="AE34" i="5"/>
  <c r="Q52" i="5" s="1"/>
  <c r="J16" i="5"/>
  <c r="Y33" i="5"/>
  <c r="AF33" i="5"/>
  <c r="C67" i="5"/>
  <c r="C116" i="5" s="1"/>
  <c r="C134" i="5" s="1"/>
  <c r="C152" i="5" s="1"/>
  <c r="C171" i="5" s="1"/>
  <c r="AE30" i="5"/>
  <c r="J12" i="5"/>
  <c r="C66" i="5"/>
  <c r="C82" i="5" s="1"/>
  <c r="AE29" i="5"/>
  <c r="J11" i="5"/>
  <c r="C62" i="5"/>
  <c r="C43" i="5" s="1"/>
  <c r="AE25" i="5"/>
  <c r="J7" i="5"/>
  <c r="C70" i="5"/>
  <c r="C119" i="5" s="1"/>
  <c r="C137" i="5" s="1"/>
  <c r="C155" i="5" s="1"/>
  <c r="C174" i="5" s="1"/>
  <c r="AE33" i="5"/>
  <c r="Q51" i="5" s="1"/>
  <c r="J15" i="5"/>
  <c r="K34" i="5"/>
  <c r="R34" i="5" s="1"/>
  <c r="Y34" i="5"/>
  <c r="C112" i="5"/>
  <c r="C130" i="5" s="1"/>
  <c r="C148" i="5" s="1"/>
  <c r="C167" i="5" s="1"/>
  <c r="D103" i="5"/>
  <c r="K103" i="5" s="1"/>
  <c r="K51" i="5"/>
  <c r="D51" i="5" s="1"/>
  <c r="AJ17" i="4"/>
  <c r="J70" i="5" s="1"/>
  <c r="J102" i="5" s="1"/>
  <c r="AJ18" i="4"/>
  <c r="J71" i="5" s="1"/>
  <c r="J103" i="5" s="1"/>
  <c r="D120" i="5"/>
  <c r="B34" i="5"/>
  <c r="B52" i="5" s="1"/>
  <c r="B103" i="5" s="1"/>
  <c r="B156" i="5" s="1"/>
  <c r="B175" i="5" s="1"/>
  <c r="R52" i="5"/>
  <c r="B155" i="5"/>
  <c r="B174" i="5" s="1"/>
  <c r="B119" i="5"/>
  <c r="B137" i="5" s="1"/>
  <c r="C103" i="5"/>
  <c r="C87" i="5"/>
  <c r="C52" i="5"/>
  <c r="C120" i="5"/>
  <c r="C138" i="5" s="1"/>
  <c r="C156" i="5" s="1"/>
  <c r="C175" i="5" s="1"/>
  <c r="K33" i="5"/>
  <c r="R33" i="5" s="1"/>
  <c r="B70" i="5"/>
  <c r="B86" i="5" s="1"/>
  <c r="R51" i="5"/>
  <c r="K71" i="5"/>
  <c r="K52" i="5"/>
  <c r="D138" i="5"/>
  <c r="D101" i="5"/>
  <c r="K101" i="5" s="1"/>
  <c r="J84" i="5"/>
  <c r="J100" i="5" s="1"/>
  <c r="AJ16" i="4"/>
  <c r="J69" i="5" s="1"/>
  <c r="J101" i="5" s="1"/>
  <c r="K69" i="5"/>
  <c r="AJ8" i="4"/>
  <c r="J61" i="5" s="1"/>
  <c r="J93" i="5" s="1"/>
  <c r="C117" i="5"/>
  <c r="C135" i="5" s="1"/>
  <c r="C153" i="5" s="1"/>
  <c r="C172" i="5" s="1"/>
  <c r="C85" i="5"/>
  <c r="C101" i="5"/>
  <c r="D91" i="5"/>
  <c r="K91" i="5" s="1"/>
  <c r="J82" i="5"/>
  <c r="J98" i="5" s="1"/>
  <c r="J80" i="5"/>
  <c r="J96" i="5" s="1"/>
  <c r="D98" i="5"/>
  <c r="K98" i="5" s="1"/>
  <c r="AJ12" i="4"/>
  <c r="J65" i="5" s="1"/>
  <c r="J97" i="5" s="1"/>
  <c r="C84" i="5"/>
  <c r="J76" i="5"/>
  <c r="J92" i="5" s="1"/>
  <c r="D97" i="5"/>
  <c r="K97" i="5" s="1"/>
  <c r="C75" i="5"/>
  <c r="C91" i="5"/>
  <c r="K80" i="5"/>
  <c r="D96" i="5"/>
  <c r="K96" i="5" s="1"/>
  <c r="C90" i="5"/>
  <c r="C39" i="5"/>
  <c r="C107" i="5"/>
  <c r="C125" i="5" s="1"/>
  <c r="C143" i="5" s="1"/>
  <c r="C162" i="5" s="1"/>
  <c r="C74" i="5"/>
  <c r="J83" i="5"/>
  <c r="AJ14" i="4"/>
  <c r="J67" i="5" s="1"/>
  <c r="AJ10" i="4"/>
  <c r="J63" i="5" s="1"/>
  <c r="J95" i="5" s="1"/>
  <c r="C113" i="5"/>
  <c r="C131" i="5" s="1"/>
  <c r="C149" i="5" s="1"/>
  <c r="C168" i="5" s="1"/>
  <c r="K67" i="5"/>
  <c r="D99" i="5"/>
  <c r="K99" i="5" s="1"/>
  <c r="K63" i="5"/>
  <c r="D95" i="5"/>
  <c r="K95" i="5" s="1"/>
  <c r="C118" i="5"/>
  <c r="C136" i="5" s="1"/>
  <c r="C154" i="5" s="1"/>
  <c r="C173" i="5" s="1"/>
  <c r="C50" i="5"/>
  <c r="AJ9" i="4"/>
  <c r="J62" i="5" s="1"/>
  <c r="J78" i="5"/>
  <c r="J75" i="5"/>
  <c r="J91" i="5" s="1"/>
  <c r="D94" i="5"/>
  <c r="K94" i="5" s="1"/>
  <c r="C100" i="5"/>
  <c r="C99" i="5"/>
  <c r="C83" i="5"/>
  <c r="C47" i="5"/>
  <c r="C115" i="5"/>
  <c r="C133" i="5" s="1"/>
  <c r="C151" i="5" s="1"/>
  <c r="C170" i="5" s="1"/>
  <c r="D100" i="5"/>
  <c r="K100" i="5" s="1"/>
  <c r="C98" i="5"/>
  <c r="C45" i="5"/>
  <c r="AB7" i="4"/>
  <c r="J41" i="5" s="1"/>
  <c r="AB8" i="4"/>
  <c r="J42" i="5" s="1"/>
  <c r="AB9" i="4"/>
  <c r="J43" i="5" s="1"/>
  <c r="AB10" i="4"/>
  <c r="J44" i="5" s="1"/>
  <c r="AB11" i="4"/>
  <c r="J45" i="5" s="1"/>
  <c r="AB12" i="4"/>
  <c r="J46" i="5" s="1"/>
  <c r="AB13" i="4"/>
  <c r="J47" i="5" s="1"/>
  <c r="AB14" i="4"/>
  <c r="J48" i="5" s="1"/>
  <c r="AB15" i="4"/>
  <c r="J49" i="5" s="1"/>
  <c r="AB16" i="4"/>
  <c r="J50" i="5" s="1"/>
  <c r="AB6" i="4"/>
  <c r="J40" i="5" s="1"/>
  <c r="J39" i="5"/>
  <c r="W7" i="4"/>
  <c r="W8" i="4"/>
  <c r="W9" i="4"/>
  <c r="W10" i="4"/>
  <c r="W11" i="4"/>
  <c r="W12" i="4"/>
  <c r="W13" i="4"/>
  <c r="W14" i="4"/>
  <c r="W15" i="4"/>
  <c r="W16" i="4"/>
  <c r="W6" i="4"/>
  <c r="Z7" i="4"/>
  <c r="Z8" i="4"/>
  <c r="J24" i="5" s="1"/>
  <c r="Z9" i="4"/>
  <c r="J25" i="5" s="1"/>
  <c r="Z10" i="4"/>
  <c r="J26" i="5" s="1"/>
  <c r="Z11" i="4"/>
  <c r="J27" i="5" s="1"/>
  <c r="Z12" i="4"/>
  <c r="J28" i="5" s="1"/>
  <c r="Z13" i="4"/>
  <c r="J29" i="5" s="1"/>
  <c r="Z14" i="4"/>
  <c r="J30" i="5" s="1"/>
  <c r="Z15" i="4"/>
  <c r="J31" i="5" s="1"/>
  <c r="Z16" i="4"/>
  <c r="J32" i="5" s="1"/>
  <c r="Z6" i="4"/>
  <c r="J22" i="5" s="1"/>
  <c r="K21" i="5"/>
  <c r="J23" i="5"/>
  <c r="J21" i="5"/>
  <c r="X7" i="4"/>
  <c r="C23" i="5" s="1"/>
  <c r="X8" i="4"/>
  <c r="C24" i="5" s="1"/>
  <c r="X9" i="4"/>
  <c r="C25" i="5" s="1"/>
  <c r="X10" i="4"/>
  <c r="C26" i="5" s="1"/>
  <c r="X11" i="4"/>
  <c r="C27" i="5" s="1"/>
  <c r="X12" i="4"/>
  <c r="C28" i="5" s="1"/>
  <c r="X13" i="4"/>
  <c r="C29" i="5" s="1"/>
  <c r="X14" i="4"/>
  <c r="C30" i="5" s="1"/>
  <c r="X15" i="4"/>
  <c r="C31" i="5" s="1"/>
  <c r="X16" i="4"/>
  <c r="C32" i="5" s="1"/>
  <c r="X6" i="4"/>
  <c r="C22" i="5" s="1"/>
  <c r="C21" i="5"/>
  <c r="D25" i="5"/>
  <c r="AV25" i="5" s="1"/>
  <c r="D26" i="5"/>
  <c r="AV26" i="5" s="1"/>
  <c r="D27" i="5"/>
  <c r="AV27" i="5" s="1"/>
  <c r="D28" i="5"/>
  <c r="AV28" i="5" s="1"/>
  <c r="D29" i="5"/>
  <c r="AV29" i="5" s="1"/>
  <c r="D30" i="5"/>
  <c r="AV30" i="5" s="1"/>
  <c r="D31" i="5"/>
  <c r="AV31" i="5" s="1"/>
  <c r="D32" i="5"/>
  <c r="AV32" i="5" s="1"/>
  <c r="D22" i="5"/>
  <c r="AV22" i="5" s="1"/>
  <c r="C80" i="5" l="1"/>
  <c r="C48" i="5"/>
  <c r="C108" i="5"/>
  <c r="C126" i="5" s="1"/>
  <c r="C144" i="5" s="1"/>
  <c r="C163" i="5" s="1"/>
  <c r="C111" i="5"/>
  <c r="C129" i="5" s="1"/>
  <c r="C147" i="5" s="1"/>
  <c r="C166" i="5" s="1"/>
  <c r="C109" i="5"/>
  <c r="C127" i="5" s="1"/>
  <c r="C145" i="5" s="1"/>
  <c r="C164" i="5" s="1"/>
  <c r="C97" i="5"/>
  <c r="C94" i="5"/>
  <c r="J94" i="5"/>
  <c r="C78" i="5"/>
  <c r="C42" i="5"/>
  <c r="C79" i="5"/>
  <c r="C81" i="5"/>
  <c r="C114" i="5"/>
  <c r="C132" i="5" s="1"/>
  <c r="C150" i="5" s="1"/>
  <c r="C169" i="5" s="1"/>
  <c r="C102" i="5"/>
  <c r="J99" i="5"/>
  <c r="C86" i="5"/>
  <c r="C51" i="5"/>
  <c r="Y30" i="5"/>
  <c r="AF30" i="5"/>
  <c r="Y22" i="5"/>
  <c r="AF22" i="5"/>
  <c r="Y25" i="5"/>
  <c r="AF25" i="5"/>
  <c r="C41" i="5"/>
  <c r="C77" i="5"/>
  <c r="Y32" i="5"/>
  <c r="AF32" i="5"/>
  <c r="Y28" i="5"/>
  <c r="AF28" i="5"/>
  <c r="C92" i="5"/>
  <c r="C93" i="5"/>
  <c r="C95" i="5"/>
  <c r="Y26" i="5"/>
  <c r="AF26" i="5"/>
  <c r="Y29" i="5"/>
  <c r="AF29" i="5"/>
  <c r="Y31" i="5"/>
  <c r="AF31" i="5"/>
  <c r="Y27" i="5"/>
  <c r="AF27" i="5"/>
  <c r="B120" i="5"/>
  <c r="B138" i="5" s="1"/>
  <c r="D52" i="5"/>
  <c r="D156" i="5"/>
  <c r="K22" i="5"/>
  <c r="R22" i="5" s="1"/>
  <c r="D126" i="5"/>
  <c r="K29" i="5"/>
  <c r="R29" i="5" s="1"/>
  <c r="D133" i="5"/>
  <c r="K25" i="5"/>
  <c r="R25" i="5" s="1"/>
  <c r="D129" i="5"/>
  <c r="K32" i="5"/>
  <c r="R32" i="5" s="1"/>
  <c r="D136" i="5"/>
  <c r="K28" i="5"/>
  <c r="R28" i="5" s="1"/>
  <c r="D132" i="5"/>
  <c r="K31" i="5"/>
  <c r="R31" i="5" s="1"/>
  <c r="D135" i="5"/>
  <c r="K27" i="5"/>
  <c r="R27" i="5" s="1"/>
  <c r="D131" i="5"/>
  <c r="K30" i="5"/>
  <c r="R30" i="5" s="1"/>
  <c r="D134" i="5"/>
  <c r="K26" i="5"/>
  <c r="R26" i="5" s="1"/>
  <c r="D130" i="5"/>
  <c r="C3" i="5"/>
  <c r="D7" i="5"/>
  <c r="D8" i="5"/>
  <c r="AV8" i="5" s="1"/>
  <c r="D9" i="5"/>
  <c r="D10" i="5"/>
  <c r="D11" i="5"/>
  <c r="D12" i="5"/>
  <c r="D13" i="5"/>
  <c r="D14" i="5"/>
  <c r="D4" i="5"/>
  <c r="B5" i="5"/>
  <c r="B6" i="5"/>
  <c r="B7" i="5"/>
  <c r="B8" i="5"/>
  <c r="B9" i="5"/>
  <c r="B10" i="5"/>
  <c r="B11" i="5"/>
  <c r="B12" i="5"/>
  <c r="B13" i="5"/>
  <c r="B14" i="5"/>
  <c r="B4" i="5"/>
  <c r="V7" i="4"/>
  <c r="V8" i="4"/>
  <c r="C6" i="5" s="1"/>
  <c r="Q42" i="5" s="1"/>
  <c r="V9" i="4"/>
  <c r="V10" i="4"/>
  <c r="C8" i="5" s="1"/>
  <c r="Q44" i="5" s="1"/>
  <c r="V11" i="4"/>
  <c r="V12" i="4"/>
  <c r="V13" i="4"/>
  <c r="V14" i="4"/>
  <c r="C12" i="5" s="1"/>
  <c r="Q48" i="5" s="1"/>
  <c r="V15" i="4"/>
  <c r="V16" i="4"/>
  <c r="C14" i="5" s="1"/>
  <c r="Q50" i="5" s="1"/>
  <c r="V6" i="4"/>
  <c r="C4" i="5" s="1"/>
  <c r="Q40" i="5" s="1"/>
  <c r="AV14" i="5" l="1"/>
  <c r="V14" i="5"/>
  <c r="AV10" i="5"/>
  <c r="V10" i="5"/>
  <c r="AV13" i="5"/>
  <c r="V13" i="5"/>
  <c r="AV9" i="5"/>
  <c r="V9" i="5"/>
  <c r="AV12" i="5"/>
  <c r="V12" i="5"/>
  <c r="AV4" i="5"/>
  <c r="V4" i="5"/>
  <c r="AV11" i="5"/>
  <c r="V11" i="5"/>
  <c r="AV7" i="5"/>
  <c r="V7" i="5"/>
  <c r="V8" i="5"/>
  <c r="K8" i="5"/>
  <c r="D108" i="5"/>
  <c r="K4" i="5"/>
  <c r="K47" i="5"/>
  <c r="D115" i="5"/>
  <c r="K43" i="5"/>
  <c r="D111" i="5"/>
  <c r="K50" i="5"/>
  <c r="D118" i="5"/>
  <c r="K46" i="5"/>
  <c r="D114" i="5"/>
  <c r="K49" i="5"/>
  <c r="D117" i="5"/>
  <c r="K45" i="5"/>
  <c r="D113" i="5"/>
  <c r="K48" i="5"/>
  <c r="D116" i="5"/>
  <c r="K44" i="5"/>
  <c r="D112" i="5"/>
  <c r="B30" i="5"/>
  <c r="B48" i="5" s="1"/>
  <c r="B99" i="5" s="1"/>
  <c r="B67" i="5"/>
  <c r="B83" i="5" s="1"/>
  <c r="B22" i="5"/>
  <c r="B40" i="5" s="1"/>
  <c r="B91" i="5" s="1"/>
  <c r="B59" i="5"/>
  <c r="B75" i="5" s="1"/>
  <c r="B25" i="5"/>
  <c r="B43" i="5" s="1"/>
  <c r="B94" i="5" s="1"/>
  <c r="B62" i="5"/>
  <c r="B78" i="5" s="1"/>
  <c r="C11" i="5"/>
  <c r="Q47" i="5" s="1"/>
  <c r="C7" i="5"/>
  <c r="Q43" i="5" s="1"/>
  <c r="B28" i="5"/>
  <c r="B46" i="5" s="1"/>
  <c r="B97" i="5" s="1"/>
  <c r="B65" i="5"/>
  <c r="B81" i="5" s="1"/>
  <c r="B24" i="5"/>
  <c r="B42" i="5" s="1"/>
  <c r="B93" i="5" s="1"/>
  <c r="B61" i="5"/>
  <c r="B77" i="5" s="1"/>
  <c r="B31" i="5"/>
  <c r="B49" i="5" s="1"/>
  <c r="B100" i="5" s="1"/>
  <c r="B68" i="5"/>
  <c r="B84" i="5" s="1"/>
  <c r="B27" i="5"/>
  <c r="B45" i="5" s="1"/>
  <c r="B96" i="5" s="1"/>
  <c r="B64" i="5"/>
  <c r="B80" i="5" s="1"/>
  <c r="B23" i="5"/>
  <c r="B41" i="5" s="1"/>
  <c r="B92" i="5" s="1"/>
  <c r="B60" i="5"/>
  <c r="B76" i="5" s="1"/>
  <c r="C13" i="5"/>
  <c r="Q49" i="5" s="1"/>
  <c r="B26" i="5"/>
  <c r="B44" i="5" s="1"/>
  <c r="B95" i="5" s="1"/>
  <c r="B63" i="5"/>
  <c r="B79" i="5" s="1"/>
  <c r="B29" i="5"/>
  <c r="B47" i="5" s="1"/>
  <c r="B98" i="5" s="1"/>
  <c r="B66" i="5"/>
  <c r="B82" i="5" s="1"/>
  <c r="B32" i="5"/>
  <c r="B50" i="5" s="1"/>
  <c r="B101" i="5" s="1"/>
  <c r="B69" i="5"/>
  <c r="B85" i="5" s="1"/>
  <c r="R40" i="5"/>
  <c r="K40" i="5"/>
  <c r="K14" i="5"/>
  <c r="R50" i="5"/>
  <c r="K12" i="5"/>
  <c r="R48" i="5"/>
  <c r="R44" i="5"/>
  <c r="K10" i="5"/>
  <c r="R46" i="5"/>
  <c r="K13" i="5"/>
  <c r="R49" i="5"/>
  <c r="K9" i="5"/>
  <c r="R45" i="5"/>
  <c r="K11" i="5"/>
  <c r="R47" i="5"/>
  <c r="K7" i="5"/>
  <c r="R43" i="5"/>
  <c r="C10" i="5"/>
  <c r="Q46" i="5" s="1"/>
  <c r="C9" i="5"/>
  <c r="Q45" i="5" s="1"/>
  <c r="C5" i="5"/>
  <c r="Q41" i="5" s="1"/>
  <c r="AG3" i="4"/>
  <c r="AN20" i="4"/>
  <c r="T20" i="4"/>
  <c r="P20" i="4"/>
  <c r="AN16" i="4"/>
  <c r="T16" i="4"/>
  <c r="P16" i="4"/>
  <c r="AN15" i="4"/>
  <c r="T15" i="4"/>
  <c r="P15" i="4"/>
  <c r="AN19" i="4"/>
  <c r="P19" i="4"/>
  <c r="AN14" i="4"/>
  <c r="T14" i="4"/>
  <c r="P14" i="4"/>
  <c r="AN13" i="4"/>
  <c r="T13" i="4"/>
  <c r="P13" i="4"/>
  <c r="AN12" i="4"/>
  <c r="T12" i="4"/>
  <c r="P12" i="4"/>
  <c r="AN11" i="4"/>
  <c r="T11" i="4"/>
  <c r="P11" i="4"/>
  <c r="AN10" i="4"/>
  <c r="T10" i="4"/>
  <c r="P10" i="4"/>
  <c r="AN18" i="4"/>
  <c r="D175" i="5" s="1"/>
  <c r="T18" i="4"/>
  <c r="P18" i="4"/>
  <c r="AN17" i="4"/>
  <c r="AE17" i="4"/>
  <c r="D86" i="5" s="1"/>
  <c r="AD17" i="4"/>
  <c r="AC17" i="4"/>
  <c r="T17" i="4"/>
  <c r="P17" i="4"/>
  <c r="AN9" i="4"/>
  <c r="T9" i="4"/>
  <c r="P9" i="4"/>
  <c r="AN8" i="4"/>
  <c r="AE8" i="4"/>
  <c r="D77" i="5" s="1"/>
  <c r="K77" i="5" s="1"/>
  <c r="AD8" i="4"/>
  <c r="AC8" i="4"/>
  <c r="S8" i="4"/>
  <c r="D6" i="5"/>
  <c r="P8" i="4"/>
  <c r="AN7" i="4"/>
  <c r="AE7" i="4"/>
  <c r="D76" i="5" s="1"/>
  <c r="K76" i="5" s="1"/>
  <c r="AD7" i="4"/>
  <c r="AC7" i="4"/>
  <c r="S7" i="4"/>
  <c r="D5" i="5"/>
  <c r="P7" i="4"/>
  <c r="AN6" i="4"/>
  <c r="AC6" i="4"/>
  <c r="T6" i="4"/>
  <c r="P6" i="4"/>
  <c r="AO3" i="4"/>
  <c r="R3" i="4"/>
  <c r="AV6" i="5" l="1"/>
  <c r="V6" i="5"/>
  <c r="AV5" i="5"/>
  <c r="V5" i="5"/>
  <c r="K86" i="5"/>
  <c r="D137" i="5"/>
  <c r="AF17" i="4"/>
  <c r="D70" i="5"/>
  <c r="D60" i="5"/>
  <c r="D92" i="5" s="1"/>
  <c r="K92" i="5" s="1"/>
  <c r="AF7" i="4"/>
  <c r="D61" i="5"/>
  <c r="D110" i="5" s="1"/>
  <c r="AF8" i="4"/>
  <c r="B115" i="5"/>
  <c r="B133" i="5" s="1"/>
  <c r="B151" i="5"/>
  <c r="B170" i="5" s="1"/>
  <c r="B149" i="5"/>
  <c r="B168" i="5" s="1"/>
  <c r="B113" i="5"/>
  <c r="B131" i="5" s="1"/>
  <c r="B146" i="5"/>
  <c r="B165" i="5" s="1"/>
  <c r="B110" i="5"/>
  <c r="B128" i="5" s="1"/>
  <c r="B111" i="5"/>
  <c r="B129" i="5" s="1"/>
  <c r="B147" i="5"/>
  <c r="B166" i="5" s="1"/>
  <c r="B152" i="5"/>
  <c r="B171" i="5" s="1"/>
  <c r="B116" i="5"/>
  <c r="B134" i="5" s="1"/>
  <c r="D152" i="5"/>
  <c r="D171" i="5" s="1"/>
  <c r="D48" i="5"/>
  <c r="D49" i="5"/>
  <c r="D153" i="5"/>
  <c r="D172" i="5" s="1"/>
  <c r="D154" i="5"/>
  <c r="D173" i="5" s="1"/>
  <c r="D50" i="5"/>
  <c r="D47" i="5"/>
  <c r="D151" i="5"/>
  <c r="D170" i="5" s="1"/>
  <c r="B118" i="5"/>
  <c r="B136" i="5" s="1"/>
  <c r="B154" i="5"/>
  <c r="B173" i="5" s="1"/>
  <c r="B112" i="5"/>
  <c r="B130" i="5" s="1"/>
  <c r="B148" i="5"/>
  <c r="B167" i="5" s="1"/>
  <c r="B145" i="5"/>
  <c r="B164" i="5" s="1"/>
  <c r="B109" i="5"/>
  <c r="B127" i="5" s="1"/>
  <c r="B153" i="5"/>
  <c r="B172" i="5" s="1"/>
  <c r="B117" i="5"/>
  <c r="B135" i="5" s="1"/>
  <c r="B150" i="5"/>
  <c r="B169" i="5" s="1"/>
  <c r="B114" i="5"/>
  <c r="B132" i="5" s="1"/>
  <c r="B108" i="5"/>
  <c r="B126" i="5" s="1"/>
  <c r="B144" i="5"/>
  <c r="B163" i="5" s="1"/>
  <c r="D148" i="5"/>
  <c r="D167" i="5" s="1"/>
  <c r="D44" i="5"/>
  <c r="D45" i="5"/>
  <c r="D149" i="5"/>
  <c r="D168" i="5" s="1"/>
  <c r="D150" i="5"/>
  <c r="D169" i="5" s="1"/>
  <c r="D46" i="5"/>
  <c r="D43" i="5"/>
  <c r="D147" i="5"/>
  <c r="D166" i="5" s="1"/>
  <c r="D23" i="5"/>
  <c r="AV23" i="5" s="1"/>
  <c r="AN29" i="5" s="1"/>
  <c r="D40" i="5"/>
  <c r="D144" i="5"/>
  <c r="D163" i="5" s="1"/>
  <c r="D24" i="5"/>
  <c r="AV24" i="5" s="1"/>
  <c r="K6" i="5"/>
  <c r="K5" i="5"/>
  <c r="AP18" i="4"/>
  <c r="AP13" i="4"/>
  <c r="AG13" i="4" s="1"/>
  <c r="AP9" i="4"/>
  <c r="AG9" i="4" s="1"/>
  <c r="T7" i="4"/>
  <c r="AP10" i="4"/>
  <c r="AQ10" i="4" s="1"/>
  <c r="T19" i="4"/>
  <c r="AP19" i="4" s="1"/>
  <c r="U19" i="4" s="1"/>
  <c r="T8" i="4"/>
  <c r="AP12" i="4"/>
  <c r="U12" i="4" s="1"/>
  <c r="AP14" i="4"/>
  <c r="AG14" i="4" s="1"/>
  <c r="AP16" i="4"/>
  <c r="AQ16" i="4" s="1"/>
  <c r="AP6" i="4"/>
  <c r="AG6" i="4" s="1"/>
  <c r="AP11" i="4"/>
  <c r="AG11" i="4" s="1"/>
  <c r="AP20" i="4"/>
  <c r="AP15" i="4"/>
  <c r="AQ15" i="4" s="1"/>
  <c r="AN13" i="5" l="1"/>
  <c r="R8" i="5"/>
  <c r="Y23" i="5"/>
  <c r="AF23" i="5"/>
  <c r="Y24" i="5"/>
  <c r="AF24" i="5"/>
  <c r="K60" i="5"/>
  <c r="D119" i="5"/>
  <c r="D102" i="5"/>
  <c r="K70" i="5"/>
  <c r="D93" i="5"/>
  <c r="K93" i="5" s="1"/>
  <c r="D109" i="5"/>
  <c r="K61" i="5"/>
  <c r="K24" i="5"/>
  <c r="R24" i="5" s="1"/>
  <c r="D128" i="5"/>
  <c r="K23" i="5"/>
  <c r="R23" i="5" s="1"/>
  <c r="D127" i="5"/>
  <c r="R41" i="5"/>
  <c r="K41" i="5"/>
  <c r="R42" i="5"/>
  <c r="K42" i="5"/>
  <c r="AG16" i="4"/>
  <c r="AG10" i="4"/>
  <c r="AO18" i="4"/>
  <c r="AG18" i="4"/>
  <c r="AQ20" i="4"/>
  <c r="AG20" i="4"/>
  <c r="AP17" i="4"/>
  <c r="AG17" i="4" s="1"/>
  <c r="AG15" i="4"/>
  <c r="AG12" i="4"/>
  <c r="AG19" i="4"/>
  <c r="U18" i="4"/>
  <c r="AQ18" i="4"/>
  <c r="U13" i="4"/>
  <c r="U14" i="4"/>
  <c r="AP8" i="4"/>
  <c r="AQ8" i="4" s="1"/>
  <c r="AQ14" i="4"/>
  <c r="AO13" i="4"/>
  <c r="AQ13" i="4"/>
  <c r="AO12" i="4"/>
  <c r="AO14" i="4"/>
  <c r="AQ9" i="4"/>
  <c r="U9" i="4"/>
  <c r="AP7" i="4"/>
  <c r="AG7" i="4" s="1"/>
  <c r="AO9" i="4"/>
  <c r="AQ12" i="4"/>
  <c r="U15" i="4"/>
  <c r="U10" i="4"/>
  <c r="U16" i="4"/>
  <c r="AO16" i="4"/>
  <c r="AO10" i="4"/>
  <c r="AO6" i="4"/>
  <c r="AQ6" i="4"/>
  <c r="AQ19" i="4"/>
  <c r="AO19" i="4"/>
  <c r="U6" i="4"/>
  <c r="U11" i="4"/>
  <c r="AQ11" i="4"/>
  <c r="AO11" i="4"/>
  <c r="AO15" i="4"/>
  <c r="AO20" i="4"/>
  <c r="U20" i="4"/>
  <c r="BW18" i="1"/>
  <c r="BX18" i="1"/>
  <c r="BR18" i="1"/>
  <c r="BP18" i="1"/>
  <c r="CE16" i="1"/>
  <c r="CD16" i="1"/>
  <c r="CA16" i="1"/>
  <c r="CF7" i="1"/>
  <c r="CF6" i="1"/>
  <c r="CE7" i="1"/>
  <c r="CE6" i="1"/>
  <c r="CD7" i="1"/>
  <c r="CD6" i="1"/>
  <c r="CC7" i="1"/>
  <c r="CC6" i="1"/>
  <c r="CB7" i="1"/>
  <c r="CB6" i="1"/>
  <c r="CA7" i="1"/>
  <c r="CA6" i="1"/>
  <c r="BX7" i="1"/>
  <c r="BX6" i="1"/>
  <c r="BT7" i="1"/>
  <c r="BR7" i="1"/>
  <c r="BT6" i="1"/>
  <c r="BR6" i="1"/>
  <c r="BU7" i="1" l="1"/>
  <c r="BU6" i="1"/>
  <c r="BY7" i="1"/>
  <c r="BY18" i="1"/>
  <c r="BY6" i="1"/>
  <c r="K102" i="5"/>
  <c r="D155" i="5"/>
  <c r="D174" i="5" s="1"/>
  <c r="D42" i="5"/>
  <c r="D146" i="5"/>
  <c r="D165" i="5" s="1"/>
  <c r="D145" i="5"/>
  <c r="D164" i="5" s="1"/>
  <c r="D41" i="5"/>
  <c r="AG8" i="4"/>
  <c r="AQ17" i="4"/>
  <c r="AO17" i="4"/>
  <c r="U17" i="4"/>
  <c r="U8" i="4"/>
  <c r="AO8" i="4"/>
  <c r="AQ7" i="4"/>
  <c r="U7" i="4"/>
  <c r="AO7" i="4"/>
  <c r="CG15" i="1"/>
  <c r="CG14" i="1"/>
  <c r="AY13" i="1" l="1"/>
  <c r="AY18" i="1"/>
  <c r="CG12" i="1" l="1"/>
  <c r="CG13" i="1"/>
  <c r="CK12" i="1"/>
  <c r="CK13" i="1"/>
  <c r="CK18" i="1"/>
  <c r="CK14" i="1"/>
  <c r="CK15" i="1"/>
  <c r="CG10" i="1"/>
  <c r="CG11" i="1"/>
  <c r="CK10" i="1"/>
  <c r="CK11" i="1"/>
  <c r="CL3" i="1"/>
  <c r="CH3" i="1"/>
  <c r="CG17" i="1" l="1"/>
  <c r="CG9" i="1"/>
  <c r="CK17" i="1"/>
  <c r="CK9" i="1"/>
  <c r="CG16" i="1"/>
  <c r="CK16" i="1"/>
  <c r="CG8" i="1" l="1"/>
  <c r="CK8" i="1"/>
  <c r="CG7" i="1" l="1"/>
  <c r="CK7" i="1"/>
  <c r="CM8" i="1"/>
  <c r="CM16" i="1"/>
  <c r="CN16" i="1" s="1"/>
  <c r="CM17" i="1"/>
  <c r="CM9" i="1"/>
  <c r="CM10" i="1"/>
  <c r="CM11" i="1"/>
  <c r="CM12" i="1"/>
  <c r="CM13" i="1"/>
  <c r="CM18" i="1"/>
  <c r="CM14" i="1"/>
  <c r="CM15" i="1"/>
  <c r="CG6" i="1"/>
  <c r="CK6" i="1"/>
  <c r="CH9" i="1" l="1"/>
  <c r="BZ9" i="1"/>
  <c r="CL9" i="1"/>
  <c r="BZ8" i="1"/>
  <c r="CL8" i="1"/>
  <c r="CH8" i="1"/>
  <c r="CH17" i="1"/>
  <c r="BZ17" i="1"/>
  <c r="CL17" i="1"/>
  <c r="CM7" i="1"/>
  <c r="CH16" i="1"/>
  <c r="CL16" i="1"/>
  <c r="BZ16" i="1"/>
  <c r="BZ18" i="1"/>
  <c r="CL18" i="1"/>
  <c r="BZ13" i="1"/>
  <c r="CL13" i="1"/>
  <c r="CH13" i="1"/>
  <c r="CL12" i="1"/>
  <c r="CH12" i="1"/>
  <c r="BZ12" i="1"/>
  <c r="CL15" i="1"/>
  <c r="CH15" i="1"/>
  <c r="BZ15" i="1"/>
  <c r="CH14" i="1"/>
  <c r="BZ14" i="1"/>
  <c r="CL14" i="1"/>
  <c r="CH11" i="1"/>
  <c r="BZ11" i="1"/>
  <c r="CL11" i="1"/>
  <c r="BZ10" i="1"/>
  <c r="CH10" i="1"/>
  <c r="CL10" i="1"/>
  <c r="CM6" i="1"/>
  <c r="CC3" i="1"/>
  <c r="CL6" i="1" l="1"/>
  <c r="BZ7" i="1"/>
  <c r="CH7" i="1"/>
  <c r="CH6" i="1"/>
  <c r="BZ6" i="1"/>
  <c r="CL7" i="1"/>
  <c r="CK5" i="1"/>
  <c r="CN17" i="1" l="1"/>
  <c r="CN9" i="1"/>
  <c r="CN10" i="1"/>
  <c r="CN11" i="1"/>
  <c r="CN12" i="1"/>
  <c r="CN13" i="1"/>
  <c r="CN18" i="1"/>
  <c r="CN14" i="1"/>
  <c r="CN15" i="1"/>
  <c r="CN19" i="1"/>
  <c r="CN8" i="1" l="1"/>
  <c r="CN6" i="1" l="1"/>
  <c r="CN7" i="1"/>
  <c r="AZ19" i="1" l="1"/>
  <c r="AZ6" i="1"/>
  <c r="AZ7" i="1"/>
  <c r="AZ8" i="1"/>
  <c r="AZ16" i="1"/>
  <c r="AZ17" i="1"/>
  <c r="AZ9" i="1"/>
  <c r="AZ10" i="1"/>
  <c r="AZ11" i="1"/>
  <c r="AZ12" i="1"/>
  <c r="AZ13" i="1"/>
  <c r="AZ18" i="1"/>
  <c r="AZ14" i="1"/>
  <c r="AZ15" i="1"/>
  <c r="AZ5" i="1"/>
  <c r="CM5" i="1" l="1"/>
  <c r="BS3" i="1"/>
  <c r="CN5" i="1" l="1"/>
  <c r="CH5" i="1"/>
  <c r="CL5" i="1"/>
  <c r="BZ5" i="1"/>
  <c r="AC5" i="5" l="1" a="1"/>
  <c r="AC7" i="5" s="1"/>
  <c r="R9" i="5" s="1"/>
  <c r="AD5" i="5" l="1"/>
  <c r="AE7" i="5"/>
  <c r="AE5" i="5"/>
  <c r="AD7" i="5"/>
  <c r="AC6" i="5"/>
  <c r="AE6" i="5"/>
  <c r="AD6" i="5"/>
  <c r="AC5" i="5"/>
  <c r="BC24" i="5" l="1" a="1"/>
  <c r="BC25" i="5" s="1"/>
  <c r="BE26" i="5" l="1"/>
  <c r="BD24" i="5"/>
  <c r="BD27" i="5"/>
  <c r="BD25" i="5"/>
  <c r="BE24" i="5"/>
  <c r="BC24" i="5"/>
  <c r="BC27" i="5"/>
  <c r="BC26" i="5"/>
  <c r="AN30" i="5" s="1"/>
  <c r="BE25" i="5"/>
  <c r="BD26" i="5"/>
  <c r="BE27" i="5"/>
  <c r="L28" i="13" a="1"/>
  <c r="L28" i="13" s="1"/>
  <c r="P28" i="13"/>
  <c r="N5" i="13" a="1"/>
  <c r="P6" i="13" s="1"/>
  <c r="N7" i="13" l="1"/>
  <c r="P7" i="13"/>
  <c r="N6" i="13"/>
  <c r="O6" i="13"/>
  <c r="N5" i="13"/>
  <c r="P5" i="13"/>
  <c r="O5" i="13"/>
  <c r="O7" i="13"/>
</calcChain>
</file>

<file path=xl/sharedStrings.xml><?xml version="1.0" encoding="utf-8"?>
<sst xmlns="http://schemas.openxmlformats.org/spreadsheetml/2006/main" count="2261" uniqueCount="581">
  <si>
    <t>General</t>
  </si>
  <si>
    <t>Project name</t>
  </si>
  <si>
    <t>No of units</t>
  </si>
  <si>
    <t>Customer</t>
  </si>
  <si>
    <t>Country</t>
  </si>
  <si>
    <t>Competitors</t>
  </si>
  <si>
    <t>Submission date</t>
  </si>
  <si>
    <t>-</t>
  </si>
  <si>
    <t>Belfort</t>
  </si>
  <si>
    <t>Tendering department</t>
  </si>
  <si>
    <t>PROJECT INFO</t>
  </si>
  <si>
    <t>Power</t>
  </si>
  <si>
    <t>MVA</t>
  </si>
  <si>
    <t>Voltage</t>
  </si>
  <si>
    <t>kV</t>
  </si>
  <si>
    <t>rpm</t>
  </si>
  <si>
    <t>Rated speed</t>
  </si>
  <si>
    <t>pf</t>
  </si>
  <si>
    <t>Machine type</t>
  </si>
  <si>
    <t>Axis</t>
  </si>
  <si>
    <t>BORT-LES-ORGUES G2</t>
  </si>
  <si>
    <t>V</t>
  </si>
  <si>
    <t>EDF</t>
  </si>
  <si>
    <t>Builder</t>
  </si>
  <si>
    <t>CEM</t>
  </si>
  <si>
    <t>Commis. year</t>
  </si>
  <si>
    <t>mm</t>
  </si>
  <si>
    <t>Iron length</t>
  </si>
  <si>
    <t>Airgap</t>
  </si>
  <si>
    <t>Poles</t>
  </si>
  <si>
    <t>Slots</t>
  </si>
  <si>
    <t>Frame ext. Ø</t>
  </si>
  <si>
    <t>Bore Ø</t>
  </si>
  <si>
    <t>Magn. core ext. Ø</t>
  </si>
  <si>
    <t>Clamp. bolts</t>
  </si>
  <si>
    <t>Key-bars</t>
  </si>
  <si>
    <t>Segm./turn</t>
  </si>
  <si>
    <t>Clamp. bolt position</t>
  </si>
  <si>
    <t>New data</t>
  </si>
  <si>
    <t>New frame</t>
  </si>
  <si>
    <t>Coil type</t>
  </si>
  <si>
    <t>Winding type</t>
  </si>
  <si>
    <t>Ifn</t>
  </si>
  <si>
    <t>A</t>
  </si>
  <si>
    <t>Handling tools supply</t>
  </si>
  <si>
    <t>Stator assembly</t>
  </si>
  <si>
    <t>Old stator dismantling</t>
  </si>
  <si>
    <t>Asbestos</t>
  </si>
  <si>
    <t>Frame (if new)</t>
  </si>
  <si>
    <t>Magnetic core</t>
  </si>
  <si>
    <t>to</t>
  </si>
  <si>
    <t>k€</t>
  </si>
  <si>
    <t>Core stacking</t>
  </si>
  <si>
    <t>Project Managem.</t>
  </si>
  <si>
    <t>TOTAL COST</t>
  </si>
  <si>
    <t>TOTAL net weight</t>
  </si>
  <si>
    <t>TOTAL equipm. costs</t>
  </si>
  <si>
    <t>TOTAL site costs</t>
  </si>
  <si>
    <t>Winding install.</t>
  </si>
  <si>
    <t>Cost per kg</t>
  </si>
  <si>
    <t>Total cost</t>
  </si>
  <si>
    <t>PEYRAT LE CHÂTEAU</t>
  </si>
  <si>
    <t>LA RANCE</t>
  </si>
  <si>
    <t>VAUGRIS</t>
  </si>
  <si>
    <t>H</t>
  </si>
  <si>
    <t>CNR</t>
  </si>
  <si>
    <t>Cegelec - JEM</t>
  </si>
  <si>
    <t>ALSTHOM</t>
  </si>
  <si>
    <t>1948-49</t>
  </si>
  <si>
    <t>1948-57</t>
  </si>
  <si>
    <t>JEM - Andritz</t>
  </si>
  <si>
    <t>Various</t>
  </si>
  <si>
    <t>1977-79</t>
  </si>
  <si>
    <t>JEUMONT Electric</t>
  </si>
  <si>
    <t>BOLLENE G4</t>
  </si>
  <si>
    <t>JEUMONT</t>
  </si>
  <si>
    <t>MARCKOLSHEIM G2</t>
  </si>
  <si>
    <t>VOGELGRÜN G3</t>
  </si>
  <si>
    <t>LA BATHIE G1345</t>
  </si>
  <si>
    <t>SAUT-MORTIER G2</t>
  </si>
  <si>
    <t>ST HILAIRE</t>
  </si>
  <si>
    <t>MANOSQUE</t>
  </si>
  <si>
    <t>RANDENS G4</t>
  </si>
  <si>
    <t>SW</t>
  </si>
  <si>
    <t>JEM - ???</t>
  </si>
  <si>
    <t>1960-61</t>
  </si>
  <si>
    <t>BEAUCHASTEL G1256</t>
  </si>
  <si>
    <t>JEUMONT/SW</t>
  </si>
  <si>
    <t>1958-60</t>
  </si>
  <si>
    <t>JEUMONT - ?</t>
  </si>
  <si>
    <t>Bars or coils</t>
  </si>
  <si>
    <t>JEM - Cegelec - ?</t>
  </si>
  <si>
    <t>Slots / clamp. bolt</t>
  </si>
  <si>
    <t>Winding</t>
  </si>
  <si>
    <t>TOTAL internal costs</t>
  </si>
  <si>
    <t>Miscell.</t>
  </si>
  <si>
    <t>Tools</t>
  </si>
  <si>
    <t>(Rotor works)</t>
  </si>
  <si>
    <t>€/kg</t>
  </si>
  <si>
    <t>h</t>
  </si>
  <si>
    <t>Total site hours</t>
  </si>
  <si>
    <t>GENISSIAT 2 - 4 (ALS)</t>
  </si>
  <si>
    <t>GENISSIAT 1 - 6 (SW)</t>
  </si>
  <si>
    <t>IT</t>
  </si>
  <si>
    <t>Percent. / TOTAL COST</t>
  </si>
  <si>
    <t>%</t>
  </si>
  <si>
    <t>Frame</t>
  </si>
  <si>
    <t>INTERNAL COSTS (for the first unit)</t>
  </si>
  <si>
    <t>?</t>
  </si>
  <si>
    <t>Engin.</t>
  </si>
  <si>
    <t>Bore Ø "D"</t>
  </si>
  <si>
    <t>Iron length "L"</t>
  </si>
  <si>
    <t>Complete stator</t>
  </si>
  <si>
    <t>"D².L"</t>
  </si>
  <si>
    <t>Power "S"</t>
  </si>
  <si>
    <t>Voltage "V"</t>
  </si>
  <si>
    <t>Poles "2p"</t>
  </si>
  <si>
    <t>m3</t>
  </si>
  <si>
    <t>€</t>
  </si>
  <si>
    <t>m².A</t>
  </si>
  <si>
    <t>"[(D+700)²-D²].L"</t>
  </si>
  <si>
    <t>"D.(L+800).S/V"</t>
  </si>
  <si>
    <t>m².V.A</t>
  </si>
  <si>
    <t>"D.L.S"</t>
  </si>
  <si>
    <t>Work variables</t>
  </si>
  <si>
    <t>"D.L"</t>
  </si>
  <si>
    <t>EQUIPMENT + SITE + INTERNAL COSTS</t>
  </si>
  <si>
    <t>B</t>
  </si>
  <si>
    <t>G</t>
  </si>
  <si>
    <t>Bondo</t>
  </si>
  <si>
    <t>Ausserfragant 1</t>
  </si>
  <si>
    <t>Ausserfragant 2</t>
  </si>
  <si>
    <t>Neuötting</t>
  </si>
  <si>
    <t>Jochenstein</t>
  </si>
  <si>
    <t>Albbruck-Dogern</t>
  </si>
  <si>
    <t>Ybbs</t>
  </si>
  <si>
    <t>Edling 1</t>
  </si>
  <si>
    <t>Edling 2</t>
  </si>
  <si>
    <t>Feistritz</t>
  </si>
  <si>
    <t>Mayrhofen</t>
  </si>
  <si>
    <t>Kaprun</t>
  </si>
  <si>
    <t>Kopswerk 1</t>
  </si>
  <si>
    <t>Tierfehd</t>
  </si>
  <si>
    <t>ASSEMBLY and SITE COSTS (for the first unit)</t>
  </si>
  <si>
    <t>ASSEMBLY and SITE COSTS</t>
  </si>
  <si>
    <t>EQUIPMENT + ASSEMBLY and SITE COSTS</t>
  </si>
  <si>
    <t>Löntsch M3</t>
  </si>
  <si>
    <t>Sanetsch</t>
  </si>
  <si>
    <t>Ackersand</t>
  </si>
  <si>
    <t>Linthal</t>
  </si>
  <si>
    <t>Achensee</t>
  </si>
  <si>
    <t>Les Farettes</t>
  </si>
  <si>
    <t>Dionysen</t>
  </si>
  <si>
    <t>Chancy Pougny 5</t>
  </si>
  <si>
    <t>Schönau 2</t>
  </si>
  <si>
    <t>Partenstein</t>
  </si>
  <si>
    <t>Schönau 1</t>
  </si>
  <si>
    <t>Göschenen # 6</t>
  </si>
  <si>
    <t>Gordola</t>
  </si>
  <si>
    <t>Schiffenen</t>
  </si>
  <si>
    <t>Sarelli</t>
  </si>
  <si>
    <t>Lajanuri</t>
  </si>
  <si>
    <t>Vrutok A &amp; B</t>
  </si>
  <si>
    <t>Reisach R3</t>
  </si>
  <si>
    <t>Göschenen # 3+4</t>
  </si>
  <si>
    <t>Fionnay FMM</t>
  </si>
  <si>
    <t>Tekapo</t>
  </si>
  <si>
    <t>Wendefurth</t>
  </si>
  <si>
    <t>Riddes</t>
  </si>
  <si>
    <t>Bärenburg KHR</t>
  </si>
  <si>
    <t>Stadsforsen G2</t>
  </si>
  <si>
    <t>Nove..71</t>
  </si>
  <si>
    <t>Stalden</t>
  </si>
  <si>
    <t>Shamb</t>
  </si>
  <si>
    <t>Vianden 2 &amp; 5</t>
  </si>
  <si>
    <t>Rossaga</t>
  </si>
  <si>
    <t>Markersbach</t>
  </si>
  <si>
    <t xml:space="preserve">Waldeck 2  # 6 </t>
  </si>
  <si>
    <t>Weinzödl</t>
  </si>
  <si>
    <t>Hagneck</t>
  </si>
  <si>
    <t>Insulation</t>
  </si>
  <si>
    <t>Birr</t>
  </si>
  <si>
    <t>R</t>
  </si>
  <si>
    <t>F</t>
  </si>
  <si>
    <t>Opt</t>
  </si>
  <si>
    <t>N</t>
  </si>
  <si>
    <t>Y</t>
  </si>
  <si>
    <t>Belf.</t>
  </si>
  <si>
    <t xml:space="preserve">Jt(S)/ A(R) </t>
  </si>
  <si>
    <t>E</t>
  </si>
  <si>
    <t>I</t>
  </si>
  <si>
    <t>MT</t>
  </si>
  <si>
    <t>W</t>
  </si>
  <si>
    <t>L</t>
  </si>
  <si>
    <t>EB</t>
  </si>
  <si>
    <t>GP</t>
  </si>
  <si>
    <t>MATERIAL COSTS (for the first unit)</t>
  </si>
  <si>
    <t>EWZ</t>
  </si>
  <si>
    <t>Kelag</t>
  </si>
  <si>
    <t>Verbund</t>
  </si>
  <si>
    <t>Ennskraftwerke</t>
  </si>
  <si>
    <t>GKW</t>
  </si>
  <si>
    <t>Radag</t>
  </si>
  <si>
    <t xml:space="preserve"> Illwerke VKW</t>
  </si>
  <si>
    <t>Axpo</t>
  </si>
  <si>
    <t>CH</t>
  </si>
  <si>
    <t>D</t>
  </si>
  <si>
    <t>Voith, Andritz, ABB</t>
  </si>
  <si>
    <t xml:space="preserve">Voith, Andritz, </t>
  </si>
  <si>
    <t>Voith, Andritz</t>
  </si>
  <si>
    <t>MC</t>
  </si>
  <si>
    <t>STATOR NET WEIGHT (per Unit) (without frame)</t>
  </si>
  <si>
    <t>S</t>
  </si>
  <si>
    <t>Ferrera KHR</t>
  </si>
  <si>
    <t>Sils KHR</t>
  </si>
  <si>
    <t>Nendaz 3 &amp; 4</t>
  </si>
  <si>
    <t>Bilbao</t>
  </si>
  <si>
    <t>Upper Molina</t>
  </si>
  <si>
    <t>Lower Molina</t>
  </si>
  <si>
    <t>La Oliana</t>
  </si>
  <si>
    <t>Belesar</t>
  </si>
  <si>
    <t>Guadalmellato</t>
  </si>
  <si>
    <t>Terradets</t>
  </si>
  <si>
    <t>Porto</t>
  </si>
  <si>
    <t>Termens</t>
  </si>
  <si>
    <t>San Juan</t>
  </si>
  <si>
    <t>Llavorsi</t>
  </si>
  <si>
    <t>Castrelo</t>
  </si>
  <si>
    <t>Guillena</t>
  </si>
  <si>
    <t>US BUREAU OF RECLAMATION</t>
  </si>
  <si>
    <t>ENDESA</t>
  </si>
  <si>
    <t>GAS NATURAL FENOSA</t>
  </si>
  <si>
    <t>USA</t>
  </si>
  <si>
    <t>Spain</t>
  </si>
  <si>
    <t>Bilb.</t>
  </si>
  <si>
    <t>Insul</t>
  </si>
  <si>
    <t>STATOR NET WEIGHT (per Unit) (with frame)</t>
  </si>
  <si>
    <t>(Miscel.)</t>
  </si>
  <si>
    <t>(Transp.)</t>
  </si>
  <si>
    <t>(Miscell.)</t>
  </si>
  <si>
    <t>EQUIPMENT COSTS (without frame)</t>
  </si>
  <si>
    <t>MATERIAL COSTS (for the first unit) (with frame)</t>
  </si>
  <si>
    <t>Löntsch M3 (MC)</t>
  </si>
  <si>
    <t>Bondo (MC)</t>
  </si>
  <si>
    <t>Sanetsch (MC)</t>
  </si>
  <si>
    <t>Ackersand (MC)</t>
  </si>
  <si>
    <t>Linthal (MC)</t>
  </si>
  <si>
    <t>Achensee (MC)</t>
  </si>
  <si>
    <r>
      <t>"</t>
    </r>
    <r>
      <rPr>
        <sz val="11"/>
        <color rgb="FFFF0000"/>
        <rFont val="Calibri"/>
        <family val="2"/>
      </rPr>
      <t>√</t>
    </r>
    <r>
      <rPr>
        <sz val="8.8000000000000007"/>
        <color rgb="FFFF0000"/>
        <rFont val="Calibri"/>
        <family val="2"/>
      </rPr>
      <t>(</t>
    </r>
    <r>
      <rPr>
        <sz val="11"/>
        <color rgb="FFFF0000"/>
        <rFont val="Calibri"/>
        <family val="2"/>
        <scheme val="minor"/>
      </rPr>
      <t>D.(L+800)).S"</t>
    </r>
  </si>
  <si>
    <r>
      <t>"</t>
    </r>
    <r>
      <rPr>
        <sz val="11"/>
        <color rgb="FFFF0000"/>
        <rFont val="Calibri"/>
        <family val="2"/>
      </rPr>
      <t>√</t>
    </r>
    <r>
      <rPr>
        <sz val="8.8000000000000007"/>
        <color rgb="FFFF0000"/>
        <rFont val="Calibri"/>
        <family val="2"/>
      </rPr>
      <t>(</t>
    </r>
    <r>
      <rPr>
        <sz val="11"/>
        <color rgb="FFFF0000"/>
        <rFont val="Calibri"/>
        <family val="2"/>
        <scheme val="minor"/>
      </rPr>
      <t>D.L.2p).S/V"</t>
    </r>
  </si>
  <si>
    <r>
      <rPr>
        <sz val="11"/>
        <color rgb="FFFF0000"/>
        <rFont val="Calibri"/>
        <family val="2"/>
      </rPr>
      <t>√</t>
    </r>
    <r>
      <rPr>
        <sz val="8.8000000000000007"/>
        <color rgb="FFFF0000"/>
        <rFont val="Calibri"/>
        <family val="2"/>
      </rPr>
      <t>(</t>
    </r>
    <r>
      <rPr>
        <sz val="11"/>
        <color rgb="FFFF0000"/>
        <rFont val="Calibri"/>
        <family val="2"/>
        <scheme val="minor"/>
      </rPr>
      <t>m²/rpm).A</t>
    </r>
  </si>
  <si>
    <r>
      <t>"D.</t>
    </r>
    <r>
      <rPr>
        <sz val="11"/>
        <color rgb="FFFF0000"/>
        <rFont val="Calibri"/>
        <family val="2"/>
      </rPr>
      <t>√</t>
    </r>
    <r>
      <rPr>
        <sz val="8.8000000000000007"/>
        <color rgb="FFFF0000"/>
        <rFont val="Calibri"/>
        <family val="2"/>
      </rPr>
      <t>L"</t>
    </r>
  </si>
  <si>
    <r>
      <t>"D.L.</t>
    </r>
    <r>
      <rPr>
        <sz val="11"/>
        <color rgb="FFFF0000"/>
        <rFont val="Calibri"/>
        <family val="2"/>
      </rPr>
      <t>√</t>
    </r>
    <r>
      <rPr>
        <sz val="8.8000000000000007"/>
        <color rgb="FFFF0000"/>
        <rFont val="Calibri"/>
        <family val="2"/>
      </rPr>
      <t>L"</t>
    </r>
  </si>
  <si>
    <t>(W) : winding only</t>
  </si>
  <si>
    <r>
      <t xml:space="preserve">Bodendorf </t>
    </r>
    <r>
      <rPr>
        <i/>
        <sz val="11"/>
        <color theme="1"/>
        <rFont val="Calibri"/>
        <family val="2"/>
        <scheme val="minor"/>
      </rPr>
      <t>(W)</t>
    </r>
  </si>
  <si>
    <r>
      <t xml:space="preserve">Schiffenen </t>
    </r>
    <r>
      <rPr>
        <i/>
        <sz val="11"/>
        <color theme="1"/>
        <rFont val="Calibri"/>
        <family val="2"/>
        <scheme val="minor"/>
      </rPr>
      <t>(W)</t>
    </r>
  </si>
  <si>
    <r>
      <t xml:space="preserve">Rosshag </t>
    </r>
    <r>
      <rPr>
        <i/>
        <sz val="11"/>
        <color theme="1"/>
        <rFont val="Calibri"/>
        <family val="2"/>
        <scheme val="minor"/>
      </rPr>
      <t>(W)</t>
    </r>
  </si>
  <si>
    <r>
      <t xml:space="preserve">Sölk </t>
    </r>
    <r>
      <rPr>
        <i/>
        <sz val="11"/>
        <color theme="1"/>
        <rFont val="Calibri"/>
        <family val="2"/>
        <scheme val="minor"/>
      </rPr>
      <t>(W)</t>
    </r>
  </si>
  <si>
    <t>sum</t>
  </si>
  <si>
    <r>
      <t xml:space="preserve">Bodendorf </t>
    </r>
    <r>
      <rPr>
        <i/>
        <sz val="10"/>
        <color theme="1"/>
        <rFont val="Calibri"/>
        <family val="2"/>
        <scheme val="minor"/>
      </rPr>
      <t>(W)</t>
    </r>
  </si>
  <si>
    <r>
      <t xml:space="preserve">Schiffenen </t>
    </r>
    <r>
      <rPr>
        <i/>
        <sz val="10"/>
        <color theme="1"/>
        <rFont val="Calibri"/>
        <family val="2"/>
        <scheme val="minor"/>
      </rPr>
      <t>(W)</t>
    </r>
  </si>
  <si>
    <r>
      <t xml:space="preserve">Rosshag </t>
    </r>
    <r>
      <rPr>
        <i/>
        <sz val="10"/>
        <color theme="1"/>
        <rFont val="Calibri"/>
        <family val="2"/>
        <scheme val="minor"/>
      </rPr>
      <t>(W)</t>
    </r>
  </si>
  <si>
    <r>
      <t xml:space="preserve">Sölk </t>
    </r>
    <r>
      <rPr>
        <i/>
        <sz val="10"/>
        <color theme="1"/>
        <rFont val="Calibri"/>
        <family val="2"/>
        <scheme val="minor"/>
      </rPr>
      <t>(W)</t>
    </r>
  </si>
  <si>
    <r>
      <t>Bodendorf</t>
    </r>
    <r>
      <rPr>
        <i/>
        <sz val="10"/>
        <color theme="1"/>
        <rFont val="Calibri"/>
        <family val="2"/>
        <scheme val="minor"/>
      </rPr>
      <t xml:space="preserve"> (W)</t>
    </r>
  </si>
  <si>
    <t>Type</t>
  </si>
  <si>
    <t>Complete winding</t>
  </si>
  <si>
    <t>Slots "Ne"</t>
  </si>
  <si>
    <t>Bars or coils
(without spares)</t>
  </si>
  <si>
    <t>"Ne.(L+800).S"</t>
  </si>
  <si>
    <t>LA RANCE (B)</t>
  </si>
  <si>
    <t>VAUGRIS (B)</t>
  </si>
  <si>
    <t>With frame</t>
  </si>
  <si>
    <t xml:space="preserve">Birr </t>
  </si>
  <si>
    <t>R²</t>
  </si>
  <si>
    <t>Linear</t>
  </si>
  <si>
    <t>Logarithmic</t>
  </si>
  <si>
    <t>Polynomial</t>
  </si>
  <si>
    <t>Without frame</t>
  </si>
  <si>
    <t>R² is better in "D.L" in all the cases, except for "Birr with frame" for which R² is better in "D².L"</t>
  </si>
  <si>
    <t>best representation</t>
  </si>
  <si>
    <t xml:space="preserve"> PROJECT INFO</t>
  </si>
  <si>
    <t xml:space="preserve"> TECHNICAL DATA</t>
  </si>
  <si>
    <t xml:space="preserve"> General</t>
  </si>
  <si>
    <t xml:space="preserve"> Original data</t>
  </si>
  <si>
    <t xml:space="preserve"> New data</t>
  </si>
  <si>
    <t xml:space="preserve"> SITE DATA</t>
  </si>
  <si>
    <t xml:space="preserve"> STATOR NET WEIGHT (per Unit)</t>
  </si>
  <si>
    <t xml:space="preserve"> INTERNAL COSTS (first unit)</t>
  </si>
  <si>
    <t xml:space="preserve"> TOTAL COST</t>
  </si>
  <si>
    <t>(New air coolers)</t>
  </si>
  <si>
    <t>Other / Bars</t>
  </si>
  <si>
    <t>Winding - Miscellaneous</t>
  </si>
  <si>
    <t>Parallel circuits</t>
  </si>
  <si>
    <t>Ampere / slot</t>
  </si>
  <si>
    <t>C//</t>
  </si>
  <si>
    <t>Amp./ slot</t>
  </si>
  <si>
    <t>Laminations
(1)</t>
  </si>
  <si>
    <t>Clamping devices
(2)</t>
  </si>
  <si>
    <t>Clamping / laminations</t>
  </si>
  <si>
    <t>Ext. Ø (DE)</t>
  </si>
  <si>
    <t>Bore Ø (D)</t>
  </si>
  <si>
    <t>Iron length (L)</t>
  </si>
  <si>
    <t>Slot number (NS)</t>
  </si>
  <si>
    <t>Slot section (SS)</t>
  </si>
  <si>
    <t>Amp. / slot (APS)</t>
  </si>
  <si>
    <t>Current density (CD)</t>
  </si>
  <si>
    <t>Useful iron length (LU)</t>
  </si>
  <si>
    <t>kg</t>
  </si>
  <si>
    <t>max</t>
  </si>
  <si>
    <t>min</t>
  </si>
  <si>
    <t>weighted average</t>
  </si>
  <si>
    <t>WEIGHTS (kg) - COSTS(k€)</t>
  </si>
  <si>
    <t>(1) - Laminations</t>
  </si>
  <si>
    <t>(2) - Clamping devices</t>
  </si>
  <si>
    <t>PARAMETERS</t>
  </si>
  <si>
    <t>Voltage (V)</t>
  </si>
  <si>
    <t>Laminations cost (LC)</t>
  </si>
  <si>
    <t>Price / kg (PUL)</t>
  </si>
  <si>
    <t>LC = WL*PUL</t>
  </si>
  <si>
    <t>1743</t>
  </si>
  <si>
    <t>MAGNETIC CORE</t>
  </si>
  <si>
    <t>WINDING</t>
  </si>
  <si>
    <t>Net weight (WL)</t>
  </si>
  <si>
    <t>Copper section (CS)</t>
  </si>
  <si>
    <t>Insulation section (IS)</t>
  </si>
  <si>
    <t>SS = CS+IS</t>
  </si>
  <si>
    <t>CS = APS/CD</t>
  </si>
  <si>
    <t>Dielectric strength (DS)</t>
  </si>
  <si>
    <t>Comments</t>
  </si>
  <si>
    <t>Apparent power (S)</t>
  </si>
  <si>
    <t>Parallel circuits (PC)</t>
  </si>
  <si>
    <t>APS = 2*[S/V/3^(1/2)]/PC</t>
  </si>
  <si>
    <t>PC = SI(S&gt;60;SI(2I&gt;12000;4;SI(2I&gt;6000;2;1));SI(2I&gt;10000;4;SI(2I&gt;5000;2;1))) avec I = S/V/3^(1/2)</t>
  </si>
  <si>
    <t>DS = 2,6 kV/mm</t>
  </si>
  <si>
    <t>23055</t>
  </si>
  <si>
    <t>23100</t>
  </si>
  <si>
    <t>17247</t>
  </si>
  <si>
    <t>73606</t>
  </si>
  <si>
    <t>11460</t>
  </si>
  <si>
    <t>PUL = 3,8 €/kg</t>
  </si>
  <si>
    <t>DE</t>
  </si>
  <si>
    <t>NS</t>
  </si>
  <si>
    <t>LC</t>
  </si>
  <si>
    <t>CS</t>
  </si>
  <si>
    <t>IS</t>
  </si>
  <si>
    <t>APS</t>
  </si>
  <si>
    <t>SS</t>
  </si>
  <si>
    <t>WL</t>
  </si>
  <si>
    <t>Calculations</t>
  </si>
  <si>
    <t>PC</t>
  </si>
  <si>
    <t>Data</t>
  </si>
  <si>
    <t>CS = L.H avec H/2 = 4.L --&gt; CS = 8.L² --&gt; L=(CS/8)^(1/2)
IS=(4L+2H)*e avec e=V/DS
--&gt; IS = 8,5*(CS/8)^(1/2)*V/DS - Taking into account wedging : +10%</t>
  </si>
  <si>
    <t>IS = 8,5*(CS/8)^(1/2)*V/DS*1,1</t>
  </si>
  <si>
    <t>LV</t>
  </si>
  <si>
    <t>Air duct length (LV)</t>
  </si>
  <si>
    <t>LU = L-LV</t>
  </si>
  <si>
    <r>
      <rPr>
        <sz val="10"/>
        <color theme="1"/>
        <rFont val="Calibri"/>
        <family val="2"/>
      </rPr>
      <t>Δ</t>
    </r>
    <r>
      <rPr>
        <sz val="8"/>
        <color theme="1"/>
        <rFont val="Calibri"/>
        <family val="2"/>
      </rPr>
      <t>WL</t>
    </r>
  </si>
  <si>
    <t>WL (kg)</t>
  </si>
  <si>
    <t>moy. pond.</t>
  </si>
  <si>
    <t>moy.</t>
  </si>
  <si>
    <r>
      <t>Δ</t>
    </r>
    <r>
      <rPr>
        <sz val="8"/>
        <color theme="1"/>
        <rFont val="Calibri"/>
        <family val="2"/>
      </rPr>
      <t>LC</t>
    </r>
  </si>
  <si>
    <t>Units</t>
  </si>
  <si>
    <t>L*.D*</t>
  </si>
  <si>
    <r>
      <t xml:space="preserve">Laminations unit price is very variable. We won't use it, but the total magnetic core one.
</t>
    </r>
    <r>
      <rPr>
        <i/>
        <sz val="10"/>
        <color theme="1"/>
        <rFont val="Calibri"/>
        <family val="2"/>
        <scheme val="minor"/>
      </rPr>
      <t>Le prix unitaire des tôles est très variable. Nous n'utiliserons que celui du circuit magnétique complet.</t>
    </r>
  </si>
  <si>
    <t>Lamination net weight (WL)</t>
  </si>
  <si>
    <t>Clamping device net weight (WCL)</t>
  </si>
  <si>
    <t>WCL = (0,6687*[%]^(-0,391))*WL</t>
  </si>
  <si>
    <t>[%] = L^1,7*D^(-0,55)/10</t>
  </si>
  <si>
    <t>X</t>
  </si>
  <si>
    <t>WCL</t>
  </si>
  <si>
    <t xml:space="preserve">Total (3) </t>
  </si>
  <si>
    <t>Bars
(4)</t>
  </si>
  <si>
    <t>Other (5)</t>
  </si>
  <si>
    <t>Total (6)</t>
  </si>
  <si>
    <t>(3) - Magnetic core</t>
  </si>
  <si>
    <t>Magnetic core weight (WMC)</t>
  </si>
  <si>
    <t>Magnetic core cost (MCC)</t>
  </si>
  <si>
    <t>Price /kg (PUMC)</t>
  </si>
  <si>
    <t>MCC = WMC*PUMC</t>
  </si>
  <si>
    <t>WMC = WL + WCL</t>
  </si>
  <si>
    <t xml:space="preserve">PUMC = </t>
  </si>
  <si>
    <t>WMC</t>
  </si>
  <si>
    <t>PUMC</t>
  </si>
  <si>
    <t>MCC</t>
  </si>
  <si>
    <t>WCL (kg)</t>
  </si>
  <si>
    <t>WMC (kg)</t>
  </si>
  <si>
    <t>(4) - Bars</t>
  </si>
  <si>
    <t>Bars cost (BC)</t>
  </si>
  <si>
    <t>Bars copper weight (WBC)</t>
  </si>
  <si>
    <t>Bars insulation weight (WBI)</t>
  </si>
  <si>
    <t>Copper price /kg (PUC)</t>
  </si>
  <si>
    <t>Insulation price /kg (PUI)</t>
  </si>
  <si>
    <t>BC = WBC*PUC + WBI*PUI</t>
  </si>
  <si>
    <t xml:space="preserve">PUC = </t>
  </si>
  <si>
    <t xml:space="preserve">PUI = </t>
  </si>
  <si>
    <t>WBC = NS*CS*LB*8,9E-6</t>
  </si>
  <si>
    <t>Bars length (LB)</t>
  </si>
  <si>
    <t>Straight part length (LSP)</t>
  </si>
  <si>
    <t>End part length (LEP)</t>
  </si>
  <si>
    <t>Overlength : 50mm/7kV/70mm/11,5kV/85mm/16kV/100mm</t>
  </si>
  <si>
    <t>Overlength (LO)</t>
  </si>
  <si>
    <t>LSP = L + 2*LO</t>
  </si>
  <si>
    <t>Pole number (NP)</t>
  </si>
  <si>
    <t>LB = LSP + LEP</t>
  </si>
  <si>
    <t>NP</t>
  </si>
  <si>
    <t>LEP</t>
  </si>
  <si>
    <t>Winding pitch (PW) = ENT(5/6*NS/NP+0,5)
Distance between straigth parts (DSP) = PI*D*PW/NS - Involute angle = 37°
LEP = 1,01*DSP*COS(45°) + 200   (involute angle of inclination= 8° - 1/COS(8°)= 1,01)</t>
  </si>
  <si>
    <t>LEP = 1,01*PI*D*ENT(5/6*NS/NP+0,5)/NS/COS(37°)+200</t>
  </si>
  <si>
    <t>LO</t>
  </si>
  <si>
    <t>LO = SI(V&gt;16;95;SI(V&gt;11,5;80;SI(V&gt;7;65;50)))</t>
  </si>
  <si>
    <t>LSP</t>
  </si>
  <si>
    <t>LB</t>
  </si>
  <si>
    <t>WBC</t>
  </si>
  <si>
    <t>WBI</t>
  </si>
  <si>
    <t>WB</t>
  </si>
  <si>
    <t>ΔWB</t>
  </si>
  <si>
    <t>WBI = NS*IS/1,1/2*(LB-100)*2,3E-6</t>
  </si>
  <si>
    <t>Insulation density : 2,3 kg/m3</t>
  </si>
  <si>
    <t>Gen / Bulb</t>
  </si>
  <si>
    <t>CD</t>
  </si>
  <si>
    <t>R² =</t>
  </si>
  <si>
    <t>N*.D*.WMC*</t>
  </si>
  <si>
    <t>Limite inf.</t>
  </si>
  <si>
    <t>Limite sup.</t>
  </si>
  <si>
    <t>Variables</t>
  </si>
  <si>
    <t>maxi obtenu</t>
  </si>
  <si>
    <t>sans St Hilaire</t>
  </si>
  <si>
    <t>D².L/NP/MVA*V</t>
  </si>
  <si>
    <t>Alstom</t>
  </si>
  <si>
    <t>Contractor</t>
  </si>
  <si>
    <t>JEM</t>
  </si>
  <si>
    <t>Cegelec</t>
  </si>
  <si>
    <t>JE</t>
  </si>
  <si>
    <t>Andritz - JE - Cegelec</t>
  </si>
  <si>
    <t>JEM - Andritz?</t>
  </si>
  <si>
    <t>JEM - Cegelec?</t>
  </si>
  <si>
    <t>Estimated market price</t>
  </si>
  <si>
    <t>MARCKOLSHEIM G2 G1</t>
  </si>
  <si>
    <t>a</t>
  </si>
  <si>
    <t>b</t>
  </si>
  <si>
    <t>R² puissance</t>
  </si>
  <si>
    <t>R² polynom.</t>
  </si>
  <si>
    <t>Matrice courbe tendance polynomiale</t>
  </si>
  <si>
    <t>D^a*L^b</t>
  </si>
  <si>
    <t>Objectif</t>
  </si>
  <si>
    <t>Function : DROITEREG(V4:V18;U4:U18^{1.2};VRAI;VRAI)</t>
  </si>
  <si>
    <t>Peyrat supprimé car l'espace réduit pour les développantes a forcé à diminuer la section des barres</t>
  </si>
  <si>
    <t>avec Peyrat</t>
  </si>
  <si>
    <t>x = D^1,7182*L^1,6584*NP^-1,098*MVA^-1,3708*V^0,43357/1E06
CD = 37,345*x^-0,537</t>
  </si>
  <si>
    <t>CD = 37,345*x^-0,537</t>
  </si>
  <si>
    <t>x</t>
  </si>
  <si>
    <t>calculé</t>
  </si>
  <si>
    <t>sans Peyrat</t>
  </si>
  <si>
    <t>abandonné</t>
  </si>
  <si>
    <t>Lim. inf.</t>
  </si>
  <si>
    <t>Lim. sup.</t>
  </si>
  <si>
    <t>R²=</t>
  </si>
  <si>
    <t>puissance</t>
  </si>
  <si>
    <t>linéaire</t>
  </si>
  <si>
    <t>x = D^2*L^1,304*NP^-1,296*MVA^0,1483*V^0,5303/1E09
LV = 3,3404*x+83,899</t>
  </si>
  <si>
    <t>LV = 3,3404*x+83,899</t>
  </si>
  <si>
    <t>Calculations (x : intermediate variable)</t>
  </si>
  <si>
    <t>Current density</t>
  </si>
  <si>
    <t>Magnetic core price /kg</t>
  </si>
  <si>
    <r>
      <t xml:space="preserve">0,92 coefficient to take into account holes for guiding keys and clamping bolts
</t>
    </r>
    <r>
      <rPr>
        <i/>
        <sz val="10"/>
        <color theme="1"/>
        <rFont val="Calibri"/>
        <family val="2"/>
        <scheme val="minor"/>
      </rPr>
      <t>Coefficient de 0,92 pour tenir compte des clavettes et tiges serrage</t>
    </r>
  </si>
  <si>
    <t>WL = 0,92*[PI/4*(DE²-D²)-NS*SS]*LU*7,6E-6</t>
  </si>
  <si>
    <t>c</t>
  </si>
  <si>
    <t>d</t>
  </si>
  <si>
    <t>e</t>
  </si>
  <si>
    <t>D*.L*.N*.MVA*.V*</t>
  </si>
  <si>
    <t>Mini</t>
  </si>
  <si>
    <t>Maxi</t>
  </si>
  <si>
    <t>MC (k€)</t>
  </si>
  <si>
    <t>Wind. (k€)</t>
  </si>
  <si>
    <t>Rest of winding</t>
  </si>
  <si>
    <t>(Tools)</t>
  </si>
  <si>
    <t xml:space="preserve"> STATOR MATERIAL COSTS (for the first unit)</t>
  </si>
  <si>
    <t xml:space="preserve"> STATOR ASSEMBLY and SITE COSTS (for the first unit)</t>
  </si>
  <si>
    <t>Np</t>
  </si>
  <si>
    <t>Ns</t>
  </si>
  <si>
    <t>Site</t>
  </si>
  <si>
    <t>STATOR COSTS DATA</t>
  </si>
  <si>
    <t>Project</t>
  </si>
  <si>
    <t>Magnetic Core</t>
  </si>
  <si>
    <t>f</t>
  </si>
  <si>
    <t>Variab.</t>
  </si>
  <si>
    <t>x = S^a*V^b*Np^c*D^d*L^e*Ns^f</t>
  </si>
  <si>
    <t>xMC</t>
  </si>
  <si>
    <t>yMC</t>
  </si>
  <si>
    <t>Value</t>
  </si>
  <si>
    <t>ARAPUNI</t>
  </si>
  <si>
    <t>INDEX(DROITEREG(SI(yMC&lt;&gt;0;yMC);SI(xMC&lt;&gt;0;xMC)^{1.2};;1);3;1)</t>
  </si>
  <si>
    <t>Target</t>
  </si>
  <si>
    <t>R² max</t>
  </si>
  <si>
    <t>R² avec valeurs nulles :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</si>
  <si>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</si>
  <si>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</si>
  <si>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</si>
  <si>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</si>
  <si>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</si>
  <si>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</si>
  <si>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</si>
  <si>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</si>
  <si>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</si>
  <si>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</si>
  <si>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</si>
  <si>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</si>
  <si>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</si>
  <si>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</si>
  <si>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</si>
  <si>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</si>
  <si>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</si>
  <si>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</si>
  <si>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</si>
  <si>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</si>
  <si>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</si>
  <si>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</si>
  <si>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</si>
  <si>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</si>
  <si>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</si>
  <si>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</si>
  <si>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</si>
  <si>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</si>
  <si>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</si>
  <si>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</si>
  <si>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</si>
  <si>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</si>
  <si>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</si>
  <si>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</si>
  <si>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</si>
  <si>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</si>
  <si>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</si>
  <si>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</si>
  <si>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P39</t>
  </si>
  <si>
    <t>P40</t>
  </si>
  <si>
    <t>P41</t>
  </si>
  <si>
    <t>P42</t>
  </si>
  <si>
    <t>P43</t>
  </si>
  <si>
    <t>P44</t>
  </si>
  <si>
    <t>P45</t>
  </si>
  <si>
    <t>P46</t>
  </si>
  <si>
    <t>P47</t>
  </si>
  <si>
    <t>P48</t>
  </si>
  <si>
    <t>P49</t>
  </si>
  <si>
    <t>P50</t>
  </si>
  <si>
    <t>P51</t>
  </si>
  <si>
    <t>P52</t>
  </si>
  <si>
    <t>P53</t>
  </si>
  <si>
    <t>P54</t>
  </si>
  <si>
    <t>P55</t>
  </si>
  <si>
    <t>P56</t>
  </si>
  <si>
    <t>P57</t>
  </si>
  <si>
    <t>P58</t>
  </si>
  <si>
    <t>P59</t>
  </si>
  <si>
    <t>P60</t>
  </si>
  <si>
    <t>P61</t>
  </si>
  <si>
    <t>P62</t>
  </si>
  <si>
    <t>P63</t>
  </si>
  <si>
    <t>P64</t>
  </si>
  <si>
    <t>P65</t>
  </si>
  <si>
    <t>P66</t>
  </si>
  <si>
    <t>P67</t>
  </si>
  <si>
    <t>P68</t>
  </si>
  <si>
    <t>P69</t>
  </si>
  <si>
    <t>P70</t>
  </si>
  <si>
    <t>P71</t>
  </si>
  <si>
    <t>P72</t>
  </si>
  <si>
    <t>P73</t>
  </si>
  <si>
    <t>P74</t>
  </si>
  <si>
    <t>P75</t>
  </si>
  <si>
    <t>P76</t>
  </si>
  <si>
    <t>P77</t>
  </si>
  <si>
    <t>P78</t>
  </si>
  <si>
    <t>P79</t>
  </si>
  <si>
    <t>P80</t>
  </si>
  <si>
    <t>P81</t>
  </si>
  <si>
    <t>P82</t>
  </si>
  <si>
    <t>P83</t>
  </si>
  <si>
    <t>P84</t>
  </si>
  <si>
    <t>P85</t>
  </si>
  <si>
    <t>EXAMPLE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</si>
</sst>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3" formatCode="_-* #,##0.00\ _€_-;\-* #,##0.00\ _€_-;_-* &quot;-&quot;??\ _€_-;_-@_-"/>
    <numFmt numFmtId="164" formatCode="[$-40C]mmm\-yy;@"/>
    <numFmt numFmtId="165" formatCode="0.0"/>
    <numFmt numFmtId="166" formatCode="_-* #,##0.00\ _F_-;\-* #,##0.00\ _F_-;_-* &quot;-&quot;??\ _F_-;_-@_-"/>
    <numFmt numFmtId="167" formatCode="0.0%"/>
    <numFmt numFmtId="168" formatCode="0.00000000000"/>
    <numFmt numFmtId="169" formatCode="0.0000"/>
    <numFmt numFmtId="170" formatCode="0.00000"/>
    <numFmt numFmtId="171" formatCode="_-* #,##0.00000\ _€_-;\-* #,##0.00000\ _€_-;_-* &quot;-&quot;??\ _€_-;_-@_-"/>
    <numFmt numFmtId="172" formatCode="0.000"/>
    <numFmt numFmtId="173" formatCode="0.000000000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24"/>
      <name val="Arial"/>
      <family val="2"/>
    </font>
    <font>
      <sz val="10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sz val="8.8000000000000007"/>
      <color rgb="FFFF0000"/>
      <name val="Calibri"/>
      <family val="2"/>
    </font>
    <font>
      <i/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8"/>
      <color theme="1"/>
      <name val="Calibri"/>
      <family val="2"/>
    </font>
    <font>
      <sz val="10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theme="1"/>
      <name val="Calibri"/>
      <family val="2"/>
    </font>
  </fonts>
  <fills count="2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lightUp"/>
    </fill>
    <fill>
      <patternFill patternType="lightUp">
        <bgColor theme="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lightUp">
        <fgColor theme="0" tint="-0.499984740745262"/>
        <bgColor indexed="65"/>
      </patternFill>
    </fill>
    <fill>
      <patternFill patternType="lightUp">
        <fgColor theme="0" tint="-0.499984740745262"/>
        <bgColor theme="0" tint="-0.14999847407452621"/>
      </patternFill>
    </fill>
    <fill>
      <patternFill patternType="lightUp">
        <fgColor theme="0" tint="-0.499984740745262"/>
        <bgColor theme="6" tint="0.79992065187536243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0" fontId="4" fillId="0" borderId="0"/>
    <xf numFmtId="3" fontId="5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2" fontId="5" fillId="0" borderId="0" applyFont="0" applyFill="0" applyBorder="0" applyAlignment="0" applyProtection="0"/>
    <xf numFmtId="9" fontId="21" fillId="0" borderId="0" applyFont="0" applyFill="0" applyBorder="0" applyAlignment="0" applyProtection="0"/>
    <xf numFmtId="43" fontId="21" fillId="0" borderId="0" applyFont="0" applyFill="0" applyBorder="0" applyAlignment="0" applyProtection="0"/>
  </cellStyleXfs>
  <cellXfs count="431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quotePrefix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165" fontId="0" fillId="0" borderId="1" xfId="0" applyNumberFormat="1" applyBorder="1" applyAlignment="1">
      <alignment vertical="center" wrapText="1"/>
    </xf>
    <xf numFmtId="165" fontId="0" fillId="0" borderId="0" xfId="0" applyNumberFormat="1" applyAlignment="1">
      <alignment vertical="center" wrapText="1"/>
    </xf>
    <xf numFmtId="165" fontId="0" fillId="0" borderId="0" xfId="0" applyNumberFormat="1" applyBorder="1" applyAlignment="1">
      <alignment vertical="center" wrapText="1"/>
    </xf>
    <xf numFmtId="0" fontId="1" fillId="0" borderId="5" xfId="0" applyFont="1" applyBorder="1" applyAlignment="1">
      <alignment vertical="center"/>
    </xf>
    <xf numFmtId="0" fontId="0" fillId="0" borderId="5" xfId="0" applyBorder="1" applyAlignment="1">
      <alignment vertical="center"/>
    </xf>
    <xf numFmtId="165" fontId="1" fillId="0" borderId="0" xfId="0" applyNumberFormat="1" applyFont="1" applyAlignment="1">
      <alignment vertical="center" wrapText="1"/>
    </xf>
    <xf numFmtId="165" fontId="1" fillId="0" borderId="0" xfId="0" applyNumberFormat="1" applyFont="1" applyBorder="1" applyAlignment="1">
      <alignment vertical="center" wrapText="1"/>
    </xf>
    <xf numFmtId="1" fontId="3" fillId="0" borderId="0" xfId="0" applyNumberFormat="1" applyFont="1" applyBorder="1" applyAlignment="1">
      <alignment vertical="center" wrapText="1"/>
    </xf>
    <xf numFmtId="1" fontId="0" fillId="0" borderId="0" xfId="0" applyNumberFormat="1" applyBorder="1" applyAlignment="1">
      <alignment vertical="center" wrapText="1"/>
    </xf>
    <xf numFmtId="165" fontId="0" fillId="0" borderId="0" xfId="0" applyNumberFormat="1" applyFont="1" applyBorder="1" applyAlignment="1">
      <alignment vertical="center" wrapText="1"/>
    </xf>
    <xf numFmtId="0" fontId="3" fillId="0" borderId="0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0" fillId="0" borderId="4" xfId="0" applyBorder="1" applyAlignment="1">
      <alignment vertical="center"/>
    </xf>
    <xf numFmtId="165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vertical="center" wrapText="1"/>
    </xf>
    <xf numFmtId="165" fontId="2" fillId="0" borderId="0" xfId="0" applyNumberFormat="1" applyFont="1" applyAlignment="1">
      <alignment vertical="center" wrapText="1"/>
    </xf>
    <xf numFmtId="1" fontId="0" fillId="0" borderId="0" xfId="0" applyNumberFormat="1" applyBorder="1" applyAlignment="1">
      <alignment horizontal="center" vertical="center" wrapText="1"/>
    </xf>
    <xf numFmtId="165" fontId="0" fillId="0" borderId="0" xfId="0" applyNumberFormat="1" applyFill="1" applyAlignment="1">
      <alignment vertical="center" wrapText="1"/>
    </xf>
    <xf numFmtId="165" fontId="0" fillId="0" borderId="0" xfId="0" applyNumberFormat="1" applyFill="1" applyBorder="1" applyAlignment="1">
      <alignment vertical="center" wrapText="1"/>
    </xf>
    <xf numFmtId="165" fontId="0" fillId="0" borderId="0" xfId="0" applyNumberFormat="1" applyAlignment="1">
      <alignment horizontal="right" vertical="center" wrapText="1"/>
    </xf>
    <xf numFmtId="0" fontId="1" fillId="0" borderId="6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165" fontId="0" fillId="0" borderId="2" xfId="0" applyNumberFormat="1" applyBorder="1" applyAlignment="1">
      <alignment vertical="center" wrapText="1"/>
    </xf>
    <xf numFmtId="165" fontId="2" fillId="0" borderId="0" xfId="0" applyNumberFormat="1" applyFont="1" applyBorder="1" applyAlignment="1">
      <alignment vertical="center" wrapText="1"/>
    </xf>
    <xf numFmtId="165" fontId="0" fillId="0" borderId="0" xfId="0" applyNumberFormat="1" applyBorder="1" applyAlignment="1">
      <alignment horizontal="center" vertical="center" wrapText="1"/>
    </xf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0" xfId="0" applyFont="1"/>
    <xf numFmtId="165" fontId="6" fillId="0" borderId="0" xfId="0" applyNumberFormat="1" applyFont="1"/>
    <xf numFmtId="1" fontId="6" fillId="0" borderId="0" xfId="0" applyNumberFormat="1" applyFont="1"/>
    <xf numFmtId="0" fontId="6" fillId="3" borderId="0" xfId="0" applyFont="1" applyFill="1" applyAlignment="1">
      <alignment horizontal="center"/>
    </xf>
    <xf numFmtId="0" fontId="6" fillId="3" borderId="0" xfId="0" applyFont="1" applyFill="1"/>
    <xf numFmtId="0" fontId="6" fillId="4" borderId="0" xfId="0" applyFont="1" applyFill="1"/>
    <xf numFmtId="0" fontId="6" fillId="5" borderId="0" xfId="0" applyFont="1" applyFill="1"/>
    <xf numFmtId="0" fontId="6" fillId="0" borderId="0" xfId="0" applyFont="1" applyFill="1"/>
    <xf numFmtId="0" fontId="8" fillId="0" borderId="0" xfId="0" applyFont="1"/>
    <xf numFmtId="1" fontId="0" fillId="0" borderId="1" xfId="0" applyNumberFormat="1" applyBorder="1" applyAlignment="1">
      <alignment horizontal="center" vertical="center" wrapText="1"/>
    </xf>
    <xf numFmtId="165" fontId="0" fillId="0" borderId="1" xfId="0" applyNumberFormat="1" applyFont="1" applyBorder="1" applyAlignment="1">
      <alignment vertical="center" wrapText="1"/>
    </xf>
    <xf numFmtId="165" fontId="6" fillId="0" borderId="0" xfId="0" applyNumberFormat="1" applyFont="1" applyAlignment="1">
      <alignment horizontal="center"/>
    </xf>
    <xf numFmtId="1" fontId="6" fillId="4" borderId="0" xfId="0" applyNumberFormat="1" applyFont="1" applyFill="1"/>
    <xf numFmtId="165" fontId="6" fillId="4" borderId="0" xfId="0" applyNumberFormat="1" applyFont="1" applyFill="1"/>
    <xf numFmtId="0" fontId="6" fillId="6" borderId="0" xfId="0" applyFont="1" applyFill="1"/>
    <xf numFmtId="0" fontId="0" fillId="0" borderId="9" xfId="0" applyBorder="1" applyAlignment="1">
      <alignment horizontal="center" vertical="center" wrapText="1"/>
    </xf>
    <xf numFmtId="0" fontId="0" fillId="0" borderId="9" xfId="0" quotePrefix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quotePrefix="1" applyFont="1" applyBorder="1" applyAlignment="1">
      <alignment horizontal="center" vertical="center" wrapText="1"/>
    </xf>
    <xf numFmtId="0" fontId="9" fillId="0" borderId="9" xfId="0" quotePrefix="1" applyFont="1" applyBorder="1" applyAlignment="1">
      <alignment horizontal="left" vertical="center" wrapText="1"/>
    </xf>
    <xf numFmtId="0" fontId="0" fillId="0" borderId="9" xfId="0" applyBorder="1" applyAlignment="1">
      <alignment vertical="center" wrapText="1"/>
    </xf>
    <xf numFmtId="0" fontId="0" fillId="0" borderId="0" xfId="0" applyAlignment="1">
      <alignment horizontal="center" vertical="center" textRotation="90" wrapText="1"/>
    </xf>
    <xf numFmtId="0" fontId="9" fillId="0" borderId="9" xfId="0" applyFont="1" applyBorder="1" applyAlignment="1">
      <alignment vertical="center" wrapText="1"/>
    </xf>
    <xf numFmtId="0" fontId="0" fillId="0" borderId="9" xfId="0" applyFont="1" applyBorder="1" applyAlignment="1">
      <alignment vertical="center" wrapText="1"/>
    </xf>
    <xf numFmtId="0" fontId="0" fillId="0" borderId="0" xfId="0" quotePrefix="1" applyBorder="1" applyAlignment="1">
      <alignment horizontal="center" vertical="center" wrapText="1"/>
    </xf>
    <xf numFmtId="165" fontId="3" fillId="0" borderId="0" xfId="0" applyNumberFormat="1" applyFont="1" applyBorder="1" applyAlignment="1">
      <alignment horizontal="center" vertical="center" wrapText="1"/>
    </xf>
    <xf numFmtId="2" fontId="6" fillId="0" borderId="0" xfId="0" applyNumberFormat="1" applyFont="1"/>
    <xf numFmtId="0" fontId="11" fillId="0" borderId="0" xfId="0" applyFont="1"/>
    <xf numFmtId="0" fontId="6" fillId="6" borderId="0" xfId="0" applyFont="1" applyFill="1" applyAlignment="1">
      <alignment horizontal="center"/>
    </xf>
    <xf numFmtId="0" fontId="6" fillId="5" borderId="0" xfId="0" applyFont="1" applyFill="1" applyAlignment="1">
      <alignment horizontal="center"/>
    </xf>
    <xf numFmtId="1" fontId="6" fillId="0" borderId="0" xfId="0" applyNumberFormat="1" applyFont="1" applyFill="1"/>
    <xf numFmtId="165" fontId="6" fillId="0" borderId="0" xfId="0" applyNumberFormat="1" applyFont="1" applyFill="1"/>
    <xf numFmtId="0" fontId="6" fillId="7" borderId="0" xfId="0" applyFont="1" applyFill="1"/>
    <xf numFmtId="0" fontId="13" fillId="0" borderId="4" xfId="0" applyFont="1" applyBorder="1" applyAlignment="1">
      <alignment horizontal="left" vertical="center"/>
    </xf>
    <xf numFmtId="0" fontId="13" fillId="0" borderId="5" xfId="0" applyFont="1" applyBorder="1" applyAlignment="1">
      <alignment horizontal="left" vertical="center"/>
    </xf>
    <xf numFmtId="0" fontId="13" fillId="0" borderId="4" xfId="0" applyFont="1" applyBorder="1" applyAlignment="1">
      <alignment horizontal="left" vertical="center"/>
    </xf>
    <xf numFmtId="0" fontId="12" fillId="0" borderId="0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165" fontId="12" fillId="0" borderId="0" xfId="0" applyNumberFormat="1" applyFont="1" applyBorder="1" applyAlignment="1">
      <alignment horizontal="center" vertical="center" wrapText="1"/>
    </xf>
    <xf numFmtId="1" fontId="12" fillId="0" borderId="0" xfId="0" applyNumberFormat="1" applyFont="1" applyBorder="1" applyAlignment="1">
      <alignment horizontal="center" vertical="center" wrapText="1"/>
    </xf>
    <xf numFmtId="1" fontId="12" fillId="0" borderId="1" xfId="0" applyNumberFormat="1" applyFont="1" applyBorder="1" applyAlignment="1">
      <alignment horizontal="center" vertical="center" wrapText="1"/>
    </xf>
    <xf numFmtId="0" fontId="13" fillId="0" borderId="6" xfId="0" applyFont="1" applyBorder="1" applyAlignment="1">
      <alignment vertical="center"/>
    </xf>
    <xf numFmtId="0" fontId="13" fillId="0" borderId="7" xfId="0" applyFont="1" applyBorder="1" applyAlignment="1">
      <alignment vertical="center"/>
    </xf>
    <xf numFmtId="0" fontId="13" fillId="0" borderId="8" xfId="0" applyFont="1" applyBorder="1" applyAlignment="1">
      <alignment vertical="center"/>
    </xf>
    <xf numFmtId="0" fontId="13" fillId="0" borderId="3" xfId="0" applyFont="1" applyBorder="1" applyAlignment="1">
      <alignment horizontal="left" vertical="center"/>
    </xf>
    <xf numFmtId="0" fontId="13" fillId="0" borderId="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 wrapText="1"/>
    </xf>
    <xf numFmtId="165" fontId="12" fillId="0" borderId="0" xfId="0" applyNumberFormat="1" applyFont="1" applyBorder="1" applyAlignment="1">
      <alignment vertical="center" wrapText="1"/>
    </xf>
    <xf numFmtId="165" fontId="12" fillId="0" borderId="1" xfId="0" applyNumberFormat="1" applyFont="1" applyBorder="1" applyAlignment="1">
      <alignment vertical="center" wrapText="1"/>
    </xf>
    <xf numFmtId="0" fontId="12" fillId="0" borderId="1" xfId="0" applyFont="1" applyBorder="1" applyAlignment="1">
      <alignment vertical="center" wrapText="1"/>
    </xf>
    <xf numFmtId="0" fontId="12" fillId="0" borderId="0" xfId="0" applyFont="1" applyBorder="1" applyAlignment="1">
      <alignment vertical="center" wrapText="1"/>
    </xf>
    <xf numFmtId="0" fontId="1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vertical="center" wrapText="1"/>
    </xf>
    <xf numFmtId="0" fontId="17" fillId="0" borderId="0" xfId="0" applyFont="1" applyFill="1"/>
    <xf numFmtId="0" fontId="13" fillId="0" borderId="4" xfId="0" applyFont="1" applyBorder="1" applyAlignment="1">
      <alignment horizontal="left" vertical="center"/>
    </xf>
    <xf numFmtId="0" fontId="9" fillId="0" borderId="1" xfId="0" quotePrefix="1" applyFont="1" applyBorder="1" applyAlignment="1">
      <alignment horizontal="left" vertical="center" wrapText="1"/>
    </xf>
    <xf numFmtId="0" fontId="9" fillId="0" borderId="1" xfId="0" applyFont="1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165" fontId="3" fillId="0" borderId="0" xfId="0" applyNumberFormat="1" applyFont="1" applyAlignment="1">
      <alignment vertical="center" wrapText="1"/>
    </xf>
    <xf numFmtId="0" fontId="6" fillId="0" borderId="0" xfId="0" applyFont="1" applyFill="1" applyAlignment="1">
      <alignment horizontal="center"/>
    </xf>
    <xf numFmtId="165" fontId="6" fillId="0" borderId="0" xfId="0" applyNumberFormat="1" applyFont="1" applyFill="1" applyAlignment="1">
      <alignment horizontal="center"/>
    </xf>
    <xf numFmtId="0" fontId="6" fillId="0" borderId="10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6" fillId="0" borderId="10" xfId="0" applyFont="1" applyBorder="1"/>
    <xf numFmtId="0" fontId="6" fillId="9" borderId="10" xfId="0" applyFont="1" applyFill="1" applyBorder="1" applyAlignment="1">
      <alignment horizontal="center"/>
    </xf>
    <xf numFmtId="0" fontId="6" fillId="10" borderId="10" xfId="0" applyFont="1" applyFill="1" applyBorder="1" applyAlignment="1">
      <alignment horizontal="center"/>
    </xf>
    <xf numFmtId="0" fontId="6" fillId="5" borderId="10" xfId="0" applyFont="1" applyFill="1" applyBorder="1" applyAlignment="1">
      <alignment horizontal="center"/>
    </xf>
    <xf numFmtId="0" fontId="6" fillId="8" borderId="10" xfId="0" applyFont="1" applyFill="1" applyBorder="1" applyAlignment="1">
      <alignment horizontal="center"/>
    </xf>
    <xf numFmtId="0" fontId="6" fillId="3" borderId="10" xfId="0" applyFont="1" applyFill="1" applyBorder="1"/>
    <xf numFmtId="0" fontId="6" fillId="0" borderId="10" xfId="0" applyFont="1" applyFill="1" applyBorder="1"/>
    <xf numFmtId="0" fontId="19" fillId="0" borderId="10" xfId="0" applyFont="1" applyBorder="1" applyAlignment="1">
      <alignment horizontal="center"/>
    </xf>
    <xf numFmtId="0" fontId="0" fillId="13" borderId="10" xfId="0" applyFill="1" applyBorder="1" applyAlignment="1">
      <alignment horizontal="center" vertical="center" wrapText="1"/>
    </xf>
    <xf numFmtId="0" fontId="0" fillId="13" borderId="10" xfId="0" applyFill="1" applyBorder="1" applyAlignment="1">
      <alignment horizontal="center" vertical="center" textRotation="90" wrapText="1"/>
    </xf>
    <xf numFmtId="0" fontId="3" fillId="13" borderId="10" xfId="0" applyFont="1" applyFill="1" applyBorder="1" applyAlignment="1">
      <alignment horizontal="center" vertical="center" textRotation="90" wrapText="1"/>
    </xf>
    <xf numFmtId="0" fontId="0" fillId="12" borderId="10" xfId="0" quotePrefix="1" applyFill="1" applyBorder="1" applyAlignment="1">
      <alignment horizontal="center" vertical="center" wrapText="1"/>
    </xf>
    <xf numFmtId="0" fontId="0" fillId="12" borderId="10" xfId="0" applyFill="1" applyBorder="1" applyAlignment="1">
      <alignment horizontal="center" vertical="center" wrapText="1"/>
    </xf>
    <xf numFmtId="0" fontId="3" fillId="12" borderId="10" xfId="0" quotePrefix="1" applyFont="1" applyFill="1" applyBorder="1" applyAlignment="1">
      <alignment horizontal="center" vertical="center" wrapText="1"/>
    </xf>
    <xf numFmtId="0" fontId="0" fillId="17" borderId="10" xfId="0" applyFill="1" applyBorder="1" applyAlignment="1">
      <alignment horizontal="center" vertical="center" textRotation="90" wrapText="1"/>
    </xf>
    <xf numFmtId="0" fontId="0" fillId="11" borderId="10" xfId="0" applyFill="1" applyBorder="1" applyAlignment="1">
      <alignment horizontal="center" vertical="center" wrapText="1"/>
    </xf>
    <xf numFmtId="0" fontId="0" fillId="11" borderId="10" xfId="0" quotePrefix="1" applyFill="1" applyBorder="1" applyAlignment="1">
      <alignment horizontal="center" vertical="center" wrapText="1"/>
    </xf>
    <xf numFmtId="0" fontId="0" fillId="11" borderId="10" xfId="0" applyFill="1" applyBorder="1" applyAlignment="1">
      <alignment horizontal="center" vertical="center" textRotation="90" wrapText="1"/>
    </xf>
    <xf numFmtId="0" fontId="3" fillId="11" borderId="10" xfId="0" applyFont="1" applyFill="1" applyBorder="1" applyAlignment="1">
      <alignment horizontal="center" vertical="center" textRotation="90" wrapText="1"/>
    </xf>
    <xf numFmtId="0" fontId="10" fillId="11" borderId="10" xfId="0" applyFont="1" applyFill="1" applyBorder="1" applyAlignment="1">
      <alignment horizontal="center" vertical="center" textRotation="90" wrapText="1"/>
    </xf>
    <xf numFmtId="0" fontId="0" fillId="17" borderId="10" xfId="0" applyFill="1" applyBorder="1" applyAlignment="1">
      <alignment horizontal="center" vertical="center" wrapText="1"/>
    </xf>
    <xf numFmtId="0" fontId="0" fillId="17" borderId="10" xfId="0" quotePrefix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0" fillId="18" borderId="10" xfId="0" applyFill="1" applyBorder="1" applyAlignment="1">
      <alignment horizontal="center" vertical="center" textRotation="90" wrapText="1"/>
    </xf>
    <xf numFmtId="0" fontId="3" fillId="18" borderId="10" xfId="0" applyFont="1" applyFill="1" applyBorder="1" applyAlignment="1">
      <alignment horizontal="center" vertical="center" textRotation="90" wrapText="1"/>
    </xf>
    <xf numFmtId="0" fontId="1" fillId="18" borderId="10" xfId="0" applyFont="1" applyFill="1" applyBorder="1" applyAlignment="1">
      <alignment horizontal="center" vertical="center" textRotation="90" wrapText="1"/>
    </xf>
    <xf numFmtId="0" fontId="0" fillId="18" borderId="10" xfId="0" applyFill="1" applyBorder="1" applyAlignment="1">
      <alignment horizontal="center" vertical="center" wrapText="1"/>
    </xf>
    <xf numFmtId="0" fontId="3" fillId="18" borderId="10" xfId="0" applyFont="1" applyFill="1" applyBorder="1" applyAlignment="1">
      <alignment horizontal="center" vertical="center" wrapText="1"/>
    </xf>
    <xf numFmtId="0" fontId="0" fillId="19" borderId="10" xfId="0" applyFill="1" applyBorder="1" applyAlignment="1">
      <alignment horizontal="center" vertical="center" wrapText="1"/>
    </xf>
    <xf numFmtId="0" fontId="0" fillId="19" borderId="10" xfId="0" applyFill="1" applyBorder="1" applyAlignment="1">
      <alignment horizontal="center" vertical="center" textRotation="90" wrapText="1"/>
    </xf>
    <xf numFmtId="0" fontId="1" fillId="19" borderId="10" xfId="0" applyFont="1" applyFill="1" applyBorder="1" applyAlignment="1">
      <alignment horizontal="center" vertical="center" textRotation="90" wrapText="1"/>
    </xf>
    <xf numFmtId="0" fontId="3" fillId="19" borderId="10" xfId="0" applyFont="1" applyFill="1" applyBorder="1" applyAlignment="1">
      <alignment horizontal="center" vertical="center" textRotation="90" wrapText="1"/>
    </xf>
    <xf numFmtId="0" fontId="0" fillId="0" borderId="10" xfId="0" applyBorder="1" applyAlignment="1">
      <alignment vertical="center" wrapText="1"/>
    </xf>
    <xf numFmtId="0" fontId="0" fillId="0" borderId="10" xfId="0" quotePrefix="1" applyBorder="1" applyAlignment="1">
      <alignment horizontal="center" vertical="center" wrapText="1"/>
    </xf>
    <xf numFmtId="0" fontId="3" fillId="0" borderId="10" xfId="0" quotePrefix="1" applyFont="1" applyBorder="1" applyAlignment="1">
      <alignment horizontal="center" vertical="center" wrapText="1"/>
    </xf>
    <xf numFmtId="164" fontId="0" fillId="0" borderId="10" xfId="0" applyNumberFormat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165" fontId="0" fillId="0" borderId="10" xfId="0" applyNumberFormat="1" applyBorder="1" applyAlignment="1">
      <alignment vertical="center" wrapText="1"/>
    </xf>
    <xf numFmtId="165" fontId="2" fillId="0" borderId="10" xfId="0" applyNumberFormat="1" applyFont="1" applyBorder="1" applyAlignment="1">
      <alignment vertical="center" wrapText="1"/>
    </xf>
    <xf numFmtId="165" fontId="0" fillId="0" borderId="10" xfId="0" applyNumberFormat="1" applyFill="1" applyBorder="1" applyAlignment="1">
      <alignment vertical="center" wrapText="1"/>
    </xf>
    <xf numFmtId="2" fontId="3" fillId="0" borderId="10" xfId="0" applyNumberFormat="1" applyFont="1" applyBorder="1" applyAlignment="1">
      <alignment vertical="center" wrapText="1"/>
    </xf>
    <xf numFmtId="165" fontId="3" fillId="0" borderId="10" xfId="0" applyNumberFormat="1" applyFont="1" applyBorder="1" applyAlignment="1">
      <alignment vertical="center" wrapText="1"/>
    </xf>
    <xf numFmtId="165" fontId="1" fillId="0" borderId="10" xfId="0" applyNumberFormat="1" applyFont="1" applyBorder="1" applyAlignment="1">
      <alignment vertical="center" wrapText="1"/>
    </xf>
    <xf numFmtId="0" fontId="3" fillId="0" borderId="10" xfId="0" applyFont="1" applyBorder="1" applyAlignment="1">
      <alignment vertical="center"/>
    </xf>
    <xf numFmtId="165" fontId="0" fillId="0" borderId="10" xfId="0" applyNumberFormat="1" applyFont="1" applyBorder="1" applyAlignment="1">
      <alignment vertical="center"/>
    </xf>
    <xf numFmtId="17" fontId="0" fillId="0" borderId="10" xfId="0" applyNumberFormat="1" applyBorder="1" applyAlignment="1">
      <alignment horizontal="center" vertical="center" wrapText="1"/>
    </xf>
    <xf numFmtId="165" fontId="0" fillId="2" borderId="10" xfId="0" applyNumberFormat="1" applyFill="1" applyBorder="1" applyAlignment="1">
      <alignment vertical="center" wrapText="1"/>
    </xf>
    <xf numFmtId="1" fontId="3" fillId="0" borderId="10" xfId="0" applyNumberFormat="1" applyFont="1" applyBorder="1" applyAlignment="1">
      <alignment vertical="center" wrapText="1"/>
    </xf>
    <xf numFmtId="165" fontId="0" fillId="0" borderId="10" xfId="0" applyNumberFormat="1" applyFont="1" applyBorder="1" applyAlignment="1">
      <alignment vertical="center" wrapText="1"/>
    </xf>
    <xf numFmtId="1" fontId="0" fillId="0" borderId="10" xfId="0" quotePrefix="1" applyNumberFormat="1" applyBorder="1" applyAlignment="1">
      <alignment horizontal="center" vertical="center" wrapText="1"/>
    </xf>
    <xf numFmtId="165" fontId="0" fillId="0" borderId="10" xfId="0" applyNumberFormat="1" applyFont="1" applyBorder="1" applyAlignment="1">
      <alignment horizontal="center" vertical="center" wrapText="1"/>
    </xf>
    <xf numFmtId="165" fontId="0" fillId="0" borderId="10" xfId="0" applyNumberFormat="1" applyBorder="1" applyAlignment="1">
      <alignment horizontal="right" vertical="center" wrapText="1"/>
    </xf>
    <xf numFmtId="165" fontId="0" fillId="2" borderId="10" xfId="0" applyNumberFormat="1" applyFill="1" applyBorder="1" applyAlignment="1">
      <alignment horizontal="right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165" fontId="0" fillId="0" borderId="10" xfId="0" applyNumberFormat="1" applyFill="1" applyBorder="1" applyAlignment="1">
      <alignment horizontal="right" vertical="center" wrapText="1"/>
    </xf>
    <xf numFmtId="165" fontId="0" fillId="0" borderId="10" xfId="0" applyNumberFormat="1" applyFont="1" applyFill="1" applyBorder="1" applyAlignment="1">
      <alignment horizontal="center" vertical="center" wrapText="1"/>
    </xf>
    <xf numFmtId="1" fontId="0" fillId="0" borderId="10" xfId="0" applyNumberFormat="1" applyBorder="1" applyAlignment="1">
      <alignment horizontal="center" vertical="center" wrapText="1"/>
    </xf>
    <xf numFmtId="1" fontId="0" fillId="0" borderId="10" xfId="0" applyNumberFormat="1" applyBorder="1" applyAlignment="1">
      <alignment vertical="center" wrapText="1"/>
    </xf>
    <xf numFmtId="0" fontId="0" fillId="0" borderId="10" xfId="0" applyFont="1" applyBorder="1" applyAlignment="1">
      <alignment vertical="center" wrapText="1"/>
    </xf>
    <xf numFmtId="17" fontId="0" fillId="0" borderId="10" xfId="0" applyNumberFormat="1" applyBorder="1" applyAlignment="1">
      <alignment horizontal="center" vertical="center"/>
    </xf>
    <xf numFmtId="0" fontId="0" fillId="0" borderId="10" xfId="0" applyFill="1" applyBorder="1" applyAlignment="1">
      <alignment horizontal="left" vertical="center" wrapText="1"/>
    </xf>
    <xf numFmtId="0" fontId="0" fillId="0" borderId="10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0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3" fillId="19" borderId="1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0" fontId="6" fillId="2" borderId="10" xfId="0" applyFont="1" applyFill="1" applyBorder="1"/>
    <xf numFmtId="0" fontId="18" fillId="0" borderId="10" xfId="0" applyFont="1" applyBorder="1" applyAlignment="1">
      <alignment horizontal="center" vertical="center" wrapText="1"/>
    </xf>
    <xf numFmtId="167" fontId="18" fillId="0" borderId="10" xfId="0" applyNumberFormat="1" applyFont="1" applyBorder="1"/>
    <xf numFmtId="0" fontId="1" fillId="0" borderId="4" xfId="0" applyFont="1" applyBorder="1" applyAlignment="1">
      <alignment horizontal="center" vertical="center"/>
    </xf>
    <xf numFmtId="165" fontId="3" fillId="0" borderId="0" xfId="0" applyNumberFormat="1" applyFont="1" applyBorder="1" applyAlignment="1">
      <alignment vertical="center" wrapText="1"/>
    </xf>
    <xf numFmtId="0" fontId="6" fillId="0" borderId="0" xfId="0" quotePrefix="1" applyFont="1" applyAlignment="1">
      <alignment horizont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vertical="center" wrapText="1"/>
    </xf>
    <xf numFmtId="0" fontId="6" fillId="0" borderId="0" xfId="0" quotePrefix="1" applyFont="1" applyBorder="1" applyAlignment="1"/>
    <xf numFmtId="165" fontId="6" fillId="0" borderId="10" xfId="0" applyNumberFormat="1" applyFont="1" applyBorder="1"/>
    <xf numFmtId="165" fontId="6" fillId="2" borderId="10" xfId="0" applyNumberFormat="1" applyFont="1" applyFill="1" applyBorder="1"/>
    <xf numFmtId="0" fontId="6" fillId="0" borderId="13" xfId="0" applyFont="1" applyBorder="1" applyAlignment="1">
      <alignment horizontal="center" vertical="center" wrapText="1"/>
    </xf>
    <xf numFmtId="165" fontId="18" fillId="0" borderId="10" xfId="0" applyNumberFormat="1" applyFont="1" applyBorder="1"/>
    <xf numFmtId="0" fontId="18" fillId="0" borderId="10" xfId="0" applyFont="1" applyBorder="1" applyAlignment="1">
      <alignment horizontal="center" vertical="center"/>
    </xf>
    <xf numFmtId="165" fontId="18" fillId="2" borderId="10" xfId="0" applyNumberFormat="1" applyFont="1" applyFill="1" applyBorder="1"/>
    <xf numFmtId="2" fontId="3" fillId="0" borderId="10" xfId="0" applyNumberFormat="1" applyFont="1" applyFill="1" applyBorder="1" applyAlignment="1">
      <alignment vertical="center" wrapText="1"/>
    </xf>
    <xf numFmtId="0" fontId="18" fillId="0" borderId="0" xfId="0" applyFont="1" applyAlignment="1">
      <alignment horizontal="right"/>
    </xf>
    <xf numFmtId="2" fontId="18" fillId="0" borderId="0" xfId="0" applyNumberFormat="1" applyFont="1"/>
    <xf numFmtId="2" fontId="18" fillId="0" borderId="10" xfId="0" applyNumberFormat="1" applyFont="1" applyBorder="1" applyAlignment="1">
      <alignment horizontal="right"/>
    </xf>
    <xf numFmtId="0" fontId="6" fillId="0" borderId="10" xfId="0" quotePrefix="1" applyFont="1" applyBorder="1" applyAlignment="1">
      <alignment horizontal="right"/>
    </xf>
    <xf numFmtId="0" fontId="18" fillId="0" borderId="13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right" vertical="center" wrapText="1"/>
    </xf>
    <xf numFmtId="0" fontId="6" fillId="0" borderId="0" xfId="0" applyFont="1" applyAlignment="1">
      <alignment horizontal="right"/>
    </xf>
    <xf numFmtId="0" fontId="6" fillId="0" borderId="10" xfId="0" applyFont="1" applyBorder="1" applyAlignment="1">
      <alignment vertical="center"/>
    </xf>
    <xf numFmtId="0" fontId="6" fillId="2" borderId="10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6" fillId="2" borderId="10" xfId="0" quotePrefix="1" applyFont="1" applyFill="1" applyBorder="1" applyAlignment="1">
      <alignment horizontal="right"/>
    </xf>
    <xf numFmtId="2" fontId="18" fillId="2" borderId="10" xfId="0" applyNumberFormat="1" applyFont="1" applyFill="1" applyBorder="1" applyAlignment="1">
      <alignment horizontal="right"/>
    </xf>
    <xf numFmtId="167" fontId="18" fillId="2" borderId="10" xfId="0" applyNumberFormat="1" applyFont="1" applyFill="1" applyBorder="1"/>
    <xf numFmtId="0" fontId="11" fillId="0" borderId="0" xfId="0" applyFont="1" applyAlignment="1">
      <alignment horizontal="left"/>
    </xf>
    <xf numFmtId="0" fontId="6" fillId="0" borderId="10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/>
    </xf>
    <xf numFmtId="2" fontId="6" fillId="0" borderId="13" xfId="0" applyNumberFormat="1" applyFont="1" applyBorder="1" applyAlignment="1">
      <alignment horizontal="center"/>
    </xf>
    <xf numFmtId="167" fontId="18" fillId="0" borderId="0" xfId="6" applyNumberFormat="1" applyFont="1"/>
    <xf numFmtId="167" fontId="6" fillId="0" borderId="0" xfId="0" applyNumberFormat="1" applyFont="1"/>
    <xf numFmtId="0" fontId="6" fillId="2" borderId="0" xfId="0" applyFont="1" applyFill="1"/>
    <xf numFmtId="1" fontId="6" fillId="2" borderId="0" xfId="0" applyNumberFormat="1" applyFont="1" applyFill="1"/>
    <xf numFmtId="2" fontId="6" fillId="2" borderId="0" xfId="0" applyNumberFormat="1" applyFont="1" applyFill="1"/>
    <xf numFmtId="167" fontId="18" fillId="2" borderId="0" xfId="6" applyNumberFormat="1" applyFont="1" applyFill="1"/>
    <xf numFmtId="1" fontId="6" fillId="0" borderId="11" xfId="0" applyNumberFormat="1" applyFont="1" applyBorder="1"/>
    <xf numFmtId="1" fontId="6" fillId="0" borderId="2" xfId="0" applyNumberFormat="1" applyFont="1" applyBorder="1"/>
    <xf numFmtId="1" fontId="6" fillId="2" borderId="2" xfId="0" applyNumberFormat="1" applyFont="1" applyFill="1" applyBorder="1"/>
    <xf numFmtId="0" fontId="6" fillId="2" borderId="0" xfId="0" applyFont="1" applyFill="1" applyAlignment="1">
      <alignment horizontal="center"/>
    </xf>
    <xf numFmtId="165" fontId="6" fillId="2" borderId="0" xfId="0" applyNumberFormat="1" applyFont="1" applyFill="1"/>
    <xf numFmtId="0" fontId="6" fillId="0" borderId="10" xfId="0" applyFont="1" applyBorder="1" applyAlignment="1">
      <alignment horizontal="center"/>
    </xf>
    <xf numFmtId="0" fontId="6" fillId="0" borderId="10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7" fontId="6" fillId="0" borderId="0" xfId="6" applyNumberFormat="1" applyFont="1" applyAlignment="1">
      <alignment horizontal="right" vertical="center" wrapText="1"/>
    </xf>
    <xf numFmtId="167" fontId="6" fillId="0" borderId="0" xfId="6" applyNumberFormat="1" applyFont="1" applyAlignment="1">
      <alignment horizontal="right"/>
    </xf>
    <xf numFmtId="0" fontId="6" fillId="0" borderId="0" xfId="0" applyFont="1" applyBorder="1" applyAlignment="1">
      <alignment horizontal="center" vertical="center" wrapText="1"/>
    </xf>
    <xf numFmtId="0" fontId="6" fillId="20" borderId="10" xfId="0" applyFont="1" applyFill="1" applyBorder="1" applyAlignment="1">
      <alignment horizontal="center" vertical="center" wrapText="1"/>
    </xf>
    <xf numFmtId="0" fontId="6" fillId="13" borderId="0" xfId="0" applyFont="1" applyFill="1" applyAlignment="1">
      <alignment horizontal="center" vertical="center" wrapText="1"/>
    </xf>
    <xf numFmtId="0" fontId="6" fillId="13" borderId="0" xfId="0" applyFont="1" applyFill="1" applyAlignment="1">
      <alignment horizontal="center" vertical="center"/>
    </xf>
    <xf numFmtId="0" fontId="6" fillId="13" borderId="0" xfId="0" applyFont="1" applyFill="1"/>
    <xf numFmtId="1" fontId="6" fillId="13" borderId="0" xfId="0" applyNumberFormat="1" applyFont="1" applyFill="1"/>
    <xf numFmtId="165" fontId="6" fillId="13" borderId="0" xfId="0" applyNumberFormat="1" applyFont="1" applyFill="1"/>
    <xf numFmtId="167" fontId="6" fillId="13" borderId="0" xfId="0" applyNumberFormat="1" applyFont="1" applyFill="1"/>
    <xf numFmtId="167" fontId="6" fillId="0" borderId="12" xfId="0" applyNumberFormat="1" applyFont="1" applyBorder="1"/>
    <xf numFmtId="0" fontId="1" fillId="0" borderId="0" xfId="0" applyFont="1" applyBorder="1" applyAlignment="1">
      <alignment horizontal="center"/>
    </xf>
    <xf numFmtId="165" fontId="6" fillId="0" borderId="0" xfId="0" applyNumberFormat="1" applyFont="1" applyBorder="1"/>
    <xf numFmtId="0" fontId="8" fillId="0" borderId="10" xfId="0" applyFont="1" applyBorder="1" applyAlignment="1">
      <alignment horizontal="center" vertical="center" wrapText="1"/>
    </xf>
    <xf numFmtId="1" fontId="6" fillId="22" borderId="0" xfId="0" applyNumberFormat="1" applyFont="1" applyFill="1"/>
    <xf numFmtId="0" fontId="6" fillId="22" borderId="13" xfId="0" applyFont="1" applyFill="1" applyBorder="1" applyAlignment="1">
      <alignment horizontal="center"/>
    </xf>
    <xf numFmtId="0" fontId="22" fillId="0" borderId="13" xfId="0" applyFont="1" applyBorder="1" applyAlignment="1">
      <alignment horizontal="center"/>
    </xf>
    <xf numFmtId="2" fontId="18" fillId="0" borderId="0" xfId="0" applyNumberFormat="1" applyFont="1" applyBorder="1"/>
    <xf numFmtId="0" fontId="6" fillId="0" borderId="0" xfId="0" applyFont="1" applyBorder="1" applyAlignment="1">
      <alignment horizontal="left"/>
    </xf>
    <xf numFmtId="0" fontId="6" fillId="0" borderId="10" xfId="0" applyFont="1" applyBorder="1" applyAlignment="1">
      <alignment horizontal="center"/>
    </xf>
    <xf numFmtId="0" fontId="6" fillId="0" borderId="0" xfId="0" applyFont="1" applyBorder="1"/>
    <xf numFmtId="0" fontId="19" fillId="0" borderId="0" xfId="0" applyFont="1"/>
    <xf numFmtId="0" fontId="24" fillId="0" borderId="0" xfId="0" applyFont="1"/>
    <xf numFmtId="2" fontId="6" fillId="0" borderId="13" xfId="0" applyNumberFormat="1" applyFont="1" applyFill="1" applyBorder="1" applyAlignment="1">
      <alignment horizontal="center"/>
    </xf>
    <xf numFmtId="2" fontId="6" fillId="0" borderId="0" xfId="0" applyNumberFormat="1" applyFont="1" applyFill="1"/>
    <xf numFmtId="9" fontId="18" fillId="0" borderId="0" xfId="6" applyFont="1" applyAlignment="1">
      <alignment horizontal="right"/>
    </xf>
    <xf numFmtId="0" fontId="18" fillId="0" borderId="10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0" xfId="0" applyFont="1" applyFill="1" applyAlignment="1">
      <alignment horizontal="right"/>
    </xf>
    <xf numFmtId="169" fontId="6" fillId="0" borderId="0" xfId="0" applyNumberFormat="1" applyFont="1"/>
    <xf numFmtId="0" fontId="6" fillId="3" borderId="0" xfId="0" applyFont="1" applyFill="1" applyAlignment="1">
      <alignment horizontal="right" vertical="center" wrapText="1"/>
    </xf>
    <xf numFmtId="169" fontId="6" fillId="3" borderId="0" xfId="0" applyNumberFormat="1" applyFont="1" applyFill="1"/>
    <xf numFmtId="0" fontId="6" fillId="0" borderId="0" xfId="0" applyFont="1" applyFill="1" applyAlignment="1">
      <alignment horizontal="center" vertical="center" wrapText="1"/>
    </xf>
    <xf numFmtId="0" fontId="6" fillId="0" borderId="0" xfId="0" quotePrefix="1" applyFont="1"/>
    <xf numFmtId="0" fontId="6" fillId="0" borderId="0" xfId="0" applyFont="1" applyFill="1" applyAlignment="1">
      <alignment horizontal="right" vertical="center" wrapText="1"/>
    </xf>
    <xf numFmtId="0" fontId="0" fillId="0" borderId="10" xfId="0" applyFill="1" applyBorder="1" applyAlignment="1">
      <alignment horizontal="center" vertical="center"/>
    </xf>
    <xf numFmtId="0" fontId="0" fillId="0" borderId="10" xfId="0" applyFill="1" applyBorder="1" applyAlignment="1">
      <alignment horizontal="left" vertical="center"/>
    </xf>
    <xf numFmtId="0" fontId="6" fillId="0" borderId="10" xfId="0" applyFont="1" applyBorder="1" applyAlignment="1">
      <alignment horizontal="center"/>
    </xf>
    <xf numFmtId="1" fontId="0" fillId="0" borderId="10" xfId="0" applyNumberFormat="1" applyBorder="1" applyAlignment="1">
      <alignment horizontal="center" vertical="center"/>
    </xf>
    <xf numFmtId="1" fontId="6" fillId="0" borderId="10" xfId="0" applyNumberFormat="1" applyFont="1" applyBorder="1" applyAlignment="1">
      <alignment horizontal="center" vertical="center" wrapText="1"/>
    </xf>
    <xf numFmtId="0" fontId="6" fillId="11" borderId="0" xfId="0" applyFont="1" applyFill="1"/>
    <xf numFmtId="170" fontId="6" fillId="0" borderId="0" xfId="0" applyNumberFormat="1" applyFont="1" applyFill="1"/>
    <xf numFmtId="0" fontId="27" fillId="0" borderId="0" xfId="0" applyFont="1" applyAlignment="1">
      <alignment horizontal="center"/>
    </xf>
    <xf numFmtId="0" fontId="6" fillId="0" borderId="10" xfId="0" applyFont="1" applyBorder="1" applyAlignment="1">
      <alignment horizontal="center"/>
    </xf>
    <xf numFmtId="171" fontId="6" fillId="0" borderId="0" xfId="7" applyNumberFormat="1" applyFont="1" applyAlignment="1">
      <alignment horizontal="right"/>
    </xf>
    <xf numFmtId="0" fontId="6" fillId="23" borderId="0" xfId="0" applyFont="1" applyFill="1"/>
    <xf numFmtId="0" fontId="18" fillId="0" borderId="0" xfId="0" applyFont="1" applyAlignment="1">
      <alignment horizontal="center" vertical="center" wrapText="1"/>
    </xf>
    <xf numFmtId="172" fontId="18" fillId="0" borderId="0" xfId="0" applyNumberFormat="1" applyFont="1"/>
    <xf numFmtId="0" fontId="6" fillId="24" borderId="13" xfId="0" applyFont="1" applyFill="1" applyBorder="1" applyAlignment="1">
      <alignment horizontal="center"/>
    </xf>
    <xf numFmtId="0" fontId="22" fillId="24" borderId="13" xfId="0" applyFont="1" applyFill="1" applyBorder="1" applyAlignment="1">
      <alignment horizontal="center"/>
    </xf>
    <xf numFmtId="165" fontId="6" fillId="24" borderId="0" xfId="0" applyNumberFormat="1" applyFont="1" applyFill="1"/>
    <xf numFmtId="9" fontId="18" fillId="24" borderId="0" xfId="6" applyNumberFormat="1" applyFont="1" applyFill="1"/>
    <xf numFmtId="165" fontId="6" fillId="25" borderId="0" xfId="0" applyNumberFormat="1" applyFont="1" applyFill="1"/>
    <xf numFmtId="9" fontId="18" fillId="25" borderId="0" xfId="6" applyNumberFormat="1" applyFont="1" applyFill="1"/>
    <xf numFmtId="167" fontId="6" fillId="25" borderId="0" xfId="6" applyNumberFormat="1" applyFont="1" applyFill="1"/>
    <xf numFmtId="167" fontId="6" fillId="24" borderId="0" xfId="6" applyNumberFormat="1" applyFont="1" applyFill="1"/>
    <xf numFmtId="0" fontId="6" fillId="26" borderId="0" xfId="0" applyFont="1" applyFill="1" applyAlignment="1">
      <alignment horizontal="center"/>
    </xf>
    <xf numFmtId="2" fontId="18" fillId="26" borderId="0" xfId="0" applyNumberFormat="1" applyFont="1" applyFill="1" applyAlignment="1">
      <alignment horizontal="center"/>
    </xf>
    <xf numFmtId="1" fontId="6" fillId="26" borderId="0" xfId="0" applyNumberFormat="1" applyFont="1" applyFill="1"/>
    <xf numFmtId="0" fontId="6" fillId="26" borderId="0" xfId="0" applyFont="1" applyFill="1"/>
    <xf numFmtId="2" fontId="18" fillId="26" borderId="0" xfId="0" applyNumberFormat="1" applyFont="1" applyFill="1"/>
    <xf numFmtId="168" fontId="26" fillId="3" borderId="0" xfId="0" applyNumberFormat="1" applyFont="1" applyFill="1"/>
    <xf numFmtId="0" fontId="6" fillId="22" borderId="0" xfId="0" applyFont="1" applyFill="1" applyAlignment="1">
      <alignment horizontal="center"/>
    </xf>
    <xf numFmtId="0" fontId="6" fillId="22" borderId="0" xfId="0" applyFont="1" applyFill="1"/>
    <xf numFmtId="165" fontId="6" fillId="22" borderId="0" xfId="0" applyNumberFormat="1" applyFont="1" applyFill="1"/>
    <xf numFmtId="0" fontId="6" fillId="18" borderId="0" xfId="0" applyFont="1" applyFill="1" applyAlignment="1">
      <alignment horizontal="center" vertical="center" wrapText="1"/>
    </xf>
    <xf numFmtId="0" fontId="6" fillId="18" borderId="0" xfId="0" applyFont="1" applyFill="1" applyBorder="1" applyAlignment="1">
      <alignment horizontal="center" vertical="center" wrapText="1"/>
    </xf>
    <xf numFmtId="0" fontId="18" fillId="18" borderId="0" xfId="0" applyFont="1" applyFill="1" applyBorder="1" applyAlignment="1">
      <alignment horizontal="center" vertical="center" wrapText="1"/>
    </xf>
    <xf numFmtId="1" fontId="6" fillId="18" borderId="0" xfId="0" applyNumberFormat="1" applyFont="1" applyFill="1" applyAlignment="1">
      <alignment horizontal="right"/>
    </xf>
    <xf numFmtId="0" fontId="6" fillId="18" borderId="0" xfId="0" applyFont="1" applyFill="1"/>
    <xf numFmtId="1" fontId="6" fillId="18" borderId="0" xfId="0" applyNumberFormat="1" applyFont="1" applyFill="1" applyAlignment="1">
      <alignment horizontal="right" vertical="center" wrapText="1"/>
    </xf>
    <xf numFmtId="165" fontId="6" fillId="18" borderId="0" xfId="0" applyNumberFormat="1" applyFont="1" applyFill="1" applyBorder="1"/>
    <xf numFmtId="1" fontId="6" fillId="18" borderId="0" xfId="0" applyNumberFormat="1" applyFont="1" applyFill="1"/>
    <xf numFmtId="165" fontId="18" fillId="18" borderId="0" xfId="0" applyNumberFormat="1" applyFont="1" applyFill="1" applyBorder="1"/>
    <xf numFmtId="0" fontId="6" fillId="23" borderId="0" xfId="0" applyFont="1" applyFill="1" applyAlignment="1">
      <alignment horizontal="center" vertical="center" wrapText="1"/>
    </xf>
    <xf numFmtId="0" fontId="6" fillId="23" borderId="0" xfId="0" applyFont="1" applyFill="1" applyAlignment="1">
      <alignment horizontal="right" vertical="center" wrapText="1"/>
    </xf>
    <xf numFmtId="165" fontId="6" fillId="23" borderId="0" xfId="0" applyNumberFormat="1" applyFont="1" applyFill="1" applyAlignment="1">
      <alignment horizontal="right" vertical="center" wrapText="1"/>
    </xf>
    <xf numFmtId="0" fontId="6" fillId="23" borderId="0" xfId="0" applyFont="1" applyFill="1" applyAlignment="1">
      <alignment horizontal="right"/>
    </xf>
    <xf numFmtId="0" fontId="6" fillId="23" borderId="12" xfId="0" applyFont="1" applyFill="1" applyBorder="1" applyAlignment="1">
      <alignment horizontal="right"/>
    </xf>
    <xf numFmtId="0" fontId="6" fillId="23" borderId="12" xfId="0" applyFont="1" applyFill="1" applyBorder="1"/>
    <xf numFmtId="165" fontId="6" fillId="23" borderId="12" xfId="0" applyNumberFormat="1" applyFont="1" applyFill="1" applyBorder="1" applyAlignment="1">
      <alignment horizontal="right" vertical="center" wrapText="1"/>
    </xf>
    <xf numFmtId="170" fontId="6" fillId="3" borderId="0" xfId="0" applyNumberFormat="1" applyFont="1" applyFill="1"/>
    <xf numFmtId="0" fontId="6" fillId="0" borderId="0" xfId="0" applyFont="1" applyAlignment="1">
      <alignment horizontal="left"/>
    </xf>
    <xf numFmtId="173" fontId="6" fillId="11" borderId="0" xfId="0" applyNumberFormat="1" applyFont="1" applyFill="1"/>
    <xf numFmtId="0" fontId="20" fillId="0" borderId="0" xfId="0" applyFont="1"/>
    <xf numFmtId="0" fontId="0" fillId="0" borderId="0" xfId="0" applyAlignment="1">
      <alignment horizontal="center"/>
    </xf>
    <xf numFmtId="165" fontId="0" fillId="0" borderId="0" xfId="0" applyNumberFormat="1"/>
    <xf numFmtId="1" fontId="0" fillId="0" borderId="0" xfId="0" applyNumberFormat="1"/>
    <xf numFmtId="0" fontId="0" fillId="0" borderId="10" xfId="0" applyBorder="1"/>
    <xf numFmtId="0" fontId="0" fillId="0" borderId="10" xfId="0" applyBorder="1" applyAlignment="1">
      <alignment horizontal="center"/>
    </xf>
    <xf numFmtId="165" fontId="0" fillId="0" borderId="10" xfId="0" applyNumberFormat="1" applyBorder="1"/>
    <xf numFmtId="0" fontId="0" fillId="0" borderId="0" xfId="0" applyAlignment="1">
      <alignment horizontal="right"/>
    </xf>
    <xf numFmtId="0" fontId="1" fillId="0" borderId="1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textRotation="90"/>
    </xf>
    <xf numFmtId="0" fontId="3" fillId="0" borderId="0" xfId="0" applyFont="1" applyBorder="1" applyAlignment="1">
      <alignment vertical="center" wrapText="1"/>
    </xf>
    <xf numFmtId="0" fontId="28" fillId="0" borderId="0" xfId="0" applyFont="1"/>
    <xf numFmtId="0" fontId="29" fillId="0" borderId="0" xfId="0" applyFont="1"/>
    <xf numFmtId="0" fontId="0" fillId="0" borderId="0" xfId="0" applyFill="1" applyAlignment="1">
      <alignment horizontal="center"/>
    </xf>
    <xf numFmtId="0" fontId="0" fillId="0" borderId="0" xfId="0" applyAlignment="1">
      <alignment horizontal="left"/>
    </xf>
    <xf numFmtId="0" fontId="0" fillId="13" borderId="0" xfId="0" applyFill="1" applyAlignment="1">
      <alignment horizontal="center"/>
    </xf>
    <xf numFmtId="0" fontId="0" fillId="0" borderId="0" xfId="0" applyBorder="1"/>
    <xf numFmtId="2" fontId="0" fillId="0" borderId="0" xfId="0" applyNumberFormat="1"/>
    <xf numFmtId="0" fontId="0" fillId="0" borderId="0" xfId="0" applyNumberFormat="1"/>
    <xf numFmtId="172" fontId="0" fillId="0" borderId="0" xfId="0" applyNumberFormat="1"/>
    <xf numFmtId="168" fontId="0" fillId="0" borderId="0" xfId="0" applyNumberFormat="1" applyAlignment="1"/>
    <xf numFmtId="0" fontId="0" fillId="0" borderId="7" xfId="0" applyBorder="1" applyAlignment="1">
      <alignment horizontal="center"/>
    </xf>
    <xf numFmtId="1" fontId="19" fillId="0" borderId="0" xfId="0" applyNumberFormat="1" applyFont="1"/>
    <xf numFmtId="165" fontId="19" fillId="0" borderId="0" xfId="0" applyNumberFormat="1" applyFont="1"/>
    <xf numFmtId="0" fontId="1" fillId="18" borderId="3" xfId="0" applyFont="1" applyFill="1" applyBorder="1" applyAlignment="1">
      <alignment horizontal="left" vertical="center"/>
    </xf>
    <xf numFmtId="0" fontId="1" fillId="18" borderId="5" xfId="0" applyFont="1" applyFill="1" applyBorder="1" applyAlignment="1">
      <alignment horizontal="left" vertical="center"/>
    </xf>
    <xf numFmtId="0" fontId="20" fillId="14" borderId="10" xfId="0" applyFont="1" applyFill="1" applyBorder="1" applyAlignment="1">
      <alignment horizontal="left" vertical="center" wrapText="1"/>
    </xf>
    <xf numFmtId="0" fontId="1" fillId="19" borderId="10" xfId="0" applyFont="1" applyFill="1" applyBorder="1" applyAlignment="1">
      <alignment horizontal="left" vertical="center"/>
    </xf>
    <xf numFmtId="0" fontId="1" fillId="18" borderId="10" xfId="0" applyFont="1" applyFill="1" applyBorder="1" applyAlignment="1">
      <alignment horizontal="left" vertical="center"/>
    </xf>
    <xf numFmtId="0" fontId="20" fillId="16" borderId="6" xfId="0" applyFont="1" applyFill="1" applyBorder="1" applyAlignment="1">
      <alignment horizontal="left" vertical="center" wrapText="1"/>
    </xf>
    <xf numFmtId="0" fontId="20" fillId="16" borderId="7" xfId="0" applyFont="1" applyFill="1" applyBorder="1" applyAlignment="1">
      <alignment horizontal="left" vertical="center" wrapText="1"/>
    </xf>
    <xf numFmtId="0" fontId="20" fillId="16" borderId="8" xfId="0" applyFont="1" applyFill="1" applyBorder="1" applyAlignment="1">
      <alignment horizontal="left" vertical="center" wrapText="1"/>
    </xf>
    <xf numFmtId="0" fontId="1" fillId="12" borderId="3" xfId="0" applyFont="1" applyFill="1" applyBorder="1" applyAlignment="1">
      <alignment horizontal="center" vertical="center"/>
    </xf>
    <xf numFmtId="0" fontId="1" fillId="12" borderId="4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1" fillId="17" borderId="3" xfId="0" applyFont="1" applyFill="1" applyBorder="1" applyAlignment="1">
      <alignment horizontal="left" vertical="center"/>
    </xf>
    <xf numFmtId="0" fontId="1" fillId="17" borderId="4" xfId="0" applyFont="1" applyFill="1" applyBorder="1" applyAlignment="1">
      <alignment horizontal="left" vertical="center"/>
    </xf>
    <xf numFmtId="0" fontId="1" fillId="17" borderId="5" xfId="0" applyFont="1" applyFill="1" applyBorder="1" applyAlignment="1">
      <alignment horizontal="left" vertical="center"/>
    </xf>
    <xf numFmtId="0" fontId="1" fillId="11" borderId="6" xfId="0" applyFont="1" applyFill="1" applyBorder="1" applyAlignment="1">
      <alignment horizontal="left" vertical="center"/>
    </xf>
    <xf numFmtId="0" fontId="1" fillId="11" borderId="7" xfId="0" applyFont="1" applyFill="1" applyBorder="1" applyAlignment="1">
      <alignment horizontal="left" vertical="center"/>
    </xf>
    <xf numFmtId="0" fontId="1" fillId="11" borderId="8" xfId="0" applyFont="1" applyFill="1" applyBorder="1" applyAlignment="1">
      <alignment horizontal="left" vertical="center"/>
    </xf>
    <xf numFmtId="0" fontId="1" fillId="11" borderId="3" xfId="0" applyFont="1" applyFill="1" applyBorder="1" applyAlignment="1">
      <alignment horizontal="left" vertical="center" wrapText="1"/>
    </xf>
    <xf numFmtId="0" fontId="1" fillId="11" borderId="4" xfId="0" applyFont="1" applyFill="1" applyBorder="1" applyAlignment="1">
      <alignment horizontal="left" vertical="center" wrapText="1"/>
    </xf>
    <xf numFmtId="0" fontId="1" fillId="11" borderId="5" xfId="0" applyFont="1" applyFill="1" applyBorder="1" applyAlignment="1">
      <alignment horizontal="left" vertical="center" wrapText="1"/>
    </xf>
    <xf numFmtId="0" fontId="20" fillId="15" borderId="6" xfId="0" applyFont="1" applyFill="1" applyBorder="1" applyAlignment="1">
      <alignment horizontal="left" vertical="center"/>
    </xf>
    <xf numFmtId="0" fontId="20" fillId="15" borderId="7" xfId="0" applyFont="1" applyFill="1" applyBorder="1" applyAlignment="1">
      <alignment horizontal="left" vertical="center"/>
    </xf>
    <xf numFmtId="0" fontId="20" fillId="15" borderId="8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1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3" fillId="0" borderId="3" xfId="0" applyFont="1" applyBorder="1" applyAlignment="1">
      <alignment horizontal="left" vertical="center"/>
    </xf>
    <xf numFmtId="0" fontId="13" fillId="0" borderId="4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6" fillId="0" borderId="10" xfId="0" applyFont="1" applyBorder="1" applyAlignment="1">
      <alignment horizontal="center"/>
    </xf>
    <xf numFmtId="0" fontId="18" fillId="3" borderId="0" xfId="0" applyFont="1" applyFill="1" applyAlignment="1">
      <alignment horizontal="center"/>
    </xf>
    <xf numFmtId="0" fontId="6" fillId="0" borderId="14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0" fontId="19" fillId="0" borderId="10" xfId="0" applyFont="1" applyBorder="1" applyAlignment="1">
      <alignment horizontal="left"/>
    </xf>
    <xf numFmtId="0" fontId="6" fillId="21" borderId="14" xfId="0" applyFont="1" applyFill="1" applyBorder="1" applyAlignment="1">
      <alignment horizontal="center" vertical="center"/>
    </xf>
    <xf numFmtId="0" fontId="6" fillId="21" borderId="9" xfId="0" applyFont="1" applyFill="1" applyBorder="1" applyAlignment="1">
      <alignment horizontal="center" vertical="center"/>
    </xf>
    <xf numFmtId="0" fontId="6" fillId="21" borderId="13" xfId="0" applyFont="1" applyFill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6" fillId="0" borderId="10" xfId="0" applyFont="1" applyBorder="1" applyAlignment="1">
      <alignment horizontal="left" vertical="center" wrapText="1"/>
    </xf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19" fillId="0" borderId="10" xfId="0" applyFont="1" applyBorder="1" applyAlignment="1">
      <alignment horizontal="left" vertical="center"/>
    </xf>
    <xf numFmtId="0" fontId="19" fillId="0" borderId="13" xfId="0" applyFont="1" applyBorder="1" applyAlignment="1">
      <alignment horizontal="left" vertical="center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25" fillId="0" borderId="10" xfId="0" applyFont="1" applyBorder="1" applyAlignment="1">
      <alignment horizontal="center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center" wrapText="1"/>
    </xf>
    <xf numFmtId="0" fontId="18" fillId="0" borderId="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18" fillId="24" borderId="0" xfId="0" applyFont="1" applyFill="1" applyAlignment="1">
      <alignment horizontal="center"/>
    </xf>
    <xf numFmtId="0" fontId="6" fillId="0" borderId="3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19" fillId="0" borderId="3" xfId="0" applyFont="1" applyBorder="1" applyAlignment="1">
      <alignment horizontal="left"/>
    </xf>
    <xf numFmtId="0" fontId="19" fillId="0" borderId="4" xfId="0" applyFont="1" applyBorder="1" applyAlignment="1">
      <alignment horizontal="left"/>
    </xf>
    <xf numFmtId="0" fontId="19" fillId="0" borderId="5" xfId="0" applyFont="1" applyBorder="1" applyAlignment="1">
      <alignment horizontal="left"/>
    </xf>
    <xf numFmtId="168" fontId="30" fillId="0" borderId="0" xfId="0" applyNumberFormat="1" applyFont="1" applyAlignment="1"/>
    <xf numFmtId="170" fontId="0" fillId="0" borderId="12" xfId="0" applyNumberFormat="1" applyFill="1" applyBorder="1" applyAlignment="1">
      <alignment horizontal="center"/>
    </xf>
    <xf numFmtId="170" fontId="0" fillId="3" borderId="0" xfId="0" applyNumberFormat="1" applyFill="1" applyAlignment="1">
      <alignment horizontal="center"/>
    </xf>
    <xf numFmtId="0" fontId="1" fillId="0" borderId="0" xfId="0" applyFont="1" applyBorder="1" applyAlignment="1"/>
    <xf numFmtId="0" fontId="1" fillId="0" borderId="0" xfId="0" applyFont="1" applyBorder="1" applyAlignment="1">
      <alignment horizontal="left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8">
    <cellStyle name="Financier0" xfId="2"/>
    <cellStyle name="Milliers" xfId="7" builtinId="3"/>
    <cellStyle name="Milliers 2" xfId="3"/>
    <cellStyle name="Normal" xfId="0" builtinId="0"/>
    <cellStyle name="Normal 2" xfId="1"/>
    <cellStyle name="Pourcentage" xfId="6" builtinId="5"/>
    <cellStyle name="Pourcentage 2" xfId="4"/>
    <cellStyle name="Virgule fixe" xfId="5"/>
  </cellStyles>
  <dxfs count="3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2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_rels/chart2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8.xml"/></Relationships>
</file>

<file path=xl/charts/_rels/chart3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9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trendline>
            <c:trendlineType val="poly"/>
            <c:order val="2"/>
            <c:dispRSqr val="1"/>
            <c:dispEq val="1"/>
            <c:trendlineLbl>
              <c:layout>
                <c:manualLayout>
                  <c:x val="0.19178625150107384"/>
                  <c:y val="0.2923784540481188"/>
                </c:manualLayout>
              </c:layout>
              <c:numFmt formatCode="General" sourceLinked="0"/>
            </c:trendlineLbl>
          </c:trendline>
          <c:xVal>
            <c:numRef>
              <c:f>'Material Analysis'!$J$32:$J$116</c:f>
              <c:numCache>
                <c:formatCode>0</c:formatCode>
                <c:ptCount val="85"/>
                <c:pt idx="0">
                  <c:v>405515.65824000002</c:v>
                </c:pt>
                <c:pt idx="1">
                  <c:v>310605.12</c:v>
                </c:pt>
                <c:pt idx="2">
                  <c:v>299176.41600000003</c:v>
                </c:pt>
                <c:pt idx="3">
                  <c:v>2028.6</c:v>
                </c:pt>
                <c:pt idx="4">
                  <c:v>231755.900544</c:v>
                </c:pt>
                <c:pt idx="5">
                  <c:v>102936.819384</c:v>
                </c:pt>
                <c:pt idx="6">
                  <c:v>103454.26790399999</c:v>
                </c:pt>
                <c:pt idx="7">
                  <c:v>18913.906572288</c:v>
                </c:pt>
                <c:pt idx="8">
                  <c:v>6903.1247999999996</c:v>
                </c:pt>
                <c:pt idx="9">
                  <c:v>47541.707135999997</c:v>
                </c:pt>
                <c:pt idx="10">
                  <c:v>4910.2522559999998</c:v>
                </c:pt>
                <c:pt idx="11">
                  <c:v>2130.4069248000001</c:v>
                </c:pt>
                <c:pt idx="12">
                  <c:v>9243.9809280000009</c:v>
                </c:pt>
                <c:pt idx="13">
                  <c:v>6334.4274739199991</c:v>
                </c:pt>
                <c:pt idx="14">
                  <c:v>254361.38400000002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7825.2894720000004</c:v>
                </c:pt>
                <c:pt idx="29">
                  <c:v>2557.2153600000001</c:v>
                </c:pt>
                <c:pt idx="30">
                  <c:v>2557.2153600000001</c:v>
                </c:pt>
                <c:pt idx="31">
                  <c:v>0</c:v>
                </c:pt>
                <c:pt idx="32">
                  <c:v>0</c:v>
                </c:pt>
                <c:pt idx="33">
                  <c:v>20756.736000000001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333527.03999999998</c:v>
                </c:pt>
                <c:pt idx="46">
                  <c:v>0</c:v>
                </c:pt>
                <c:pt idx="47">
                  <c:v>0</c:v>
                </c:pt>
                <c:pt idx="48">
                  <c:v>15111.004607999999</c:v>
                </c:pt>
                <c:pt idx="49">
                  <c:v>98806.906598400004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247779</c:v>
                </c:pt>
                <c:pt idx="54">
                  <c:v>143178.2352</c:v>
                </c:pt>
                <c:pt idx="55">
                  <c:v>330382.80000000005</c:v>
                </c:pt>
                <c:pt idx="56">
                  <c:v>19206.72</c:v>
                </c:pt>
                <c:pt idx="57">
                  <c:v>0</c:v>
                </c:pt>
                <c:pt idx="58">
                  <c:v>0</c:v>
                </c:pt>
                <c:pt idx="59">
                  <c:v>21931.236000000001</c:v>
                </c:pt>
                <c:pt idx="60">
                  <c:v>19440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143178.2352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</c:numCache>
            </c:numRef>
          </c:xVal>
          <c:yVal>
            <c:numRef>
              <c:f>'Material Analysis'!$K$32:$K$116</c:f>
              <c:numCache>
                <c:formatCode>0.0</c:formatCode>
                <c:ptCount val="85"/>
                <c:pt idx="0">
                  <c:v>465.52499999999998</c:v>
                </c:pt>
                <c:pt idx="1">
                  <c:v>456.91199999999998</c:v>
                </c:pt>
                <c:pt idx="2">
                  <c:v>490.11799999999999</c:v>
                </c:pt>
                <c:pt idx="3">
                  <c:v>138.834</c:v>
                </c:pt>
                <c:pt idx="4">
                  <c:v>304.77800000000002</c:v>
                </c:pt>
                <c:pt idx="5">
                  <c:v>340.98599999999999</c:v>
                </c:pt>
                <c:pt idx="6">
                  <c:v>279.39100000000002</c:v>
                </c:pt>
                <c:pt idx="7">
                  <c:v>245.14599999999999</c:v>
                </c:pt>
                <c:pt idx="8">
                  <c:v>207.018</c:v>
                </c:pt>
                <c:pt idx="9">
                  <c:v>243.04900000000001</c:v>
                </c:pt>
                <c:pt idx="10">
                  <c:v>170.38900000000001</c:v>
                </c:pt>
                <c:pt idx="11">
                  <c:v>135.9</c:v>
                </c:pt>
                <c:pt idx="12">
                  <c:v>228.346</c:v>
                </c:pt>
                <c:pt idx="13">
                  <c:v>119.60899999999999</c:v>
                </c:pt>
                <c:pt idx="14">
                  <c:v>358.92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121.18300000000001</c:v>
                </c:pt>
                <c:pt idx="29">
                  <c:v>134.21199999999999</c:v>
                </c:pt>
                <c:pt idx="30">
                  <c:v>134.21199999999999</c:v>
                </c:pt>
                <c:pt idx="31">
                  <c:v>0</c:v>
                </c:pt>
                <c:pt idx="32">
                  <c:v>0</c:v>
                </c:pt>
                <c:pt idx="33">
                  <c:v>147.44900000000001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276.55700000000002</c:v>
                </c:pt>
                <c:pt idx="46">
                  <c:v>0</c:v>
                </c:pt>
                <c:pt idx="47">
                  <c:v>0</c:v>
                </c:pt>
                <c:pt idx="48">
                  <c:v>215.774</c:v>
                </c:pt>
                <c:pt idx="49">
                  <c:v>200.93299999999999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258.84899999999999</c:v>
                </c:pt>
                <c:pt idx="54">
                  <c:v>266.76600000000002</c:v>
                </c:pt>
                <c:pt idx="55">
                  <c:v>280.488</c:v>
                </c:pt>
                <c:pt idx="56">
                  <c:v>253.28899999999999</c:v>
                </c:pt>
                <c:pt idx="57">
                  <c:v>0</c:v>
                </c:pt>
                <c:pt idx="58">
                  <c:v>0</c:v>
                </c:pt>
                <c:pt idx="59">
                  <c:v>319.84100000000001</c:v>
                </c:pt>
                <c:pt idx="60">
                  <c:v>346.423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270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4994560"/>
        <c:axId val="135000448"/>
      </c:scatterChart>
      <c:valAx>
        <c:axId val="134994560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135000448"/>
        <c:crosses val="autoZero"/>
        <c:crossBetween val="midCat"/>
      </c:valAx>
      <c:valAx>
        <c:axId val="135000448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34994560"/>
        <c:crosses val="autoZero"/>
        <c:crossBetween val="midCat"/>
      </c:valAx>
    </c:plotArea>
    <c:plotVisOnly val="1"/>
    <c:dispBlanksAs val="gap"/>
    <c:showDLblsOverMax val="0"/>
  </c:chart>
  <c:spPr>
    <a:solidFill>
      <a:schemeClr val="accent6">
        <a:lumMod val="20000"/>
        <a:lumOff val="80000"/>
      </a:schemeClr>
    </a:solidFill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linear"/>
            <c:dispRSqr val="1"/>
            <c:dispEq val="1"/>
            <c:trendlineLbl>
              <c:layout>
                <c:manualLayout>
                  <c:x val="-0.18508563788017063"/>
                  <c:y val="-3.6651769880116335E-2"/>
                </c:manualLayout>
              </c:layout>
              <c:numFmt formatCode="General" sourceLinked="0"/>
            </c:trendlineLbl>
          </c:trendline>
          <c:xVal>
            <c:numRef>
              <c:f>'Curves - Belfort (old)'!$C$4:$C$18</c:f>
              <c:numCache>
                <c:formatCode>0.0</c:formatCode>
                <c:ptCount val="15"/>
                <c:pt idx="0">
                  <c:v>134.23637150000002</c:v>
                </c:pt>
                <c:pt idx="1">
                  <c:v>109.3897</c:v>
                </c:pt>
                <c:pt idx="2">
                  <c:v>111.2265495</c:v>
                </c:pt>
                <c:pt idx="3">
                  <c:v>9.2575000000000003</c:v>
                </c:pt>
                <c:pt idx="4">
                  <c:v>102.3273633</c:v>
                </c:pt>
                <c:pt idx="5">
                  <c:v>90.619305000000011</c:v>
                </c:pt>
                <c:pt idx="6">
                  <c:v>84.787199999999999</c:v>
                </c:pt>
                <c:pt idx="7">
                  <c:v>27.565583360000002</c:v>
                </c:pt>
                <c:pt idx="8">
                  <c:v>24.0656</c:v>
                </c:pt>
                <c:pt idx="9">
                  <c:v>54.202245120000001</c:v>
                </c:pt>
                <c:pt idx="10">
                  <c:v>16.543805000000003</c:v>
                </c:pt>
                <c:pt idx="11">
                  <c:v>13.880644415000001</c:v>
                </c:pt>
                <c:pt idx="12">
                  <c:v>30.588831000000003</c:v>
                </c:pt>
                <c:pt idx="13">
                  <c:v>27.871270000000003</c:v>
                </c:pt>
                <c:pt idx="14">
                  <c:v>117.7599</c:v>
                </c:pt>
              </c:numCache>
            </c:numRef>
          </c:xVal>
          <c:yVal>
            <c:numRef>
              <c:f>'Curves - Belfort (old)'!$D$4:$D$18</c:f>
              <c:numCache>
                <c:formatCode>0.0</c:formatCode>
                <c:ptCount val="15"/>
                <c:pt idx="0">
                  <c:v>465.52499999999998</c:v>
                </c:pt>
                <c:pt idx="1">
                  <c:v>456.91199999999998</c:v>
                </c:pt>
                <c:pt idx="2">
                  <c:v>490.11799999999999</c:v>
                </c:pt>
                <c:pt idx="3">
                  <c:v>138.834</c:v>
                </c:pt>
                <c:pt idx="4">
                  <c:v>304.77800000000002</c:v>
                </c:pt>
                <c:pt idx="5">
                  <c:v>340.98599999999999</c:v>
                </c:pt>
                <c:pt idx="6">
                  <c:v>279.39100000000002</c:v>
                </c:pt>
                <c:pt idx="7">
                  <c:v>245.14599999999999</c:v>
                </c:pt>
                <c:pt idx="8">
                  <c:v>207.018</c:v>
                </c:pt>
                <c:pt idx="9">
                  <c:v>243.04900000000001</c:v>
                </c:pt>
                <c:pt idx="10">
                  <c:v>170.38900000000001</c:v>
                </c:pt>
                <c:pt idx="11">
                  <c:v>135.9</c:v>
                </c:pt>
                <c:pt idx="12">
                  <c:v>228.346</c:v>
                </c:pt>
                <c:pt idx="13">
                  <c:v>119.61</c:v>
                </c:pt>
                <c:pt idx="14">
                  <c:v>358.92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651136"/>
        <c:axId val="138652672"/>
      </c:scatterChart>
      <c:valAx>
        <c:axId val="138651136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138652672"/>
        <c:crosses val="autoZero"/>
        <c:crossBetween val="midCat"/>
      </c:valAx>
      <c:valAx>
        <c:axId val="138652672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38651136"/>
        <c:crosses val="autoZero"/>
        <c:crossBetween val="midCat"/>
      </c:valAx>
    </c:plotArea>
    <c:plotVisOnly val="1"/>
    <c:dispBlanksAs val="gap"/>
    <c:showDLblsOverMax val="0"/>
  </c:chart>
  <c:spPr>
    <a:noFill/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power"/>
            <c:dispRSqr val="1"/>
            <c:dispEq val="1"/>
            <c:trendlineLbl>
              <c:layout>
                <c:manualLayout>
                  <c:x val="-0.23599108222016191"/>
                  <c:y val="-6.4401883581971433E-4"/>
                </c:manualLayout>
              </c:layout>
              <c:numFmt formatCode="General" sourceLinked="0"/>
            </c:trendlineLbl>
          </c:trendline>
          <c:xVal>
            <c:numRef>
              <c:f>'Curves - Belfort (old)'!$J$4:$J$18</c:f>
              <c:numCache>
                <c:formatCode>0.0</c:formatCode>
                <c:ptCount val="15"/>
                <c:pt idx="0">
                  <c:v>21.6755</c:v>
                </c:pt>
                <c:pt idx="1">
                  <c:v>15.407</c:v>
                </c:pt>
                <c:pt idx="2">
                  <c:v>14.8401</c:v>
                </c:pt>
                <c:pt idx="3">
                  <c:v>4.0249999999999995</c:v>
                </c:pt>
                <c:pt idx="4">
                  <c:v>12.07545</c:v>
                </c:pt>
                <c:pt idx="5">
                  <c:v>9.7545000000000002</c:v>
                </c:pt>
                <c:pt idx="6">
                  <c:v>8.831999999999999</c:v>
                </c:pt>
                <c:pt idx="7">
                  <c:v>7.85792</c:v>
                </c:pt>
                <c:pt idx="8">
                  <c:v>4.6280000000000001</c:v>
                </c:pt>
                <c:pt idx="9">
                  <c:v>9.10656</c:v>
                </c:pt>
                <c:pt idx="10">
                  <c:v>4.5474999999999994</c:v>
                </c:pt>
                <c:pt idx="11">
                  <c:v>3.6025549999999997</c:v>
                </c:pt>
                <c:pt idx="12">
                  <c:v>6.0332999999999997</c:v>
                </c:pt>
                <c:pt idx="13">
                  <c:v>4.4169999999999998</c:v>
                </c:pt>
                <c:pt idx="14">
                  <c:v>11.433</c:v>
                </c:pt>
              </c:numCache>
            </c:numRef>
          </c:xVal>
          <c:yVal>
            <c:numRef>
              <c:f>'Curves - Belfort (old)'!$K$4:$K$18</c:f>
              <c:numCache>
                <c:formatCode>0.0</c:formatCode>
                <c:ptCount val="15"/>
                <c:pt idx="0">
                  <c:v>465.52499999999998</c:v>
                </c:pt>
                <c:pt idx="1">
                  <c:v>456.91199999999998</c:v>
                </c:pt>
                <c:pt idx="2">
                  <c:v>490.11799999999999</c:v>
                </c:pt>
                <c:pt idx="3">
                  <c:v>138.834</c:v>
                </c:pt>
                <c:pt idx="4">
                  <c:v>304.77800000000002</c:v>
                </c:pt>
                <c:pt idx="5">
                  <c:v>340.98599999999999</c:v>
                </c:pt>
                <c:pt idx="6">
                  <c:v>279.39100000000002</c:v>
                </c:pt>
                <c:pt idx="7">
                  <c:v>245.14599999999999</c:v>
                </c:pt>
                <c:pt idx="8">
                  <c:v>207.018</c:v>
                </c:pt>
                <c:pt idx="9">
                  <c:v>243.04900000000001</c:v>
                </c:pt>
                <c:pt idx="10">
                  <c:v>170.38900000000001</c:v>
                </c:pt>
                <c:pt idx="11">
                  <c:v>135.9</c:v>
                </c:pt>
                <c:pt idx="12">
                  <c:v>228.346</c:v>
                </c:pt>
                <c:pt idx="13">
                  <c:v>119.61</c:v>
                </c:pt>
                <c:pt idx="14">
                  <c:v>358.92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554368"/>
        <c:axId val="138560256"/>
      </c:scatterChart>
      <c:valAx>
        <c:axId val="138554368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138560256"/>
        <c:crosses val="autoZero"/>
        <c:crossBetween val="midCat"/>
      </c:valAx>
      <c:valAx>
        <c:axId val="138560256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3855436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power"/>
            <c:dispRSqr val="1"/>
            <c:dispEq val="1"/>
            <c:trendlineLbl>
              <c:layout>
                <c:manualLayout>
                  <c:x val="-0.197374760587359"/>
                  <c:y val="-3.8851385546657458E-2"/>
                </c:manualLayout>
              </c:layout>
              <c:numFmt formatCode="General" sourceLinked="0"/>
            </c:trendlineLbl>
          </c:trendline>
          <c:xVal>
            <c:numRef>
              <c:f>'Curves - Belfort (old)'!$C$22:$C$36</c:f>
              <c:numCache>
                <c:formatCode>0</c:formatCode>
                <c:ptCount val="15"/>
                <c:pt idx="0">
                  <c:v>367.74623809523808</c:v>
                </c:pt>
                <c:pt idx="1">
                  <c:v>112.464</c:v>
                </c:pt>
                <c:pt idx="2">
                  <c:v>111.12586666666667</c:v>
                </c:pt>
                <c:pt idx="3">
                  <c:v>12.218749999999998</c:v>
                </c:pt>
                <c:pt idx="4">
                  <c:v>122.10630476190475</c:v>
                </c:pt>
                <c:pt idx="5">
                  <c:v>62.198761904761902</c:v>
                </c:pt>
                <c:pt idx="6">
                  <c:v>62.521165048543693</c:v>
                </c:pt>
                <c:pt idx="7">
                  <c:v>110.78468349514561</c:v>
                </c:pt>
                <c:pt idx="8">
                  <c:v>38.884955752212392</c:v>
                </c:pt>
                <c:pt idx="9">
                  <c:v>134.99978761061945</c:v>
                </c:pt>
                <c:pt idx="10">
                  <c:v>30.410854368932032</c:v>
                </c:pt>
                <c:pt idx="11">
                  <c:v>21.00985857142857</c:v>
                </c:pt>
                <c:pt idx="12">
                  <c:v>63.898899999999998</c:v>
                </c:pt>
                <c:pt idx="13">
                  <c:v>23.911578947368419</c:v>
                </c:pt>
                <c:pt idx="14">
                  <c:v>85.949999999999989</c:v>
                </c:pt>
              </c:numCache>
            </c:numRef>
          </c:xVal>
          <c:yVal>
            <c:numRef>
              <c:f>'Curves - Belfort (old)'!$D$22:$D$36</c:f>
              <c:numCache>
                <c:formatCode>0.0</c:formatCode>
                <c:ptCount val="15"/>
                <c:pt idx="0">
                  <c:v>871.19599999999991</c:v>
                </c:pt>
                <c:pt idx="1">
                  <c:v>800.80652198421649</c:v>
                </c:pt>
                <c:pt idx="2">
                  <c:v>791.78679819616696</c:v>
                </c:pt>
                <c:pt idx="3">
                  <c:v>270.15899999999999</c:v>
                </c:pt>
                <c:pt idx="4">
                  <c:v>517.38</c:v>
                </c:pt>
                <c:pt idx="5">
                  <c:v>389.13099999999997</c:v>
                </c:pt>
                <c:pt idx="6">
                  <c:v>626.99</c:v>
                </c:pt>
                <c:pt idx="7">
                  <c:v>389.97019999999998</c:v>
                </c:pt>
                <c:pt idx="8">
                  <c:v>488.71199999999999</c:v>
                </c:pt>
                <c:pt idx="9">
                  <c:v>587.904</c:v>
                </c:pt>
                <c:pt idx="10">
                  <c:v>220.21100000000001</c:v>
                </c:pt>
                <c:pt idx="11">
                  <c:v>291.50900000000001</c:v>
                </c:pt>
                <c:pt idx="12">
                  <c:v>307.77300000000002</c:v>
                </c:pt>
                <c:pt idx="13">
                  <c:v>228.54900000000001</c:v>
                </c:pt>
                <c:pt idx="14">
                  <c:v>712.6880000000001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588928"/>
        <c:axId val="138590464"/>
      </c:scatterChart>
      <c:valAx>
        <c:axId val="138588928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138590464"/>
        <c:crosses val="autoZero"/>
        <c:crossBetween val="midCat"/>
      </c:valAx>
      <c:valAx>
        <c:axId val="138590464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3858892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power"/>
            <c:dispRSqr val="1"/>
            <c:dispEq val="1"/>
            <c:trendlineLbl>
              <c:layout>
                <c:manualLayout>
                  <c:x val="-9.401414850844475E-2"/>
                  <c:y val="-4.1293265743819828E-2"/>
                </c:manualLayout>
              </c:layout>
              <c:numFmt formatCode="General" sourceLinked="0"/>
            </c:trendlineLbl>
          </c:trendline>
          <c:xVal>
            <c:numRef>
              <c:f>'Curves - Belfort (old)'!$J$22:$J$32</c:f>
              <c:numCache>
                <c:formatCode>0</c:formatCode>
                <c:ptCount val="11"/>
                <c:pt idx="0">
                  <c:v>363.69577379042482</c:v>
                </c:pt>
                <c:pt idx="1">
                  <c:v>132.39993286335996</c:v>
                </c:pt>
                <c:pt idx="2">
                  <c:v>129.94127904557504</c:v>
                </c:pt>
                <c:pt idx="3">
                  <c:v>13.217268271301583</c:v>
                </c:pt>
                <c:pt idx="4">
                  <c:v>168.40899693193072</c:v>
                </c:pt>
                <c:pt idx="5">
                  <c:v>98.537967543577068</c:v>
                </c:pt>
                <c:pt idx="6">
                  <c:v>95.482363512416455</c:v>
                </c:pt>
                <c:pt idx="7">
                  <c:v>108.95931702137692</c:v>
                </c:pt>
                <c:pt idx="8">
                  <c:v>60.203013634318395</c:v>
                </c:pt>
                <c:pt idx="9">
                  <c:v>185.78960612200905</c:v>
                </c:pt>
                <c:pt idx="10">
                  <c:v>34.782309153775415</c:v>
                </c:pt>
              </c:numCache>
            </c:numRef>
          </c:xVal>
          <c:yVal>
            <c:numRef>
              <c:f>'Curves - Belfort (old)'!$K$22:$K$32</c:f>
              <c:numCache>
                <c:formatCode>0.0</c:formatCode>
                <c:ptCount val="11"/>
                <c:pt idx="0">
                  <c:v>871.19599999999991</c:v>
                </c:pt>
                <c:pt idx="1">
                  <c:v>800.80652198421649</c:v>
                </c:pt>
                <c:pt idx="2">
                  <c:v>791.78679819616696</c:v>
                </c:pt>
                <c:pt idx="3">
                  <c:v>270.15899999999999</c:v>
                </c:pt>
                <c:pt idx="4">
                  <c:v>517.38</c:v>
                </c:pt>
                <c:pt idx="5">
                  <c:v>389.13099999999997</c:v>
                </c:pt>
                <c:pt idx="6">
                  <c:v>626.99</c:v>
                </c:pt>
                <c:pt idx="7">
                  <c:v>389.97019999999998</c:v>
                </c:pt>
                <c:pt idx="8">
                  <c:v>488.71199999999999</c:v>
                </c:pt>
                <c:pt idx="9">
                  <c:v>587.904</c:v>
                </c:pt>
                <c:pt idx="10">
                  <c:v>220.21100000000001</c:v>
                </c:pt>
              </c:numCache>
            </c:numRef>
          </c:yVal>
          <c:smooth val="0"/>
        </c:ser>
        <c:ser>
          <c:idx val="1"/>
          <c:order val="1"/>
          <c:tx>
            <c:v>Bulb</c:v>
          </c:tx>
          <c:spPr>
            <a:ln w="28575">
              <a:noFill/>
            </a:ln>
          </c:spPr>
          <c:marker>
            <c:symbol val="square"/>
            <c:size val="4"/>
          </c:marker>
          <c:xVal>
            <c:numRef>
              <c:f>'Curves - Belfort (old)'!$J$33:$J$34</c:f>
              <c:numCache>
                <c:formatCode>0</c:formatCode>
                <c:ptCount val="2"/>
                <c:pt idx="0">
                  <c:v>47.722142997196784</c:v>
                </c:pt>
                <c:pt idx="1">
                  <c:v>139.14089741457516</c:v>
                </c:pt>
              </c:numCache>
            </c:numRef>
          </c:xVal>
          <c:yVal>
            <c:numRef>
              <c:f>'Curves - Belfort (old)'!$K$33:$K$34</c:f>
              <c:numCache>
                <c:formatCode>0.0</c:formatCode>
                <c:ptCount val="2"/>
                <c:pt idx="0">
                  <c:v>291.50900000000001</c:v>
                </c:pt>
                <c:pt idx="1">
                  <c:v>307.77300000000002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069888"/>
        <c:axId val="140075776"/>
      </c:scatterChart>
      <c:valAx>
        <c:axId val="140069888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140075776"/>
        <c:crosses val="autoZero"/>
        <c:crossBetween val="midCat"/>
      </c:valAx>
      <c:valAx>
        <c:axId val="140075776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4006988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power"/>
            <c:dispRSqr val="1"/>
            <c:dispEq val="1"/>
            <c:trendlineLbl>
              <c:layout>
                <c:manualLayout>
                  <c:x val="-0.18822126908933132"/>
                  <c:y val="-0.12664558323652167"/>
                </c:manualLayout>
              </c:layout>
              <c:numFmt formatCode="General" sourceLinked="0"/>
            </c:trendlineLbl>
          </c:trendline>
          <c:xVal>
            <c:numRef>
              <c:f>'Curves - Belfort (old)'!$Q$40:$Q$50</c:f>
              <c:numCache>
                <c:formatCode>0</c:formatCode>
                <c:ptCount val="11"/>
                <c:pt idx="0">
                  <c:v>155.91187150000002</c:v>
                </c:pt>
                <c:pt idx="1">
                  <c:v>124.7967</c:v>
                </c:pt>
                <c:pt idx="2">
                  <c:v>126.06664950000001</c:v>
                </c:pt>
                <c:pt idx="3">
                  <c:v>13.282499999999999</c:v>
                </c:pt>
                <c:pt idx="4">
                  <c:v>114.40281330000001</c:v>
                </c:pt>
                <c:pt idx="5">
                  <c:v>100.373805</c:v>
                </c:pt>
                <c:pt idx="6">
                  <c:v>93.619199999999992</c:v>
                </c:pt>
                <c:pt idx="7">
                  <c:v>35.423503359999998</c:v>
                </c:pt>
                <c:pt idx="8">
                  <c:v>28.6936</c:v>
                </c:pt>
                <c:pt idx="9">
                  <c:v>63.308805120000002</c:v>
                </c:pt>
                <c:pt idx="10">
                  <c:v>21.091305000000002</c:v>
                </c:pt>
              </c:numCache>
            </c:numRef>
          </c:xVal>
          <c:yVal>
            <c:numRef>
              <c:f>'Curves - Belfort (old)'!$R$40:$R$50</c:f>
              <c:numCache>
                <c:formatCode>0.0</c:formatCode>
                <c:ptCount val="11"/>
                <c:pt idx="0">
                  <c:v>1336.721</c:v>
                </c:pt>
                <c:pt idx="1">
                  <c:v>1257.7185219842165</c:v>
                </c:pt>
                <c:pt idx="2">
                  <c:v>1281.9047981961669</c:v>
                </c:pt>
                <c:pt idx="3">
                  <c:v>408.99299999999999</c:v>
                </c:pt>
                <c:pt idx="4">
                  <c:v>822.15800000000002</c:v>
                </c:pt>
                <c:pt idx="5">
                  <c:v>730.11699999999996</c:v>
                </c:pt>
                <c:pt idx="6">
                  <c:v>906.38100000000009</c:v>
                </c:pt>
                <c:pt idx="7">
                  <c:v>635.11619999999994</c:v>
                </c:pt>
                <c:pt idx="8">
                  <c:v>695.73</c:v>
                </c:pt>
                <c:pt idx="9">
                  <c:v>830.95299999999997</c:v>
                </c:pt>
                <c:pt idx="10">
                  <c:v>390.6</c:v>
                </c:pt>
              </c:numCache>
            </c:numRef>
          </c:yVal>
          <c:smooth val="0"/>
        </c:ser>
        <c:ser>
          <c:idx val="1"/>
          <c:order val="1"/>
          <c:tx>
            <c:v>Bulb</c:v>
          </c:tx>
          <c:spPr>
            <a:ln w="28575">
              <a:noFill/>
            </a:ln>
          </c:spPr>
          <c:marker>
            <c:symbol val="square"/>
            <c:size val="4"/>
          </c:marker>
          <c:xVal>
            <c:numRef>
              <c:f>'Curves - Belfort (old)'!$Q$51:$Q$52</c:f>
              <c:numCache>
                <c:formatCode>0</c:formatCode>
                <c:ptCount val="2"/>
                <c:pt idx="0">
                  <c:v>17.483199415000001</c:v>
                </c:pt>
                <c:pt idx="1">
                  <c:v>36.622131000000003</c:v>
                </c:pt>
              </c:numCache>
            </c:numRef>
          </c:xVal>
          <c:yVal>
            <c:numRef>
              <c:f>'Curves - Belfort (old)'!$R$51:$R$52</c:f>
              <c:numCache>
                <c:formatCode>0.0</c:formatCode>
                <c:ptCount val="2"/>
                <c:pt idx="0">
                  <c:v>427.40899999999999</c:v>
                </c:pt>
                <c:pt idx="1">
                  <c:v>536.11900000000003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097408"/>
        <c:axId val="140098944"/>
      </c:scatterChart>
      <c:valAx>
        <c:axId val="140097408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140098944"/>
        <c:crosses val="autoZero"/>
        <c:crossBetween val="midCat"/>
      </c:valAx>
      <c:valAx>
        <c:axId val="140098944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4009740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poly"/>
            <c:order val="2"/>
            <c:dispRSqr val="1"/>
            <c:dispEq val="1"/>
            <c:trendlineLbl>
              <c:layout>
                <c:manualLayout>
                  <c:x val="0.16133886489995203"/>
                  <c:y val="0.2609089653267026"/>
                </c:manualLayout>
              </c:layout>
              <c:numFmt formatCode="General" sourceLinked="0"/>
            </c:trendlineLbl>
          </c:trendline>
          <c:xVal>
            <c:numRef>
              <c:f>'Curves - Belfort (old)'!$J$40:$J$50</c:f>
              <c:numCache>
                <c:formatCode>0</c:formatCode>
                <c:ptCount val="11"/>
                <c:pt idx="0">
                  <c:v>3142.9474999999998</c:v>
                </c:pt>
                <c:pt idx="1">
                  <c:v>1232.56</c:v>
                </c:pt>
                <c:pt idx="2">
                  <c:v>1187.2079999999999</c:v>
                </c:pt>
                <c:pt idx="3">
                  <c:v>100.625</c:v>
                </c:pt>
                <c:pt idx="4">
                  <c:v>821.13059999999996</c:v>
                </c:pt>
                <c:pt idx="5">
                  <c:v>370.67099999999999</c:v>
                </c:pt>
                <c:pt idx="6">
                  <c:v>344.44799999999998</c:v>
                </c:pt>
                <c:pt idx="7">
                  <c:v>840.79743999999994</c:v>
                </c:pt>
                <c:pt idx="8">
                  <c:v>115.69999999999999</c:v>
                </c:pt>
                <c:pt idx="9">
                  <c:v>500.86079999999998</c:v>
                </c:pt>
                <c:pt idx="10">
                  <c:v>190.995</c:v>
                </c:pt>
              </c:numCache>
            </c:numRef>
          </c:xVal>
          <c:yVal>
            <c:numRef>
              <c:f>'Curves - Belfort (old)'!$K$40:$K$50</c:f>
              <c:numCache>
                <c:formatCode>0.0</c:formatCode>
                <c:ptCount val="11"/>
                <c:pt idx="0">
                  <c:v>1336.721</c:v>
                </c:pt>
                <c:pt idx="1">
                  <c:v>1257.7185219842165</c:v>
                </c:pt>
                <c:pt idx="2">
                  <c:v>1281.9047981961669</c:v>
                </c:pt>
                <c:pt idx="3">
                  <c:v>408.99299999999999</c:v>
                </c:pt>
                <c:pt idx="4">
                  <c:v>822.15800000000002</c:v>
                </c:pt>
                <c:pt idx="5">
                  <c:v>730.11699999999996</c:v>
                </c:pt>
                <c:pt idx="6">
                  <c:v>906.38100000000009</c:v>
                </c:pt>
                <c:pt idx="7">
                  <c:v>635.11619999999994</c:v>
                </c:pt>
                <c:pt idx="8">
                  <c:v>695.73</c:v>
                </c:pt>
                <c:pt idx="9">
                  <c:v>830.95299999999997</c:v>
                </c:pt>
                <c:pt idx="10">
                  <c:v>390.6</c:v>
                </c:pt>
              </c:numCache>
            </c:numRef>
          </c:yVal>
          <c:smooth val="0"/>
        </c:ser>
        <c:ser>
          <c:idx val="1"/>
          <c:order val="1"/>
          <c:tx>
            <c:v>Bulb</c:v>
          </c:tx>
          <c:spPr>
            <a:ln w="28575">
              <a:noFill/>
            </a:ln>
          </c:spPr>
          <c:marker>
            <c:symbol val="square"/>
            <c:size val="4"/>
          </c:marker>
          <c:xVal>
            <c:numRef>
              <c:f>'Curves - Belfort (old)'!$J$51:$J$52</c:f>
              <c:numCache>
                <c:formatCode>0</c:formatCode>
                <c:ptCount val="2"/>
                <c:pt idx="0">
                  <c:v>39.628104999999998</c:v>
                </c:pt>
                <c:pt idx="1">
                  <c:v>114.6327</c:v>
                </c:pt>
              </c:numCache>
            </c:numRef>
          </c:xVal>
          <c:yVal>
            <c:numRef>
              <c:f>'Curves - Belfort (old)'!$K$51:$K$52</c:f>
              <c:numCache>
                <c:formatCode>0.0</c:formatCode>
                <c:ptCount val="2"/>
                <c:pt idx="0">
                  <c:v>427.40899999999999</c:v>
                </c:pt>
                <c:pt idx="1">
                  <c:v>536.11900000000003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829824"/>
        <c:axId val="138831360"/>
      </c:scatterChart>
      <c:valAx>
        <c:axId val="138829824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138831360"/>
        <c:crosses val="autoZero"/>
        <c:crossBetween val="midCat"/>
      </c:valAx>
      <c:valAx>
        <c:axId val="138831360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38829824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325934596653033"/>
          <c:y val="8.2211908528493693E-2"/>
          <c:w val="0.76710806823600275"/>
          <c:h val="0.77315022958782886"/>
        </c:manualLayout>
      </c:layout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poly"/>
            <c:order val="2"/>
            <c:dispRSqr val="1"/>
            <c:dispEq val="1"/>
            <c:trendlineLbl>
              <c:layout>
                <c:manualLayout>
                  <c:x val="-0.13723233141247912"/>
                  <c:y val="-4.4501314139599124E-2"/>
                </c:manualLayout>
              </c:layout>
              <c:numFmt formatCode="General" sourceLinked="0"/>
            </c:trendlineLbl>
          </c:trendline>
          <c:xVal>
            <c:numRef>
              <c:f>'Curves - Belfort (old)'!$Q$22:$Q$36</c:f>
              <c:numCache>
                <c:formatCode>0</c:formatCode>
                <c:ptCount val="15"/>
                <c:pt idx="0">
                  <c:v>748.2604142275602</c:v>
                </c:pt>
                <c:pt idx="1">
                  <c:v>367.36466895987695</c:v>
                </c:pt>
                <c:pt idx="2">
                  <c:v>365.17261671708076</c:v>
                </c:pt>
                <c:pt idx="3">
                  <c:v>60.544405191561665</c:v>
                </c:pt>
                <c:pt idx="4">
                  <c:v>295.2692019158111</c:v>
                </c:pt>
                <c:pt idx="5">
                  <c:v>157.53509450278057</c:v>
                </c:pt>
                <c:pt idx="6">
                  <c:v>158.47634523801969</c:v>
                </c:pt>
                <c:pt idx="7">
                  <c:v>349.42209386356785</c:v>
                </c:pt>
                <c:pt idx="8">
                  <c:v>74.111402631443966</c:v>
                </c:pt>
                <c:pt idx="9">
                  <c:v>204.81988184744174</c:v>
                </c:pt>
                <c:pt idx="10">
                  <c:v>114.69845508985725</c:v>
                </c:pt>
                <c:pt idx="11">
                  <c:v>28.440807917497704</c:v>
                </c:pt>
                <c:pt idx="12">
                  <c:v>60.350951110980844</c:v>
                </c:pt>
                <c:pt idx="13">
                  <c:v>44.301945781195663</c:v>
                </c:pt>
                <c:pt idx="14">
                  <c:v>199.59415071589646</c:v>
                </c:pt>
              </c:numCache>
            </c:numRef>
          </c:xVal>
          <c:yVal>
            <c:numRef>
              <c:f>'Curves - Belfort (old)'!$R$22:$R$36</c:f>
              <c:numCache>
                <c:formatCode>0.0</c:formatCode>
                <c:ptCount val="15"/>
                <c:pt idx="0">
                  <c:v>871.19599999999991</c:v>
                </c:pt>
                <c:pt idx="1">
                  <c:v>800.80652198421649</c:v>
                </c:pt>
                <c:pt idx="2">
                  <c:v>791.78679819616696</c:v>
                </c:pt>
                <c:pt idx="3">
                  <c:v>270.15899999999999</c:v>
                </c:pt>
                <c:pt idx="4">
                  <c:v>517.38</c:v>
                </c:pt>
                <c:pt idx="5">
                  <c:v>389.13099999999997</c:v>
                </c:pt>
                <c:pt idx="6">
                  <c:v>626.99</c:v>
                </c:pt>
                <c:pt idx="7">
                  <c:v>389.97019999999998</c:v>
                </c:pt>
                <c:pt idx="8">
                  <c:v>488.71199999999999</c:v>
                </c:pt>
                <c:pt idx="9">
                  <c:v>587.904</c:v>
                </c:pt>
                <c:pt idx="10">
                  <c:v>220.21100000000001</c:v>
                </c:pt>
                <c:pt idx="11">
                  <c:v>291.50900000000001</c:v>
                </c:pt>
                <c:pt idx="12">
                  <c:v>307.77300000000002</c:v>
                </c:pt>
                <c:pt idx="13">
                  <c:v>228.54900000000001</c:v>
                </c:pt>
                <c:pt idx="14">
                  <c:v>712.6880000000001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851456"/>
        <c:axId val="138852992"/>
      </c:scatterChart>
      <c:valAx>
        <c:axId val="138851456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138852992"/>
        <c:crosses val="autoZero"/>
        <c:crossBetween val="midCat"/>
      </c:valAx>
      <c:valAx>
        <c:axId val="138852992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38851456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log"/>
            <c:dispRSqr val="1"/>
            <c:dispEq val="1"/>
            <c:trendlineLbl>
              <c:layout>
                <c:manualLayout>
                  <c:x val="0.10664490938480894"/>
                  <c:y val="0.46894638611315159"/>
                </c:manualLayout>
              </c:layout>
              <c:numFmt formatCode="General" sourceLinked="0"/>
            </c:trendlineLbl>
          </c:trendline>
          <c:xVal>
            <c:numRef>
              <c:f>'Curves - Belfort (old)'!$C$59:$C$69</c:f>
              <c:numCache>
                <c:formatCode>0.0</c:formatCode>
                <c:ptCount val="11"/>
                <c:pt idx="0">
                  <c:v>21.6755</c:v>
                </c:pt>
                <c:pt idx="1">
                  <c:v>15.407</c:v>
                </c:pt>
                <c:pt idx="2">
                  <c:v>14.8401</c:v>
                </c:pt>
                <c:pt idx="3">
                  <c:v>4.0249999999999995</c:v>
                </c:pt>
                <c:pt idx="4">
                  <c:v>12.07545</c:v>
                </c:pt>
                <c:pt idx="5">
                  <c:v>9.7545000000000002</c:v>
                </c:pt>
                <c:pt idx="6">
                  <c:v>8.831999999999999</c:v>
                </c:pt>
                <c:pt idx="7">
                  <c:v>7.85792</c:v>
                </c:pt>
                <c:pt idx="8">
                  <c:v>4.6280000000000001</c:v>
                </c:pt>
                <c:pt idx="9">
                  <c:v>9.10656</c:v>
                </c:pt>
                <c:pt idx="10">
                  <c:v>4.5474999999999994</c:v>
                </c:pt>
              </c:numCache>
            </c:numRef>
          </c:xVal>
          <c:yVal>
            <c:numRef>
              <c:f>'Curves - Belfort (old)'!$D$59:$D$69</c:f>
              <c:numCache>
                <c:formatCode>0.0</c:formatCode>
                <c:ptCount val="11"/>
                <c:pt idx="0">
                  <c:v>206.75405595947333</c:v>
                </c:pt>
                <c:pt idx="1">
                  <c:v>268.83049999999997</c:v>
                </c:pt>
                <c:pt idx="2">
                  <c:v>252.85</c:v>
                </c:pt>
                <c:pt idx="3">
                  <c:v>118.26600000000001</c:v>
                </c:pt>
                <c:pt idx="4">
                  <c:v>235.14699999999999</c:v>
                </c:pt>
                <c:pt idx="5">
                  <c:v>123.387</c:v>
                </c:pt>
                <c:pt idx="6">
                  <c:v>125.386</c:v>
                </c:pt>
                <c:pt idx="7">
                  <c:v>179.58</c:v>
                </c:pt>
                <c:pt idx="8">
                  <c:v>51.64</c:v>
                </c:pt>
                <c:pt idx="9">
                  <c:v>170.136</c:v>
                </c:pt>
                <c:pt idx="10">
                  <c:v>81.551000000000002</c:v>
                </c:pt>
              </c:numCache>
            </c:numRef>
          </c:yVal>
          <c:smooth val="0"/>
        </c:ser>
        <c:ser>
          <c:idx val="1"/>
          <c:order val="1"/>
          <c:tx>
            <c:v>Bulb</c:v>
          </c:tx>
          <c:spPr>
            <a:ln w="28575">
              <a:noFill/>
            </a:ln>
          </c:spPr>
          <c:marker>
            <c:symbol val="square"/>
            <c:size val="4"/>
          </c:marker>
          <c:xVal>
            <c:numRef>
              <c:f>'Curves - Belfort (old)'!$C$70:$C$71</c:f>
              <c:numCache>
                <c:formatCode>0.0</c:formatCode>
                <c:ptCount val="2"/>
                <c:pt idx="0">
                  <c:v>3.6025549999999997</c:v>
                </c:pt>
                <c:pt idx="1">
                  <c:v>6.0332999999999997</c:v>
                </c:pt>
              </c:numCache>
            </c:numRef>
          </c:xVal>
          <c:yVal>
            <c:numRef>
              <c:f>'Curves - Belfort (old)'!$D$70:$D$71</c:f>
              <c:numCache>
                <c:formatCode>0.0</c:formatCode>
                <c:ptCount val="2"/>
                <c:pt idx="0">
                  <c:v>107.0222</c:v>
                </c:pt>
                <c:pt idx="1">
                  <c:v>166.58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960256"/>
        <c:axId val="138966144"/>
      </c:scatterChart>
      <c:valAx>
        <c:axId val="138960256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138966144"/>
        <c:crosses val="autoZero"/>
        <c:crossBetween val="midCat"/>
      </c:valAx>
      <c:valAx>
        <c:axId val="138966144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38960256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log"/>
            <c:dispRSqr val="1"/>
            <c:dispEq val="1"/>
            <c:trendlineLbl>
              <c:layout>
                <c:manualLayout>
                  <c:x val="-0.27784789304926838"/>
                  <c:y val="-2.8495756330106113E-2"/>
                </c:manualLayout>
              </c:layout>
              <c:numFmt formatCode="General" sourceLinked="0"/>
            </c:trendlineLbl>
          </c:trendline>
          <c:xVal>
            <c:numRef>
              <c:f>('Curves - Belfort (old)'!$C$75:$C$78,'Curves - Belfort (old)'!$C$80:$C$85)</c:f>
              <c:numCache>
                <c:formatCode>0.0</c:formatCode>
                <c:ptCount val="10"/>
                <c:pt idx="0">
                  <c:v>21.6755</c:v>
                </c:pt>
                <c:pt idx="1">
                  <c:v>15.407</c:v>
                </c:pt>
                <c:pt idx="2">
                  <c:v>14.8401</c:v>
                </c:pt>
                <c:pt idx="3">
                  <c:v>4.0249999999999995</c:v>
                </c:pt>
                <c:pt idx="4">
                  <c:v>9.7545000000000002</c:v>
                </c:pt>
                <c:pt idx="5">
                  <c:v>8.831999999999999</c:v>
                </c:pt>
                <c:pt idx="6">
                  <c:v>7.85792</c:v>
                </c:pt>
                <c:pt idx="7">
                  <c:v>4.6280000000000001</c:v>
                </c:pt>
                <c:pt idx="8">
                  <c:v>9.10656</c:v>
                </c:pt>
                <c:pt idx="9">
                  <c:v>4.5474999999999994</c:v>
                </c:pt>
              </c:numCache>
            </c:numRef>
          </c:xVal>
          <c:yVal>
            <c:numRef>
              <c:f>('Curves - Belfort (old)'!$D$75:$D$78,'Curves - Belfort (old)'!$D$80:$D$85)</c:f>
              <c:numCache>
                <c:formatCode>General</c:formatCode>
                <c:ptCount val="10"/>
                <c:pt idx="0">
                  <c:v>448.99995258773907</c:v>
                </c:pt>
                <c:pt idx="1">
                  <c:v>335.82749999999999</c:v>
                </c:pt>
                <c:pt idx="2">
                  <c:v>356.05</c:v>
                </c:pt>
                <c:pt idx="3">
                  <c:v>140.63800000000001</c:v>
                </c:pt>
                <c:pt idx="4">
                  <c:v>313.87799999999999</c:v>
                </c:pt>
                <c:pt idx="5">
                  <c:v>360.036</c:v>
                </c:pt>
                <c:pt idx="6">
                  <c:v>188.93299999999999</c:v>
                </c:pt>
                <c:pt idx="7">
                  <c:v>129.66999999999999</c:v>
                </c:pt>
                <c:pt idx="8">
                  <c:v>323.41000000000003</c:v>
                </c:pt>
                <c:pt idx="9">
                  <c:v>194.67</c:v>
                </c:pt>
              </c:numCache>
            </c:numRef>
          </c:yVal>
          <c:smooth val="0"/>
        </c:ser>
        <c:ser>
          <c:idx val="1"/>
          <c:order val="1"/>
          <c:tx>
            <c:v>Bulb</c:v>
          </c:tx>
          <c:spPr>
            <a:ln w="28575">
              <a:noFill/>
            </a:ln>
          </c:spPr>
          <c:marker>
            <c:symbol val="square"/>
            <c:size val="4"/>
          </c:marker>
          <c:xVal>
            <c:numRef>
              <c:f>'Curves - Belfort (old)'!$C$86:$C$87</c:f>
              <c:numCache>
                <c:formatCode>0.0</c:formatCode>
                <c:ptCount val="2"/>
                <c:pt idx="0">
                  <c:v>3.6025549999999997</c:v>
                </c:pt>
                <c:pt idx="1">
                  <c:v>6.0332999999999997</c:v>
                </c:pt>
              </c:numCache>
            </c:numRef>
          </c:xVal>
          <c:yVal>
            <c:numRef>
              <c:f>'Curves - Belfort (old)'!$D$86:$D$87</c:f>
              <c:numCache>
                <c:formatCode>General</c:formatCode>
                <c:ptCount val="2"/>
                <c:pt idx="0">
                  <c:v>177.697</c:v>
                </c:pt>
                <c:pt idx="1">
                  <c:v>139.55000000000001</c:v>
                </c:pt>
              </c:numCache>
            </c:numRef>
          </c:yVal>
          <c:smooth val="0"/>
        </c:ser>
        <c:ser>
          <c:idx val="2"/>
          <c:order val="2"/>
          <c:spPr>
            <a:ln w="28575">
              <a:noFill/>
            </a:ln>
          </c:spPr>
          <c:marker>
            <c:symbol val="circle"/>
            <c:size val="4"/>
            <c:spPr>
              <a:solidFill>
                <a:srgbClr val="00B050"/>
              </a:solidFill>
            </c:spPr>
          </c:marker>
          <c:xVal>
            <c:numRef>
              <c:f>'Curves - Belfort (old)'!$C$79</c:f>
              <c:numCache>
                <c:formatCode>0.0</c:formatCode>
                <c:ptCount val="1"/>
                <c:pt idx="0">
                  <c:v>12.07545</c:v>
                </c:pt>
              </c:numCache>
            </c:numRef>
          </c:xVal>
          <c:yVal>
            <c:numRef>
              <c:f>'Curves - Belfort (old)'!$D$79</c:f>
              <c:numCache>
                <c:formatCode>General</c:formatCode>
                <c:ptCount val="1"/>
                <c:pt idx="0">
                  <c:v>281.82499999999999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987776"/>
        <c:axId val="140120448"/>
      </c:scatterChart>
      <c:valAx>
        <c:axId val="138987776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140120448"/>
        <c:crosses val="autoZero"/>
        <c:crossBetween val="midCat"/>
      </c:valAx>
      <c:valAx>
        <c:axId val="1401204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8987776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poly"/>
            <c:order val="2"/>
            <c:dispRSqr val="1"/>
            <c:dispEq val="1"/>
            <c:trendlineLbl>
              <c:layout>
                <c:manualLayout>
                  <c:x val="-0.17898439010913109"/>
                  <c:y val="-5.2760717410323711E-2"/>
                </c:manualLayout>
              </c:layout>
              <c:numFmt formatCode="General" sourceLinked="0"/>
            </c:trendlineLbl>
          </c:trendline>
          <c:xVal>
            <c:numRef>
              <c:f>('Curves - Belfort (old)'!$J$75:$J$78,'Curves - Belfort (old)'!$J$80:$J$85)</c:f>
              <c:numCache>
                <c:formatCode>0</c:formatCode>
                <c:ptCount val="10"/>
                <c:pt idx="0">
                  <c:v>366.38282096735924</c:v>
                </c:pt>
                <c:pt idx="1">
                  <c:v>330.74113744740009</c:v>
                </c:pt>
                <c:pt idx="2">
                  <c:v>333.50644596469198</c:v>
                </c:pt>
                <c:pt idx="3">
                  <c:v>96.215903051418707</c:v>
                </c:pt>
                <c:pt idx="4">
                  <c:v>301.0304054410451</c:v>
                </c:pt>
                <c:pt idx="5">
                  <c:v>291.18241705157953</c:v>
                </c:pt>
                <c:pt idx="6">
                  <c:v>166.02886303290762</c:v>
                </c:pt>
                <c:pt idx="7">
                  <c:v>155.13091245783352</c:v>
                </c:pt>
                <c:pt idx="8">
                  <c:v>232.81375629459697</c:v>
                </c:pt>
                <c:pt idx="9">
                  <c:v>128.62272349783299</c:v>
                </c:pt>
              </c:numCache>
            </c:numRef>
          </c:xVal>
          <c:yVal>
            <c:numRef>
              <c:f>('Curves - Belfort (old)'!$K$75:$K$78,'Curves - Belfort (old)'!$K$80:$K$85)</c:f>
              <c:numCache>
                <c:formatCode>General</c:formatCode>
                <c:ptCount val="10"/>
                <c:pt idx="0">
                  <c:v>448.99995258773907</c:v>
                </c:pt>
                <c:pt idx="1">
                  <c:v>335.82749999999999</c:v>
                </c:pt>
                <c:pt idx="2">
                  <c:v>356.05</c:v>
                </c:pt>
                <c:pt idx="3">
                  <c:v>140.63800000000001</c:v>
                </c:pt>
                <c:pt idx="4">
                  <c:v>313.87799999999999</c:v>
                </c:pt>
                <c:pt idx="5">
                  <c:v>360.036</c:v>
                </c:pt>
                <c:pt idx="6">
                  <c:v>188.93299999999999</c:v>
                </c:pt>
                <c:pt idx="7">
                  <c:v>129.66999999999999</c:v>
                </c:pt>
                <c:pt idx="8">
                  <c:v>323.41000000000003</c:v>
                </c:pt>
                <c:pt idx="9">
                  <c:v>194.67</c:v>
                </c:pt>
              </c:numCache>
            </c:numRef>
          </c:yVal>
          <c:smooth val="0"/>
        </c:ser>
        <c:ser>
          <c:idx val="1"/>
          <c:order val="1"/>
          <c:tx>
            <c:v>Bulb</c:v>
          </c:tx>
          <c:spPr>
            <a:ln w="28575">
              <a:noFill/>
            </a:ln>
          </c:spPr>
          <c:marker>
            <c:symbol val="square"/>
            <c:size val="4"/>
          </c:marker>
          <c:xVal>
            <c:numRef>
              <c:f>'Curves - Belfort (old)'!$J$86:$J$87</c:f>
              <c:numCache>
                <c:formatCode>0</c:formatCode>
                <c:ptCount val="2"/>
                <c:pt idx="0">
                  <c:v>117.81614666504758</c:v>
                </c:pt>
                <c:pt idx="1">
                  <c:v>174.89662947009586</c:v>
                </c:pt>
              </c:numCache>
            </c:numRef>
          </c:xVal>
          <c:yVal>
            <c:numRef>
              <c:f>'Curves - Belfort (old)'!$K$86:$K$87</c:f>
              <c:numCache>
                <c:formatCode>General</c:formatCode>
                <c:ptCount val="2"/>
                <c:pt idx="0">
                  <c:v>177.697</c:v>
                </c:pt>
                <c:pt idx="1">
                  <c:v>139.55000000000001</c:v>
                </c:pt>
              </c:numCache>
            </c:numRef>
          </c:yVal>
          <c:smooth val="0"/>
        </c:ser>
        <c:ser>
          <c:idx val="2"/>
          <c:order val="2"/>
          <c:spPr>
            <a:ln w="28575">
              <a:noFill/>
            </a:ln>
          </c:spPr>
          <c:marker>
            <c:symbol val="circle"/>
            <c:size val="4"/>
            <c:spPr>
              <a:solidFill>
                <a:srgbClr val="00B050"/>
              </a:solidFill>
            </c:spPr>
          </c:marker>
          <c:xVal>
            <c:numRef>
              <c:f>'Curves - Belfort (old)'!$J$79</c:f>
              <c:numCache>
                <c:formatCode>0</c:formatCode>
                <c:ptCount val="1"/>
                <c:pt idx="0">
                  <c:v>319.88648502242165</c:v>
                </c:pt>
              </c:numCache>
            </c:numRef>
          </c:xVal>
          <c:yVal>
            <c:numRef>
              <c:f>'Curves - Belfort (old)'!$K$79</c:f>
              <c:numCache>
                <c:formatCode>General</c:formatCode>
                <c:ptCount val="1"/>
                <c:pt idx="0">
                  <c:v>281.82499999999999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142080"/>
        <c:axId val="140144000"/>
      </c:scatterChart>
      <c:valAx>
        <c:axId val="140142080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140144000"/>
        <c:crosses val="autoZero"/>
        <c:crossBetween val="midCat"/>
      </c:valAx>
      <c:valAx>
        <c:axId val="1401440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0142080"/>
        <c:crosses val="autoZero"/>
        <c:crossBetween val="midCat"/>
      </c:valAx>
    </c:plotArea>
    <c:plotVisOnly val="1"/>
    <c:dispBlanksAs val="gap"/>
    <c:showDLblsOverMax val="0"/>
  </c:chart>
  <c:spPr>
    <a:solidFill>
      <a:schemeClr val="accent6">
        <a:lumMod val="20000"/>
        <a:lumOff val="80000"/>
      </a:schemeClr>
    </a:solidFill>
  </c:sp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poly"/>
            <c:order val="2"/>
            <c:dispRSqr val="1"/>
            <c:dispEq val="1"/>
            <c:trendlineLbl>
              <c:layout>
                <c:manualLayout>
                  <c:x val="0.10689297141761732"/>
                  <c:y val="0.34761981229005351"/>
                </c:manualLayout>
              </c:layout>
              <c:numFmt formatCode="General" sourceLinked="0"/>
            </c:trendlineLbl>
          </c:trendline>
          <c:xVal>
            <c:numRef>
              <c:f>'Curves - Belfort (old)'!$C$91:$C$101</c:f>
              <c:numCache>
                <c:formatCode>0.0</c:formatCode>
                <c:ptCount val="11"/>
                <c:pt idx="0">
                  <c:v>21.6755</c:v>
                </c:pt>
                <c:pt idx="1">
                  <c:v>15.407</c:v>
                </c:pt>
                <c:pt idx="2">
                  <c:v>14.8401</c:v>
                </c:pt>
                <c:pt idx="3">
                  <c:v>4.0249999999999995</c:v>
                </c:pt>
                <c:pt idx="4">
                  <c:v>12.07545</c:v>
                </c:pt>
                <c:pt idx="5">
                  <c:v>9.7545000000000002</c:v>
                </c:pt>
                <c:pt idx="6">
                  <c:v>8.831999999999999</c:v>
                </c:pt>
                <c:pt idx="7">
                  <c:v>7.85792</c:v>
                </c:pt>
                <c:pt idx="8">
                  <c:v>4.6280000000000001</c:v>
                </c:pt>
                <c:pt idx="9">
                  <c:v>9.10656</c:v>
                </c:pt>
                <c:pt idx="10">
                  <c:v>4.5474999999999994</c:v>
                </c:pt>
              </c:numCache>
            </c:numRef>
          </c:xVal>
          <c:yVal>
            <c:numRef>
              <c:f>'Curves - Belfort (old)'!$D$91:$D$101</c:f>
              <c:numCache>
                <c:formatCode>0.0</c:formatCode>
                <c:ptCount val="11"/>
                <c:pt idx="0">
                  <c:v>655.75400854721238</c:v>
                </c:pt>
                <c:pt idx="1">
                  <c:v>604.6579999999999</c:v>
                </c:pt>
                <c:pt idx="2">
                  <c:v>608.9</c:v>
                </c:pt>
                <c:pt idx="3">
                  <c:v>258.904</c:v>
                </c:pt>
                <c:pt idx="4">
                  <c:v>516.97199999999998</c:v>
                </c:pt>
                <c:pt idx="5">
                  <c:v>437.26499999999999</c:v>
                </c:pt>
                <c:pt idx="6">
                  <c:v>485.42200000000003</c:v>
                </c:pt>
                <c:pt idx="7">
                  <c:v>368.51300000000003</c:v>
                </c:pt>
                <c:pt idx="8">
                  <c:v>181.31</c:v>
                </c:pt>
                <c:pt idx="9">
                  <c:v>493.54600000000005</c:v>
                </c:pt>
                <c:pt idx="10">
                  <c:v>276.221</c:v>
                </c:pt>
              </c:numCache>
            </c:numRef>
          </c:yVal>
          <c:smooth val="0"/>
        </c:ser>
        <c:ser>
          <c:idx val="1"/>
          <c:order val="1"/>
          <c:tx>
            <c:v>Bulb</c:v>
          </c:tx>
          <c:spPr>
            <a:ln w="28575">
              <a:noFill/>
            </a:ln>
          </c:spPr>
          <c:marker>
            <c:symbol val="square"/>
            <c:size val="4"/>
          </c:marker>
          <c:xVal>
            <c:numRef>
              <c:f>'Curves - Belfort (old)'!$C$102:$C$103</c:f>
              <c:numCache>
                <c:formatCode>0.0</c:formatCode>
                <c:ptCount val="2"/>
                <c:pt idx="0">
                  <c:v>3.6025549999999997</c:v>
                </c:pt>
                <c:pt idx="1">
                  <c:v>6.0332999999999997</c:v>
                </c:pt>
              </c:numCache>
            </c:numRef>
          </c:xVal>
          <c:yVal>
            <c:numRef>
              <c:f>'Curves - Belfort (old)'!$D$102:$D$103</c:f>
              <c:numCache>
                <c:formatCode>0.0</c:formatCode>
                <c:ptCount val="2"/>
                <c:pt idx="0">
                  <c:v>284.7192</c:v>
                </c:pt>
                <c:pt idx="1">
                  <c:v>306.13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185984"/>
        <c:axId val="140187520"/>
      </c:scatterChart>
      <c:valAx>
        <c:axId val="140185984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140187520"/>
        <c:crosses val="autoZero"/>
        <c:crossBetween val="midCat"/>
      </c:valAx>
      <c:valAx>
        <c:axId val="140187520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40185984"/>
        <c:crosses val="autoZero"/>
        <c:crossBetween val="midCat"/>
      </c:valAx>
    </c:plotArea>
    <c:plotVisOnly val="1"/>
    <c:dispBlanksAs val="gap"/>
    <c:showDLblsOverMax val="0"/>
  </c:chart>
  <c:spPr>
    <a:solidFill>
      <a:schemeClr val="accent6">
        <a:lumMod val="20000"/>
        <a:lumOff val="80000"/>
      </a:schemeClr>
    </a:solidFill>
  </c:sp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poly"/>
            <c:order val="2"/>
            <c:dispRSqr val="1"/>
            <c:dispEq val="1"/>
            <c:trendlineLbl>
              <c:layout>
                <c:manualLayout>
                  <c:x val="-0.10530252704081072"/>
                  <c:y val="-5.6660256485575791E-4"/>
                </c:manualLayout>
              </c:layout>
              <c:numFmt formatCode="General" sourceLinked="0"/>
            </c:trendlineLbl>
          </c:trendline>
          <c:xVal>
            <c:numRef>
              <c:f>'Curves - Belfort (old)'!$J$91:$J$101</c:f>
              <c:numCache>
                <c:formatCode>0</c:formatCode>
                <c:ptCount val="11"/>
                <c:pt idx="0">
                  <c:v>1648.7226943531168</c:v>
                </c:pt>
                <c:pt idx="1">
                  <c:v>1048.4494057082584</c:v>
                </c:pt>
                <c:pt idx="2">
                  <c:v>993.84920897478219</c:v>
                </c:pt>
                <c:pt idx="3">
                  <c:v>264.59373339140143</c:v>
                </c:pt>
                <c:pt idx="4">
                  <c:v>775.72472617937251</c:v>
                </c:pt>
                <c:pt idx="5">
                  <c:v>617.11233115414257</c:v>
                </c:pt>
                <c:pt idx="6">
                  <c:v>559.07024073903267</c:v>
                </c:pt>
                <c:pt idx="7">
                  <c:v>537.93351622662067</c:v>
                </c:pt>
                <c:pt idx="8">
                  <c:v>293.19742454530535</c:v>
                </c:pt>
                <c:pt idx="9">
                  <c:v>589.01880342533036</c:v>
                </c:pt>
                <c:pt idx="10">
                  <c:v>289.40112787012424</c:v>
                </c:pt>
              </c:numCache>
            </c:numRef>
          </c:xVal>
          <c:yVal>
            <c:numRef>
              <c:f>'Curves - Belfort (old)'!$K$91:$K$101</c:f>
              <c:numCache>
                <c:formatCode>0.0</c:formatCode>
                <c:ptCount val="11"/>
                <c:pt idx="0">
                  <c:v>655.75400854721238</c:v>
                </c:pt>
                <c:pt idx="1">
                  <c:v>604.6579999999999</c:v>
                </c:pt>
                <c:pt idx="2">
                  <c:v>608.9</c:v>
                </c:pt>
                <c:pt idx="3">
                  <c:v>258.904</c:v>
                </c:pt>
                <c:pt idx="4">
                  <c:v>516.97199999999998</c:v>
                </c:pt>
                <c:pt idx="5">
                  <c:v>437.26499999999999</c:v>
                </c:pt>
                <c:pt idx="6">
                  <c:v>485.42200000000003</c:v>
                </c:pt>
                <c:pt idx="7">
                  <c:v>368.51300000000003</c:v>
                </c:pt>
                <c:pt idx="8">
                  <c:v>181.31</c:v>
                </c:pt>
                <c:pt idx="9">
                  <c:v>493.54600000000005</c:v>
                </c:pt>
                <c:pt idx="10">
                  <c:v>276.221</c:v>
                </c:pt>
              </c:numCache>
            </c:numRef>
          </c:yVal>
          <c:smooth val="0"/>
        </c:ser>
        <c:ser>
          <c:idx val="1"/>
          <c:order val="1"/>
          <c:tx>
            <c:v>Bulb</c:v>
          </c:tx>
          <c:spPr>
            <a:ln w="28575">
              <a:noFill/>
            </a:ln>
          </c:spPr>
          <c:marker>
            <c:symbol val="square"/>
            <c:size val="4"/>
          </c:marker>
          <c:xVal>
            <c:numRef>
              <c:f>'Curves - Belfort (old)'!$J$102:$J$103</c:f>
              <c:numCache>
                <c:formatCode>0</c:formatCode>
                <c:ptCount val="2"/>
                <c:pt idx="0">
                  <c:v>227.97424379686709</c:v>
                </c:pt>
                <c:pt idx="1">
                  <c:v>383.02361853950993</c:v>
                </c:pt>
              </c:numCache>
            </c:numRef>
          </c:xVal>
          <c:yVal>
            <c:numRef>
              <c:f>'Curves - Belfort (old)'!$K$102:$K$103</c:f>
              <c:numCache>
                <c:formatCode>0.0</c:formatCode>
                <c:ptCount val="2"/>
                <c:pt idx="0">
                  <c:v>284.7192</c:v>
                </c:pt>
                <c:pt idx="1">
                  <c:v>306.13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221056"/>
        <c:axId val="140226944"/>
      </c:scatterChart>
      <c:valAx>
        <c:axId val="140221056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140226944"/>
        <c:crosses val="autoZero"/>
        <c:crossBetween val="midCat"/>
      </c:valAx>
      <c:valAx>
        <c:axId val="140226944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40221056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log"/>
            <c:dispRSqr val="1"/>
            <c:dispEq val="1"/>
            <c:trendlineLbl>
              <c:layout>
                <c:manualLayout>
                  <c:x val="7.2188976377952754E-2"/>
                  <c:y val="0.16587659149251416"/>
                </c:manualLayout>
              </c:layout>
              <c:numFmt formatCode="General" sourceLinked="0"/>
            </c:trendlineLbl>
          </c:trendline>
          <c:xVal>
            <c:numRef>
              <c:f>'Curves - Belfort (old)'!$J$59:$J$69</c:f>
              <c:numCache>
                <c:formatCode>0</c:formatCode>
                <c:ptCount val="11"/>
                <c:pt idx="0">
                  <c:v>1282.3398733857575</c:v>
                </c:pt>
                <c:pt idx="1">
                  <c:v>717.70826826085829</c:v>
                </c:pt>
                <c:pt idx="2">
                  <c:v>660.34276301009015</c:v>
                </c:pt>
                <c:pt idx="3">
                  <c:v>168.37783033998272</c:v>
                </c:pt>
                <c:pt idx="4">
                  <c:v>455.83824115695086</c:v>
                </c:pt>
                <c:pt idx="5">
                  <c:v>316.08192571309741</c:v>
                </c:pt>
                <c:pt idx="6">
                  <c:v>267.88782368745319</c:v>
                </c:pt>
                <c:pt idx="7">
                  <c:v>371.90465319371305</c:v>
                </c:pt>
                <c:pt idx="8">
                  <c:v>138.06651208747184</c:v>
                </c:pt>
                <c:pt idx="9">
                  <c:v>356.20504713073336</c:v>
                </c:pt>
                <c:pt idx="10">
                  <c:v>160.77840437229125</c:v>
                </c:pt>
              </c:numCache>
            </c:numRef>
          </c:xVal>
          <c:yVal>
            <c:numRef>
              <c:f>'Curves - Belfort (old)'!$K$59:$K$69</c:f>
              <c:numCache>
                <c:formatCode>0.0</c:formatCode>
                <c:ptCount val="11"/>
                <c:pt idx="0">
                  <c:v>206.75405595947333</c:v>
                </c:pt>
                <c:pt idx="1">
                  <c:v>268.83049999999997</c:v>
                </c:pt>
                <c:pt idx="2">
                  <c:v>252.85</c:v>
                </c:pt>
                <c:pt idx="3">
                  <c:v>118.26600000000001</c:v>
                </c:pt>
                <c:pt idx="4">
                  <c:v>235.14699999999999</c:v>
                </c:pt>
                <c:pt idx="5">
                  <c:v>123.387</c:v>
                </c:pt>
                <c:pt idx="6">
                  <c:v>125.386</c:v>
                </c:pt>
                <c:pt idx="7">
                  <c:v>179.58</c:v>
                </c:pt>
                <c:pt idx="8">
                  <c:v>51.64</c:v>
                </c:pt>
                <c:pt idx="9">
                  <c:v>170.136</c:v>
                </c:pt>
                <c:pt idx="10">
                  <c:v>81.551000000000002</c:v>
                </c:pt>
              </c:numCache>
            </c:numRef>
          </c:yVal>
          <c:smooth val="0"/>
        </c:ser>
        <c:ser>
          <c:idx val="1"/>
          <c:order val="1"/>
          <c:tx>
            <c:v>Bulb</c:v>
          </c:tx>
          <c:spPr>
            <a:ln w="28575">
              <a:noFill/>
            </a:ln>
          </c:spPr>
          <c:marker>
            <c:symbol val="square"/>
            <c:size val="4"/>
          </c:marker>
          <c:xVal>
            <c:numRef>
              <c:f>'Curves - Belfort (old)'!$J$70:$J$71</c:f>
              <c:numCache>
                <c:formatCode>0</c:formatCode>
                <c:ptCount val="2"/>
                <c:pt idx="0">
                  <c:v>110.1580971318195</c:v>
                </c:pt>
                <c:pt idx="1">
                  <c:v>208.12698906941407</c:v>
                </c:pt>
              </c:numCache>
            </c:numRef>
          </c:xVal>
          <c:yVal>
            <c:numRef>
              <c:f>'Curves - Belfort (old)'!$K$70:$K$71</c:f>
              <c:numCache>
                <c:formatCode>0.0</c:formatCode>
                <c:ptCount val="2"/>
                <c:pt idx="0">
                  <c:v>107.0222</c:v>
                </c:pt>
                <c:pt idx="1">
                  <c:v>166.58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317824"/>
        <c:axId val="140319360"/>
      </c:scatterChart>
      <c:valAx>
        <c:axId val="140317824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140319360"/>
        <c:crosses val="autoZero"/>
        <c:crossBetween val="midCat"/>
      </c:valAx>
      <c:valAx>
        <c:axId val="140319360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40317824"/>
        <c:crosses val="autoZero"/>
        <c:crossBetween val="midCat"/>
      </c:valAx>
    </c:plotArea>
    <c:plotVisOnly val="1"/>
    <c:dispBlanksAs val="gap"/>
    <c:showDLblsOverMax val="0"/>
  </c:chart>
  <c:spPr>
    <a:solidFill>
      <a:schemeClr val="accent6">
        <a:lumMod val="20000"/>
        <a:lumOff val="80000"/>
      </a:schemeClr>
    </a:solidFill>
  </c:sp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power"/>
            <c:dispRSqr val="1"/>
            <c:dispEq val="1"/>
            <c:trendlineLbl>
              <c:layout>
                <c:manualLayout>
                  <c:x val="-0.36600098951883187"/>
                  <c:y val="-1.1620144601215193E-2"/>
                </c:manualLayout>
              </c:layout>
              <c:numFmt formatCode="General" sourceLinked="0"/>
            </c:trendlineLbl>
          </c:trendline>
          <c:xVal>
            <c:numRef>
              <c:f>'Curves - Belfort (old)'!$C$108:$C$118</c:f>
              <c:numCache>
                <c:formatCode>0.0</c:formatCode>
                <c:ptCount val="11"/>
                <c:pt idx="0">
                  <c:v>21.6755</c:v>
                </c:pt>
                <c:pt idx="1">
                  <c:v>15.407</c:v>
                </c:pt>
                <c:pt idx="2">
                  <c:v>14.8401</c:v>
                </c:pt>
                <c:pt idx="3">
                  <c:v>4.0249999999999995</c:v>
                </c:pt>
                <c:pt idx="4">
                  <c:v>12.07545</c:v>
                </c:pt>
                <c:pt idx="5">
                  <c:v>9.7545000000000002</c:v>
                </c:pt>
                <c:pt idx="6">
                  <c:v>8.831999999999999</c:v>
                </c:pt>
                <c:pt idx="7">
                  <c:v>7.85792</c:v>
                </c:pt>
                <c:pt idx="8">
                  <c:v>4.6280000000000001</c:v>
                </c:pt>
                <c:pt idx="9">
                  <c:v>9.10656</c:v>
                </c:pt>
                <c:pt idx="10">
                  <c:v>4.5474999999999994</c:v>
                </c:pt>
              </c:numCache>
            </c:numRef>
          </c:xVal>
          <c:yVal>
            <c:numRef>
              <c:f>'Curves - Belfort (old)'!$D$108:$D$118</c:f>
              <c:numCache>
                <c:formatCode>0.0</c:formatCode>
                <c:ptCount val="11"/>
                <c:pt idx="0">
                  <c:v>672.27905595947334</c:v>
                </c:pt>
                <c:pt idx="1">
                  <c:v>725.74249999999995</c:v>
                </c:pt>
                <c:pt idx="2">
                  <c:v>742.96799999999996</c:v>
                </c:pt>
                <c:pt idx="3">
                  <c:v>257.10000000000002</c:v>
                </c:pt>
                <c:pt idx="4">
                  <c:v>539.92499999999995</c:v>
                </c:pt>
                <c:pt idx="5">
                  <c:v>464.37299999999999</c:v>
                </c:pt>
                <c:pt idx="6">
                  <c:v>404.77700000000004</c:v>
                </c:pt>
                <c:pt idx="7">
                  <c:v>424.726</c:v>
                </c:pt>
                <c:pt idx="8">
                  <c:v>258.65800000000002</c:v>
                </c:pt>
                <c:pt idx="9">
                  <c:v>413.185</c:v>
                </c:pt>
                <c:pt idx="10">
                  <c:v>251.94</c:v>
                </c:pt>
              </c:numCache>
            </c:numRef>
          </c:yVal>
          <c:smooth val="0"/>
        </c:ser>
        <c:ser>
          <c:idx val="1"/>
          <c:order val="1"/>
          <c:tx>
            <c:v>Bulb</c:v>
          </c:tx>
          <c:spPr>
            <a:ln w="28575">
              <a:noFill/>
            </a:ln>
          </c:spPr>
          <c:marker>
            <c:symbol val="square"/>
            <c:size val="4"/>
          </c:marker>
          <c:xVal>
            <c:numRef>
              <c:f>'Curves - Belfort (old)'!$C$119:$C$120</c:f>
              <c:numCache>
                <c:formatCode>0.0</c:formatCode>
                <c:ptCount val="2"/>
                <c:pt idx="0">
                  <c:v>3.6025549999999997</c:v>
                </c:pt>
                <c:pt idx="1">
                  <c:v>6.0332999999999997</c:v>
                </c:pt>
              </c:numCache>
            </c:numRef>
          </c:xVal>
          <c:yVal>
            <c:numRef>
              <c:f>'Curves - Belfort (old)'!$D$119:$D$120</c:f>
              <c:numCache>
                <c:formatCode>0.0</c:formatCode>
                <c:ptCount val="2"/>
                <c:pt idx="0">
                  <c:v>242.9222</c:v>
                </c:pt>
                <c:pt idx="1">
                  <c:v>394.92600000000004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348800"/>
        <c:axId val="140358784"/>
      </c:scatterChart>
      <c:valAx>
        <c:axId val="140348800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140358784"/>
        <c:crosses val="autoZero"/>
        <c:crossBetween val="midCat"/>
      </c:valAx>
      <c:valAx>
        <c:axId val="140358784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40348800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power"/>
            <c:dispRSqr val="1"/>
            <c:dispEq val="1"/>
            <c:trendlineLbl>
              <c:layout>
                <c:manualLayout>
                  <c:x val="-0.17105716078014963"/>
                  <c:y val="-6.0001097006201513E-3"/>
                </c:manualLayout>
              </c:layout>
              <c:numFmt formatCode="General" sourceLinked="0"/>
            </c:trendlineLbl>
          </c:trendline>
          <c:xVal>
            <c:numRef>
              <c:f>'Curves - Belfort (old)'!$C$126:$C$136</c:f>
              <c:numCache>
                <c:formatCode>0.0</c:formatCode>
                <c:ptCount val="11"/>
                <c:pt idx="0">
                  <c:v>21.6755</c:v>
                </c:pt>
                <c:pt idx="1">
                  <c:v>15.407</c:v>
                </c:pt>
                <c:pt idx="2">
                  <c:v>14.8401</c:v>
                </c:pt>
                <c:pt idx="3">
                  <c:v>4.0249999999999995</c:v>
                </c:pt>
                <c:pt idx="4">
                  <c:v>12.07545</c:v>
                </c:pt>
                <c:pt idx="5">
                  <c:v>9.7545000000000002</c:v>
                </c:pt>
                <c:pt idx="6">
                  <c:v>8.831999999999999</c:v>
                </c:pt>
                <c:pt idx="7">
                  <c:v>7.85792</c:v>
                </c:pt>
                <c:pt idx="8">
                  <c:v>4.6280000000000001</c:v>
                </c:pt>
                <c:pt idx="9">
                  <c:v>9.10656</c:v>
                </c:pt>
                <c:pt idx="10">
                  <c:v>4.5474999999999994</c:v>
                </c:pt>
              </c:numCache>
            </c:numRef>
          </c:xVal>
          <c:yVal>
            <c:numRef>
              <c:f>'Curves - Belfort (old)'!$D$126:$D$136</c:f>
              <c:numCache>
                <c:formatCode>0.0</c:formatCode>
                <c:ptCount val="11"/>
                <c:pt idx="0">
                  <c:v>1320.1959525877389</c:v>
                </c:pt>
                <c:pt idx="1">
                  <c:v>1136.6340219842164</c:v>
                </c:pt>
                <c:pt idx="2">
                  <c:v>1147.8367981961669</c:v>
                </c:pt>
                <c:pt idx="3">
                  <c:v>410.79700000000003</c:v>
                </c:pt>
                <c:pt idx="4">
                  <c:v>799.20499999999993</c:v>
                </c:pt>
                <c:pt idx="5">
                  <c:v>703.00900000000001</c:v>
                </c:pt>
                <c:pt idx="6">
                  <c:v>987.02600000000007</c:v>
                </c:pt>
                <c:pt idx="7">
                  <c:v>578.90319999999997</c:v>
                </c:pt>
                <c:pt idx="8">
                  <c:v>618.38199999999995</c:v>
                </c:pt>
                <c:pt idx="9">
                  <c:v>911.31400000000008</c:v>
                </c:pt>
                <c:pt idx="10">
                  <c:v>414.88099999999997</c:v>
                </c:pt>
              </c:numCache>
            </c:numRef>
          </c:yVal>
          <c:smooth val="0"/>
        </c:ser>
        <c:ser>
          <c:idx val="1"/>
          <c:order val="1"/>
          <c:tx>
            <c:v>Bulb</c:v>
          </c:tx>
          <c:spPr>
            <a:ln w="28575">
              <a:noFill/>
            </a:ln>
          </c:spPr>
          <c:marker>
            <c:symbol val="square"/>
            <c:size val="4"/>
          </c:marker>
          <c:xVal>
            <c:numRef>
              <c:f>'Curves - Belfort (old)'!$C$137:$C$138</c:f>
              <c:numCache>
                <c:formatCode>0.0</c:formatCode>
                <c:ptCount val="2"/>
                <c:pt idx="0">
                  <c:v>3.6025549999999997</c:v>
                </c:pt>
                <c:pt idx="1">
                  <c:v>6.0332999999999997</c:v>
                </c:pt>
              </c:numCache>
            </c:numRef>
          </c:xVal>
          <c:yVal>
            <c:numRef>
              <c:f>'Curves - Belfort (old)'!$D$137:$D$138</c:f>
              <c:numCache>
                <c:formatCode>0.0</c:formatCode>
                <c:ptCount val="2"/>
                <c:pt idx="0">
                  <c:v>469.20600000000002</c:v>
                </c:pt>
                <c:pt idx="1">
                  <c:v>447.32300000000004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380032"/>
        <c:axId val="140381568"/>
      </c:scatterChart>
      <c:valAx>
        <c:axId val="140380032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140381568"/>
        <c:crosses val="autoZero"/>
        <c:crossBetween val="midCat"/>
      </c:valAx>
      <c:valAx>
        <c:axId val="140381568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40380032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power"/>
            <c:dispRSqr val="1"/>
            <c:dispEq val="1"/>
            <c:trendlineLbl>
              <c:layout>
                <c:manualLayout>
                  <c:x val="-0.17559139411345803"/>
                  <c:y val="-3.0579463281375542E-2"/>
                </c:manualLayout>
              </c:layout>
              <c:numFmt formatCode="General" sourceLinked="0"/>
            </c:trendlineLbl>
          </c:trendline>
          <c:xVal>
            <c:numRef>
              <c:f>'Curves - Belfort (old)'!$C$144:$C$154</c:f>
              <c:numCache>
                <c:formatCode>0.0</c:formatCode>
                <c:ptCount val="11"/>
                <c:pt idx="0">
                  <c:v>21.6755</c:v>
                </c:pt>
                <c:pt idx="1">
                  <c:v>15.407</c:v>
                </c:pt>
                <c:pt idx="2">
                  <c:v>14.8401</c:v>
                </c:pt>
                <c:pt idx="3">
                  <c:v>4.0249999999999995</c:v>
                </c:pt>
                <c:pt idx="4">
                  <c:v>12.07545</c:v>
                </c:pt>
                <c:pt idx="5">
                  <c:v>9.7545000000000002</c:v>
                </c:pt>
                <c:pt idx="6">
                  <c:v>8.831999999999999</c:v>
                </c:pt>
                <c:pt idx="7">
                  <c:v>7.85792</c:v>
                </c:pt>
                <c:pt idx="8">
                  <c:v>4.6280000000000001</c:v>
                </c:pt>
                <c:pt idx="9">
                  <c:v>9.10656</c:v>
                </c:pt>
                <c:pt idx="10">
                  <c:v>4.5474999999999994</c:v>
                </c:pt>
              </c:numCache>
            </c:numRef>
          </c:xVal>
          <c:yVal>
            <c:numRef>
              <c:f>'Curves - Belfort (old)'!$D$144:$D$154</c:f>
              <c:numCache>
                <c:formatCode>0.0</c:formatCode>
                <c:ptCount val="11"/>
                <c:pt idx="0">
                  <c:v>1992.4750085472124</c:v>
                </c:pt>
                <c:pt idx="1">
                  <c:v>1862.3765219842164</c:v>
                </c:pt>
                <c:pt idx="2">
                  <c:v>1890.8047981961668</c:v>
                </c:pt>
                <c:pt idx="3">
                  <c:v>667.89699999999993</c:v>
                </c:pt>
                <c:pt idx="4">
                  <c:v>1339.13</c:v>
                </c:pt>
                <c:pt idx="5">
                  <c:v>1167.3820000000001</c:v>
                </c:pt>
                <c:pt idx="6">
                  <c:v>1391.8030000000001</c:v>
                </c:pt>
                <c:pt idx="7">
                  <c:v>1003.6292</c:v>
                </c:pt>
                <c:pt idx="8">
                  <c:v>877.04</c:v>
                </c:pt>
                <c:pt idx="9">
                  <c:v>1324.499</c:v>
                </c:pt>
                <c:pt idx="10">
                  <c:v>666.82100000000003</c:v>
                </c:pt>
              </c:numCache>
            </c:numRef>
          </c:yVal>
          <c:smooth val="0"/>
        </c:ser>
        <c:ser>
          <c:idx val="1"/>
          <c:order val="1"/>
          <c:tx>
            <c:v>Bulb</c:v>
          </c:tx>
          <c:spPr>
            <a:ln w="28575">
              <a:noFill/>
            </a:ln>
          </c:spPr>
          <c:marker>
            <c:symbol val="square"/>
            <c:size val="4"/>
          </c:marker>
          <c:xVal>
            <c:numRef>
              <c:f>'Curves - Belfort (old)'!$C$155:$C$156</c:f>
              <c:numCache>
                <c:formatCode>0.0</c:formatCode>
                <c:ptCount val="2"/>
                <c:pt idx="0">
                  <c:v>3.6025549999999997</c:v>
                </c:pt>
                <c:pt idx="1">
                  <c:v>6.0332999999999997</c:v>
                </c:pt>
              </c:numCache>
            </c:numRef>
          </c:xVal>
          <c:yVal>
            <c:numRef>
              <c:f>'Curves - Belfort (old)'!$D$155:$D$156</c:f>
              <c:numCache>
                <c:formatCode>0.0</c:formatCode>
                <c:ptCount val="2"/>
                <c:pt idx="0">
                  <c:v>712.12819999999999</c:v>
                </c:pt>
                <c:pt idx="1">
                  <c:v>842.24900000000002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411648"/>
        <c:axId val="140413184"/>
      </c:scatterChart>
      <c:valAx>
        <c:axId val="140411648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140413184"/>
        <c:crosses val="autoZero"/>
        <c:crossBetween val="midCat"/>
      </c:valAx>
      <c:valAx>
        <c:axId val="140413184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4041164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EQUIPMENT</a:t>
            </a:r>
            <a:r>
              <a:rPr lang="fr-FR" baseline="0"/>
              <a:t> + ASSEMBLY + SITE + INTERNAL COSTS</a:t>
            </a:r>
            <a:endParaRPr lang="fr-FR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5.5194446132647602E-2"/>
          <c:y val="2.1299791521806222E-2"/>
          <c:w val="0.75013255992595373"/>
          <c:h val="0.93063949677614854"/>
        </c:manualLayout>
      </c:layout>
      <c:scatterChart>
        <c:scatterStyle val="lineMarker"/>
        <c:varyColors val="0"/>
        <c:ser>
          <c:idx val="0"/>
          <c:order val="0"/>
          <c:tx>
            <c:v>Belfort stators</c:v>
          </c:tx>
          <c:spPr>
            <a:ln w="28575">
              <a:noFill/>
            </a:ln>
          </c:spPr>
          <c:marker>
            <c:symbol val="diamond"/>
            <c:size val="4"/>
          </c:marker>
          <c:trendline>
            <c:spPr>
              <a:ln>
                <a:solidFill>
                  <a:srgbClr val="0070C0"/>
                </a:solidFill>
              </a:ln>
            </c:spPr>
            <c:trendlineType val="poly"/>
            <c:order val="2"/>
            <c:dispRSqr val="1"/>
            <c:dispEq val="1"/>
            <c:trendlineLbl>
              <c:layout>
                <c:manualLayout>
                  <c:x val="5.69038265532327E-2"/>
                  <c:y val="-4.0493954797045324E-2"/>
                </c:manualLayout>
              </c:layout>
              <c:numFmt formatCode="General" sourceLinked="0"/>
            </c:trendlineLbl>
          </c:trendline>
          <c:xVal>
            <c:numRef>
              <c:f>'Curves - Belfort (old)'!$C$163:$C$173</c:f>
              <c:numCache>
                <c:formatCode>0.0</c:formatCode>
                <c:ptCount val="11"/>
                <c:pt idx="0">
                  <c:v>21.6755</c:v>
                </c:pt>
                <c:pt idx="1">
                  <c:v>15.407</c:v>
                </c:pt>
                <c:pt idx="2">
                  <c:v>14.8401</c:v>
                </c:pt>
                <c:pt idx="3">
                  <c:v>4.0249999999999995</c:v>
                </c:pt>
                <c:pt idx="4">
                  <c:v>12.07545</c:v>
                </c:pt>
                <c:pt idx="5">
                  <c:v>9.7545000000000002</c:v>
                </c:pt>
                <c:pt idx="6">
                  <c:v>8.831999999999999</c:v>
                </c:pt>
                <c:pt idx="7">
                  <c:v>7.85792</c:v>
                </c:pt>
                <c:pt idx="8">
                  <c:v>4.6280000000000001</c:v>
                </c:pt>
                <c:pt idx="9">
                  <c:v>9.10656</c:v>
                </c:pt>
                <c:pt idx="10">
                  <c:v>4.5474999999999994</c:v>
                </c:pt>
              </c:numCache>
            </c:numRef>
          </c:xVal>
          <c:yVal>
            <c:numRef>
              <c:f>'Curves - Belfort (old)'!$D$163:$D$173</c:f>
              <c:numCache>
                <c:formatCode>0.0</c:formatCode>
                <c:ptCount val="11"/>
                <c:pt idx="0">
                  <c:v>2504.9710085472125</c:v>
                </c:pt>
                <c:pt idx="1">
                  <c:v>2492.3555219842165</c:v>
                </c:pt>
                <c:pt idx="2">
                  <c:v>2520.7837981961666</c:v>
                </c:pt>
                <c:pt idx="3">
                  <c:v>866.80499999999995</c:v>
                </c:pt>
                <c:pt idx="4">
                  <c:v>1637.4740000000002</c:v>
                </c:pt>
                <c:pt idx="5">
                  <c:v>1665.6750000000002</c:v>
                </c:pt>
                <c:pt idx="6">
                  <c:v>1728.123</c:v>
                </c:pt>
                <c:pt idx="7">
                  <c:v>1391.6332</c:v>
                </c:pt>
                <c:pt idx="8">
                  <c:v>1210.4749999999999</c:v>
                </c:pt>
                <c:pt idx="9">
                  <c:v>1792.9880000000001</c:v>
                </c:pt>
                <c:pt idx="10">
                  <c:v>1044.1100000000001</c:v>
                </c:pt>
              </c:numCache>
            </c:numRef>
          </c:yVal>
          <c:smooth val="0"/>
        </c:ser>
        <c:ser>
          <c:idx val="1"/>
          <c:order val="1"/>
          <c:tx>
            <c:v>Bulb</c:v>
          </c:tx>
          <c:spPr>
            <a:ln w="28575">
              <a:noFill/>
            </a:ln>
          </c:spPr>
          <c:marker>
            <c:symbol val="square"/>
            <c:size val="4"/>
          </c:marker>
          <c:xVal>
            <c:numRef>
              <c:f>'Curves - Belfort (old)'!$C$174:$C$175</c:f>
              <c:numCache>
                <c:formatCode>0.0</c:formatCode>
                <c:ptCount val="2"/>
                <c:pt idx="0">
                  <c:v>3.6025549999999997</c:v>
                </c:pt>
                <c:pt idx="1">
                  <c:v>6.0332999999999997</c:v>
                </c:pt>
              </c:numCache>
            </c:numRef>
          </c:xVal>
          <c:yVal>
            <c:numRef>
              <c:f>'Curves - Belfort (old)'!$D$174:$D$175</c:f>
              <c:numCache>
                <c:formatCode>0.0</c:formatCode>
                <c:ptCount val="2"/>
                <c:pt idx="0">
                  <c:v>1036.8492000000001</c:v>
                </c:pt>
                <c:pt idx="1">
                  <c:v>1366.2860000000001</c:v>
                </c:pt>
              </c:numCache>
            </c:numRef>
          </c:yVal>
          <c:smooth val="0"/>
        </c:ser>
        <c:ser>
          <c:idx val="2"/>
          <c:order val="2"/>
          <c:tx>
            <c:v>With frame</c:v>
          </c:tx>
          <c:spPr>
            <a:ln w="28575">
              <a:noFill/>
            </a:ln>
          </c:spPr>
          <c:marker>
            <c:symbol val="plus"/>
            <c:size val="10"/>
          </c:marker>
          <c:trendline>
            <c:spPr>
              <a:ln>
                <a:solidFill>
                  <a:schemeClr val="accent3">
                    <a:lumMod val="75000"/>
                  </a:schemeClr>
                </a:solidFill>
              </a:ln>
            </c:spPr>
            <c:trendlineType val="log"/>
            <c:dispRSqr val="1"/>
            <c:dispEq val="1"/>
            <c:trendlineLbl>
              <c:layout>
                <c:manualLayout>
                  <c:x val="7.154997972495683E-2"/>
                  <c:y val="6.7718327697025182E-2"/>
                </c:manualLayout>
              </c:layout>
              <c:numFmt formatCode="General" sourceLinked="0"/>
            </c:trendlineLbl>
          </c:trendline>
          <c:xVal>
            <c:numRef>
              <c:f>('Curves - Belfort (old)'!$C$163,'Curves - Belfort (old)'!$C$166,'Curves - Belfort (old)'!$C$169,'Curves - Belfort (old)'!$C$171,'Curves - Belfort (old)'!$C$172,'Curves - Belfort (old)'!$C$173)</c:f>
              <c:numCache>
                <c:formatCode>0.0</c:formatCode>
                <c:ptCount val="6"/>
                <c:pt idx="0">
                  <c:v>21.6755</c:v>
                </c:pt>
                <c:pt idx="1">
                  <c:v>4.0249999999999995</c:v>
                </c:pt>
                <c:pt idx="2">
                  <c:v>8.831999999999999</c:v>
                </c:pt>
                <c:pt idx="3">
                  <c:v>4.6280000000000001</c:v>
                </c:pt>
                <c:pt idx="4">
                  <c:v>9.10656</c:v>
                </c:pt>
                <c:pt idx="5">
                  <c:v>4.5474999999999994</c:v>
                </c:pt>
              </c:numCache>
            </c:numRef>
          </c:xVal>
          <c:yVal>
            <c:numRef>
              <c:f>('Curves - Belfort (old)'!$D$163,'Curves - Belfort (old)'!$D$166,'Curves - Belfort (old)'!$D$169,'Curves - Belfort (old)'!$D$171,'Curves - Belfort (old)'!$D$172,'Curves - Belfort (old)'!$D$173)</c:f>
              <c:numCache>
                <c:formatCode>0.0</c:formatCode>
                <c:ptCount val="6"/>
                <c:pt idx="0">
                  <c:v>2504.9710085472125</c:v>
                </c:pt>
                <c:pt idx="1">
                  <c:v>866.80499999999995</c:v>
                </c:pt>
                <c:pt idx="2">
                  <c:v>1728.123</c:v>
                </c:pt>
                <c:pt idx="3">
                  <c:v>1210.4749999999999</c:v>
                </c:pt>
                <c:pt idx="4">
                  <c:v>1792.9880000000001</c:v>
                </c:pt>
                <c:pt idx="5">
                  <c:v>1044.1100000000001</c:v>
                </c:pt>
              </c:numCache>
            </c:numRef>
          </c:yVal>
          <c:smooth val="0"/>
        </c:ser>
        <c:ser>
          <c:idx val="3"/>
          <c:order val="3"/>
          <c:tx>
            <c:v>Without frame</c:v>
          </c:tx>
          <c:spPr>
            <a:ln w="28575">
              <a:noFill/>
            </a:ln>
          </c:spPr>
          <c:marker>
            <c:symbol val="x"/>
            <c:size val="7"/>
          </c:marker>
          <c:trendline>
            <c:spPr>
              <a:ln>
                <a:solidFill>
                  <a:schemeClr val="accent4">
                    <a:lumMod val="75000"/>
                  </a:schemeClr>
                </a:solidFill>
              </a:ln>
            </c:spPr>
            <c:trendlineType val="linear"/>
            <c:forward val="1"/>
            <c:dispRSqr val="1"/>
            <c:dispEq val="1"/>
            <c:trendlineLbl>
              <c:layout>
                <c:manualLayout>
                  <c:x val="-1.9162556030355774E-2"/>
                  <c:y val="-1.3036495995318342E-2"/>
                </c:manualLayout>
              </c:layout>
              <c:numFmt formatCode="General" sourceLinked="0"/>
            </c:trendlineLbl>
          </c:trendline>
          <c:xVal>
            <c:numRef>
              <c:f>('Curves - Belfort (old)'!$C$164,'Curves - Belfort (old)'!$C$165,'Curves - Belfort (old)'!$C$167,'Curves - Belfort (old)'!$C$168,'Curves - Belfort (old)'!$C$170)</c:f>
              <c:numCache>
                <c:formatCode>0.0</c:formatCode>
                <c:ptCount val="5"/>
                <c:pt idx="0">
                  <c:v>15.407</c:v>
                </c:pt>
                <c:pt idx="1">
                  <c:v>14.8401</c:v>
                </c:pt>
                <c:pt idx="2">
                  <c:v>12.07545</c:v>
                </c:pt>
                <c:pt idx="3">
                  <c:v>9.7545000000000002</c:v>
                </c:pt>
                <c:pt idx="4">
                  <c:v>7.85792</c:v>
                </c:pt>
              </c:numCache>
            </c:numRef>
          </c:xVal>
          <c:yVal>
            <c:numRef>
              <c:f>('Curves - Belfort (old)'!$D$164,'Curves - Belfort (old)'!$D$165,'Curves - Belfort (old)'!$D$167,'Curves - Belfort (old)'!$D$168,'Curves - Belfort (old)'!$D$170)</c:f>
              <c:numCache>
                <c:formatCode>0.0</c:formatCode>
                <c:ptCount val="5"/>
                <c:pt idx="0">
                  <c:v>2492.3555219842165</c:v>
                </c:pt>
                <c:pt idx="1">
                  <c:v>2520.7837981961666</c:v>
                </c:pt>
                <c:pt idx="2">
                  <c:v>1637.4740000000002</c:v>
                </c:pt>
                <c:pt idx="3">
                  <c:v>1665.6750000000002</c:v>
                </c:pt>
                <c:pt idx="4">
                  <c:v>1391.6332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803072"/>
        <c:axId val="140808960"/>
      </c:scatterChart>
      <c:valAx>
        <c:axId val="140803072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140808960"/>
        <c:crosses val="autoZero"/>
        <c:crossBetween val="midCat"/>
      </c:valAx>
      <c:valAx>
        <c:axId val="140808960"/>
        <c:scaling>
          <c:orientation val="minMax"/>
          <c:min val="0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40803072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</c:spPr>
  <c:printSettings>
    <c:headerFooter/>
    <c:pageMargins b="0.75" l="0.7" r="0.7" t="0.75" header="0.3" footer="0.3"/>
    <c:pageSetup orientation="portrait"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poly"/>
            <c:order val="2"/>
            <c:dispRSqr val="1"/>
            <c:dispEq val="1"/>
            <c:trendlineLbl>
              <c:layout>
                <c:manualLayout>
                  <c:x val="-0.15213550974292278"/>
                  <c:y val="-2.6489224485272099E-2"/>
                </c:manualLayout>
              </c:layout>
              <c:numFmt formatCode="General" sourceLinked="0"/>
            </c:trendlineLbl>
          </c:trendline>
          <c:xVal>
            <c:numRef>
              <c:f>('Curves - Belfort (old)'!$C$40:$C$43,'Curves - Belfort (old)'!$C$45:$C$50)</c:f>
              <c:numCache>
                <c:formatCode>0.0</c:formatCode>
                <c:ptCount val="10"/>
                <c:pt idx="0">
                  <c:v>21.6755</c:v>
                </c:pt>
                <c:pt idx="1">
                  <c:v>15.407</c:v>
                </c:pt>
                <c:pt idx="2">
                  <c:v>14.8401</c:v>
                </c:pt>
                <c:pt idx="3">
                  <c:v>4.0249999999999995</c:v>
                </c:pt>
                <c:pt idx="4">
                  <c:v>9.7545000000000002</c:v>
                </c:pt>
                <c:pt idx="5">
                  <c:v>8.831999999999999</c:v>
                </c:pt>
                <c:pt idx="6">
                  <c:v>7.85792</c:v>
                </c:pt>
                <c:pt idx="7">
                  <c:v>4.6280000000000001</c:v>
                </c:pt>
                <c:pt idx="8">
                  <c:v>9.10656</c:v>
                </c:pt>
                <c:pt idx="9">
                  <c:v>4.5474999999999994</c:v>
                </c:pt>
              </c:numCache>
            </c:numRef>
          </c:xVal>
          <c:yVal>
            <c:numRef>
              <c:f>('Curves - Belfort (old)'!$D$40:$D$43,'Curves - Belfort (old)'!$D$45:$D$50)</c:f>
              <c:numCache>
                <c:formatCode>0.0</c:formatCode>
                <c:ptCount val="10"/>
                <c:pt idx="0">
                  <c:v>1336.721</c:v>
                </c:pt>
                <c:pt idx="1">
                  <c:v>1257.7185219842165</c:v>
                </c:pt>
                <c:pt idx="2">
                  <c:v>1281.9047981961669</c:v>
                </c:pt>
                <c:pt idx="3">
                  <c:v>408.99299999999999</c:v>
                </c:pt>
                <c:pt idx="4">
                  <c:v>730.11699999999996</c:v>
                </c:pt>
                <c:pt idx="5">
                  <c:v>906.38100000000009</c:v>
                </c:pt>
                <c:pt idx="6">
                  <c:v>635.11619999999994</c:v>
                </c:pt>
                <c:pt idx="7">
                  <c:v>695.73</c:v>
                </c:pt>
                <c:pt idx="8">
                  <c:v>830.95299999999997</c:v>
                </c:pt>
                <c:pt idx="9">
                  <c:v>390.6</c:v>
                </c:pt>
              </c:numCache>
            </c:numRef>
          </c:yVal>
          <c:smooth val="0"/>
        </c:ser>
        <c:ser>
          <c:idx val="1"/>
          <c:order val="1"/>
          <c:tx>
            <c:v>Bulb</c:v>
          </c:tx>
          <c:spPr>
            <a:ln w="28575">
              <a:noFill/>
            </a:ln>
          </c:spPr>
          <c:marker>
            <c:symbol val="square"/>
            <c:size val="4"/>
          </c:marker>
          <c:xVal>
            <c:numRef>
              <c:f>'Curves - Belfort (old)'!$C$51:$C$52</c:f>
              <c:numCache>
                <c:formatCode>0.0</c:formatCode>
                <c:ptCount val="2"/>
                <c:pt idx="0">
                  <c:v>3.6025549999999997</c:v>
                </c:pt>
                <c:pt idx="1">
                  <c:v>6.0332999999999997</c:v>
                </c:pt>
              </c:numCache>
            </c:numRef>
          </c:xVal>
          <c:yVal>
            <c:numRef>
              <c:f>'Curves - Belfort (old)'!$D$51:$D$52</c:f>
              <c:numCache>
                <c:formatCode>0.0</c:formatCode>
                <c:ptCount val="2"/>
                <c:pt idx="0">
                  <c:v>427.40899999999999</c:v>
                </c:pt>
                <c:pt idx="1">
                  <c:v>536.11900000000003</c:v>
                </c:pt>
              </c:numCache>
            </c:numRef>
          </c:yVal>
          <c:smooth val="0"/>
        </c:ser>
        <c:ser>
          <c:idx val="2"/>
          <c:order val="2"/>
          <c:spPr>
            <a:ln w="28575">
              <a:noFill/>
            </a:ln>
          </c:spPr>
          <c:marker>
            <c:symbol val="circle"/>
            <c:size val="4"/>
            <c:spPr>
              <a:solidFill>
                <a:srgbClr val="00B050"/>
              </a:solidFill>
            </c:spPr>
          </c:marker>
          <c:xVal>
            <c:numRef>
              <c:f>'Curves - Belfort (old)'!$C$44</c:f>
              <c:numCache>
                <c:formatCode>0.0</c:formatCode>
                <c:ptCount val="1"/>
                <c:pt idx="0">
                  <c:v>12.07545</c:v>
                </c:pt>
              </c:numCache>
            </c:numRef>
          </c:xVal>
          <c:yVal>
            <c:numRef>
              <c:f>'Curves - Belfort (old)'!$D$44</c:f>
              <c:numCache>
                <c:formatCode>0.0</c:formatCode>
                <c:ptCount val="1"/>
                <c:pt idx="0">
                  <c:v>822.15800000000002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515200"/>
        <c:axId val="140521472"/>
      </c:scatterChart>
      <c:valAx>
        <c:axId val="140515200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140521472"/>
        <c:crosses val="autoZero"/>
        <c:crossBetween val="midCat"/>
      </c:valAx>
      <c:valAx>
        <c:axId val="140521472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40515200"/>
        <c:crosses val="autoZero"/>
        <c:crossBetween val="midCat"/>
      </c:valAx>
    </c:plotArea>
    <c:plotVisOnly val="1"/>
    <c:dispBlanksAs val="gap"/>
    <c:showDLblsOverMax val="0"/>
  </c:chart>
  <c:spPr>
    <a:solidFill>
      <a:schemeClr val="accent6">
        <a:lumMod val="20000"/>
        <a:lumOff val="80000"/>
      </a:schemeClr>
    </a:solidFill>
  </c:sp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log"/>
            <c:dispRSqr val="1"/>
            <c:dispEq val="1"/>
            <c:trendlineLbl>
              <c:layout>
                <c:manualLayout>
                  <c:x val="-3.2393733192794892E-2"/>
                  <c:y val="-7.543978751533649E-2"/>
                </c:manualLayout>
              </c:layout>
              <c:numFmt formatCode="General" sourceLinked="0"/>
            </c:trendlineLbl>
          </c:trendline>
          <c:xVal>
            <c:numRef>
              <c:f>'Curves - Belfort (old)'!$X$22:$X$36</c:f>
              <c:numCache>
                <c:formatCode>0</c:formatCode>
                <c:ptCount val="15"/>
                <c:pt idx="0">
                  <c:v>2394.2399999999998</c:v>
                </c:pt>
                <c:pt idx="1">
                  <c:v>997.92</c:v>
                </c:pt>
                <c:pt idx="2">
                  <c:v>934.08</c:v>
                </c:pt>
                <c:pt idx="3">
                  <c:v>107.1</c:v>
                </c:pt>
                <c:pt idx="4">
                  <c:v>726.24</c:v>
                </c:pt>
                <c:pt idx="5">
                  <c:v>244.64400000000001</c:v>
                </c:pt>
                <c:pt idx="6">
                  <c:v>271.67399999999998</c:v>
                </c:pt>
                <c:pt idx="7">
                  <c:v>507.43680000000001</c:v>
                </c:pt>
                <c:pt idx="8">
                  <c:v>111.54</c:v>
                </c:pt>
                <c:pt idx="9">
                  <c:v>538.23</c:v>
                </c:pt>
                <c:pt idx="10">
                  <c:v>134.316</c:v>
                </c:pt>
                <c:pt idx="11">
                  <c:v>45.804000000000002</c:v>
                </c:pt>
                <c:pt idx="12">
                  <c:v>127.0416</c:v>
                </c:pt>
                <c:pt idx="13">
                  <c:v>67.391999999999996</c:v>
                </c:pt>
                <c:pt idx="14">
                  <c:v>515.70000000000005</c:v>
                </c:pt>
              </c:numCache>
            </c:numRef>
          </c:xVal>
          <c:yVal>
            <c:numRef>
              <c:f>'Curves - Belfort (old)'!$Y$22:$Y$36</c:f>
              <c:numCache>
                <c:formatCode>0.0</c:formatCode>
                <c:ptCount val="15"/>
                <c:pt idx="0">
                  <c:v>871.19599999999991</c:v>
                </c:pt>
                <c:pt idx="1">
                  <c:v>800.80652198421649</c:v>
                </c:pt>
                <c:pt idx="2">
                  <c:v>791.78679819616696</c:v>
                </c:pt>
                <c:pt idx="3">
                  <c:v>270.15899999999999</c:v>
                </c:pt>
                <c:pt idx="4">
                  <c:v>517.38</c:v>
                </c:pt>
                <c:pt idx="5">
                  <c:v>389.13099999999997</c:v>
                </c:pt>
                <c:pt idx="6">
                  <c:v>626.99</c:v>
                </c:pt>
                <c:pt idx="7">
                  <c:v>389.97019999999998</c:v>
                </c:pt>
                <c:pt idx="8">
                  <c:v>488.71199999999999</c:v>
                </c:pt>
                <c:pt idx="9">
                  <c:v>587.904</c:v>
                </c:pt>
                <c:pt idx="10">
                  <c:v>220.21100000000001</c:v>
                </c:pt>
                <c:pt idx="11">
                  <c:v>291.50900000000001</c:v>
                </c:pt>
                <c:pt idx="12">
                  <c:v>307.77300000000002</c:v>
                </c:pt>
                <c:pt idx="13">
                  <c:v>228.54900000000001</c:v>
                </c:pt>
                <c:pt idx="14">
                  <c:v>712.6880000000001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546048"/>
        <c:axId val="140547584"/>
      </c:scatterChart>
      <c:valAx>
        <c:axId val="140546048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140547584"/>
        <c:crosses val="autoZero"/>
        <c:crossBetween val="midCat"/>
      </c:valAx>
      <c:valAx>
        <c:axId val="140547584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4054604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4"/>
          </c:marker>
          <c:trendline>
            <c:trendlineType val="poly"/>
            <c:order val="2"/>
            <c:dispRSqr val="1"/>
            <c:dispEq val="1"/>
            <c:trendlineLbl>
              <c:layout>
                <c:manualLayout>
                  <c:x val="-7.6472735755275481E-2"/>
                  <c:y val="-2.1803795137563694E-2"/>
                </c:manualLayout>
              </c:layout>
              <c:numFmt formatCode="General" sourceLinked="0"/>
            </c:trendlineLbl>
          </c:trendline>
          <c:xVal>
            <c:numRef>
              <c:f>'Curves - Belfort (old)'!$AE$22:$AE$36</c:f>
              <c:numCache>
                <c:formatCode>0.0</c:formatCode>
                <c:ptCount val="15"/>
                <c:pt idx="0">
                  <c:v>21.6755</c:v>
                </c:pt>
                <c:pt idx="1">
                  <c:v>15.407</c:v>
                </c:pt>
                <c:pt idx="2">
                  <c:v>14.8401</c:v>
                </c:pt>
                <c:pt idx="3">
                  <c:v>4.0249999999999995</c:v>
                </c:pt>
                <c:pt idx="4">
                  <c:v>12.07545</c:v>
                </c:pt>
                <c:pt idx="5">
                  <c:v>9.7545000000000002</c:v>
                </c:pt>
                <c:pt idx="6">
                  <c:v>8.831999999999999</c:v>
                </c:pt>
                <c:pt idx="7">
                  <c:v>7.85792</c:v>
                </c:pt>
                <c:pt idx="8">
                  <c:v>4.6280000000000001</c:v>
                </c:pt>
                <c:pt idx="9">
                  <c:v>9.10656</c:v>
                </c:pt>
                <c:pt idx="10">
                  <c:v>4.5474999999999994</c:v>
                </c:pt>
                <c:pt idx="11">
                  <c:v>3.6025549999999997</c:v>
                </c:pt>
                <c:pt idx="12">
                  <c:v>6.0332999999999997</c:v>
                </c:pt>
                <c:pt idx="13">
                  <c:v>4.4169999999999998</c:v>
                </c:pt>
                <c:pt idx="14">
                  <c:v>11.433</c:v>
                </c:pt>
              </c:numCache>
            </c:numRef>
          </c:xVal>
          <c:yVal>
            <c:numRef>
              <c:f>'Curves - Belfort (old)'!$AF$22:$AF$36</c:f>
              <c:numCache>
                <c:formatCode>0.0</c:formatCode>
                <c:ptCount val="15"/>
                <c:pt idx="0">
                  <c:v>871.19599999999991</c:v>
                </c:pt>
                <c:pt idx="1">
                  <c:v>800.80652198421649</c:v>
                </c:pt>
                <c:pt idx="2">
                  <c:v>791.78679819616696</c:v>
                </c:pt>
                <c:pt idx="3">
                  <c:v>270.15899999999999</c:v>
                </c:pt>
                <c:pt idx="4">
                  <c:v>517.38</c:v>
                </c:pt>
                <c:pt idx="5">
                  <c:v>389.13099999999997</c:v>
                </c:pt>
                <c:pt idx="6">
                  <c:v>626.99</c:v>
                </c:pt>
                <c:pt idx="7">
                  <c:v>389.97019999999998</c:v>
                </c:pt>
                <c:pt idx="8">
                  <c:v>488.71199999999999</c:v>
                </c:pt>
                <c:pt idx="9">
                  <c:v>587.904</c:v>
                </c:pt>
                <c:pt idx="10">
                  <c:v>220.21100000000001</c:v>
                </c:pt>
                <c:pt idx="11">
                  <c:v>291.50900000000001</c:v>
                </c:pt>
                <c:pt idx="12">
                  <c:v>307.77300000000002</c:v>
                </c:pt>
                <c:pt idx="13">
                  <c:v>228.54900000000001</c:v>
                </c:pt>
                <c:pt idx="14">
                  <c:v>712.6880000000001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580736"/>
        <c:axId val="140582272"/>
      </c:scatterChart>
      <c:valAx>
        <c:axId val="140580736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140582272"/>
        <c:crosses val="autoZero"/>
        <c:crossBetween val="midCat"/>
      </c:valAx>
      <c:valAx>
        <c:axId val="140582272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40580736"/>
        <c:crosses val="autoZero"/>
        <c:crossBetween val="midCat"/>
      </c:valAx>
    </c:plotArea>
    <c:plotVisOnly val="1"/>
    <c:dispBlanksAs val="gap"/>
    <c:showDLblsOverMax val="0"/>
  </c:chart>
  <c:spPr>
    <a:solidFill>
      <a:schemeClr val="accent6">
        <a:lumMod val="20000"/>
        <a:lumOff val="80000"/>
      </a:schemeClr>
    </a:solidFill>
  </c:sp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trendline>
            <c:trendlineType val="power"/>
            <c:dispRSqr val="1"/>
            <c:dispEq val="1"/>
            <c:trendlineLbl>
              <c:layout>
                <c:manualLayout>
                  <c:x val="-0.11738911976931676"/>
                  <c:y val="-2.2941603226228069E-2"/>
                </c:manualLayout>
              </c:layout>
              <c:numFmt formatCode="General" sourceLinked="0"/>
            </c:trendlineLbl>
          </c:trendline>
          <c:xVal>
            <c:numRef>
              <c:f>'Curves - Belfort (old)'!$U$4:$U$18</c:f>
              <c:numCache>
                <c:formatCode>0.0</c:formatCode>
                <c:ptCount val="15"/>
                <c:pt idx="0">
                  <c:v>22.167395301317587</c:v>
                </c:pt>
                <c:pt idx="1">
                  <c:v>16.140342380758497</c:v>
                </c:pt>
                <c:pt idx="2">
                  <c:v>15.635417820674546</c:v>
                </c:pt>
                <c:pt idx="3">
                  <c:v>4.0686642562517026</c:v>
                </c:pt>
                <c:pt idx="4">
                  <c:v>12.949534316402843</c:v>
                </c:pt>
                <c:pt idx="5">
                  <c:v>10.624527669065921</c:v>
                </c:pt>
                <c:pt idx="6">
                  <c:v>9.6820726399568766</c:v>
                </c:pt>
                <c:pt idx="7">
                  <c:v>7.9978824949888878</c:v>
                </c:pt>
                <c:pt idx="8">
                  <c:v>4.9595446336287425</c:v>
                </c:pt>
                <c:pt idx="9">
                  <c:v>9.6048408683435618</c:v>
                </c:pt>
                <c:pt idx="10">
                  <c:v>4.7421344215131036</c:v>
                </c:pt>
                <c:pt idx="11">
                  <c:v>3.8082303982811392</c:v>
                </c:pt>
                <c:pt idx="12">
                  <c:v>6.3860957075223945</c:v>
                </c:pt>
                <c:pt idx="13">
                  <c:v>4.8144556389465665</c:v>
                </c:pt>
                <c:pt idx="14">
                  <c:v>12.475990575817885</c:v>
                </c:pt>
              </c:numCache>
            </c:numRef>
          </c:xVal>
          <c:yVal>
            <c:numRef>
              <c:f>'Curves - Belfort (old)'!$V$4:$V$18</c:f>
              <c:numCache>
                <c:formatCode>0</c:formatCode>
                <c:ptCount val="15"/>
                <c:pt idx="0">
                  <c:v>465.52499999999998</c:v>
                </c:pt>
                <c:pt idx="1">
                  <c:v>456.91199999999998</c:v>
                </c:pt>
                <c:pt idx="2">
                  <c:v>490.11799999999999</c:v>
                </c:pt>
                <c:pt idx="3">
                  <c:v>138.834</c:v>
                </c:pt>
                <c:pt idx="4">
                  <c:v>304.77800000000002</c:v>
                </c:pt>
                <c:pt idx="5">
                  <c:v>340.98599999999999</c:v>
                </c:pt>
                <c:pt idx="6">
                  <c:v>279.39100000000002</c:v>
                </c:pt>
                <c:pt idx="7">
                  <c:v>245.14599999999999</c:v>
                </c:pt>
                <c:pt idx="8">
                  <c:v>207.018</c:v>
                </c:pt>
                <c:pt idx="9">
                  <c:v>243.04900000000001</c:v>
                </c:pt>
                <c:pt idx="10">
                  <c:v>170.38900000000001</c:v>
                </c:pt>
                <c:pt idx="11">
                  <c:v>135.9</c:v>
                </c:pt>
                <c:pt idx="12">
                  <c:v>228.346</c:v>
                </c:pt>
                <c:pt idx="13">
                  <c:v>119.61</c:v>
                </c:pt>
                <c:pt idx="14">
                  <c:v>358.92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619776"/>
        <c:axId val="140621312"/>
      </c:scatterChart>
      <c:valAx>
        <c:axId val="140619776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140621312"/>
        <c:crosses val="autoZero"/>
        <c:crossBetween val="midCat"/>
      </c:valAx>
      <c:valAx>
        <c:axId val="140621312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40619776"/>
        <c:crosses val="autoZero"/>
        <c:crossBetween val="midCat"/>
      </c:valAx>
    </c:plotArea>
    <c:plotVisOnly val="1"/>
    <c:dispBlanksAs val="gap"/>
    <c:showDLblsOverMax val="0"/>
  </c:chart>
  <c:spPr>
    <a:solidFill>
      <a:schemeClr val="accent6">
        <a:lumMod val="20000"/>
        <a:lumOff val="80000"/>
      </a:schemeClr>
    </a:solidFill>
  </c:sp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trendline>
            <c:trendlineType val="poly"/>
            <c:order val="2"/>
            <c:dispRSqr val="1"/>
            <c:dispEq val="1"/>
            <c:trendlineLbl>
              <c:layout>
                <c:manualLayout>
                  <c:x val="-0.1992599851246637"/>
                  <c:y val="-3.1598389670048459E-2"/>
                </c:manualLayout>
              </c:layout>
              <c:numFmt formatCode="General" sourceLinked="0"/>
            </c:trendlineLbl>
          </c:trendline>
          <c:xVal>
            <c:numRef>
              <c:f>'Curves - Belfort (old)'!$AU$22:$AU$36</c:f>
              <c:numCache>
                <c:formatCode>0</c:formatCode>
                <c:ptCount val="15"/>
                <c:pt idx="0">
                  <c:v>2718.2652963600381</c:v>
                </c:pt>
                <c:pt idx="1">
                  <c:v>1746.3461060072709</c:v>
                </c:pt>
                <c:pt idx="2">
                  <c:v>1707.3938792696765</c:v>
                </c:pt>
                <c:pt idx="3">
                  <c:v>304.64081479970758</c:v>
                </c:pt>
                <c:pt idx="4">
                  <c:v>1321.0220353012589</c:v>
                </c:pt>
                <c:pt idx="5">
                  <c:v>1024.6427503634491</c:v>
                </c:pt>
                <c:pt idx="6">
                  <c:v>923.72231326096755</c:v>
                </c:pt>
                <c:pt idx="7">
                  <c:v>678.92162069603876</c:v>
                </c:pt>
                <c:pt idx="8">
                  <c:v>397.1767924679188</c:v>
                </c:pt>
                <c:pt idx="9">
                  <c:v>962.47754571371968</c:v>
                </c:pt>
                <c:pt idx="10">
                  <c:v>363.75705721889665</c:v>
                </c:pt>
                <c:pt idx="11">
                  <c:v>251.10189659674842</c:v>
                </c:pt>
                <c:pt idx="12">
                  <c:v>518.42474738913052</c:v>
                </c:pt>
                <c:pt idx="13">
                  <c:v>406.15167660191435</c:v>
                </c:pt>
                <c:pt idx="14">
                  <c:v>1296.4837762742231</c:v>
                </c:pt>
              </c:numCache>
            </c:numRef>
          </c:xVal>
          <c:yVal>
            <c:numRef>
              <c:f>'Curves - Belfort (old)'!$AV$22:$AV$36</c:f>
              <c:numCache>
                <c:formatCode>0.0</c:formatCode>
                <c:ptCount val="15"/>
                <c:pt idx="0">
                  <c:v>871.19599999999991</c:v>
                </c:pt>
                <c:pt idx="1">
                  <c:v>800.80652198421649</c:v>
                </c:pt>
                <c:pt idx="2">
                  <c:v>791.78679819616696</c:v>
                </c:pt>
                <c:pt idx="3">
                  <c:v>270.15899999999999</c:v>
                </c:pt>
                <c:pt idx="4">
                  <c:v>517.38</c:v>
                </c:pt>
                <c:pt idx="5">
                  <c:v>389.13099999999997</c:v>
                </c:pt>
                <c:pt idx="6">
                  <c:v>626.99</c:v>
                </c:pt>
                <c:pt idx="7">
                  <c:v>389.97019999999998</c:v>
                </c:pt>
                <c:pt idx="8">
                  <c:v>488.71199999999999</c:v>
                </c:pt>
                <c:pt idx="9">
                  <c:v>587.904</c:v>
                </c:pt>
                <c:pt idx="10">
                  <c:v>220.21100000000001</c:v>
                </c:pt>
                <c:pt idx="11">
                  <c:v>291.50900000000001</c:v>
                </c:pt>
                <c:pt idx="12">
                  <c:v>307.77300000000002</c:v>
                </c:pt>
                <c:pt idx="13">
                  <c:v>228.54900000000001</c:v>
                </c:pt>
                <c:pt idx="14">
                  <c:v>712.6880000000001</c:v>
                </c:pt>
              </c:numCache>
            </c:numRef>
          </c:yVal>
          <c:smooth val="0"/>
        </c:ser>
        <c:ser>
          <c:idx val="1"/>
          <c:order val="1"/>
          <c:spPr>
            <a:ln w="28575">
              <a:noFill/>
            </a:ln>
          </c:spPr>
          <c:marker>
            <c:symbol val="diamond"/>
            <c:size val="6"/>
          </c:marker>
          <c:xVal>
            <c:numRef>
              <c:f>'Curves - Belfort (old)'!$AU$37</c:f>
              <c:numCache>
                <c:formatCode>0</c:formatCode>
                <c:ptCount val="1"/>
                <c:pt idx="0">
                  <c:v>303.81045138295423</c:v>
                </c:pt>
              </c:numCache>
            </c:numRef>
          </c:xVal>
          <c:yVal>
            <c:numRef>
              <c:f>'Curves - Belfort (old)'!$AV$37</c:f>
              <c:numCache>
                <c:formatCode>0.0</c:formatCode>
                <c:ptCount val="1"/>
                <c:pt idx="0">
                  <c:v>296.2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716288"/>
        <c:axId val="140722176"/>
      </c:scatterChart>
      <c:valAx>
        <c:axId val="140716288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140722176"/>
        <c:crosses val="autoZero"/>
        <c:crossBetween val="midCat"/>
      </c:valAx>
      <c:valAx>
        <c:axId val="140722176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4071628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trendline>
            <c:trendlineType val="power"/>
            <c:dispRSqr val="1"/>
            <c:dispEq val="1"/>
            <c:trendlineLbl>
              <c:layout>
                <c:manualLayout>
                  <c:x val="8.3773945978271702E-2"/>
                  <c:y val="0.48799631228892087"/>
                </c:manualLayout>
              </c:layout>
              <c:numFmt formatCode="General" sourceLinked="0"/>
            </c:trendlineLbl>
          </c:trendline>
          <c:xVal>
            <c:numRef>
              <c:f>'Curves - Belfort (old)'!$AU$4:$AU$18</c:f>
              <c:numCache>
                <c:formatCode>0</c:formatCode>
                <c:ptCount val="15"/>
                <c:pt idx="0">
                  <c:v>244.61581332359506</c:v>
                </c:pt>
                <c:pt idx="1">
                  <c:v>201.36474720475638</c:v>
                </c:pt>
                <c:pt idx="2">
                  <c:v>187.16272030714228</c:v>
                </c:pt>
                <c:pt idx="3">
                  <c:v>36.299035473152522</c:v>
                </c:pt>
                <c:pt idx="4">
                  <c:v>154.99416084319469</c:v>
                </c:pt>
                <c:pt idx="5">
                  <c:v>126.63723132966508</c:v>
                </c:pt>
                <c:pt idx="6">
                  <c:v>110.47612672081689</c:v>
                </c:pt>
                <c:pt idx="7">
                  <c:v>92.722740053304022</c:v>
                </c:pt>
                <c:pt idx="8">
                  <c:v>44.723023452558451</c:v>
                </c:pt>
                <c:pt idx="9">
                  <c:v>84.432705548158907</c:v>
                </c:pt>
                <c:pt idx="10">
                  <c:v>47.065477797560035</c:v>
                </c:pt>
                <c:pt idx="11">
                  <c:v>41.435329681649151</c:v>
                </c:pt>
                <c:pt idx="12">
                  <c:v>63.002737427627835</c:v>
                </c:pt>
                <c:pt idx="13">
                  <c:v>38.0602068169202</c:v>
                </c:pt>
                <c:pt idx="14">
                  <c:v>141.40001386935404</c:v>
                </c:pt>
              </c:numCache>
            </c:numRef>
          </c:xVal>
          <c:yVal>
            <c:numRef>
              <c:f>'Curves - Belfort (old)'!$AV$4:$AV$18</c:f>
              <c:numCache>
                <c:formatCode>0.0</c:formatCode>
                <c:ptCount val="15"/>
                <c:pt idx="0">
                  <c:v>465.52499999999998</c:v>
                </c:pt>
                <c:pt idx="1">
                  <c:v>456.91199999999998</c:v>
                </c:pt>
                <c:pt idx="2">
                  <c:v>490.11799999999999</c:v>
                </c:pt>
                <c:pt idx="3">
                  <c:v>138.834</c:v>
                </c:pt>
                <c:pt idx="4">
                  <c:v>304.77800000000002</c:v>
                </c:pt>
                <c:pt idx="5">
                  <c:v>340.98599999999999</c:v>
                </c:pt>
                <c:pt idx="6">
                  <c:v>279.39100000000002</c:v>
                </c:pt>
                <c:pt idx="7">
                  <c:v>245.14599999999999</c:v>
                </c:pt>
                <c:pt idx="8">
                  <c:v>207.018</c:v>
                </c:pt>
                <c:pt idx="9">
                  <c:v>243.04900000000001</c:v>
                </c:pt>
                <c:pt idx="10">
                  <c:v>170.38900000000001</c:v>
                </c:pt>
                <c:pt idx="11">
                  <c:v>135.9</c:v>
                </c:pt>
                <c:pt idx="12">
                  <c:v>228.346</c:v>
                </c:pt>
                <c:pt idx="13">
                  <c:v>119.61</c:v>
                </c:pt>
                <c:pt idx="14">
                  <c:v>358.92</c:v>
                </c:pt>
              </c:numCache>
            </c:numRef>
          </c:yVal>
          <c:smooth val="0"/>
        </c:ser>
        <c:ser>
          <c:idx val="1"/>
          <c:order val="1"/>
          <c:spPr>
            <a:ln w="28575">
              <a:noFill/>
            </a:ln>
          </c:spPr>
          <c:marker>
            <c:symbol val="diamond"/>
            <c:size val="6"/>
          </c:marker>
          <c:xVal>
            <c:numRef>
              <c:f>'Curves - Belfort (old)'!$AU$19</c:f>
              <c:numCache>
                <c:formatCode>0</c:formatCode>
                <c:ptCount val="1"/>
                <c:pt idx="0">
                  <c:v>42.915990779707215</c:v>
                </c:pt>
              </c:numCache>
            </c:numRef>
          </c:xVal>
          <c:yVal>
            <c:numRef>
              <c:f>'Curves - Belfort (old)'!$AV$19</c:f>
              <c:numCache>
                <c:formatCode>0.0</c:formatCode>
                <c:ptCount val="1"/>
                <c:pt idx="0">
                  <c:v>173.5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755328"/>
        <c:axId val="140756864"/>
      </c:scatterChart>
      <c:valAx>
        <c:axId val="140755328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140756864"/>
        <c:crosses val="autoZero"/>
        <c:crossBetween val="midCat"/>
      </c:valAx>
      <c:valAx>
        <c:axId val="140756864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4075532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v>Belfort with frame</c:v>
          </c:tx>
          <c:spPr>
            <a:ln w="28575">
              <a:noFill/>
            </a:ln>
          </c:spPr>
          <c:marker>
            <c:symbol val="diamond"/>
            <c:size val="5"/>
          </c:marker>
          <c:trendline>
            <c:spPr>
              <a:ln>
                <a:solidFill>
                  <a:srgbClr val="0070C0"/>
                </a:solidFill>
              </a:ln>
            </c:spPr>
            <c:trendlineType val="log"/>
            <c:dispRSqr val="1"/>
            <c:dispEq val="1"/>
            <c:trendlineLbl>
              <c:numFmt formatCode="General" sourceLinked="0"/>
            </c:trendlineLbl>
          </c:trendline>
          <c:xVal>
            <c:numRef>
              <c:f>('Material curves "DL" (old)'!$D$3,'Material curves "DL" (old)'!$D$6,'Material curves "DL" (old)'!$D$9,'Material curves "DL" (old)'!$D$11,'Material curves "DL" (old)'!$D$12:$D$13,'Material curves "DL" (old)'!$D$15:$D$16)</c:f>
              <c:numCache>
                <c:formatCode>0.0</c:formatCode>
                <c:ptCount val="8"/>
                <c:pt idx="0">
                  <c:v>21.6755</c:v>
                </c:pt>
                <c:pt idx="1">
                  <c:v>4.0249999999999995</c:v>
                </c:pt>
                <c:pt idx="2">
                  <c:v>8.831999999999999</c:v>
                </c:pt>
                <c:pt idx="3">
                  <c:v>4.6280000000000001</c:v>
                </c:pt>
                <c:pt idx="4">
                  <c:v>9.10656</c:v>
                </c:pt>
                <c:pt idx="5">
                  <c:v>4.5474999999999994</c:v>
                </c:pt>
                <c:pt idx="6">
                  <c:v>6.0332999999999997</c:v>
                </c:pt>
                <c:pt idx="7">
                  <c:v>4.4169999999999998</c:v>
                </c:pt>
              </c:numCache>
            </c:numRef>
          </c:xVal>
          <c:yVal>
            <c:numRef>
              <c:f>('Material curves "DL" (old)'!$E$3,'Material curves "DL" (old)'!$E$6,'Material curves "DL" (old)'!$E$9,'Material curves "DL" (old)'!$E$11,'Material curves "DL" (old)'!$E$12:$E$13,'Material curves "DL" (old)'!$E$15:$E$16)</c:f>
              <c:numCache>
                <c:formatCode>General</c:formatCode>
                <c:ptCount val="8"/>
                <c:pt idx="0">
                  <c:v>1504.4796800000001</c:v>
                </c:pt>
                <c:pt idx="1">
                  <c:v>530.66200000000003</c:v>
                </c:pt>
                <c:pt idx="2">
                  <c:v>994.82500000000005</c:v>
                </c:pt>
                <c:pt idx="3">
                  <c:v>797.73300000000006</c:v>
                </c:pt>
                <c:pt idx="4">
                  <c:v>956.9129999999999</c:v>
                </c:pt>
                <c:pt idx="5">
                  <c:v>492.54300000000001</c:v>
                </c:pt>
                <c:pt idx="6">
                  <c:v>938.66899999999998</c:v>
                </c:pt>
                <c:pt idx="7">
                  <c:v>397.69349999999997</c:v>
                </c:pt>
              </c:numCache>
            </c:numRef>
          </c:yVal>
          <c:smooth val="0"/>
        </c:ser>
        <c:ser>
          <c:idx val="1"/>
          <c:order val="1"/>
          <c:tx>
            <c:v>Belfort without frame</c:v>
          </c:tx>
          <c:spPr>
            <a:ln w="28575">
              <a:noFill/>
            </a:ln>
          </c:spPr>
          <c:marker>
            <c:symbol val="square"/>
            <c:size val="4"/>
          </c:marker>
          <c:trendline>
            <c:spPr>
              <a:ln>
                <a:solidFill>
                  <a:srgbClr val="FF0000"/>
                </a:solidFill>
              </a:ln>
            </c:spPr>
            <c:trendlineType val="power"/>
            <c:dispRSqr val="1"/>
            <c:dispEq val="1"/>
            <c:trendlineLbl>
              <c:layout>
                <c:manualLayout>
                  <c:x val="7.6506093406770712E-2"/>
                  <c:y val="3.0878548672171109E-2"/>
                </c:manualLayout>
              </c:layout>
              <c:numFmt formatCode="General" sourceLinked="0"/>
            </c:trendlineLbl>
          </c:trendline>
          <c:xVal>
            <c:numRef>
              <c:f>('Material curves "DL" (old)'!$D$4:$D$5,'Material curves "DL" (old)'!$D$7:$D$8,'Material curves "DL" (old)'!$D$10,'Material curves "DL" (old)'!$D$14)</c:f>
              <c:numCache>
                <c:formatCode>0.0</c:formatCode>
                <c:ptCount val="6"/>
                <c:pt idx="0">
                  <c:v>15.407</c:v>
                </c:pt>
                <c:pt idx="1">
                  <c:v>14.8401</c:v>
                </c:pt>
                <c:pt idx="2">
                  <c:v>12.07545</c:v>
                </c:pt>
                <c:pt idx="3">
                  <c:v>9.7545000000000002</c:v>
                </c:pt>
                <c:pt idx="4">
                  <c:v>7.85792</c:v>
                </c:pt>
                <c:pt idx="5">
                  <c:v>3.6025549999999997</c:v>
                </c:pt>
              </c:numCache>
            </c:numRef>
          </c:xVal>
          <c:yVal>
            <c:numRef>
              <c:f>('Material curves "DL" (old)'!$E$4:$E$5,'Material curves "DL" (old)'!$E$7:$E$8,'Material curves "DL" (old)'!$E$10,'Material curves "DL" (old)'!$E$14)</c:f>
              <c:numCache>
                <c:formatCode>General</c:formatCode>
                <c:ptCount val="6"/>
                <c:pt idx="0">
                  <c:v>1257.7185219842165</c:v>
                </c:pt>
                <c:pt idx="1">
                  <c:v>1281.9047981961669</c:v>
                </c:pt>
                <c:pt idx="2">
                  <c:v>863.23900000000003</c:v>
                </c:pt>
                <c:pt idx="3">
                  <c:v>730.11699999999996</c:v>
                </c:pt>
                <c:pt idx="4">
                  <c:v>696.09119999999996</c:v>
                </c:pt>
                <c:pt idx="5">
                  <c:v>455.20099999999996</c:v>
                </c:pt>
              </c:numCache>
            </c:numRef>
          </c:yVal>
          <c:smooth val="0"/>
        </c:ser>
        <c:ser>
          <c:idx val="2"/>
          <c:order val="2"/>
          <c:tx>
            <c:v>Birr with frame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chemeClr val="accent3">
                  <a:lumMod val="50000"/>
                </a:schemeClr>
              </a:solidFill>
              <a:ln>
                <a:solidFill>
                  <a:schemeClr val="accent3">
                    <a:lumMod val="50000"/>
                  </a:schemeClr>
                </a:solidFill>
              </a:ln>
            </c:spPr>
          </c:marker>
          <c:trendline>
            <c:spPr>
              <a:ln>
                <a:solidFill>
                  <a:schemeClr val="accent3">
                    <a:lumMod val="50000"/>
                  </a:schemeClr>
                </a:solidFill>
              </a:ln>
            </c:spPr>
            <c:trendlineType val="linear"/>
            <c:dispRSqr val="1"/>
            <c:dispEq val="1"/>
            <c:trendlineLbl>
              <c:layout>
                <c:manualLayout>
                  <c:x val="1.3679021487216808E-2"/>
                  <c:y val="-4.3142319239895636E-3"/>
                </c:manualLayout>
              </c:layout>
              <c:numFmt formatCode="General" sourceLinked="0"/>
            </c:trendlineLbl>
          </c:trendline>
          <c:xVal>
            <c:numRef>
              <c:f>('Material curves "DL" (old)'!$D$20:$D$23,'Material curves "DL" (old)'!$D$25:$D$27,'Material curves "DL" (old)'!$D$30:$D$37,'Material curves "DL" (old)'!$D$39,'Material curves "DL" (old)'!$D$41:$D$48,'Material curves "DL" (old)'!$D$50:$D$67,'Material curves "DL" (old)'!$D$69:$D$71)</c:f>
              <c:numCache>
                <c:formatCode>0.0</c:formatCode>
                <c:ptCount val="45"/>
                <c:pt idx="0">
                  <c:v>1.5</c:v>
                </c:pt>
                <c:pt idx="1">
                  <c:v>2.4</c:v>
                </c:pt>
                <c:pt idx="2">
                  <c:v>1.5294999999999999</c:v>
                </c:pt>
                <c:pt idx="3">
                  <c:v>2.8874999999999997</c:v>
                </c:pt>
                <c:pt idx="4">
                  <c:v>2.4</c:v>
                </c:pt>
                <c:pt idx="5">
                  <c:v>2.6399999999999997</c:v>
                </c:pt>
                <c:pt idx="6">
                  <c:v>2.3895</c:v>
                </c:pt>
                <c:pt idx="7">
                  <c:v>2.8874999999999997</c:v>
                </c:pt>
                <c:pt idx="8">
                  <c:v>2.5979199999999998</c:v>
                </c:pt>
                <c:pt idx="9">
                  <c:v>3.77</c:v>
                </c:pt>
                <c:pt idx="10">
                  <c:v>3.915</c:v>
                </c:pt>
                <c:pt idx="11">
                  <c:v>3.915</c:v>
                </c:pt>
                <c:pt idx="12">
                  <c:v>4.6916799999999999</c:v>
                </c:pt>
                <c:pt idx="13">
                  <c:v>4.1201999999999996</c:v>
                </c:pt>
                <c:pt idx="14">
                  <c:v>4.8</c:v>
                </c:pt>
                <c:pt idx="15">
                  <c:v>4.2299999999999995</c:v>
                </c:pt>
                <c:pt idx="16">
                  <c:v>4.1249000000000002</c:v>
                </c:pt>
                <c:pt idx="17">
                  <c:v>4.5060000000000002</c:v>
                </c:pt>
                <c:pt idx="18">
                  <c:v>7.2877999999999998</c:v>
                </c:pt>
                <c:pt idx="19">
                  <c:v>6.6</c:v>
                </c:pt>
                <c:pt idx="20">
                  <c:v>5.4349049999999997</c:v>
                </c:pt>
                <c:pt idx="21">
                  <c:v>8.1</c:v>
                </c:pt>
                <c:pt idx="22">
                  <c:v>8.1603999999999992</c:v>
                </c:pt>
                <c:pt idx="23">
                  <c:v>7.7374999999999998</c:v>
                </c:pt>
                <c:pt idx="24">
                  <c:v>7.1499999999999995</c:v>
                </c:pt>
                <c:pt idx="25">
                  <c:v>6.37</c:v>
                </c:pt>
                <c:pt idx="26">
                  <c:v>6.7919999999999998</c:v>
                </c:pt>
                <c:pt idx="27">
                  <c:v>8.1603999999999992</c:v>
                </c:pt>
                <c:pt idx="28">
                  <c:v>7.0755999999999997</c:v>
                </c:pt>
                <c:pt idx="29">
                  <c:v>10.733749999999999</c:v>
                </c:pt>
                <c:pt idx="30">
                  <c:v>8.8175999999999988</c:v>
                </c:pt>
                <c:pt idx="31">
                  <c:v>12.5</c:v>
                </c:pt>
                <c:pt idx="32">
                  <c:v>10.164</c:v>
                </c:pt>
                <c:pt idx="33">
                  <c:v>13.5</c:v>
                </c:pt>
                <c:pt idx="34">
                  <c:v>8.5499999999999989</c:v>
                </c:pt>
                <c:pt idx="35">
                  <c:v>9.843</c:v>
                </c:pt>
                <c:pt idx="36">
                  <c:v>9.69</c:v>
                </c:pt>
                <c:pt idx="37">
                  <c:v>8.8289999999999988</c:v>
                </c:pt>
                <c:pt idx="38">
                  <c:v>8</c:v>
                </c:pt>
                <c:pt idx="39">
                  <c:v>7.56</c:v>
                </c:pt>
                <c:pt idx="40">
                  <c:v>9.4819999999999993</c:v>
                </c:pt>
                <c:pt idx="41">
                  <c:v>11.160599999999999</c:v>
                </c:pt>
                <c:pt idx="42">
                  <c:v>13.265099999999999</c:v>
                </c:pt>
                <c:pt idx="43">
                  <c:v>3.15</c:v>
                </c:pt>
                <c:pt idx="44">
                  <c:v>4.68</c:v>
                </c:pt>
              </c:numCache>
            </c:numRef>
          </c:xVal>
          <c:yVal>
            <c:numRef>
              <c:f>('Material curves "DL" (old)'!$E$20:$E$23,'Material curves "DL" (old)'!$E$25:$E$27,'Material curves "DL" (old)'!$E$30:$E$37,'Material curves "DL" (old)'!$E$39,'Material curves "DL" (old)'!$E$41:$E$48,'Material curves "DL" (old)'!$E$50:$E$67,'Material curves "DL" (old)'!$E$69:$E$71)</c:f>
              <c:numCache>
                <c:formatCode>General</c:formatCode>
                <c:ptCount val="45"/>
                <c:pt idx="0">
                  <c:v>457.71699999999998</c:v>
                </c:pt>
                <c:pt idx="1">
                  <c:v>440.11</c:v>
                </c:pt>
                <c:pt idx="2">
                  <c:v>335.50599999999997</c:v>
                </c:pt>
                <c:pt idx="3">
                  <c:v>491.94299999999998</c:v>
                </c:pt>
                <c:pt idx="4">
                  <c:v>499.51299999999998</c:v>
                </c:pt>
                <c:pt idx="5">
                  <c:v>382.20800000000003</c:v>
                </c:pt>
                <c:pt idx="6">
                  <c:v>637.61599999999999</c:v>
                </c:pt>
                <c:pt idx="7">
                  <c:v>554.50400000000002</c:v>
                </c:pt>
                <c:pt idx="8">
                  <c:v>495.86</c:v>
                </c:pt>
                <c:pt idx="9">
                  <c:v>764.67699999999991</c:v>
                </c:pt>
                <c:pt idx="10">
                  <c:v>554.74800000000005</c:v>
                </c:pt>
                <c:pt idx="11">
                  <c:v>554.74800000000005</c:v>
                </c:pt>
                <c:pt idx="12">
                  <c:v>554.76900000000001</c:v>
                </c:pt>
                <c:pt idx="13">
                  <c:v>517.73500000000001</c:v>
                </c:pt>
                <c:pt idx="14">
                  <c:v>975.82500000000005</c:v>
                </c:pt>
                <c:pt idx="15">
                  <c:v>649.798</c:v>
                </c:pt>
                <c:pt idx="16">
                  <c:v>562.13099999999997</c:v>
                </c:pt>
                <c:pt idx="17">
                  <c:v>706.69200000000001</c:v>
                </c:pt>
                <c:pt idx="18">
                  <c:v>675.35299999999995</c:v>
                </c:pt>
                <c:pt idx="19">
                  <c:v>703.53399999999999</c:v>
                </c:pt>
                <c:pt idx="20">
                  <c:v>797.89599999999996</c:v>
                </c:pt>
                <c:pt idx="21">
                  <c:v>822.41</c:v>
                </c:pt>
                <c:pt idx="22">
                  <c:v>758.07799999999997</c:v>
                </c:pt>
                <c:pt idx="23">
                  <c:v>753.91600000000005</c:v>
                </c:pt>
                <c:pt idx="24">
                  <c:v>663.25400000000002</c:v>
                </c:pt>
                <c:pt idx="25">
                  <c:v>671.39300000000003</c:v>
                </c:pt>
                <c:pt idx="26">
                  <c:v>804.50200000000007</c:v>
                </c:pt>
                <c:pt idx="27">
                  <c:v>936.6099999999999</c:v>
                </c:pt>
                <c:pt idx="28">
                  <c:v>666.63499999999999</c:v>
                </c:pt>
                <c:pt idx="29">
                  <c:v>963.28700000000003</c:v>
                </c:pt>
                <c:pt idx="30">
                  <c:v>806.93</c:v>
                </c:pt>
                <c:pt idx="31">
                  <c:v>1200.047</c:v>
                </c:pt>
                <c:pt idx="32">
                  <c:v>1176.7919999999999</c:v>
                </c:pt>
                <c:pt idx="33">
                  <c:v>1197.4189999999999</c:v>
                </c:pt>
                <c:pt idx="34">
                  <c:v>795.40700000000004</c:v>
                </c:pt>
                <c:pt idx="35">
                  <c:v>1013.2809999999999</c:v>
                </c:pt>
                <c:pt idx="36">
                  <c:v>935.65800000000002</c:v>
                </c:pt>
                <c:pt idx="37">
                  <c:v>875.24400000000003</c:v>
                </c:pt>
                <c:pt idx="38">
                  <c:v>912.24</c:v>
                </c:pt>
                <c:pt idx="39">
                  <c:v>1034.7149999999999</c:v>
                </c:pt>
                <c:pt idx="40">
                  <c:v>988.71699999999998</c:v>
                </c:pt>
                <c:pt idx="41">
                  <c:v>1080.4449999999999</c:v>
                </c:pt>
                <c:pt idx="42">
                  <c:v>1555.2250000000001</c:v>
                </c:pt>
                <c:pt idx="43">
                  <c:v>578.39</c:v>
                </c:pt>
                <c:pt idx="44">
                  <c:v>588.90334000000007</c:v>
                </c:pt>
              </c:numCache>
            </c:numRef>
          </c:yVal>
          <c:smooth val="0"/>
        </c:ser>
        <c:ser>
          <c:idx val="3"/>
          <c:order val="3"/>
          <c:tx>
            <c:v>Birr without frame</c:v>
          </c:tx>
          <c:spPr>
            <a:ln w="28575">
              <a:noFill/>
            </a:ln>
          </c:spPr>
          <c:marker>
            <c:symbol val="circle"/>
            <c:size val="4"/>
            <c:spPr>
              <a:solidFill>
                <a:srgbClr val="FFC000"/>
              </a:solidFill>
              <a:ln>
                <a:solidFill>
                  <a:srgbClr val="FFC000"/>
                </a:solidFill>
              </a:ln>
            </c:spPr>
          </c:marker>
          <c:trendline>
            <c:spPr>
              <a:ln>
                <a:solidFill>
                  <a:srgbClr val="FFC000"/>
                </a:solidFill>
              </a:ln>
            </c:spPr>
            <c:trendlineType val="power"/>
            <c:dispRSqr val="1"/>
            <c:dispEq val="1"/>
            <c:trendlineLbl>
              <c:layout>
                <c:manualLayout>
                  <c:x val="8.659686095794146E-2"/>
                  <c:y val="-5.8252025747638602E-4"/>
                </c:manualLayout>
              </c:layout>
              <c:numFmt formatCode="General" sourceLinked="0"/>
            </c:trendlineLbl>
          </c:trendline>
          <c:xVal>
            <c:numRef>
              <c:f>('Material curves "DL" (old)'!$D$19,'Material curves "DL" (old)'!$D$24,'Material curves "DL" (old)'!$D$28:$D$29,'Material curves "DL" (old)'!$D$38,'Material curves "DL" (old)'!$D$40,'Material curves "DL" (old)'!$D$49,'Material curves "DL" (old)'!$D$68,'Material curves "DL" (old)'!$D$72:$D$75)</c:f>
              <c:numCache>
                <c:formatCode>0.0</c:formatCode>
                <c:ptCount val="12"/>
                <c:pt idx="0">
                  <c:v>1.0707199999999999</c:v>
                </c:pt>
                <c:pt idx="1">
                  <c:v>3.3</c:v>
                </c:pt>
                <c:pt idx="2">
                  <c:v>4.8019999999999996</c:v>
                </c:pt>
                <c:pt idx="3">
                  <c:v>3.77</c:v>
                </c:pt>
                <c:pt idx="4">
                  <c:v>7.4339999999999993</c:v>
                </c:pt>
                <c:pt idx="5">
                  <c:v>7.8472799999999996</c:v>
                </c:pt>
                <c:pt idx="6">
                  <c:v>15.04</c:v>
                </c:pt>
                <c:pt idx="7">
                  <c:v>14.59206</c:v>
                </c:pt>
              </c:numCache>
            </c:numRef>
          </c:xVal>
          <c:yVal>
            <c:numRef>
              <c:f>('Material curves "DL" (old)'!$E$19,'Material curves "DL" (old)'!$E$24,'Material curves "DL" (old)'!$E$28:$E$29,'Material curves "DL" (old)'!$E$38,'Material curves "DL" (old)'!$E$40,'Material curves "DL" (old)'!$E$49,'Material curves "DL" (old)'!$E$68,'Material curves "DL" (old)'!$E$72:$E$75)</c:f>
              <c:numCache>
                <c:formatCode>General</c:formatCode>
                <c:ptCount val="12"/>
                <c:pt idx="0">
                  <c:v>209.21700000000001</c:v>
                </c:pt>
                <c:pt idx="1">
                  <c:v>715</c:v>
                </c:pt>
                <c:pt idx="2">
                  <c:v>550</c:v>
                </c:pt>
                <c:pt idx="3">
                  <c:v>591.92499999999995</c:v>
                </c:pt>
                <c:pt idx="4">
                  <c:v>606.19899999999996</c:v>
                </c:pt>
                <c:pt idx="5">
                  <c:v>711.28899999999999</c:v>
                </c:pt>
                <c:pt idx="6">
                  <c:v>1297.585</c:v>
                </c:pt>
                <c:pt idx="7">
                  <c:v>1087.0450000000001</c:v>
                </c:pt>
                <c:pt idx="8">
                  <c:v>245.98099999999999</c:v>
                </c:pt>
                <c:pt idx="9">
                  <c:v>376.23199999999997</c:v>
                </c:pt>
                <c:pt idx="10">
                  <c:v>302.476</c:v>
                </c:pt>
                <c:pt idx="11">
                  <c:v>402.416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440064"/>
        <c:axId val="138450048"/>
      </c:scatterChart>
      <c:valAx>
        <c:axId val="138440064"/>
        <c:scaling>
          <c:orientation val="minMax"/>
        </c:scaling>
        <c:delete val="0"/>
        <c:axPos val="b"/>
        <c:minorGridlines/>
        <c:numFmt formatCode="0.0" sourceLinked="1"/>
        <c:majorTickMark val="out"/>
        <c:minorTickMark val="none"/>
        <c:tickLblPos val="nextTo"/>
        <c:crossAx val="138450048"/>
        <c:crosses val="autoZero"/>
        <c:crossBetween val="midCat"/>
      </c:valAx>
      <c:valAx>
        <c:axId val="138450048"/>
        <c:scaling>
          <c:orientation val="minMax"/>
        </c:scaling>
        <c:delete val="0"/>
        <c:axPos val="l"/>
        <c:minorGridlines/>
        <c:numFmt formatCode="General" sourceLinked="1"/>
        <c:majorTickMark val="out"/>
        <c:minorTickMark val="none"/>
        <c:tickLblPos val="nextTo"/>
        <c:crossAx val="138440064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</c:sp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v>Belfort with frame</c:v>
          </c:tx>
          <c:spPr>
            <a:ln w="28575">
              <a:noFill/>
            </a:ln>
          </c:spPr>
          <c:marker>
            <c:symbol val="diamond"/>
            <c:size val="5"/>
          </c:marker>
          <c:trendline>
            <c:spPr>
              <a:ln>
                <a:solidFill>
                  <a:srgbClr val="0070C0"/>
                </a:solidFill>
              </a:ln>
            </c:spPr>
            <c:trendlineType val="linear"/>
            <c:dispRSqr val="1"/>
            <c:dispEq val="1"/>
            <c:trendlineLbl>
              <c:numFmt formatCode="General" sourceLinked="0"/>
            </c:trendlineLbl>
          </c:trendline>
          <c:xVal>
            <c:numRef>
              <c:f>('Material curves "D²L" (old)'!$D$3,'Material curves "D²L" (old)'!$D$6,'Material curves "D²L" (old)'!$D$9,'Material curves "D²L" (old)'!$D$11,'Material curves "D²L" (old)'!$D$12:$D$13,'Material curves "D²L" (old)'!$D$15:$D$16)</c:f>
              <c:numCache>
                <c:formatCode>0.0</c:formatCode>
                <c:ptCount val="8"/>
                <c:pt idx="0">
                  <c:v>134.23637150000002</c:v>
                </c:pt>
                <c:pt idx="1">
                  <c:v>9.2575000000000003</c:v>
                </c:pt>
                <c:pt idx="2">
                  <c:v>84.787199999999999</c:v>
                </c:pt>
                <c:pt idx="3">
                  <c:v>24.0656</c:v>
                </c:pt>
                <c:pt idx="4">
                  <c:v>54.202245120000001</c:v>
                </c:pt>
                <c:pt idx="5">
                  <c:v>16.543805000000003</c:v>
                </c:pt>
                <c:pt idx="6">
                  <c:v>30.588831000000003</c:v>
                </c:pt>
                <c:pt idx="7">
                  <c:v>27.871270000000003</c:v>
                </c:pt>
              </c:numCache>
            </c:numRef>
          </c:xVal>
          <c:yVal>
            <c:numRef>
              <c:f>('Material curves "D²L" (old)'!$E$3,'Material curves "D²L" (old)'!$E$6,'Material curves "D²L" (old)'!$E$9,'Material curves "D²L" (old)'!$E$11,'Material curves "D²L" (old)'!$E$12:$E$13,'Material curves "D²L" (old)'!$E$15:$E$16)</c:f>
              <c:numCache>
                <c:formatCode>General</c:formatCode>
                <c:ptCount val="8"/>
                <c:pt idx="0">
                  <c:v>1504.4796800000001</c:v>
                </c:pt>
                <c:pt idx="1">
                  <c:v>530.66200000000003</c:v>
                </c:pt>
                <c:pt idx="2">
                  <c:v>994.82500000000005</c:v>
                </c:pt>
                <c:pt idx="3">
                  <c:v>797.73300000000006</c:v>
                </c:pt>
                <c:pt idx="4">
                  <c:v>956.9129999999999</c:v>
                </c:pt>
                <c:pt idx="5">
                  <c:v>492.54300000000001</c:v>
                </c:pt>
                <c:pt idx="6">
                  <c:v>938.66899999999998</c:v>
                </c:pt>
                <c:pt idx="7">
                  <c:v>397.69349999999997</c:v>
                </c:pt>
              </c:numCache>
            </c:numRef>
          </c:yVal>
          <c:smooth val="0"/>
        </c:ser>
        <c:ser>
          <c:idx val="1"/>
          <c:order val="1"/>
          <c:tx>
            <c:v>Belfort without frame</c:v>
          </c:tx>
          <c:spPr>
            <a:ln w="28575">
              <a:noFill/>
            </a:ln>
          </c:spPr>
          <c:marker>
            <c:symbol val="square"/>
            <c:size val="4"/>
          </c:marker>
          <c:trendline>
            <c:spPr>
              <a:ln>
                <a:solidFill>
                  <a:srgbClr val="FF0000"/>
                </a:solidFill>
              </a:ln>
            </c:spPr>
            <c:trendlineType val="power"/>
            <c:dispRSqr val="1"/>
            <c:dispEq val="1"/>
            <c:trendlineLbl>
              <c:layout>
                <c:manualLayout>
                  <c:x val="5.8740274225900495E-2"/>
                  <c:y val="3.8865455288391748E-2"/>
                </c:manualLayout>
              </c:layout>
              <c:numFmt formatCode="General" sourceLinked="0"/>
            </c:trendlineLbl>
          </c:trendline>
          <c:xVal>
            <c:numRef>
              <c:f>('Material curves "D²L" (old)'!$D$4:$D$5,'Material curves "D²L" (old)'!$D$7:$D$8,'Material curves "D²L" (old)'!$D$10,'Material curves "D²L" (old)'!$D$14)</c:f>
              <c:numCache>
                <c:formatCode>0.0</c:formatCode>
                <c:ptCount val="6"/>
                <c:pt idx="0">
                  <c:v>109.3897</c:v>
                </c:pt>
                <c:pt idx="1">
                  <c:v>111.2265495</c:v>
                </c:pt>
                <c:pt idx="2">
                  <c:v>102.3273633</c:v>
                </c:pt>
                <c:pt idx="3">
                  <c:v>90.619305000000011</c:v>
                </c:pt>
                <c:pt idx="4">
                  <c:v>27.565583360000002</c:v>
                </c:pt>
                <c:pt idx="5">
                  <c:v>13.880644415000001</c:v>
                </c:pt>
              </c:numCache>
            </c:numRef>
          </c:xVal>
          <c:yVal>
            <c:numRef>
              <c:f>('Material curves "D²L" (old)'!$E$4:$E$5,'Material curves "D²L" (old)'!$E$7:$E$8,'Material curves "D²L" (old)'!$E$10,'Material curves "D²L" (old)'!$E$14)</c:f>
              <c:numCache>
                <c:formatCode>General</c:formatCode>
                <c:ptCount val="6"/>
                <c:pt idx="0">
                  <c:v>1257.7185219842165</c:v>
                </c:pt>
                <c:pt idx="1">
                  <c:v>1281.9047981961669</c:v>
                </c:pt>
                <c:pt idx="2">
                  <c:v>863.23900000000003</c:v>
                </c:pt>
                <c:pt idx="3">
                  <c:v>730.11699999999996</c:v>
                </c:pt>
                <c:pt idx="4">
                  <c:v>696.09119999999996</c:v>
                </c:pt>
                <c:pt idx="5">
                  <c:v>455.20099999999996</c:v>
                </c:pt>
              </c:numCache>
            </c:numRef>
          </c:yVal>
          <c:smooth val="0"/>
        </c:ser>
        <c:ser>
          <c:idx val="2"/>
          <c:order val="2"/>
          <c:tx>
            <c:v>Birr with frame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chemeClr val="accent3">
                  <a:lumMod val="50000"/>
                </a:schemeClr>
              </a:solidFill>
              <a:ln>
                <a:solidFill>
                  <a:schemeClr val="accent3">
                    <a:lumMod val="50000"/>
                  </a:schemeClr>
                </a:solidFill>
              </a:ln>
            </c:spPr>
          </c:marker>
          <c:trendline>
            <c:spPr>
              <a:ln>
                <a:solidFill>
                  <a:schemeClr val="accent3">
                    <a:lumMod val="50000"/>
                  </a:schemeClr>
                </a:solidFill>
              </a:ln>
            </c:spPr>
            <c:trendlineType val="power"/>
            <c:dispRSqr val="1"/>
            <c:dispEq val="1"/>
            <c:trendlineLbl>
              <c:layout>
                <c:manualLayout>
                  <c:x val="5.5265432013922686E-2"/>
                  <c:y val="-2.2129910309127105E-2"/>
                </c:manualLayout>
              </c:layout>
              <c:numFmt formatCode="General" sourceLinked="0"/>
            </c:trendlineLbl>
          </c:trendline>
          <c:xVal>
            <c:numRef>
              <c:f>('Material curves "D²L" (old)'!$D$20:$D$23,'Material curves "D²L" (old)'!$D$25:$D$27,'Material curves "D²L" (old)'!$D$30:$D$37,'Material curves "D²L" (old)'!$D$39,'Material curves "D²L" (old)'!$D$41:$D$48,'Material curves "D²L" (old)'!$D$50:$D$67,'Material curves "D²L" (old)'!$D$69:$D$71)</c:f>
              <c:numCache>
                <c:formatCode>0.0</c:formatCode>
                <c:ptCount val="45"/>
                <c:pt idx="0">
                  <c:v>3</c:v>
                </c:pt>
                <c:pt idx="1">
                  <c:v>4.8000000000000007</c:v>
                </c:pt>
                <c:pt idx="2">
                  <c:v>2.4624950000000001</c:v>
                </c:pt>
                <c:pt idx="3">
                  <c:v>7.9406250000000007</c:v>
                </c:pt>
                <c:pt idx="4">
                  <c:v>4.8000000000000007</c:v>
                </c:pt>
                <c:pt idx="5">
                  <c:v>5.8080000000000007</c:v>
                </c:pt>
                <c:pt idx="6">
                  <c:v>9.6774750000000012</c:v>
                </c:pt>
                <c:pt idx="7">
                  <c:v>7.9406250000000007</c:v>
                </c:pt>
                <c:pt idx="8">
                  <c:v>6.4896041600000007</c:v>
                </c:pt>
                <c:pt idx="9">
                  <c:v>24.505000000000003</c:v>
                </c:pt>
                <c:pt idx="10">
                  <c:v>10.570500000000001</c:v>
                </c:pt>
                <c:pt idx="11">
                  <c:v>10.570500000000001</c:v>
                </c:pt>
                <c:pt idx="12">
                  <c:v>15.501310720000001</c:v>
                </c:pt>
                <c:pt idx="13">
                  <c:v>9.4311378000000001</c:v>
                </c:pt>
                <c:pt idx="14">
                  <c:v>38.400000000000006</c:v>
                </c:pt>
                <c:pt idx="15">
                  <c:v>9.9405000000000001</c:v>
                </c:pt>
                <c:pt idx="16">
                  <c:v>13.088307700000001</c:v>
                </c:pt>
                <c:pt idx="17">
                  <c:v>20.304036</c:v>
                </c:pt>
                <c:pt idx="18">
                  <c:v>20.427703400000002</c:v>
                </c:pt>
                <c:pt idx="19">
                  <c:v>14.520000000000001</c:v>
                </c:pt>
                <c:pt idx="20">
                  <c:v>36.332339924999999</c:v>
                </c:pt>
                <c:pt idx="21">
                  <c:v>40.5</c:v>
                </c:pt>
                <c:pt idx="22">
                  <c:v>57.906198400000001</c:v>
                </c:pt>
                <c:pt idx="23">
                  <c:v>23.9475625</c:v>
                </c:pt>
                <c:pt idx="24">
                  <c:v>23.237500000000001</c:v>
                </c:pt>
                <c:pt idx="25">
                  <c:v>15.6065</c:v>
                </c:pt>
                <c:pt idx="26">
                  <c:v>23.065632000000001</c:v>
                </c:pt>
                <c:pt idx="27">
                  <c:v>57.906198400000001</c:v>
                </c:pt>
                <c:pt idx="28">
                  <c:v>20.4343328</c:v>
                </c:pt>
                <c:pt idx="29">
                  <c:v>74.331218750000005</c:v>
                </c:pt>
                <c:pt idx="30">
                  <c:v>29.450784000000002</c:v>
                </c:pt>
                <c:pt idx="31">
                  <c:v>125.00000000000001</c:v>
                </c:pt>
                <c:pt idx="32">
                  <c:v>78.262799999999999</c:v>
                </c:pt>
                <c:pt idx="33">
                  <c:v>135</c:v>
                </c:pt>
                <c:pt idx="34">
                  <c:v>24.367500000000003</c:v>
                </c:pt>
                <c:pt idx="35">
                  <c:v>56.990970000000004</c:v>
                </c:pt>
                <c:pt idx="36">
                  <c:v>32.946000000000005</c:v>
                </c:pt>
                <c:pt idx="37">
                  <c:v>28.870830000000002</c:v>
                </c:pt>
                <c:pt idx="38">
                  <c:v>25.6</c:v>
                </c:pt>
                <c:pt idx="39">
                  <c:v>27.216000000000001</c:v>
                </c:pt>
                <c:pt idx="40">
                  <c:v>40.867420000000003</c:v>
                </c:pt>
                <c:pt idx="41">
                  <c:v>59.597604000000004</c:v>
                </c:pt>
                <c:pt idx="42">
                  <c:v>69.005050199999999</c:v>
                </c:pt>
                <c:pt idx="43">
                  <c:v>11.025</c:v>
                </c:pt>
                <c:pt idx="44">
                  <c:v>21.9024</c:v>
                </c:pt>
              </c:numCache>
            </c:numRef>
          </c:xVal>
          <c:yVal>
            <c:numRef>
              <c:f>('Material curves "D²L" (old)'!$E$20:$E$23,'Material curves "D²L" (old)'!$E$25:$E$27,'Material curves "D²L" (old)'!$E$30:$E$37,'Material curves "D²L" (old)'!$E$39,'Material curves "D²L" (old)'!$E$41:$E$48,'Material curves "D²L" (old)'!$E$50:$E$67,'Material curves "D²L" (old)'!$E$69:$E$71)</c:f>
              <c:numCache>
                <c:formatCode>General</c:formatCode>
                <c:ptCount val="45"/>
                <c:pt idx="0">
                  <c:v>457.71699999999998</c:v>
                </c:pt>
                <c:pt idx="1">
                  <c:v>440.11</c:v>
                </c:pt>
                <c:pt idx="2">
                  <c:v>335.50599999999997</c:v>
                </c:pt>
                <c:pt idx="3">
                  <c:v>491.94299999999998</c:v>
                </c:pt>
                <c:pt idx="4">
                  <c:v>499.51299999999998</c:v>
                </c:pt>
                <c:pt idx="5">
                  <c:v>382.20800000000003</c:v>
                </c:pt>
                <c:pt idx="6">
                  <c:v>637.61599999999999</c:v>
                </c:pt>
                <c:pt idx="7">
                  <c:v>554.50400000000002</c:v>
                </c:pt>
                <c:pt idx="8">
                  <c:v>495.86</c:v>
                </c:pt>
                <c:pt idx="9">
                  <c:v>764.67699999999991</c:v>
                </c:pt>
                <c:pt idx="10">
                  <c:v>554.74800000000005</c:v>
                </c:pt>
                <c:pt idx="11">
                  <c:v>554.74800000000005</c:v>
                </c:pt>
                <c:pt idx="12">
                  <c:v>554.76900000000001</c:v>
                </c:pt>
                <c:pt idx="13">
                  <c:v>517.73500000000001</c:v>
                </c:pt>
                <c:pt idx="14">
                  <c:v>975.82500000000005</c:v>
                </c:pt>
                <c:pt idx="15">
                  <c:v>649.798</c:v>
                </c:pt>
                <c:pt idx="16">
                  <c:v>562.13099999999997</c:v>
                </c:pt>
                <c:pt idx="17">
                  <c:v>706.69200000000001</c:v>
                </c:pt>
                <c:pt idx="18">
                  <c:v>675.35299999999995</c:v>
                </c:pt>
                <c:pt idx="19">
                  <c:v>703.53399999999999</c:v>
                </c:pt>
                <c:pt idx="20">
                  <c:v>797.89599999999996</c:v>
                </c:pt>
                <c:pt idx="21">
                  <c:v>822.41</c:v>
                </c:pt>
                <c:pt idx="22">
                  <c:v>758.07799999999997</c:v>
                </c:pt>
                <c:pt idx="23">
                  <c:v>753.91600000000005</c:v>
                </c:pt>
                <c:pt idx="24">
                  <c:v>663.25400000000002</c:v>
                </c:pt>
                <c:pt idx="25">
                  <c:v>671.39300000000003</c:v>
                </c:pt>
                <c:pt idx="26">
                  <c:v>804.50200000000007</c:v>
                </c:pt>
                <c:pt idx="27">
                  <c:v>936.6099999999999</c:v>
                </c:pt>
                <c:pt idx="28">
                  <c:v>666.63499999999999</c:v>
                </c:pt>
                <c:pt idx="29">
                  <c:v>963.28700000000003</c:v>
                </c:pt>
                <c:pt idx="30">
                  <c:v>806.93</c:v>
                </c:pt>
                <c:pt idx="31">
                  <c:v>1200.047</c:v>
                </c:pt>
                <c:pt idx="32">
                  <c:v>1176.7919999999999</c:v>
                </c:pt>
                <c:pt idx="33">
                  <c:v>1197.4189999999999</c:v>
                </c:pt>
                <c:pt idx="34">
                  <c:v>795.40700000000004</c:v>
                </c:pt>
                <c:pt idx="35">
                  <c:v>1013.2809999999999</c:v>
                </c:pt>
                <c:pt idx="36">
                  <c:v>935.65800000000002</c:v>
                </c:pt>
                <c:pt idx="37">
                  <c:v>875.24400000000003</c:v>
                </c:pt>
                <c:pt idx="38">
                  <c:v>912.24</c:v>
                </c:pt>
                <c:pt idx="39">
                  <c:v>1034.7149999999999</c:v>
                </c:pt>
                <c:pt idx="40">
                  <c:v>988.71699999999998</c:v>
                </c:pt>
                <c:pt idx="41">
                  <c:v>1080.4449999999999</c:v>
                </c:pt>
                <c:pt idx="42">
                  <c:v>1555.2250000000001</c:v>
                </c:pt>
                <c:pt idx="43">
                  <c:v>578.39</c:v>
                </c:pt>
                <c:pt idx="44">
                  <c:v>588.90334000000007</c:v>
                </c:pt>
              </c:numCache>
            </c:numRef>
          </c:yVal>
          <c:smooth val="0"/>
        </c:ser>
        <c:ser>
          <c:idx val="3"/>
          <c:order val="3"/>
          <c:tx>
            <c:v>Birr without frame</c:v>
          </c:tx>
          <c:spPr>
            <a:ln w="28575">
              <a:noFill/>
            </a:ln>
          </c:spPr>
          <c:marker>
            <c:symbol val="circle"/>
            <c:size val="4"/>
            <c:spPr>
              <a:solidFill>
                <a:srgbClr val="FFC000"/>
              </a:solidFill>
              <a:ln>
                <a:solidFill>
                  <a:srgbClr val="FFC000"/>
                </a:solidFill>
              </a:ln>
            </c:spPr>
          </c:marker>
          <c:trendline>
            <c:spPr>
              <a:ln>
                <a:solidFill>
                  <a:srgbClr val="FFC000"/>
                </a:solidFill>
              </a:ln>
            </c:spPr>
            <c:trendlineType val="poly"/>
            <c:order val="2"/>
            <c:dispRSqr val="1"/>
            <c:dispEq val="1"/>
            <c:trendlineLbl>
              <c:layout>
                <c:manualLayout>
                  <c:x val="0.13926875296964392"/>
                  <c:y val="3.2873755179416569E-2"/>
                </c:manualLayout>
              </c:layout>
              <c:numFmt formatCode="General" sourceLinked="0"/>
            </c:trendlineLbl>
          </c:trendline>
          <c:xVal>
            <c:numRef>
              <c:f>('Material curves "D²L" (old)'!$D$19,'Material curves "D²L" (old)'!$D$24,'Material curves "D²L" (old)'!$D$28:$D$29,'Material curves "D²L" (old)'!$D$38,'Material curves "D²L" (old)'!$D$40,'Material curves "D²L" (old)'!$D$49,'Material curves "D²L" (old)'!$D$68,'Material curves "D²L" (old)'!$D$72:$D$75)</c:f>
              <c:numCache>
                <c:formatCode>0.0</c:formatCode>
                <c:ptCount val="12"/>
                <c:pt idx="0">
                  <c:v>2.0472166400000003</c:v>
                </c:pt>
                <c:pt idx="1">
                  <c:v>9.9</c:v>
                </c:pt>
                <c:pt idx="2">
                  <c:v>32.941720000000004</c:v>
                </c:pt>
                <c:pt idx="3">
                  <c:v>24.505000000000003</c:v>
                </c:pt>
                <c:pt idx="4">
                  <c:v>31.222800000000003</c:v>
                </c:pt>
                <c:pt idx="5">
                  <c:v>38.012224320000001</c:v>
                </c:pt>
                <c:pt idx="6">
                  <c:v>141.376</c:v>
                </c:pt>
                <c:pt idx="7">
                  <c:v>68.028183720000001</c:v>
                </c:pt>
              </c:numCache>
            </c:numRef>
          </c:xVal>
          <c:yVal>
            <c:numRef>
              <c:f>('Material curves "D²L" (old)'!$E$19,'Material curves "D²L" (old)'!$E$24,'Material curves "D²L" (old)'!$E$28:$E$29,'Material curves "D²L" (old)'!$E$38,'Material curves "D²L" (old)'!$E$40,'Material curves "D²L" (old)'!$E$49,'Material curves "D²L" (old)'!$E$68,'Material curves "D²L" (old)'!$E$72:$E$75)</c:f>
              <c:numCache>
                <c:formatCode>General</c:formatCode>
                <c:ptCount val="12"/>
                <c:pt idx="0">
                  <c:v>209.21700000000001</c:v>
                </c:pt>
                <c:pt idx="1">
                  <c:v>715</c:v>
                </c:pt>
                <c:pt idx="2">
                  <c:v>550</c:v>
                </c:pt>
                <c:pt idx="3">
                  <c:v>591.92499999999995</c:v>
                </c:pt>
                <c:pt idx="4">
                  <c:v>606.19899999999996</c:v>
                </c:pt>
                <c:pt idx="5">
                  <c:v>711.28899999999999</c:v>
                </c:pt>
                <c:pt idx="6">
                  <c:v>1297.585</c:v>
                </c:pt>
                <c:pt idx="7">
                  <c:v>1087.0450000000001</c:v>
                </c:pt>
                <c:pt idx="8">
                  <c:v>245.98099999999999</c:v>
                </c:pt>
                <c:pt idx="9">
                  <c:v>376.23199999999997</c:v>
                </c:pt>
                <c:pt idx="10">
                  <c:v>302.476</c:v>
                </c:pt>
                <c:pt idx="11">
                  <c:v>402.416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542464"/>
        <c:axId val="140911744"/>
      </c:scatterChart>
      <c:valAx>
        <c:axId val="138542464"/>
        <c:scaling>
          <c:orientation val="minMax"/>
        </c:scaling>
        <c:delete val="0"/>
        <c:axPos val="b"/>
        <c:minorGridlines/>
        <c:numFmt formatCode="0.0" sourceLinked="1"/>
        <c:majorTickMark val="out"/>
        <c:minorTickMark val="none"/>
        <c:tickLblPos val="nextTo"/>
        <c:crossAx val="140911744"/>
        <c:crosses val="autoZero"/>
        <c:crossBetween val="midCat"/>
      </c:valAx>
      <c:valAx>
        <c:axId val="140911744"/>
        <c:scaling>
          <c:orientation val="minMax"/>
        </c:scaling>
        <c:delete val="0"/>
        <c:axPos val="l"/>
        <c:minorGridlines/>
        <c:numFmt formatCode="General" sourceLinked="1"/>
        <c:majorTickMark val="out"/>
        <c:minorTickMark val="none"/>
        <c:tickLblPos val="nextTo"/>
        <c:crossAx val="138542464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</c:sp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1065413993857743E-2"/>
          <c:y val="1.5902625881032452E-2"/>
          <c:w val="0.76550747615208814"/>
          <c:h val="0.91084494076976186"/>
        </c:manualLayout>
      </c:layout>
      <c:scatterChart>
        <c:scatterStyle val="lineMarker"/>
        <c:varyColors val="0"/>
        <c:ser>
          <c:idx val="0"/>
          <c:order val="0"/>
          <c:tx>
            <c:v>Belfort with frame</c:v>
          </c:tx>
          <c:spPr>
            <a:ln w="28575">
              <a:noFill/>
            </a:ln>
          </c:spPr>
          <c:trendline>
            <c:spPr>
              <a:ln>
                <a:solidFill>
                  <a:schemeClr val="tx2">
                    <a:lumMod val="60000"/>
                    <a:lumOff val="40000"/>
                  </a:schemeClr>
                </a:solidFill>
              </a:ln>
            </c:spPr>
            <c:trendlineType val="linear"/>
            <c:dispRSqr val="1"/>
            <c:dispEq val="1"/>
            <c:trendlineLbl>
              <c:layout>
                <c:manualLayout>
                  <c:x val="7.8282801566206983E-2"/>
                  <c:y val="-2.2367008000599105E-2"/>
                </c:manualLayout>
              </c:layout>
              <c:numFmt formatCode="General" sourceLinked="0"/>
            </c:trendlineLbl>
          </c:trendline>
          <c:xVal>
            <c:numRef>
              <c:f>('Material costs per kg (old)'!$D$3,'Material costs per kg (old)'!$D$6,'Material costs per kg (old)'!$D$9,'Material costs per kg (old)'!$D$11:$D$13,'Material costs per kg (old)'!$D$15:$D$16)</c:f>
              <c:numCache>
                <c:formatCode>0.0</c:formatCode>
                <c:ptCount val="8"/>
                <c:pt idx="0">
                  <c:v>21.6755</c:v>
                </c:pt>
                <c:pt idx="1">
                  <c:v>4.0249999999999995</c:v>
                </c:pt>
                <c:pt idx="2">
                  <c:v>8.831999999999999</c:v>
                </c:pt>
                <c:pt idx="3">
                  <c:v>4.6280000000000001</c:v>
                </c:pt>
                <c:pt idx="4">
                  <c:v>9.10656</c:v>
                </c:pt>
                <c:pt idx="5">
                  <c:v>4.5474999999999994</c:v>
                </c:pt>
                <c:pt idx="6">
                  <c:v>6.0332999999999997</c:v>
                </c:pt>
                <c:pt idx="7">
                  <c:v>4.4169999999999998</c:v>
                </c:pt>
              </c:numCache>
            </c:numRef>
          </c:xVal>
          <c:yVal>
            <c:numRef>
              <c:f>('Material costs per kg (old)'!$E$3,'Material costs per kg (old)'!$E$6,'Material costs per kg (old)'!$E$9,'Material costs per kg (old)'!$E$11:$E$13,'Material costs per kg (old)'!$E$15:$E$16)</c:f>
              <c:numCache>
                <c:formatCode>0.00</c:formatCode>
                <c:ptCount val="8"/>
                <c:pt idx="0">
                  <c:v>7.8943816640080611</c:v>
                </c:pt>
                <c:pt idx="1">
                  <c:v>13.400555555555556</c:v>
                </c:pt>
                <c:pt idx="2">
                  <c:v>12.35807453416149</c:v>
                </c:pt>
                <c:pt idx="3">
                  <c:v>14.525364166059722</c:v>
                </c:pt>
                <c:pt idx="4">
                  <c:v>10.383170572916667</c:v>
                </c:pt>
                <c:pt idx="5">
                  <c:v>6.8599303621169918</c:v>
                </c:pt>
                <c:pt idx="6">
                  <c:v>10.670330794589065</c:v>
                </c:pt>
                <c:pt idx="7">
                  <c:v>7.905174127375366</c:v>
                </c:pt>
              </c:numCache>
            </c:numRef>
          </c:yVal>
          <c:smooth val="0"/>
        </c:ser>
        <c:ser>
          <c:idx val="1"/>
          <c:order val="1"/>
          <c:tx>
            <c:v>Belfort without frame</c:v>
          </c:tx>
          <c:spPr>
            <a:ln w="28575">
              <a:noFill/>
            </a:ln>
          </c:spPr>
          <c:marker>
            <c:symbol val="square"/>
            <c:size val="4"/>
          </c:marker>
          <c:trendline>
            <c:spPr>
              <a:ln>
                <a:solidFill>
                  <a:srgbClr val="FF0000"/>
                </a:solidFill>
              </a:ln>
            </c:spPr>
            <c:trendlineType val="log"/>
            <c:backward val="2"/>
            <c:dispRSqr val="1"/>
            <c:dispEq val="1"/>
            <c:trendlineLbl>
              <c:layout>
                <c:manualLayout>
                  <c:x val="0.13627447946973334"/>
                  <c:y val="8.3978207621287387E-4"/>
                </c:manualLayout>
              </c:layout>
              <c:numFmt formatCode="General" sourceLinked="0"/>
            </c:trendlineLbl>
          </c:trendline>
          <c:xVal>
            <c:numRef>
              <c:f>('Material costs per kg (old)'!$D$4:$D$5,'Material costs per kg (old)'!$D$7:$D$8,'Material costs per kg (old)'!$D$10,'Material costs per kg (old)'!$D$14)</c:f>
              <c:numCache>
                <c:formatCode>0.0</c:formatCode>
                <c:ptCount val="6"/>
                <c:pt idx="0">
                  <c:v>15.407</c:v>
                </c:pt>
                <c:pt idx="1">
                  <c:v>14.8401</c:v>
                </c:pt>
                <c:pt idx="2">
                  <c:v>12.07545</c:v>
                </c:pt>
                <c:pt idx="3">
                  <c:v>9.7545000000000002</c:v>
                </c:pt>
                <c:pt idx="4">
                  <c:v>7.85792</c:v>
                </c:pt>
                <c:pt idx="5">
                  <c:v>3.6025549999999997</c:v>
                </c:pt>
              </c:numCache>
            </c:numRef>
          </c:xVal>
          <c:yVal>
            <c:numRef>
              <c:f>('Material costs per kg (old)'!$E$4:$E$5,'Material costs per kg (old)'!$E$7:$E$8,'Material costs per kg (old)'!$E$10,'Material costs per kg (old)'!$E$14)</c:f>
              <c:numCache>
                <c:formatCode>0.00</c:formatCode>
                <c:ptCount val="6"/>
                <c:pt idx="0">
                  <c:v>11.257673328955313</c:v>
                </c:pt>
                <c:pt idx="1">
                  <c:v>10.092943848485685</c:v>
                </c:pt>
                <c:pt idx="2">
                  <c:v>8.9920729166666664</c:v>
                </c:pt>
                <c:pt idx="3">
                  <c:v>10.721248164464024</c:v>
                </c:pt>
                <c:pt idx="4">
                  <c:v>7.7662746848153521</c:v>
                </c:pt>
                <c:pt idx="5">
                  <c:v>24.212819148936173</c:v>
                </c:pt>
              </c:numCache>
            </c:numRef>
          </c:yVal>
          <c:smooth val="0"/>
        </c:ser>
        <c:ser>
          <c:idx val="2"/>
          <c:order val="2"/>
          <c:tx>
            <c:v>Birr with frame</c:v>
          </c:tx>
          <c:spPr>
            <a:ln w="28575">
              <a:noFill/>
            </a:ln>
          </c:spPr>
          <c:trendline>
            <c:spPr>
              <a:ln>
                <a:solidFill>
                  <a:schemeClr val="accent3">
                    <a:lumMod val="75000"/>
                  </a:schemeClr>
                </a:solidFill>
              </a:ln>
            </c:spPr>
            <c:trendlineType val="power"/>
            <c:forward val="10"/>
            <c:backward val="0.75000000000000011"/>
            <c:dispRSqr val="1"/>
            <c:dispEq val="1"/>
            <c:trendlineLbl>
              <c:layout>
                <c:manualLayout>
                  <c:x val="1.2631860514556682E-3"/>
                  <c:y val="2.5108762267686796E-2"/>
                </c:manualLayout>
              </c:layout>
              <c:numFmt formatCode="General" sourceLinked="0"/>
            </c:trendlineLbl>
          </c:trendline>
          <c:xVal>
            <c:numRef>
              <c:f>('Material costs per kg (old)'!$D$20:$D$23,'Material costs per kg (old)'!$D$25:$D$27,'Material costs per kg (old)'!$D$30:$D$37,'Material costs per kg (old)'!$D$39,'Material costs per kg (old)'!$D$41:$D$48,'Material costs per kg (old)'!$D$50:$D$67,'Material costs per kg (old)'!$D$69:$D$71)</c:f>
              <c:numCache>
                <c:formatCode>0.0</c:formatCode>
                <c:ptCount val="45"/>
                <c:pt idx="0">
                  <c:v>1.5</c:v>
                </c:pt>
                <c:pt idx="1">
                  <c:v>2.4</c:v>
                </c:pt>
                <c:pt idx="2">
                  <c:v>1.5294999999999999</c:v>
                </c:pt>
                <c:pt idx="3">
                  <c:v>2.8874999999999997</c:v>
                </c:pt>
                <c:pt idx="4">
                  <c:v>2.4</c:v>
                </c:pt>
                <c:pt idx="5">
                  <c:v>2.6399999999999997</c:v>
                </c:pt>
                <c:pt idx="6">
                  <c:v>2.3895</c:v>
                </c:pt>
                <c:pt idx="7">
                  <c:v>2.8874999999999997</c:v>
                </c:pt>
                <c:pt idx="8">
                  <c:v>2.5979199999999998</c:v>
                </c:pt>
                <c:pt idx="9">
                  <c:v>3.77</c:v>
                </c:pt>
                <c:pt idx="10">
                  <c:v>3.915</c:v>
                </c:pt>
                <c:pt idx="11">
                  <c:v>3.915</c:v>
                </c:pt>
                <c:pt idx="12">
                  <c:v>4.6916799999999999</c:v>
                </c:pt>
                <c:pt idx="13">
                  <c:v>4.1201999999999996</c:v>
                </c:pt>
                <c:pt idx="14">
                  <c:v>4.8</c:v>
                </c:pt>
                <c:pt idx="15">
                  <c:v>4.2299999999999995</c:v>
                </c:pt>
                <c:pt idx="16">
                  <c:v>4.1249000000000002</c:v>
                </c:pt>
                <c:pt idx="17">
                  <c:v>4.5060000000000002</c:v>
                </c:pt>
                <c:pt idx="18">
                  <c:v>7.2877999999999998</c:v>
                </c:pt>
                <c:pt idx="19">
                  <c:v>6.6</c:v>
                </c:pt>
                <c:pt idx="20">
                  <c:v>5.4349049999999997</c:v>
                </c:pt>
                <c:pt idx="21">
                  <c:v>8.1</c:v>
                </c:pt>
                <c:pt idx="22">
                  <c:v>8.1603999999999992</c:v>
                </c:pt>
                <c:pt idx="23">
                  <c:v>7.7374999999999998</c:v>
                </c:pt>
                <c:pt idx="24">
                  <c:v>7.1499999999999995</c:v>
                </c:pt>
                <c:pt idx="25">
                  <c:v>6.37</c:v>
                </c:pt>
                <c:pt idx="26">
                  <c:v>6.7919999999999998</c:v>
                </c:pt>
                <c:pt idx="27">
                  <c:v>8.1603999999999992</c:v>
                </c:pt>
                <c:pt idx="28">
                  <c:v>7.0755999999999997</c:v>
                </c:pt>
                <c:pt idx="29">
                  <c:v>10.733749999999999</c:v>
                </c:pt>
                <c:pt idx="30">
                  <c:v>8.8175999999999988</c:v>
                </c:pt>
                <c:pt idx="31">
                  <c:v>12.5</c:v>
                </c:pt>
                <c:pt idx="32">
                  <c:v>10.164</c:v>
                </c:pt>
                <c:pt idx="33">
                  <c:v>13.5</c:v>
                </c:pt>
                <c:pt idx="34">
                  <c:v>8.5499999999999989</c:v>
                </c:pt>
                <c:pt idx="35">
                  <c:v>9.843</c:v>
                </c:pt>
                <c:pt idx="36">
                  <c:v>9.69</c:v>
                </c:pt>
                <c:pt idx="37">
                  <c:v>8.8289999999999988</c:v>
                </c:pt>
                <c:pt idx="38">
                  <c:v>8</c:v>
                </c:pt>
                <c:pt idx="39">
                  <c:v>7.56</c:v>
                </c:pt>
                <c:pt idx="40">
                  <c:v>9.4819999999999993</c:v>
                </c:pt>
                <c:pt idx="41">
                  <c:v>11.160599999999999</c:v>
                </c:pt>
                <c:pt idx="42">
                  <c:v>13.265099999999999</c:v>
                </c:pt>
                <c:pt idx="43">
                  <c:v>3.15</c:v>
                </c:pt>
                <c:pt idx="44">
                  <c:v>4.68</c:v>
                </c:pt>
              </c:numCache>
            </c:numRef>
          </c:xVal>
          <c:yVal>
            <c:numRef>
              <c:f>('Material costs per kg (old)'!$E$20:$E$23,'Material costs per kg (old)'!$E$25:$E$27,'Material costs per kg (old)'!$E$30:$E$37,'Material costs per kg (old)'!$E$39,'Material costs per kg (old)'!$E$41:$E$48,'Material costs per kg (old)'!$E$50:$E$67,'Material costs per kg (old)'!$E$69:$E$71)</c:f>
              <c:numCache>
                <c:formatCode>0.00</c:formatCode>
                <c:ptCount val="45"/>
                <c:pt idx="0">
                  <c:v>30.312384105960266</c:v>
                </c:pt>
                <c:pt idx="1">
                  <c:v>19.388105726872247</c:v>
                </c:pt>
                <c:pt idx="2">
                  <c:v>13.528467741935483</c:v>
                </c:pt>
                <c:pt idx="3">
                  <c:v>16.12927868852459</c:v>
                </c:pt>
                <c:pt idx="4">
                  <c:v>22.00497797356828</c:v>
                </c:pt>
                <c:pt idx="5">
                  <c:v>16.403776824034335</c:v>
                </c:pt>
                <c:pt idx="6">
                  <c:v>23.102028985507246</c:v>
                </c:pt>
                <c:pt idx="7">
                  <c:v>18.180459016393442</c:v>
                </c:pt>
                <c:pt idx="8">
                  <c:v>13.474456521739132</c:v>
                </c:pt>
                <c:pt idx="9">
                  <c:v>18.337577937649876</c:v>
                </c:pt>
                <c:pt idx="10">
                  <c:v>12.694462242562929</c:v>
                </c:pt>
                <c:pt idx="11">
                  <c:v>12.694462242562929</c:v>
                </c:pt>
                <c:pt idx="12">
                  <c:v>12.523002257336344</c:v>
                </c:pt>
                <c:pt idx="13">
                  <c:v>10.992250530785563</c:v>
                </c:pt>
                <c:pt idx="14">
                  <c:v>19.914795918367346</c:v>
                </c:pt>
                <c:pt idx="15">
                  <c:v>10.634991816693944</c:v>
                </c:pt>
                <c:pt idx="16">
                  <c:v>8.8246624803767659</c:v>
                </c:pt>
                <c:pt idx="17">
                  <c:v>10.25677793904209</c:v>
                </c:pt>
                <c:pt idx="18">
                  <c:v>9.5523762376237613</c:v>
                </c:pt>
                <c:pt idx="19">
                  <c:v>9.5459158751696052</c:v>
                </c:pt>
                <c:pt idx="20">
                  <c:v>10.681338688085676</c:v>
                </c:pt>
                <c:pt idx="21">
                  <c:v>10.463231552162851</c:v>
                </c:pt>
                <c:pt idx="22">
                  <c:v>9.535572327044024</c:v>
                </c:pt>
                <c:pt idx="23">
                  <c:v>9.4594228356336263</c:v>
                </c:pt>
                <c:pt idx="24">
                  <c:v>8.1480835380835384</c:v>
                </c:pt>
                <c:pt idx="25">
                  <c:v>8.1380969696969707</c:v>
                </c:pt>
                <c:pt idx="26">
                  <c:v>9.6694951923076928</c:v>
                </c:pt>
                <c:pt idx="27">
                  <c:v>11.190083632019114</c:v>
                </c:pt>
                <c:pt idx="28">
                  <c:v>7.1145677694770537</c:v>
                </c:pt>
                <c:pt idx="29">
                  <c:v>9.4718485742379546</c:v>
                </c:pt>
                <c:pt idx="30">
                  <c:v>7.7664100096246385</c:v>
                </c:pt>
                <c:pt idx="31">
                  <c:v>11.385645161290322</c:v>
                </c:pt>
                <c:pt idx="32">
                  <c:v>10.926573816155988</c:v>
                </c:pt>
                <c:pt idx="33">
                  <c:v>9.9951502504173622</c:v>
                </c:pt>
                <c:pt idx="34">
                  <c:v>7.1018482142857149</c:v>
                </c:pt>
                <c:pt idx="35">
                  <c:v>8.6310136286201011</c:v>
                </c:pt>
                <c:pt idx="36">
                  <c:v>7.7583582089552241</c:v>
                </c:pt>
                <c:pt idx="37">
                  <c:v>6.8700470957613815</c:v>
                </c:pt>
                <c:pt idx="38">
                  <c:v>6.9161485974222892</c:v>
                </c:pt>
                <c:pt idx="39">
                  <c:v>7.6816258351893092</c:v>
                </c:pt>
                <c:pt idx="40">
                  <c:v>6.4961695137976347</c:v>
                </c:pt>
                <c:pt idx="41">
                  <c:v>6.1804697510525335</c:v>
                </c:pt>
                <c:pt idx="42">
                  <c:v>6.1030381276782775</c:v>
                </c:pt>
                <c:pt idx="43">
                  <c:v>13.43437158850719</c:v>
                </c:pt>
                <c:pt idx="44">
                  <c:v>10.254280689535088</c:v>
                </c:pt>
              </c:numCache>
            </c:numRef>
          </c:yVal>
          <c:smooth val="0"/>
        </c:ser>
        <c:ser>
          <c:idx val="3"/>
          <c:order val="3"/>
          <c:tx>
            <c:v>Birr without frame</c:v>
          </c:tx>
          <c:spPr>
            <a:ln w="28575">
              <a:noFill/>
            </a:ln>
          </c:spPr>
          <c:trendline>
            <c:spPr>
              <a:ln>
                <a:solidFill>
                  <a:schemeClr val="accent4">
                    <a:lumMod val="60000"/>
                    <a:lumOff val="40000"/>
                  </a:schemeClr>
                </a:solidFill>
              </a:ln>
            </c:spPr>
            <c:trendlineType val="log"/>
            <c:dispRSqr val="1"/>
            <c:dispEq val="1"/>
            <c:trendlineLbl>
              <c:layout>
                <c:manualLayout>
                  <c:x val="0.10719634777939357"/>
                  <c:y val="-3.527028328603591E-2"/>
                </c:manualLayout>
              </c:layout>
              <c:numFmt formatCode="General" sourceLinked="0"/>
            </c:trendlineLbl>
          </c:trendline>
          <c:xVal>
            <c:numRef>
              <c:f>('Material costs per kg (old)'!$D$19,'Material costs per kg (old)'!$D$24,'Material costs per kg (old)'!$D$28,'Material costs per kg (old)'!$D$29,'Material costs per kg (old)'!$D$38,'Material costs per kg (old)'!$D$40,'Material costs per kg (old)'!$D$49,'Material costs per kg (old)'!$D$68)</c:f>
              <c:numCache>
                <c:formatCode>0.0</c:formatCode>
                <c:ptCount val="8"/>
                <c:pt idx="0">
                  <c:v>1.0707199999999999</c:v>
                </c:pt>
                <c:pt idx="1">
                  <c:v>3.3</c:v>
                </c:pt>
                <c:pt idx="2">
                  <c:v>4.8019999999999996</c:v>
                </c:pt>
                <c:pt idx="3">
                  <c:v>3.77</c:v>
                </c:pt>
                <c:pt idx="4">
                  <c:v>7.4339999999999993</c:v>
                </c:pt>
                <c:pt idx="5">
                  <c:v>7.8472799999999996</c:v>
                </c:pt>
                <c:pt idx="6">
                  <c:v>15.04</c:v>
                </c:pt>
                <c:pt idx="7">
                  <c:v>14.59206</c:v>
                </c:pt>
              </c:numCache>
            </c:numRef>
          </c:xVal>
          <c:yVal>
            <c:numRef>
              <c:f>('Material costs per kg (old)'!$E$19,'Material costs per kg (old)'!$E$24,'Material costs per kg (old)'!$E$28,'Material costs per kg (old)'!$E$29,'Material costs per kg (old)'!$E$38,'Material costs per kg (old)'!$E$40,'Material costs per kg (old)'!$E$49,'Material costs per kg (old)'!$E$68)</c:f>
              <c:numCache>
                <c:formatCode>0.00</c:formatCode>
                <c:ptCount val="8"/>
                <c:pt idx="0">
                  <c:v>21.133030303030303</c:v>
                </c:pt>
                <c:pt idx="1">
                  <c:v>22.698412698412699</c:v>
                </c:pt>
                <c:pt idx="2">
                  <c:v>19.366197183098592</c:v>
                </c:pt>
                <c:pt idx="3">
                  <c:v>20.624564459930312</c:v>
                </c:pt>
                <c:pt idx="4">
                  <c:v>12.172670682730924</c:v>
                </c:pt>
                <c:pt idx="5">
                  <c:v>11.20140157480315</c:v>
                </c:pt>
                <c:pt idx="6">
                  <c:v>16.280865746549562</c:v>
                </c:pt>
                <c:pt idx="7">
                  <c:v>6.1927183027982871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1087104"/>
        <c:axId val="141089024"/>
      </c:scatterChart>
      <c:valAx>
        <c:axId val="141087104"/>
        <c:scaling>
          <c:orientation val="minMax"/>
        </c:scaling>
        <c:delete val="0"/>
        <c:axPos val="b"/>
        <c:min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 sz="1400"/>
                  <a:t>D.L</a:t>
                </a:r>
              </a:p>
            </c:rich>
          </c:tx>
          <c:layout>
            <c:manualLayout>
              <c:xMode val="edge"/>
              <c:yMode val="edge"/>
              <c:x val="0.87226749681358928"/>
              <c:y val="0.91949505706029355"/>
            </c:manualLayout>
          </c:layout>
          <c:overlay val="0"/>
        </c:title>
        <c:numFmt formatCode="0.0" sourceLinked="1"/>
        <c:majorTickMark val="out"/>
        <c:minorTickMark val="none"/>
        <c:tickLblPos val="nextTo"/>
        <c:crossAx val="141089024"/>
        <c:crosses val="autoZero"/>
        <c:crossBetween val="midCat"/>
      </c:valAx>
      <c:valAx>
        <c:axId val="141089024"/>
        <c:scaling>
          <c:orientation val="minMax"/>
        </c:scaling>
        <c:delete val="0"/>
        <c:axPos val="l"/>
        <c:minorGridlines/>
        <c:title>
          <c:tx>
            <c:rich>
              <a:bodyPr rot="0" vert="horz"/>
              <a:lstStyle/>
              <a:p>
                <a:pPr>
                  <a:defRPr sz="1400"/>
                </a:pPr>
                <a:r>
                  <a:rPr lang="fr-FR" sz="1400"/>
                  <a:t>€ / kg</a:t>
                </a:r>
              </a:p>
            </c:rich>
          </c:tx>
          <c:layout>
            <c:manualLayout>
              <c:xMode val="edge"/>
              <c:yMode val="edge"/>
              <c:x val="0"/>
              <c:y val="4.219121091252033E-2"/>
            </c:manualLayout>
          </c:layout>
          <c:overlay val="0"/>
        </c:title>
        <c:numFmt formatCode="0.00" sourceLinked="1"/>
        <c:majorTickMark val="out"/>
        <c:minorTickMark val="none"/>
        <c:tickLblPos val="nextTo"/>
        <c:crossAx val="141087104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</c:sp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>
        <c:manualLayout>
          <c:layoutTarget val="inner"/>
          <c:xMode val="edge"/>
          <c:yMode val="edge"/>
          <c:x val="0.11375880783541864"/>
          <c:y val="0.18154815594690518"/>
          <c:w val="0.50387674828450857"/>
          <c:h val="0.71036378936697231"/>
        </c:manualLayout>
      </c:layout>
      <c:scatterChart>
        <c:scatterStyle val="lineMarker"/>
        <c:varyColors val="0"/>
        <c:ser>
          <c:idx val="0"/>
          <c:order val="0"/>
          <c:tx>
            <c:strRef>
              <c:f>'Parameters (old)'!$AM$3</c:f>
              <c:strCache>
                <c:ptCount val="1"/>
                <c:pt idx="0">
                  <c:v>Clamping / laminations</c:v>
                </c:pt>
              </c:strCache>
            </c:strRef>
          </c:tx>
          <c:spPr>
            <a:ln w="28575">
              <a:noFill/>
            </a:ln>
          </c:spPr>
          <c:trendline>
            <c:trendlineType val="power"/>
            <c:dispRSqr val="1"/>
            <c:dispEq val="1"/>
            <c:trendlineLbl>
              <c:layout>
                <c:manualLayout>
                  <c:x val="0.34386949618488399"/>
                  <c:y val="0.14197031067966695"/>
                </c:manualLayout>
              </c:layout>
              <c:numFmt formatCode="General" sourceLinked="0"/>
            </c:trendlineLbl>
          </c:trendline>
          <c:xVal>
            <c:numRef>
              <c:f>'Parameters (old)'!$AL$5:$AL$17</c:f>
              <c:numCache>
                <c:formatCode>0.0</c:formatCode>
                <c:ptCount val="13"/>
                <c:pt idx="0">
                  <c:v>36717.174409670457</c:v>
                </c:pt>
                <c:pt idx="1">
                  <c:v>10383.278184495237</c:v>
                </c:pt>
                <c:pt idx="2">
                  <c:v>7972.5278455600055</c:v>
                </c:pt>
                <c:pt idx="3">
                  <c:v>15054.127389481635</c:v>
                </c:pt>
                <c:pt idx="4">
                  <c:v>3268.1322453229009</c:v>
                </c:pt>
                <c:pt idx="5">
                  <c:v>1453.0935961823554</c:v>
                </c:pt>
                <c:pt idx="6">
                  <c:v>1028.8079536075354</c:v>
                </c:pt>
                <c:pt idx="7">
                  <c:v>19576.678816635795</c:v>
                </c:pt>
                <c:pt idx="8">
                  <c:v>1541.9398084741679</c:v>
                </c:pt>
                <c:pt idx="9">
                  <c:v>5131.0232998843103</c:v>
                </c:pt>
                <c:pt idx="10">
                  <c:v>4646.7731573241144</c:v>
                </c:pt>
                <c:pt idx="11">
                  <c:v>740.71760061029477</c:v>
                </c:pt>
                <c:pt idx="12">
                  <c:v>1531.6726603398633</c:v>
                </c:pt>
              </c:numCache>
            </c:numRef>
          </c:xVal>
          <c:yVal>
            <c:numRef>
              <c:f>'Parameters (old)'!$AM$5:$AM$17</c:f>
              <c:numCache>
                <c:formatCode>0.0%</c:formatCode>
                <c:ptCount val="13"/>
                <c:pt idx="0">
                  <c:v>4.7594440484675697E-2</c:v>
                </c:pt>
                <c:pt idx="1">
                  <c:v>8.1715043107117233E-2</c:v>
                </c:pt>
                <c:pt idx="2">
                  <c:v>6.9780959669841019E-2</c:v>
                </c:pt>
                <c:pt idx="3">
                  <c:v>6.1158100195185423E-2</c:v>
                </c:pt>
                <c:pt idx="4">
                  <c:v>8.3079934291006949E-2</c:v>
                </c:pt>
                <c:pt idx="5">
                  <c:v>9.8537941034316096E-2</c:v>
                </c:pt>
                <c:pt idx="6">
                  <c:v>0.12214753228374314</c:v>
                </c:pt>
                <c:pt idx="7">
                  <c:v>5.6597349893096921E-2</c:v>
                </c:pt>
                <c:pt idx="8">
                  <c:v>0.13272959387217745</c:v>
                </c:pt>
                <c:pt idx="9">
                  <c:v>7.3224792455871685E-2</c:v>
                </c:pt>
                <c:pt idx="10">
                  <c:v>7.6516480472717197E-2</c:v>
                </c:pt>
                <c:pt idx="11">
                  <c:v>0.14501072650315996</c:v>
                </c:pt>
                <c:pt idx="12">
                  <c:v>0.13161970491536015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1179520"/>
        <c:axId val="141214080"/>
      </c:scatterChart>
      <c:valAx>
        <c:axId val="141179520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141214080"/>
        <c:crosses val="autoZero"/>
        <c:crossBetween val="midCat"/>
      </c:valAx>
      <c:valAx>
        <c:axId val="141214080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14117952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</c:spPr>
  <c:printSettings>
    <c:headerFooter/>
    <c:pageMargins b="0.75" l="0.7" r="0.7" t="0.75" header="0.3" footer="0.3"/>
    <c:pageSetup/>
  </c:printSettings>
  <c:userShapes r:id="rId1"/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'Parameters (old)'!$G$4</c:f>
              <c:strCache>
                <c:ptCount val="1"/>
                <c:pt idx="0">
                  <c:v>€/kg</c:v>
                </c:pt>
              </c:strCache>
            </c:strRef>
          </c:tx>
          <c:spPr>
            <a:ln w="28575">
              <a:noFill/>
            </a:ln>
          </c:spPr>
          <c:trendline>
            <c:trendlineType val="log"/>
            <c:dispRSqr val="1"/>
            <c:dispEq val="0"/>
            <c:trendlineLbl>
              <c:numFmt formatCode="General" sourceLinked="0"/>
            </c:trendlineLbl>
          </c:trendline>
          <c:xVal>
            <c:numRef>
              <c:f>('Parameters (old)'!$E$5:$E$7,'Parameters (old)'!$E$9:$E$15)</c:f>
              <c:numCache>
                <c:formatCode>General</c:formatCode>
                <c:ptCount val="10"/>
                <c:pt idx="0">
                  <c:v>112240</c:v>
                </c:pt>
                <c:pt idx="1">
                  <c:v>82237</c:v>
                </c:pt>
                <c:pt idx="2">
                  <c:v>103223</c:v>
                </c:pt>
                <c:pt idx="3">
                  <c:v>57222</c:v>
                </c:pt>
                <c:pt idx="4">
                  <c:v>49656</c:v>
                </c:pt>
                <c:pt idx="5">
                  <c:v>45224</c:v>
                </c:pt>
                <c:pt idx="6">
                  <c:v>73431</c:v>
                </c:pt>
                <c:pt idx="7">
                  <c:v>25066</c:v>
                </c:pt>
                <c:pt idx="8">
                  <c:v>49628</c:v>
                </c:pt>
                <c:pt idx="9">
                  <c:v>43324</c:v>
                </c:pt>
              </c:numCache>
            </c:numRef>
          </c:xVal>
          <c:yVal>
            <c:numRef>
              <c:f>('Parameters (old)'!$G$5:$G$7,'Parameters (old)'!$G$9:$G$15)</c:f>
              <c:numCache>
                <c:formatCode>0.00</c:formatCode>
                <c:ptCount val="10"/>
                <c:pt idx="0">
                  <c:v>3.1088916607270134</c:v>
                </c:pt>
                <c:pt idx="1">
                  <c:v>4.5150479711078955</c:v>
                </c:pt>
                <c:pt idx="2">
                  <c:v>3.9123451168828653</c:v>
                </c:pt>
                <c:pt idx="3">
                  <c:v>3.6512180629827689</c:v>
                </c:pt>
                <c:pt idx="4">
                  <c:v>4.1892621234090539</c:v>
                </c:pt>
                <c:pt idx="5">
                  <c:v>4.4949584291526623</c:v>
                </c:pt>
                <c:pt idx="6">
                  <c:v>2.8120820906701529</c:v>
                </c:pt>
                <c:pt idx="7">
                  <c:v>5.879039336152557</c:v>
                </c:pt>
                <c:pt idx="8">
                  <c:v>3.8889336664786009</c:v>
                </c:pt>
                <c:pt idx="9">
                  <c:v>3.0910119102575941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1830400"/>
        <c:axId val="141836288"/>
      </c:scatterChart>
      <c:valAx>
        <c:axId val="1418304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41836288"/>
        <c:crosses val="autoZero"/>
        <c:crossBetween val="midCat"/>
      </c:valAx>
      <c:valAx>
        <c:axId val="141836288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4183040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spPr>
    <a:pattFill prst="ltUpDiag">
      <a:fgClr>
        <a:schemeClr val="bg1">
          <a:lumMod val="50000"/>
        </a:schemeClr>
      </a:fgClr>
      <a:bgClr>
        <a:schemeClr val="accent3">
          <a:lumMod val="20000"/>
          <a:lumOff val="80000"/>
        </a:schemeClr>
      </a:bgClr>
    </a:pattFill>
  </c:spPr>
  <c:printSettings>
    <c:headerFooter/>
    <c:pageMargins b="0.75" l="0.7" r="0.7" t="0.75" header="0.3" footer="0.3"/>
    <c:pageSetup/>
  </c:printSettings>
  <c:userShapes r:id="rId1"/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'Parameters (old)'!$BA$4</c:f>
              <c:strCache>
                <c:ptCount val="1"/>
                <c:pt idx="0">
                  <c:v>€/kg</c:v>
                </c:pt>
              </c:strCache>
            </c:strRef>
          </c:tx>
          <c:spPr>
            <a:ln w="28575">
              <a:noFill/>
            </a:ln>
          </c:spPr>
          <c:trendline>
            <c:trendlineType val="power"/>
            <c:dispRSqr val="1"/>
            <c:dispEq val="1"/>
            <c:trendlineLbl>
              <c:layout>
                <c:manualLayout>
                  <c:x val="0.44472987751531057"/>
                  <c:y val="0.20651975794692329"/>
                </c:manualLayout>
              </c:layout>
              <c:numFmt formatCode="General" sourceLinked="0"/>
            </c:trendlineLbl>
          </c:trendline>
          <c:xVal>
            <c:numRef>
              <c:f>'Parameters (old)'!$AZ$5:$AZ$17</c:f>
              <c:numCache>
                <c:formatCode>0</c:formatCode>
                <c:ptCount val="13"/>
                <c:pt idx="0">
                  <c:v>13721211.816220138</c:v>
                </c:pt>
                <c:pt idx="1">
                  <c:v>8593201.2564309165</c:v>
                </c:pt>
                <c:pt idx="2">
                  <c:v>16279501.743370434</c:v>
                </c:pt>
                <c:pt idx="3">
                  <c:v>6673828.7506309664</c:v>
                </c:pt>
                <c:pt idx="4">
                  <c:v>7173153.9923605025</c:v>
                </c:pt>
                <c:pt idx="5">
                  <c:v>6916319.0583123332</c:v>
                </c:pt>
                <c:pt idx="6">
                  <c:v>5598050.5808160575</c:v>
                </c:pt>
                <c:pt idx="7">
                  <c:v>22128483.376536041</c:v>
                </c:pt>
                <c:pt idx="8">
                  <c:v>3908262.5987525503</c:v>
                </c:pt>
                <c:pt idx="9">
                  <c:v>8493832.7107174527</c:v>
                </c:pt>
                <c:pt idx="10">
                  <c:v>15311441.916246345</c:v>
                </c:pt>
                <c:pt idx="11">
                  <c:v>2279572.8163604629</c:v>
                </c:pt>
                <c:pt idx="12">
                  <c:v>8119295.2235604245</c:v>
                </c:pt>
              </c:numCache>
            </c:numRef>
          </c:xVal>
          <c:yVal>
            <c:numRef>
              <c:f>'Parameters (old)'!$BA$5:$BA$17</c:f>
              <c:numCache>
                <c:formatCode>0.0</c:formatCode>
                <c:ptCount val="13"/>
                <c:pt idx="0">
                  <c:v>3.674967256893062</c:v>
                </c:pt>
                <c:pt idx="1">
                  <c:v>5.1363242915116292</c:v>
                </c:pt>
                <c:pt idx="2">
                  <c:v>4.4384293554054297</c:v>
                </c:pt>
                <c:pt idx="3">
                  <c:v>5.6748007357449417</c:v>
                </c:pt>
                <c:pt idx="4">
                  <c:v>4.5921969794759265</c:v>
                </c:pt>
                <c:pt idx="5">
                  <c:v>6.2510036847604908</c:v>
                </c:pt>
                <c:pt idx="6">
                  <c:v>5.5054583431859383</c:v>
                </c:pt>
                <c:pt idx="7">
                  <c:v>3.1596272571435935</c:v>
                </c:pt>
                <c:pt idx="8">
                  <c:v>7.29116331490156</c:v>
                </c:pt>
                <c:pt idx="9">
                  <c:v>4.5632721264691529</c:v>
                </c:pt>
                <c:pt idx="10">
                  <c:v>3.6533587769892151</c:v>
                </c:pt>
                <c:pt idx="11">
                  <c:v>6.0567652420498277</c:v>
                </c:pt>
                <c:pt idx="12">
                  <c:v>4.309073882872716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1878400"/>
        <c:axId val="141879936"/>
      </c:scatterChart>
      <c:valAx>
        <c:axId val="141878400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141879936"/>
        <c:crosses val="autoZero"/>
        <c:crossBetween val="midCat"/>
      </c:valAx>
      <c:valAx>
        <c:axId val="141879936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4187840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accent3">
        <a:lumMod val="20000"/>
        <a:lumOff val="80000"/>
      </a:schemeClr>
    </a:solidFill>
  </c:spPr>
  <c:printSettings>
    <c:headerFooter/>
    <c:pageMargins b="0.75" l="0.7" r="0.7" t="0.75" header="0.3" footer="0.3"/>
    <c:pageSetup/>
  </c:printSettings>
  <c:userShapes r:id="rId1"/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trendline>
            <c:trendlineType val="power"/>
            <c:dispRSqr val="1"/>
            <c:dispEq val="1"/>
            <c:trendlineLbl>
              <c:layout>
                <c:manualLayout>
                  <c:x val="0.44984317585301836"/>
                  <c:y val="0.40571876524284023"/>
                </c:manualLayout>
              </c:layout>
              <c:numFmt formatCode="General" sourceLinked="0"/>
            </c:trendlineLbl>
          </c:trendline>
          <c:xVal>
            <c:numRef>
              <c:f>('Parameters (old)'!$BK$5:$BK$7,'Parameters (old)'!$BK$8:$BK$18)</c:f>
              <c:numCache>
                <c:formatCode>0.0</c:formatCode>
                <c:ptCount val="14"/>
                <c:pt idx="0">
                  <c:v>165.97095997230997</c:v>
                </c:pt>
                <c:pt idx="1">
                  <c:v>196.12425586483485</c:v>
                </c:pt>
                <c:pt idx="2">
                  <c:v>184.90014002113276</c:v>
                </c:pt>
                <c:pt idx="3">
                  <c:v>97.902712222476325</c:v>
                </c:pt>
                <c:pt idx="4">
                  <c:v>109.71680457631288</c:v>
                </c:pt>
                <c:pt idx="5">
                  <c:v>94.682428011382854</c:v>
                </c:pt>
                <c:pt idx="6">
                  <c:v>111.1672021956888</c:v>
                </c:pt>
                <c:pt idx="7">
                  <c:v>84.496204631421946</c:v>
                </c:pt>
                <c:pt idx="8">
                  <c:v>88.807844891151788</c:v>
                </c:pt>
                <c:pt idx="9">
                  <c:v>139.97699899450933</c:v>
                </c:pt>
                <c:pt idx="10">
                  <c:v>81.86771225106267</c:v>
                </c:pt>
                <c:pt idx="11">
                  <c:v>67.736669498004133</c:v>
                </c:pt>
                <c:pt idx="12">
                  <c:v>116.91900104395532</c:v>
                </c:pt>
                <c:pt idx="13">
                  <c:v>106.80014617841002</c:v>
                </c:pt>
              </c:numCache>
            </c:numRef>
          </c:xVal>
          <c:yVal>
            <c:numRef>
              <c:f>('Parameters (old)'!$BL$5:$BL$7,'Parameters (old)'!$BL$8:$BL$18)</c:f>
              <c:numCache>
                <c:formatCode>General</c:formatCode>
                <c:ptCount val="14"/>
                <c:pt idx="0">
                  <c:v>2.4550000000000001</c:v>
                </c:pt>
                <c:pt idx="1">
                  <c:v>2.0960000000000001</c:v>
                </c:pt>
                <c:pt idx="2">
                  <c:v>2.246</c:v>
                </c:pt>
                <c:pt idx="3">
                  <c:v>3.117</c:v>
                </c:pt>
                <c:pt idx="4">
                  <c:v>3.109</c:v>
                </c:pt>
                <c:pt idx="5">
                  <c:v>3.1230000000000002</c:v>
                </c:pt>
                <c:pt idx="6">
                  <c:v>2.9420000000000002</c:v>
                </c:pt>
                <c:pt idx="7">
                  <c:v>3.379</c:v>
                </c:pt>
                <c:pt idx="8">
                  <c:v>3.3540000000000001</c:v>
                </c:pt>
                <c:pt idx="9">
                  <c:v>2.7210000000000001</c:v>
                </c:pt>
                <c:pt idx="10">
                  <c:v>3.5249999999999999</c:v>
                </c:pt>
                <c:pt idx="11">
                  <c:v>3.8610000000000002</c:v>
                </c:pt>
                <c:pt idx="12">
                  <c:v>2.8530000000000002</c:v>
                </c:pt>
                <c:pt idx="13">
                  <c:v>3.2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1590528"/>
        <c:axId val="141592064"/>
      </c:scatterChart>
      <c:valAx>
        <c:axId val="141590528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141592064"/>
        <c:crosses val="autoZero"/>
        <c:crossBetween val="midCat"/>
      </c:valAx>
      <c:valAx>
        <c:axId val="1415920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159052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bg2">
        <a:lumMod val="90000"/>
      </a:schemeClr>
    </a:solidFill>
  </c:spPr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trendline>
            <c:trendlineType val="linear"/>
            <c:dispRSqr val="1"/>
            <c:dispEq val="1"/>
            <c:trendlineLbl>
              <c:layout>
                <c:manualLayout>
                  <c:x val="0.37046894138232722"/>
                  <c:y val="0.55465660542432194"/>
                </c:manualLayout>
              </c:layout>
              <c:numFmt formatCode="General" sourceLinked="0"/>
            </c:trendlineLbl>
          </c:trendline>
          <c:xVal>
            <c:numRef>
              <c:f>'Parameters (old)'!$AO$42:$AO$54</c:f>
              <c:numCache>
                <c:formatCode>0.0</c:formatCode>
                <c:ptCount val="13"/>
                <c:pt idx="0">
                  <c:v>130.88790323488988</c:v>
                </c:pt>
                <c:pt idx="1">
                  <c:v>76.416199324201884</c:v>
                </c:pt>
                <c:pt idx="2">
                  <c:v>75.565172163166423</c:v>
                </c:pt>
                <c:pt idx="3">
                  <c:v>27.295961780946435</c:v>
                </c:pt>
                <c:pt idx="4">
                  <c:v>32.865569348149336</c:v>
                </c:pt>
                <c:pt idx="5">
                  <c:v>16.381197364324052</c:v>
                </c:pt>
                <c:pt idx="6">
                  <c:v>15.691894823395112</c:v>
                </c:pt>
                <c:pt idx="7">
                  <c:v>64.813406654158939</c:v>
                </c:pt>
                <c:pt idx="8">
                  <c:v>6.4296959867569434</c:v>
                </c:pt>
                <c:pt idx="9">
                  <c:v>19.191229828999845</c:v>
                </c:pt>
                <c:pt idx="10">
                  <c:v>23.854659267990641</c:v>
                </c:pt>
                <c:pt idx="11">
                  <c:v>4.144019333348596</c:v>
                </c:pt>
                <c:pt idx="12">
                  <c:v>20.561411303401322</c:v>
                </c:pt>
              </c:numCache>
            </c:numRef>
          </c:xVal>
          <c:yVal>
            <c:numRef>
              <c:f>'Parameters (old)'!$AP$42:$AP$54</c:f>
              <c:numCache>
                <c:formatCode>General</c:formatCode>
                <c:ptCount val="13"/>
                <c:pt idx="0">
                  <c:v>520</c:v>
                </c:pt>
                <c:pt idx="1">
                  <c:v>320</c:v>
                </c:pt>
                <c:pt idx="2">
                  <c:v>360</c:v>
                </c:pt>
                <c:pt idx="3">
                  <c:v>180</c:v>
                </c:pt>
                <c:pt idx="4">
                  <c:v>198</c:v>
                </c:pt>
                <c:pt idx="5">
                  <c:v>144</c:v>
                </c:pt>
                <c:pt idx="6">
                  <c:v>120</c:v>
                </c:pt>
                <c:pt idx="7">
                  <c:v>300</c:v>
                </c:pt>
                <c:pt idx="8">
                  <c:v>120</c:v>
                </c:pt>
                <c:pt idx="9">
                  <c:v>156</c:v>
                </c:pt>
                <c:pt idx="10">
                  <c:v>150</c:v>
                </c:pt>
                <c:pt idx="11">
                  <c:v>96</c:v>
                </c:pt>
                <c:pt idx="12">
                  <c:v>144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1608832"/>
        <c:axId val="141610368"/>
      </c:scatterChart>
      <c:valAx>
        <c:axId val="141608832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141610368"/>
        <c:crosses val="autoZero"/>
        <c:crossBetween val="midCat"/>
      </c:valAx>
      <c:valAx>
        <c:axId val="1416103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1608832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accent1">
        <a:lumMod val="20000"/>
        <a:lumOff val="80000"/>
      </a:schemeClr>
    </a:solidFill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9.xml"/><Relationship Id="rId13" Type="http://schemas.openxmlformats.org/officeDocument/2006/relationships/chart" Target="../charts/chart14.xml"/><Relationship Id="rId18" Type="http://schemas.openxmlformats.org/officeDocument/2006/relationships/chart" Target="../charts/chart19.xml"/><Relationship Id="rId3" Type="http://schemas.openxmlformats.org/officeDocument/2006/relationships/chart" Target="../charts/chart4.xml"/><Relationship Id="rId21" Type="http://schemas.openxmlformats.org/officeDocument/2006/relationships/chart" Target="../charts/chart22.xml"/><Relationship Id="rId7" Type="http://schemas.openxmlformats.org/officeDocument/2006/relationships/chart" Target="../charts/chart8.xml"/><Relationship Id="rId12" Type="http://schemas.openxmlformats.org/officeDocument/2006/relationships/chart" Target="../charts/chart13.xml"/><Relationship Id="rId17" Type="http://schemas.openxmlformats.org/officeDocument/2006/relationships/chart" Target="../charts/chart18.xml"/><Relationship Id="rId2" Type="http://schemas.openxmlformats.org/officeDocument/2006/relationships/chart" Target="../charts/chart3.xml"/><Relationship Id="rId16" Type="http://schemas.openxmlformats.org/officeDocument/2006/relationships/chart" Target="../charts/chart17.xml"/><Relationship Id="rId20" Type="http://schemas.openxmlformats.org/officeDocument/2006/relationships/chart" Target="../charts/chart21.xml"/><Relationship Id="rId1" Type="http://schemas.openxmlformats.org/officeDocument/2006/relationships/chart" Target="../charts/chart2.xml"/><Relationship Id="rId6" Type="http://schemas.openxmlformats.org/officeDocument/2006/relationships/chart" Target="../charts/chart7.xml"/><Relationship Id="rId11" Type="http://schemas.openxmlformats.org/officeDocument/2006/relationships/chart" Target="../charts/chart12.xml"/><Relationship Id="rId5" Type="http://schemas.openxmlformats.org/officeDocument/2006/relationships/chart" Target="../charts/chart6.xml"/><Relationship Id="rId15" Type="http://schemas.openxmlformats.org/officeDocument/2006/relationships/chart" Target="../charts/chart16.xml"/><Relationship Id="rId23" Type="http://schemas.openxmlformats.org/officeDocument/2006/relationships/chart" Target="../charts/chart24.xml"/><Relationship Id="rId10" Type="http://schemas.openxmlformats.org/officeDocument/2006/relationships/chart" Target="../charts/chart11.xml"/><Relationship Id="rId19" Type="http://schemas.openxmlformats.org/officeDocument/2006/relationships/chart" Target="../charts/chart20.xml"/><Relationship Id="rId4" Type="http://schemas.openxmlformats.org/officeDocument/2006/relationships/chart" Target="../charts/chart5.xml"/><Relationship Id="rId9" Type="http://schemas.openxmlformats.org/officeDocument/2006/relationships/chart" Target="../charts/chart10.xml"/><Relationship Id="rId14" Type="http://schemas.openxmlformats.org/officeDocument/2006/relationships/chart" Target="../charts/chart15.xml"/><Relationship Id="rId22" Type="http://schemas.openxmlformats.org/officeDocument/2006/relationships/chart" Target="../charts/chart23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5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6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7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0.xml"/><Relationship Id="rId2" Type="http://schemas.openxmlformats.org/officeDocument/2006/relationships/chart" Target="../charts/chart29.xml"/><Relationship Id="rId1" Type="http://schemas.openxmlformats.org/officeDocument/2006/relationships/chart" Target="../charts/chart28.xml"/><Relationship Id="rId5" Type="http://schemas.openxmlformats.org/officeDocument/2006/relationships/chart" Target="../charts/chart32.xml"/><Relationship Id="rId4" Type="http://schemas.openxmlformats.org/officeDocument/2006/relationships/chart" Target="../charts/chart3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43658</xdr:colOff>
      <xdr:row>11</xdr:row>
      <xdr:rowOff>83344</xdr:rowOff>
    </xdr:from>
    <xdr:to>
      <xdr:col>15</xdr:col>
      <xdr:colOff>226221</xdr:colOff>
      <xdr:row>24</xdr:row>
      <xdr:rowOff>92604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3</xdr:row>
      <xdr:rowOff>28575</xdr:rowOff>
    </xdr:from>
    <xdr:to>
      <xdr:col>8</xdr:col>
      <xdr:colOff>619125</xdr:colOff>
      <xdr:row>17</xdr:row>
      <xdr:rowOff>137583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171451</xdr:colOff>
      <xdr:row>3</xdr:row>
      <xdr:rowOff>38100</xdr:rowOff>
    </xdr:from>
    <xdr:to>
      <xdr:col>15</xdr:col>
      <xdr:colOff>561975</xdr:colOff>
      <xdr:row>17</xdr:row>
      <xdr:rowOff>126999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152400</xdr:colOff>
      <xdr:row>20</xdr:row>
      <xdr:rowOff>7935</xdr:rowOff>
    </xdr:from>
    <xdr:to>
      <xdr:col>8</xdr:col>
      <xdr:colOff>628650</xdr:colOff>
      <xdr:row>35</xdr:row>
      <xdr:rowOff>105832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11</xdr:col>
      <xdr:colOff>180975</xdr:colOff>
      <xdr:row>20</xdr:row>
      <xdr:rowOff>9525</xdr:rowOff>
    </xdr:from>
    <xdr:to>
      <xdr:col>15</xdr:col>
      <xdr:colOff>571500</xdr:colOff>
      <xdr:row>35</xdr:row>
      <xdr:rowOff>105833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18</xdr:col>
      <xdr:colOff>171449</xdr:colOff>
      <xdr:row>38</xdr:row>
      <xdr:rowOff>9525</xdr:rowOff>
    </xdr:from>
    <xdr:to>
      <xdr:col>22</xdr:col>
      <xdr:colOff>638174</xdr:colOff>
      <xdr:row>52</xdr:row>
      <xdr:rowOff>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200026</xdr:colOff>
      <xdr:row>38</xdr:row>
      <xdr:rowOff>9525</xdr:rowOff>
    </xdr:from>
    <xdr:to>
      <xdr:col>15</xdr:col>
      <xdr:colOff>695326</xdr:colOff>
      <xdr:row>50</xdr:row>
      <xdr:rowOff>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18</xdr:col>
      <xdr:colOff>178594</xdr:colOff>
      <xdr:row>19</xdr:row>
      <xdr:rowOff>154781</xdr:rowOff>
    </xdr:from>
    <xdr:to>
      <xdr:col>22</xdr:col>
      <xdr:colOff>523876</xdr:colOff>
      <xdr:row>35</xdr:row>
      <xdr:rowOff>116416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4</xdr:col>
      <xdr:colOff>178594</xdr:colOff>
      <xdr:row>57</xdr:row>
      <xdr:rowOff>33337</xdr:rowOff>
    </xdr:from>
    <xdr:to>
      <xdr:col>8</xdr:col>
      <xdr:colOff>714375</xdr:colOff>
      <xdr:row>70</xdr:row>
      <xdr:rowOff>154781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4</xdr:col>
      <xdr:colOff>178594</xdr:colOff>
      <xdr:row>73</xdr:row>
      <xdr:rowOff>71437</xdr:rowOff>
    </xdr:from>
    <xdr:to>
      <xdr:col>8</xdr:col>
      <xdr:colOff>714375</xdr:colOff>
      <xdr:row>87</xdr:row>
      <xdr:rowOff>11905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11</xdr:col>
      <xdr:colOff>119062</xdr:colOff>
      <xdr:row>73</xdr:row>
      <xdr:rowOff>47625</xdr:rowOff>
    </xdr:from>
    <xdr:to>
      <xdr:col>15</xdr:col>
      <xdr:colOff>690562</xdr:colOff>
      <xdr:row>87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</xdr:col>
      <xdr:colOff>178594</xdr:colOff>
      <xdr:row>89</xdr:row>
      <xdr:rowOff>35717</xdr:rowOff>
    </xdr:from>
    <xdr:to>
      <xdr:col>8</xdr:col>
      <xdr:colOff>714375</xdr:colOff>
      <xdr:row>103</xdr:row>
      <xdr:rowOff>-1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11</xdr:col>
      <xdr:colOff>166687</xdr:colOff>
      <xdr:row>89</xdr:row>
      <xdr:rowOff>35717</xdr:rowOff>
    </xdr:from>
    <xdr:to>
      <xdr:col>15</xdr:col>
      <xdr:colOff>666750</xdr:colOff>
      <xdr:row>103</xdr:row>
      <xdr:rowOff>-1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11</xdr:col>
      <xdr:colOff>130968</xdr:colOff>
      <xdr:row>56</xdr:row>
      <xdr:rowOff>166686</xdr:rowOff>
    </xdr:from>
    <xdr:to>
      <xdr:col>15</xdr:col>
      <xdr:colOff>702468</xdr:colOff>
      <xdr:row>70</xdr:row>
      <xdr:rowOff>154781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4</xdr:col>
      <xdr:colOff>178594</xdr:colOff>
      <xdr:row>106</xdr:row>
      <xdr:rowOff>35719</xdr:rowOff>
    </xdr:from>
    <xdr:to>
      <xdr:col>8</xdr:col>
      <xdr:colOff>726281</xdr:colOff>
      <xdr:row>120</xdr:row>
      <xdr:rowOff>0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4</xdr:col>
      <xdr:colOff>142875</xdr:colOff>
      <xdr:row>124</xdr:row>
      <xdr:rowOff>1</xdr:rowOff>
    </xdr:from>
    <xdr:to>
      <xdr:col>8</xdr:col>
      <xdr:colOff>726281</xdr:colOff>
      <xdr:row>138</xdr:row>
      <xdr:rowOff>0</xdr:rowOff>
    </xdr:to>
    <xdr:graphicFrame macro="">
      <xdr:nvGraphicFramePr>
        <xdr:cNvPr id="19" name="Graphique 1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4</xdr:col>
      <xdr:colOff>95250</xdr:colOff>
      <xdr:row>141</xdr:row>
      <xdr:rowOff>166686</xdr:rowOff>
    </xdr:from>
    <xdr:to>
      <xdr:col>8</xdr:col>
      <xdr:colOff>702469</xdr:colOff>
      <xdr:row>155</xdr:row>
      <xdr:rowOff>166686</xdr:rowOff>
    </xdr:to>
    <xdr:graphicFrame macro="">
      <xdr:nvGraphicFramePr>
        <xdr:cNvPr id="20" name="Graphique 1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5</xdr:col>
      <xdr:colOff>23812</xdr:colOff>
      <xdr:row>160</xdr:row>
      <xdr:rowOff>130966</xdr:rowOff>
    </xdr:from>
    <xdr:to>
      <xdr:col>18</xdr:col>
      <xdr:colOff>607219</xdr:colOff>
      <xdr:row>200</xdr:row>
      <xdr:rowOff>83343</xdr:rowOff>
    </xdr:to>
    <xdr:graphicFrame macro="">
      <xdr:nvGraphicFramePr>
        <xdr:cNvPr id="21" name="Graphique 2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4</xdr:col>
      <xdr:colOff>142876</xdr:colOff>
      <xdr:row>38</xdr:row>
      <xdr:rowOff>23812</xdr:rowOff>
    </xdr:from>
    <xdr:to>
      <xdr:col>8</xdr:col>
      <xdr:colOff>702469</xdr:colOff>
      <xdr:row>49</xdr:row>
      <xdr:rowOff>157162</xdr:rowOff>
    </xdr:to>
    <xdr:graphicFrame macro="">
      <xdr:nvGraphicFramePr>
        <xdr:cNvPr id="22" name="Graphique 2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25</xdr:col>
      <xdr:colOff>119062</xdr:colOff>
      <xdr:row>19</xdr:row>
      <xdr:rowOff>154781</xdr:rowOff>
    </xdr:from>
    <xdr:to>
      <xdr:col>29</xdr:col>
      <xdr:colOff>428625</xdr:colOff>
      <xdr:row>35</xdr:row>
      <xdr:rowOff>116417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32</xdr:col>
      <xdr:colOff>190500</xdr:colOff>
      <xdr:row>19</xdr:row>
      <xdr:rowOff>142875</xdr:rowOff>
    </xdr:from>
    <xdr:to>
      <xdr:col>36</xdr:col>
      <xdr:colOff>296334</xdr:colOff>
      <xdr:row>35</xdr:row>
      <xdr:rowOff>105833</xdr:rowOff>
    </xdr:to>
    <xdr:graphicFrame macro="">
      <xdr:nvGraphicFramePr>
        <xdr:cNvPr id="23" name="Graphique 2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22</xdr:col>
      <xdr:colOff>285749</xdr:colOff>
      <xdr:row>2</xdr:row>
      <xdr:rowOff>11905</xdr:rowOff>
    </xdr:from>
    <xdr:to>
      <xdr:col>27</xdr:col>
      <xdr:colOff>333375</xdr:colOff>
      <xdr:row>17</xdr:row>
      <xdr:rowOff>151207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48</xdr:col>
      <xdr:colOff>492124</xdr:colOff>
      <xdr:row>19</xdr:row>
      <xdr:rowOff>158749</xdr:rowOff>
    </xdr:from>
    <xdr:to>
      <xdr:col>53</xdr:col>
      <xdr:colOff>306916</xdr:colOff>
      <xdr:row>35</xdr:row>
      <xdr:rowOff>75140</xdr:rowOff>
    </xdr:to>
    <xdr:graphicFrame macro="">
      <xdr:nvGraphicFramePr>
        <xdr:cNvPr id="27" name="Graphique 2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48</xdr:col>
      <xdr:colOff>470959</xdr:colOff>
      <xdr:row>1</xdr:row>
      <xdr:rowOff>136525</xdr:rowOff>
    </xdr:from>
    <xdr:to>
      <xdr:col>53</xdr:col>
      <xdr:colOff>306917</xdr:colOff>
      <xdr:row>18</xdr:row>
      <xdr:rowOff>95250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255982</xdr:colOff>
      <xdr:row>1</xdr:row>
      <xdr:rowOff>146444</xdr:rowOff>
    </xdr:from>
    <xdr:to>
      <xdr:col>22</xdr:col>
      <xdr:colOff>23811</xdr:colOff>
      <xdr:row>56</xdr:row>
      <xdr:rowOff>23811</xdr:rowOff>
    </xdr:to>
    <xdr:graphicFrame macro="">
      <xdr:nvGraphicFramePr>
        <xdr:cNvPr id="22" name="Graphique 2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255983</xdr:colOff>
      <xdr:row>1</xdr:row>
      <xdr:rowOff>146444</xdr:rowOff>
    </xdr:from>
    <xdr:to>
      <xdr:col>21</xdr:col>
      <xdr:colOff>11907</xdr:colOff>
      <xdr:row>56</xdr:row>
      <xdr:rowOff>23811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279796</xdr:colOff>
      <xdr:row>1</xdr:row>
      <xdr:rowOff>15476</xdr:rowOff>
    </xdr:from>
    <xdr:to>
      <xdr:col>21</xdr:col>
      <xdr:colOff>642938</xdr:colOff>
      <xdr:row>54</xdr:row>
      <xdr:rowOff>47625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166687</xdr:colOff>
      <xdr:row>19</xdr:row>
      <xdr:rowOff>83343</xdr:rowOff>
    </xdr:from>
    <xdr:to>
      <xdr:col>40</xdr:col>
      <xdr:colOff>288131</xdr:colOff>
      <xdr:row>37</xdr:row>
      <xdr:rowOff>2645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45</xdr:col>
      <xdr:colOff>29767</xdr:colOff>
      <xdr:row>40</xdr:row>
      <xdr:rowOff>63104</xdr:rowOff>
    </xdr:from>
    <xdr:to>
      <xdr:col>50</xdr:col>
      <xdr:colOff>783431</xdr:colOff>
      <xdr:row>57</xdr:row>
      <xdr:rowOff>47627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45</xdr:col>
      <xdr:colOff>39288</xdr:colOff>
      <xdr:row>22</xdr:row>
      <xdr:rowOff>103584</xdr:rowOff>
    </xdr:from>
    <xdr:to>
      <xdr:col>52</xdr:col>
      <xdr:colOff>22619</xdr:colOff>
      <xdr:row>39</xdr:row>
      <xdr:rowOff>17859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57</xdr:col>
      <xdr:colOff>430741</xdr:colOff>
      <xdr:row>23</xdr:row>
      <xdr:rowOff>130174</xdr:rowOff>
    </xdr:from>
    <xdr:to>
      <xdr:col>63</xdr:col>
      <xdr:colOff>430741</xdr:colOff>
      <xdr:row>40</xdr:row>
      <xdr:rowOff>142874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35</xdr:col>
      <xdr:colOff>160734</xdr:colOff>
      <xdr:row>57</xdr:row>
      <xdr:rowOff>158352</xdr:rowOff>
    </xdr:from>
    <xdr:to>
      <xdr:col>41</xdr:col>
      <xdr:colOff>136922</xdr:colOff>
      <xdr:row>74</xdr:row>
      <xdr:rowOff>83344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0.75043</cdr:x>
      <cdr:y>0.02875</cdr:y>
    </cdr:from>
    <cdr:to>
      <cdr:x>0.85575</cdr:x>
      <cdr:y>0.1197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468689" y="93664"/>
          <a:ext cx="486833" cy="29633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400"/>
            <a:t>(kg)</a:t>
          </a:r>
        </a:p>
      </cdr:txBody>
    </cdr:sp>
  </cdr:relSizeAnchor>
</c:userShapes>
</file>

<file path=xl/drawings/drawing8.xml><?xml version="1.0" encoding="utf-8"?>
<c:userShapes xmlns:c="http://schemas.openxmlformats.org/drawingml/2006/chart">
  <cdr:relSizeAnchor xmlns:cdr="http://schemas.openxmlformats.org/drawingml/2006/chartDrawing">
    <cdr:from>
      <cdr:x>0.56641</cdr:x>
      <cdr:y>0.02908</cdr:y>
    </cdr:from>
    <cdr:to>
      <cdr:x>0.70703</cdr:x>
      <cdr:y>0.15495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589610" y="79773"/>
          <a:ext cx="642937" cy="34528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400"/>
            <a:t>(WL)</a:t>
          </a:r>
        </a:p>
      </cdr:txBody>
    </cdr:sp>
  </cdr:relSizeAnchor>
</c:userShapes>
</file>

<file path=xl/drawings/drawing9.xml><?xml version="1.0" encoding="utf-8"?>
<c:userShapes xmlns:c="http://schemas.openxmlformats.org/drawingml/2006/chart">
  <cdr:relSizeAnchor xmlns:cdr="http://schemas.openxmlformats.org/drawingml/2006/chartDrawing">
    <cdr:from>
      <cdr:x>0.2487</cdr:x>
      <cdr:y>0.03342</cdr:y>
    </cdr:from>
    <cdr:to>
      <cdr:x>0.40495</cdr:x>
      <cdr:y>0.15061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137049" y="91679"/>
          <a:ext cx="714375" cy="32146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400" b="1"/>
            <a:t>PUMC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S-CLIENT\05%20Commandes\01-%20Cdes%20en%20Cours\S2502G_%20BORT%20LES%20ORGUES\04_Prix%20Vente\Remise%20120611%20BAFO\Copie%20de%20Matrice%20Bort-les%20O-V%20Klima%2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gnature contrat"/>
      <sheetName val="Vérifications"/>
      <sheetName val="DAO "/>
      <sheetName val="Délais &amp; Cautions"/>
      <sheetName val="TCS "/>
      <sheetName val="Récap"/>
      <sheetName val="Coefficient chapeau"/>
      <sheetName val="Etudes - Suivi"/>
      <sheetName val="Achats &amp; ST"/>
      <sheetName val="Trvx.site"/>
      <sheetName val="Matériel"/>
      <sheetName val="Consommables"/>
      <sheetName val="decprix"/>
      <sheetName val="detailRfqResponse.do"/>
      <sheetName val="Trésorerie"/>
      <sheetName val="Firming "/>
      <sheetName val="Formule d'actualisation V1"/>
      <sheetName val="Penalités"/>
      <sheetName val="Calcul Alstom LD's"/>
      <sheetName val="Taux régie"/>
      <sheetName val="Chrono offre"/>
      <sheetName val="Tableau des Taux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5">
          <cell r="G5">
            <v>400</v>
          </cell>
        </row>
        <row r="67">
          <cell r="G67">
            <v>366</v>
          </cell>
        </row>
        <row r="106">
          <cell r="G106">
            <v>96</v>
          </cell>
        </row>
        <row r="367">
          <cell r="G367">
            <v>551.1</v>
          </cell>
        </row>
        <row r="388">
          <cell r="L388">
            <v>14229.099999999999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N92"/>
  <sheetViews>
    <sheetView zoomScale="90" zoomScaleNormal="90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B1" sqref="B1:R1"/>
    </sheetView>
  </sheetViews>
  <sheetFormatPr baseColWidth="10" defaultRowHeight="15" x14ac:dyDescent="0.25"/>
  <cols>
    <col min="1" max="1" width="3.140625" style="1" customWidth="1"/>
    <col min="2" max="2" width="21.28515625" style="11" customWidth="1"/>
    <col min="3" max="3" width="8.42578125" style="8" customWidth="1"/>
    <col min="4" max="4" width="4.5703125" style="2" customWidth="1"/>
    <col min="5" max="5" width="6.28515625" style="1" customWidth="1"/>
    <col min="6" max="6" width="4.140625" style="2" customWidth="1"/>
    <col min="7" max="7" width="10.5703125" style="2" customWidth="1"/>
    <col min="8" max="8" width="5" style="2" customWidth="1"/>
    <col min="9" max="9" width="13.42578125" style="2" customWidth="1"/>
    <col min="10" max="10" width="9.28515625" style="2" customWidth="1"/>
    <col min="11" max="11" width="5.28515625" style="2" customWidth="1"/>
    <col min="12" max="12" width="4.85546875" style="173" customWidth="1"/>
    <col min="13" max="13" width="4.28515625" style="2" customWidth="1"/>
    <col min="14" max="14" width="6.85546875" style="2" customWidth="1"/>
    <col min="15" max="15" width="9.7109375" style="2" customWidth="1"/>
    <col min="16" max="16" width="7.42578125" style="2" customWidth="1"/>
    <col min="17" max="17" width="19.140625" style="6" customWidth="1"/>
    <col min="18" max="18" width="8.5703125" style="9" customWidth="1"/>
    <col min="19" max="19" width="5.7109375" style="2" customWidth="1"/>
    <col min="20" max="20" width="6" style="2" customWidth="1"/>
    <col min="21" max="21" width="6.42578125" style="2" customWidth="1"/>
    <col min="22" max="22" width="5.85546875" style="2" customWidth="1"/>
    <col min="23" max="23" width="7" style="2" customWidth="1"/>
    <col min="24" max="24" width="5" style="2" customWidth="1"/>
    <col min="25" max="25" width="7.140625" style="2" customWidth="1"/>
    <col min="26" max="26" width="8.85546875" style="2" customWidth="1"/>
    <col min="27" max="27" width="7.5703125" style="2" customWidth="1"/>
    <col min="28" max="28" width="7.140625" style="2" customWidth="1"/>
    <col min="29" max="29" width="5.85546875" style="2" customWidth="1"/>
    <col min="30" max="30" width="6.140625" style="2" customWidth="1"/>
    <col min="31" max="31" width="6.85546875" style="2" customWidth="1"/>
    <col min="32" max="32" width="5.85546875" style="2" customWidth="1"/>
    <col min="33" max="33" width="7.42578125" style="2" customWidth="1"/>
    <col min="34" max="34" width="6.7109375" style="2" customWidth="1"/>
    <col min="35" max="35" width="5" style="8" customWidth="1"/>
    <col min="36" max="36" width="4.85546875" style="8" customWidth="1"/>
    <col min="37" max="37" width="6.28515625" style="5" customWidth="1"/>
    <col min="38" max="38" width="5.85546875" style="2" customWidth="1"/>
    <col min="39" max="39" width="6.42578125" style="2" customWidth="1"/>
    <col min="40" max="40" width="6.140625" style="2" customWidth="1"/>
    <col min="41" max="41" width="3.85546875" style="2" customWidth="1"/>
    <col min="42" max="42" width="6.140625" style="2" customWidth="1"/>
    <col min="43" max="43" width="5.85546875" style="2" customWidth="1"/>
    <col min="44" max="44" width="7.28515625" style="2" customWidth="1"/>
    <col min="45" max="45" width="7.5703125" style="2" customWidth="1"/>
    <col min="46" max="46" width="6" style="2" customWidth="1"/>
    <col min="47" max="47" width="7.42578125" style="2" customWidth="1"/>
    <col min="48" max="48" width="6.140625" style="2" customWidth="1"/>
    <col min="49" max="49" width="6.85546875" style="2" customWidth="1"/>
    <col min="50" max="50" width="5.140625" style="2" customWidth="1"/>
    <col min="51" max="51" width="5.28515625" style="2" customWidth="1"/>
    <col min="52" max="52" width="7" style="2" customWidth="1"/>
    <col min="53" max="53" width="4.7109375" style="2" customWidth="1"/>
    <col min="54" max="54" width="5" style="8" customWidth="1"/>
    <col min="55" max="55" width="4.42578125" style="8" customWidth="1"/>
    <col min="56" max="56" width="4.85546875" style="6" customWidth="1"/>
    <col min="57" max="57" width="5.140625" style="1" customWidth="1"/>
    <col min="58" max="58" width="5" style="1" customWidth="1"/>
    <col min="59" max="59" width="3.85546875" style="1" customWidth="1"/>
    <col min="60" max="60" width="5.140625" style="5" customWidth="1"/>
    <col min="61" max="61" width="5.85546875" style="1" customWidth="1"/>
    <col min="62" max="62" width="6.42578125" style="1" customWidth="1"/>
    <col min="63" max="63" width="5.85546875" style="1" customWidth="1"/>
    <col min="64" max="64" width="5.5703125" style="8" customWidth="1"/>
    <col min="65" max="65" width="5.7109375" style="1" customWidth="1"/>
    <col min="66" max="66" width="5.5703125" style="1" customWidth="1"/>
    <col min="67" max="67" width="7.5703125" style="5" customWidth="1"/>
    <col min="68" max="68" width="6.28515625" style="1" customWidth="1"/>
    <col min="69" max="70" width="6.7109375" style="1" customWidth="1"/>
    <col min="71" max="71" width="6.85546875" style="1" customWidth="1"/>
    <col min="72" max="73" width="6.5703125" style="1" customWidth="1"/>
    <col min="74" max="76" width="6.140625" style="8" customWidth="1"/>
    <col min="77" max="77" width="7.5703125" style="8" customWidth="1"/>
    <col min="78" max="78" width="6.5703125" style="5" customWidth="1"/>
    <col min="79" max="79" width="7.5703125" style="8" customWidth="1"/>
    <col min="80" max="80" width="5.85546875" style="8" customWidth="1"/>
    <col min="81" max="82" width="6.140625" style="1" customWidth="1"/>
    <col min="83" max="83" width="6.42578125" style="1" customWidth="1"/>
    <col min="84" max="84" width="6.7109375" style="1" customWidth="1"/>
    <col min="85" max="85" width="8.140625" style="8" customWidth="1"/>
    <col min="86" max="86" width="6.42578125" style="5" customWidth="1"/>
    <col min="87" max="87" width="6.140625" style="1" customWidth="1"/>
    <col min="88" max="89" width="6.85546875" style="8" customWidth="1"/>
    <col min="90" max="90" width="5.7109375" style="5" customWidth="1"/>
    <col min="91" max="91" width="7.28515625" style="1" customWidth="1"/>
    <col min="92" max="92" width="7.140625" style="5" customWidth="1"/>
    <col min="93" max="16384" width="11.42578125" style="1"/>
  </cols>
  <sheetData>
    <row r="1" spans="1:92" ht="45" customHeight="1" x14ac:dyDescent="0.25">
      <c r="B1" s="343" t="s">
        <v>280</v>
      </c>
      <c r="C1" s="344"/>
      <c r="D1" s="344"/>
      <c r="E1" s="344"/>
      <c r="F1" s="344"/>
      <c r="G1" s="344"/>
      <c r="H1" s="344"/>
      <c r="I1" s="344"/>
      <c r="J1" s="344"/>
      <c r="K1" s="344"/>
      <c r="L1" s="344"/>
      <c r="M1" s="344"/>
      <c r="N1" s="344"/>
      <c r="O1" s="344"/>
      <c r="P1" s="344"/>
      <c r="Q1" s="344"/>
      <c r="R1" s="345"/>
      <c r="S1" s="358" t="s">
        <v>281</v>
      </c>
      <c r="T1" s="359"/>
      <c r="U1" s="359"/>
      <c r="V1" s="359"/>
      <c r="W1" s="359"/>
      <c r="X1" s="359"/>
      <c r="Y1" s="359"/>
      <c r="Z1" s="359"/>
      <c r="AA1" s="359"/>
      <c r="AB1" s="359"/>
      <c r="AC1" s="359"/>
      <c r="AD1" s="359"/>
      <c r="AE1" s="359"/>
      <c r="AF1" s="359"/>
      <c r="AG1" s="359"/>
      <c r="AH1" s="359"/>
      <c r="AI1" s="359"/>
      <c r="AJ1" s="359"/>
      <c r="AK1" s="359"/>
      <c r="AL1" s="359"/>
      <c r="AM1" s="359"/>
      <c r="AN1" s="359"/>
      <c r="AO1" s="359"/>
      <c r="AP1" s="359"/>
      <c r="AQ1" s="359"/>
      <c r="AR1" s="359"/>
      <c r="AS1" s="359"/>
      <c r="AT1" s="359"/>
      <c r="AU1" s="359"/>
      <c r="AV1" s="359"/>
      <c r="AW1" s="359"/>
      <c r="AX1" s="359"/>
      <c r="AY1" s="359"/>
      <c r="AZ1" s="359"/>
      <c r="BA1" s="359"/>
      <c r="BB1" s="359"/>
      <c r="BC1" s="359"/>
      <c r="BD1" s="359"/>
      <c r="BE1" s="359"/>
      <c r="BF1" s="359"/>
      <c r="BG1" s="359"/>
      <c r="BH1" s="359"/>
      <c r="BI1" s="359"/>
      <c r="BJ1" s="359"/>
      <c r="BK1" s="359"/>
      <c r="BL1" s="359"/>
      <c r="BM1" s="359"/>
      <c r="BN1" s="359"/>
      <c r="BO1" s="360"/>
      <c r="BP1" s="340" t="s">
        <v>481</v>
      </c>
      <c r="BQ1" s="340"/>
      <c r="BR1" s="340"/>
      <c r="BS1" s="340"/>
      <c r="BT1" s="340"/>
      <c r="BU1" s="340"/>
      <c r="BV1" s="340"/>
      <c r="BW1" s="340"/>
      <c r="BX1" s="340"/>
      <c r="BY1" s="340"/>
      <c r="BZ1" s="340"/>
      <c r="CA1" s="340"/>
      <c r="CB1" s="340"/>
      <c r="CC1" s="340"/>
      <c r="CD1" s="340"/>
      <c r="CE1" s="340"/>
      <c r="CF1" s="340"/>
      <c r="CG1" s="340"/>
      <c r="CH1" s="340"/>
      <c r="CI1" s="340"/>
      <c r="CJ1" s="340"/>
      <c r="CK1" s="340"/>
      <c r="CL1" s="340"/>
      <c r="CM1" s="340"/>
      <c r="CN1" s="340"/>
    </row>
    <row r="2" spans="1:92" s="4" customFormat="1" x14ac:dyDescent="0.25">
      <c r="B2" s="346" t="s">
        <v>282</v>
      </c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347"/>
      <c r="P2" s="347"/>
      <c r="Q2" s="347"/>
      <c r="R2" s="348"/>
      <c r="S2" s="352" t="s">
        <v>283</v>
      </c>
      <c r="T2" s="353"/>
      <c r="U2" s="353"/>
      <c r="V2" s="353"/>
      <c r="W2" s="353"/>
      <c r="X2" s="353"/>
      <c r="Y2" s="353"/>
      <c r="Z2" s="353"/>
      <c r="AA2" s="353"/>
      <c r="AB2" s="353"/>
      <c r="AC2" s="353"/>
      <c r="AD2" s="353"/>
      <c r="AE2" s="353"/>
      <c r="AF2" s="353"/>
      <c r="AG2" s="353"/>
      <c r="AH2" s="353"/>
      <c r="AI2" s="353"/>
      <c r="AJ2" s="353"/>
      <c r="AK2" s="354"/>
      <c r="AL2" s="349" t="s">
        <v>284</v>
      </c>
      <c r="AM2" s="350"/>
      <c r="AN2" s="350"/>
      <c r="AO2" s="350"/>
      <c r="AP2" s="350"/>
      <c r="AQ2" s="350"/>
      <c r="AR2" s="350"/>
      <c r="AS2" s="350"/>
      <c r="AT2" s="350"/>
      <c r="AU2" s="350"/>
      <c r="AV2" s="350"/>
      <c r="AW2" s="350"/>
      <c r="AX2" s="350"/>
      <c r="AY2" s="350"/>
      <c r="AZ2" s="350"/>
      <c r="BA2" s="350"/>
      <c r="BB2" s="350"/>
      <c r="BC2" s="350"/>
      <c r="BD2" s="351"/>
      <c r="BE2" s="355" t="s">
        <v>285</v>
      </c>
      <c r="BF2" s="356"/>
      <c r="BG2" s="356"/>
      <c r="BH2" s="357"/>
      <c r="BI2" s="349" t="s">
        <v>286</v>
      </c>
      <c r="BJ2" s="350"/>
      <c r="BK2" s="350"/>
      <c r="BL2" s="350"/>
      <c r="BM2" s="350"/>
      <c r="BN2" s="350"/>
      <c r="BO2" s="350"/>
      <c r="BP2" s="341" t="s">
        <v>476</v>
      </c>
      <c r="BQ2" s="341"/>
      <c r="BR2" s="341"/>
      <c r="BS2" s="341"/>
      <c r="BT2" s="341"/>
      <c r="BU2" s="341"/>
      <c r="BV2" s="341"/>
      <c r="BW2" s="341"/>
      <c r="BX2" s="341"/>
      <c r="BY2" s="341"/>
      <c r="BZ2" s="341"/>
      <c r="CA2" s="342" t="s">
        <v>477</v>
      </c>
      <c r="CB2" s="342"/>
      <c r="CC2" s="342"/>
      <c r="CD2" s="342"/>
      <c r="CE2" s="342"/>
      <c r="CF2" s="342"/>
      <c r="CG2" s="342"/>
      <c r="CH2" s="342"/>
      <c r="CI2" s="341" t="s">
        <v>287</v>
      </c>
      <c r="CJ2" s="341"/>
      <c r="CK2" s="341"/>
      <c r="CL2" s="341"/>
      <c r="CM2" s="338" t="s">
        <v>288</v>
      </c>
      <c r="CN2" s="339"/>
    </row>
    <row r="3" spans="1:92" s="2" customFormat="1" ht="126" customHeight="1" x14ac:dyDescent="0.25">
      <c r="A3" s="62"/>
      <c r="B3" s="115" t="s">
        <v>482</v>
      </c>
      <c r="C3" s="116" t="s">
        <v>480</v>
      </c>
      <c r="D3" s="116" t="s">
        <v>2</v>
      </c>
      <c r="E3" s="116" t="s">
        <v>18</v>
      </c>
      <c r="F3" s="116" t="s">
        <v>19</v>
      </c>
      <c r="G3" s="116" t="s">
        <v>3</v>
      </c>
      <c r="H3" s="116" t="s">
        <v>4</v>
      </c>
      <c r="I3" s="116" t="s">
        <v>23</v>
      </c>
      <c r="J3" s="116" t="s">
        <v>25</v>
      </c>
      <c r="K3" s="116" t="s">
        <v>39</v>
      </c>
      <c r="L3" s="117" t="s">
        <v>289</v>
      </c>
      <c r="M3" s="117" t="s">
        <v>97</v>
      </c>
      <c r="N3" s="116" t="s">
        <v>9</v>
      </c>
      <c r="O3" s="116" t="s">
        <v>6</v>
      </c>
      <c r="P3" s="116" t="s">
        <v>436</v>
      </c>
      <c r="Q3" s="116" t="s">
        <v>5</v>
      </c>
      <c r="R3" s="116" t="s">
        <v>429</v>
      </c>
      <c r="S3" s="121" t="s">
        <v>11</v>
      </c>
      <c r="T3" s="121" t="s">
        <v>17</v>
      </c>
      <c r="U3" s="121" t="s">
        <v>13</v>
      </c>
      <c r="V3" s="121" t="s">
        <v>42</v>
      </c>
      <c r="W3" s="121" t="s">
        <v>16</v>
      </c>
      <c r="X3" s="121" t="s">
        <v>29</v>
      </c>
      <c r="Y3" s="121" t="s">
        <v>31</v>
      </c>
      <c r="Z3" s="121" t="s">
        <v>33</v>
      </c>
      <c r="AA3" s="121" t="s">
        <v>32</v>
      </c>
      <c r="AB3" s="121" t="s">
        <v>27</v>
      </c>
      <c r="AC3" s="121" t="s">
        <v>28</v>
      </c>
      <c r="AD3" s="121" t="s">
        <v>30</v>
      </c>
      <c r="AE3" s="121" t="s">
        <v>36</v>
      </c>
      <c r="AF3" s="121" t="s">
        <v>35</v>
      </c>
      <c r="AG3" s="121" t="s">
        <v>34</v>
      </c>
      <c r="AH3" s="121" t="s">
        <v>92</v>
      </c>
      <c r="AI3" s="121" t="s">
        <v>37</v>
      </c>
      <c r="AJ3" s="121" t="s">
        <v>40</v>
      </c>
      <c r="AK3" s="121" t="s">
        <v>41</v>
      </c>
      <c r="AL3" s="124" t="s">
        <v>11</v>
      </c>
      <c r="AM3" s="124" t="s">
        <v>17</v>
      </c>
      <c r="AN3" s="124" t="s">
        <v>13</v>
      </c>
      <c r="AO3" s="124" t="s">
        <v>292</v>
      </c>
      <c r="AP3" s="124" t="s">
        <v>293</v>
      </c>
      <c r="AQ3" s="124" t="s">
        <v>42</v>
      </c>
      <c r="AR3" s="124" t="s">
        <v>33</v>
      </c>
      <c r="AS3" s="124" t="s">
        <v>32</v>
      </c>
      <c r="AT3" s="124" t="s">
        <v>27</v>
      </c>
      <c r="AU3" s="124" t="s">
        <v>28</v>
      </c>
      <c r="AV3" s="124" t="s">
        <v>30</v>
      </c>
      <c r="AW3" s="124" t="s">
        <v>36</v>
      </c>
      <c r="AX3" s="124" t="s">
        <v>35</v>
      </c>
      <c r="AY3" s="124" t="s">
        <v>34</v>
      </c>
      <c r="AZ3" s="124" t="s">
        <v>92</v>
      </c>
      <c r="BA3" s="124" t="s">
        <v>37</v>
      </c>
      <c r="BB3" s="124" t="s">
        <v>40</v>
      </c>
      <c r="BC3" s="124" t="s">
        <v>180</v>
      </c>
      <c r="BD3" s="124" t="s">
        <v>41</v>
      </c>
      <c r="BE3" s="121" t="s">
        <v>45</v>
      </c>
      <c r="BF3" s="121" t="s">
        <v>44</v>
      </c>
      <c r="BG3" s="121" t="s">
        <v>47</v>
      </c>
      <c r="BH3" s="121" t="s">
        <v>46</v>
      </c>
      <c r="BI3" s="124" t="s">
        <v>48</v>
      </c>
      <c r="BJ3" s="124" t="s">
        <v>49</v>
      </c>
      <c r="BK3" s="124" t="s">
        <v>267</v>
      </c>
      <c r="BL3" s="124" t="s">
        <v>474</v>
      </c>
      <c r="BM3" s="125" t="s">
        <v>475</v>
      </c>
      <c r="BN3" s="125" t="s">
        <v>239</v>
      </c>
      <c r="BO3" s="126" t="s">
        <v>55</v>
      </c>
      <c r="BP3" s="131" t="s">
        <v>106</v>
      </c>
      <c r="BQ3" s="131" t="s">
        <v>49</v>
      </c>
      <c r="BR3" s="132" t="s">
        <v>49</v>
      </c>
      <c r="BS3" s="131" t="str">
        <f>BK3</f>
        <v>Bars or coils
(without spares)</v>
      </c>
      <c r="BT3" s="131" t="s">
        <v>474</v>
      </c>
      <c r="BU3" s="132" t="s">
        <v>265</v>
      </c>
      <c r="BV3" s="131" t="s">
        <v>96</v>
      </c>
      <c r="BW3" s="132" t="s">
        <v>237</v>
      </c>
      <c r="BX3" s="132" t="s">
        <v>238</v>
      </c>
      <c r="BY3" s="133" t="s">
        <v>56</v>
      </c>
      <c r="BZ3" s="132" t="s">
        <v>104</v>
      </c>
      <c r="CA3" s="139" t="s">
        <v>100</v>
      </c>
      <c r="CB3" s="137" t="s">
        <v>46</v>
      </c>
      <c r="CC3" s="137" t="str">
        <f>BP3</f>
        <v>Frame</v>
      </c>
      <c r="CD3" s="137" t="s">
        <v>52</v>
      </c>
      <c r="CE3" s="137" t="s">
        <v>58</v>
      </c>
      <c r="CF3" s="137" t="s">
        <v>95</v>
      </c>
      <c r="CG3" s="138" t="s">
        <v>57</v>
      </c>
      <c r="CH3" s="139" t="str">
        <f>BZ3</f>
        <v>Percent. / TOTAL COST</v>
      </c>
      <c r="CI3" s="131" t="s">
        <v>109</v>
      </c>
      <c r="CJ3" s="131" t="s">
        <v>53</v>
      </c>
      <c r="CK3" s="133" t="s">
        <v>94</v>
      </c>
      <c r="CL3" s="132" t="str">
        <f>BZ3</f>
        <v>Percent. / TOTAL COST</v>
      </c>
      <c r="CM3" s="137" t="s">
        <v>60</v>
      </c>
      <c r="CN3" s="139" t="s">
        <v>59</v>
      </c>
    </row>
    <row r="4" spans="1:92" s="2" customFormat="1" ht="18.75" customHeight="1" x14ac:dyDescent="0.25">
      <c r="B4" s="118" t="s">
        <v>7</v>
      </c>
      <c r="C4" s="118"/>
      <c r="D4" s="118" t="s">
        <v>7</v>
      </c>
      <c r="E4" s="118"/>
      <c r="F4" s="119"/>
      <c r="G4" s="118" t="s">
        <v>7</v>
      </c>
      <c r="H4" s="118" t="s">
        <v>7</v>
      </c>
      <c r="I4" s="118" t="s">
        <v>7</v>
      </c>
      <c r="J4" s="118" t="s">
        <v>7</v>
      </c>
      <c r="K4" s="118" t="s">
        <v>7</v>
      </c>
      <c r="L4" s="120" t="s">
        <v>7</v>
      </c>
      <c r="M4" s="120" t="s">
        <v>7</v>
      </c>
      <c r="N4" s="118"/>
      <c r="O4" s="118" t="s">
        <v>7</v>
      </c>
      <c r="P4" s="118" t="s">
        <v>51</v>
      </c>
      <c r="Q4" s="118" t="s">
        <v>7</v>
      </c>
      <c r="R4" s="118" t="s">
        <v>7</v>
      </c>
      <c r="S4" s="122" t="s">
        <v>12</v>
      </c>
      <c r="T4" s="123" t="s">
        <v>7</v>
      </c>
      <c r="U4" s="122" t="s">
        <v>14</v>
      </c>
      <c r="V4" s="122" t="s">
        <v>43</v>
      </c>
      <c r="W4" s="122" t="s">
        <v>15</v>
      </c>
      <c r="X4" s="123" t="s">
        <v>7</v>
      </c>
      <c r="Y4" s="123" t="s">
        <v>26</v>
      </c>
      <c r="Z4" s="123" t="s">
        <v>26</v>
      </c>
      <c r="AA4" s="122" t="s">
        <v>26</v>
      </c>
      <c r="AB4" s="122" t="s">
        <v>26</v>
      </c>
      <c r="AC4" s="122" t="s">
        <v>26</v>
      </c>
      <c r="AD4" s="123" t="s">
        <v>7</v>
      </c>
      <c r="AE4" s="123" t="s">
        <v>7</v>
      </c>
      <c r="AF4" s="123" t="s">
        <v>7</v>
      </c>
      <c r="AG4" s="123" t="s">
        <v>7</v>
      </c>
      <c r="AH4" s="123" t="s">
        <v>7</v>
      </c>
      <c r="AI4" s="122"/>
      <c r="AJ4" s="122"/>
      <c r="AK4" s="122"/>
      <c r="AL4" s="127" t="s">
        <v>12</v>
      </c>
      <c r="AM4" s="128" t="s">
        <v>7</v>
      </c>
      <c r="AN4" s="127" t="s">
        <v>14</v>
      </c>
      <c r="AO4" s="128" t="s">
        <v>7</v>
      </c>
      <c r="AP4" s="128" t="s">
        <v>43</v>
      </c>
      <c r="AQ4" s="127" t="s">
        <v>43</v>
      </c>
      <c r="AR4" s="128" t="s">
        <v>26</v>
      </c>
      <c r="AS4" s="127" t="s">
        <v>26</v>
      </c>
      <c r="AT4" s="127" t="s">
        <v>26</v>
      </c>
      <c r="AU4" s="127" t="s">
        <v>26</v>
      </c>
      <c r="AV4" s="128" t="s">
        <v>7</v>
      </c>
      <c r="AW4" s="128" t="s">
        <v>7</v>
      </c>
      <c r="AX4" s="128" t="s">
        <v>7</v>
      </c>
      <c r="AY4" s="128" t="s">
        <v>7</v>
      </c>
      <c r="AZ4" s="128" t="s">
        <v>7</v>
      </c>
      <c r="BA4" s="127"/>
      <c r="BB4" s="127"/>
      <c r="BC4" s="127"/>
      <c r="BD4" s="127"/>
      <c r="BE4" s="122"/>
      <c r="BF4" s="122"/>
      <c r="BG4" s="122"/>
      <c r="BH4" s="122"/>
      <c r="BI4" s="127" t="s">
        <v>50</v>
      </c>
      <c r="BJ4" s="127" t="s">
        <v>50</v>
      </c>
      <c r="BK4" s="127" t="s">
        <v>50</v>
      </c>
      <c r="BL4" s="127" t="s">
        <v>50</v>
      </c>
      <c r="BM4" s="127" t="s">
        <v>50</v>
      </c>
      <c r="BN4" s="127" t="s">
        <v>50</v>
      </c>
      <c r="BO4" s="127" t="s">
        <v>50</v>
      </c>
      <c r="BP4" s="136" t="s">
        <v>51</v>
      </c>
      <c r="BQ4" s="136" t="s">
        <v>51</v>
      </c>
      <c r="BR4" s="174" t="s">
        <v>98</v>
      </c>
      <c r="BS4" s="136" t="s">
        <v>51</v>
      </c>
      <c r="BT4" s="136" t="s">
        <v>51</v>
      </c>
      <c r="BU4" s="174" t="str">
        <f>BR4</f>
        <v>€/kg</v>
      </c>
      <c r="BV4" s="136" t="s">
        <v>51</v>
      </c>
      <c r="BW4" s="174" t="s">
        <v>51</v>
      </c>
      <c r="BX4" s="174" t="s">
        <v>51</v>
      </c>
      <c r="BY4" s="136" t="s">
        <v>51</v>
      </c>
      <c r="BZ4" s="136" t="s">
        <v>105</v>
      </c>
      <c r="CA4" s="135" t="s">
        <v>99</v>
      </c>
      <c r="CB4" s="134" t="s">
        <v>51</v>
      </c>
      <c r="CC4" s="134" t="s">
        <v>51</v>
      </c>
      <c r="CD4" s="134" t="s">
        <v>51</v>
      </c>
      <c r="CE4" s="134" t="s">
        <v>51</v>
      </c>
      <c r="CF4" s="134" t="s">
        <v>51</v>
      </c>
      <c r="CG4" s="134" t="s">
        <v>51</v>
      </c>
      <c r="CH4" s="134" t="s">
        <v>105</v>
      </c>
      <c r="CI4" s="129" t="s">
        <v>51</v>
      </c>
      <c r="CJ4" s="129" t="s">
        <v>51</v>
      </c>
      <c r="CK4" s="129" t="s">
        <v>51</v>
      </c>
      <c r="CL4" s="129" t="s">
        <v>105</v>
      </c>
      <c r="CM4" s="134" t="s">
        <v>51</v>
      </c>
      <c r="CN4" s="135" t="s">
        <v>98</v>
      </c>
    </row>
    <row r="5" spans="1:92" x14ac:dyDescent="0.25">
      <c r="B5" s="140" t="s">
        <v>20</v>
      </c>
      <c r="C5" s="140" t="s">
        <v>8</v>
      </c>
      <c r="D5" s="129">
        <v>1</v>
      </c>
      <c r="E5" s="141" t="s">
        <v>128</v>
      </c>
      <c r="F5" s="129" t="s">
        <v>21</v>
      </c>
      <c r="G5" s="129" t="s">
        <v>22</v>
      </c>
      <c r="H5" s="129" t="s">
        <v>183</v>
      </c>
      <c r="I5" s="129" t="s">
        <v>24</v>
      </c>
      <c r="J5" s="129">
        <v>1954</v>
      </c>
      <c r="K5" s="141" t="s">
        <v>186</v>
      </c>
      <c r="L5" s="142" t="s">
        <v>186</v>
      </c>
      <c r="M5" s="142" t="s">
        <v>186</v>
      </c>
      <c r="N5" s="141" t="s">
        <v>187</v>
      </c>
      <c r="O5" s="143">
        <v>41030</v>
      </c>
      <c r="P5" s="165"/>
      <c r="Q5" s="266" t="s">
        <v>433</v>
      </c>
      <c r="R5" s="265" t="s">
        <v>428</v>
      </c>
      <c r="S5" s="129">
        <v>125</v>
      </c>
      <c r="T5" s="129">
        <v>0.95</v>
      </c>
      <c r="U5" s="129">
        <v>10.5</v>
      </c>
      <c r="V5" s="129">
        <v>940</v>
      </c>
      <c r="W5" s="129">
        <v>187.5</v>
      </c>
      <c r="X5" s="129">
        <v>32</v>
      </c>
      <c r="Y5" s="129">
        <v>8500</v>
      </c>
      <c r="Z5" s="129">
        <v>6758</v>
      </c>
      <c r="AA5" s="129">
        <v>6200</v>
      </c>
      <c r="AB5" s="129">
        <v>3500</v>
      </c>
      <c r="AC5" s="129">
        <v>20</v>
      </c>
      <c r="AD5" s="129">
        <v>384</v>
      </c>
      <c r="AE5" s="129">
        <v>24</v>
      </c>
      <c r="AF5" s="129">
        <v>48</v>
      </c>
      <c r="AG5" s="129">
        <v>144</v>
      </c>
      <c r="AH5" s="129">
        <f t="shared" ref="AH5:AH10" si="0">IF(AG5=0,"",AD5/AG5)</f>
        <v>2.6666666666666665</v>
      </c>
      <c r="AI5" s="129" t="s">
        <v>189</v>
      </c>
      <c r="AJ5" s="129" t="s">
        <v>182</v>
      </c>
      <c r="AK5" s="129" t="s">
        <v>192</v>
      </c>
      <c r="AL5" s="129">
        <v>145</v>
      </c>
      <c r="AM5" s="129">
        <v>0.83499999999999996</v>
      </c>
      <c r="AN5" s="129">
        <v>10.5</v>
      </c>
      <c r="AO5" s="129">
        <v>4</v>
      </c>
      <c r="AP5" s="129">
        <f>AL5*1000/SQRT(3)/AN5/AO5*2</f>
        <v>3986.4661444045591</v>
      </c>
      <c r="AQ5" s="129">
        <v>1027</v>
      </c>
      <c r="AR5" s="129">
        <v>6800</v>
      </c>
      <c r="AS5" s="129">
        <v>6193</v>
      </c>
      <c r="AT5" s="129">
        <v>3500</v>
      </c>
      <c r="AU5" s="129">
        <v>16.5</v>
      </c>
      <c r="AV5" s="129">
        <v>384</v>
      </c>
      <c r="AW5" s="129">
        <v>24</v>
      </c>
      <c r="AX5" s="129">
        <v>48</v>
      </c>
      <c r="AY5" s="129">
        <v>192</v>
      </c>
      <c r="AZ5" s="129">
        <f>AV5/AY5</f>
        <v>2</v>
      </c>
      <c r="BA5" s="129" t="s">
        <v>190</v>
      </c>
      <c r="BB5" s="129" t="s">
        <v>182</v>
      </c>
      <c r="BC5" s="129" t="s">
        <v>21</v>
      </c>
      <c r="BD5" s="129" t="s">
        <v>193</v>
      </c>
      <c r="BE5" s="129" t="s">
        <v>194</v>
      </c>
      <c r="BF5" s="129" t="s">
        <v>186</v>
      </c>
      <c r="BG5" s="129" t="s">
        <v>186</v>
      </c>
      <c r="BH5" s="129" t="s">
        <v>185</v>
      </c>
      <c r="BI5" s="145">
        <v>38.036999999999999</v>
      </c>
      <c r="BJ5" s="145">
        <v>117.58199999999999</v>
      </c>
      <c r="BK5" s="146">
        <v>24.308</v>
      </c>
      <c r="BL5" s="145">
        <v>6</v>
      </c>
      <c r="BM5" s="147">
        <v>4.649</v>
      </c>
      <c r="BN5" s="147"/>
      <c r="BO5" s="145">
        <f>SUM(BI5:BM5)</f>
        <v>190.57599999999999</v>
      </c>
      <c r="BP5" s="145">
        <v>167.75868</v>
      </c>
      <c r="BQ5" s="145">
        <v>465.52499999999998</v>
      </c>
      <c r="BR5" s="148">
        <f>BQ5/BJ5</f>
        <v>3.9591519110067868</v>
      </c>
      <c r="BS5" s="145">
        <v>687.97799999999995</v>
      </c>
      <c r="BT5" s="145">
        <v>183.21799999999999</v>
      </c>
      <c r="BU5" s="149">
        <f>(BS5+BT5)/(BK5+BL5)</f>
        <v>28.744753860366899</v>
      </c>
      <c r="BV5" s="145">
        <v>53.479199999999999</v>
      </c>
      <c r="BW5" s="149">
        <v>13.8</v>
      </c>
      <c r="BX5" s="149">
        <v>53.904000000000003</v>
      </c>
      <c r="BY5" s="150">
        <f>SUM(BP5:BV5)</f>
        <v>1590.6627857713738</v>
      </c>
      <c r="BZ5" s="149">
        <f>BY5/CM5*100</f>
        <v>52.92214777151333</v>
      </c>
      <c r="CA5" s="151">
        <v>12816</v>
      </c>
      <c r="CB5" s="152">
        <v>0</v>
      </c>
      <c r="CC5" s="145">
        <v>78.870757041760953</v>
      </c>
      <c r="CD5" s="145">
        <v>206.75405595947333</v>
      </c>
      <c r="CE5" s="145">
        <v>448.99995258773907</v>
      </c>
      <c r="CF5" s="145">
        <v>167.88203998889099</v>
      </c>
      <c r="CG5" s="150">
        <f>SUM(CB5:CF5)</f>
        <v>902.50680557786427</v>
      </c>
      <c r="CH5" s="149">
        <f>CG5/CM5*100</f>
        <v>30.026853558673189</v>
      </c>
      <c r="CI5" s="145">
        <v>194.72200000000001</v>
      </c>
      <c r="CJ5" s="145">
        <v>317.774</v>
      </c>
      <c r="CK5" s="150">
        <f>CI5+CJ5</f>
        <v>512.49599999999998</v>
      </c>
      <c r="CL5" s="149">
        <f>CK5/CM5*100</f>
        <v>17.050998669813477</v>
      </c>
      <c r="CM5" s="150">
        <f>BY5+CG5+CK5</f>
        <v>3005.6655913492382</v>
      </c>
      <c r="CN5" s="148">
        <f>CM5/BO5</f>
        <v>15.771480099011619</v>
      </c>
    </row>
    <row r="6" spans="1:92" x14ac:dyDescent="0.25">
      <c r="B6" s="140" t="s">
        <v>101</v>
      </c>
      <c r="C6" s="140" t="s">
        <v>8</v>
      </c>
      <c r="D6" s="129">
        <v>2</v>
      </c>
      <c r="E6" s="141" t="s">
        <v>128</v>
      </c>
      <c r="F6" s="129" t="s">
        <v>21</v>
      </c>
      <c r="G6" s="129" t="s">
        <v>65</v>
      </c>
      <c r="H6" s="129" t="s">
        <v>183</v>
      </c>
      <c r="I6" s="129" t="s">
        <v>67</v>
      </c>
      <c r="J6" s="129" t="s">
        <v>68</v>
      </c>
      <c r="K6" s="129" t="s">
        <v>185</v>
      </c>
      <c r="L6" s="130" t="s">
        <v>185</v>
      </c>
      <c r="M6" s="130" t="s">
        <v>186</v>
      </c>
      <c r="N6" s="141" t="s">
        <v>187</v>
      </c>
      <c r="O6" s="153">
        <v>40725</v>
      </c>
      <c r="P6" s="165">
        <v>2100</v>
      </c>
      <c r="Q6" s="144" t="s">
        <v>70</v>
      </c>
      <c r="R6" s="144" t="s">
        <v>430</v>
      </c>
      <c r="S6" s="129">
        <v>70</v>
      </c>
      <c r="T6" s="129">
        <v>0.93</v>
      </c>
      <c r="U6" s="129">
        <v>15</v>
      </c>
      <c r="V6" s="129">
        <v>1286</v>
      </c>
      <c r="W6" s="129">
        <v>150</v>
      </c>
      <c r="X6" s="129">
        <v>40</v>
      </c>
      <c r="Y6" s="129">
        <v>9000</v>
      </c>
      <c r="Z6" s="129">
        <v>7700</v>
      </c>
      <c r="AA6" s="129">
        <v>7100</v>
      </c>
      <c r="AB6" s="129">
        <v>2100</v>
      </c>
      <c r="AC6" s="129">
        <v>22</v>
      </c>
      <c r="AD6" s="129">
        <v>384</v>
      </c>
      <c r="AE6" s="129">
        <v>48</v>
      </c>
      <c r="AF6" s="129">
        <v>96</v>
      </c>
      <c r="AG6" s="129">
        <v>96</v>
      </c>
      <c r="AH6" s="129">
        <f t="shared" si="0"/>
        <v>4</v>
      </c>
      <c r="AI6" s="129" t="s">
        <v>189</v>
      </c>
      <c r="AJ6" s="129" t="s">
        <v>182</v>
      </c>
      <c r="AK6" s="129" t="s">
        <v>193</v>
      </c>
      <c r="AL6" s="129">
        <v>80</v>
      </c>
      <c r="AM6" s="129">
        <v>0.93</v>
      </c>
      <c r="AN6" s="129">
        <v>15</v>
      </c>
      <c r="AO6" s="144">
        <v>2</v>
      </c>
      <c r="AP6" s="129">
        <f t="shared" ref="AP6:AP19" si="1">AL6*1000/SQRT(3)/AN6/AO6*2</f>
        <v>3079.2014356780041</v>
      </c>
      <c r="AQ6" s="144">
        <v>1255</v>
      </c>
      <c r="AR6" s="129">
        <v>7736</v>
      </c>
      <c r="AS6" s="129">
        <v>7100</v>
      </c>
      <c r="AT6" s="129">
        <v>2170</v>
      </c>
      <c r="AU6" s="129">
        <v>22</v>
      </c>
      <c r="AV6" s="129">
        <v>420</v>
      </c>
      <c r="AW6" s="129">
        <v>42</v>
      </c>
      <c r="AX6" s="129">
        <v>84</v>
      </c>
      <c r="AY6" s="129">
        <v>210</v>
      </c>
      <c r="AZ6" s="129">
        <f t="shared" ref="AZ6:AZ19" si="2">AV6/AY6</f>
        <v>2</v>
      </c>
      <c r="BA6" s="129" t="s">
        <v>190</v>
      </c>
      <c r="BB6" s="129" t="s">
        <v>182</v>
      </c>
      <c r="BC6" s="129" t="s">
        <v>21</v>
      </c>
      <c r="BD6" s="129" t="s">
        <v>193</v>
      </c>
      <c r="BE6" s="129" t="s">
        <v>195</v>
      </c>
      <c r="BF6" s="129" t="s">
        <v>185</v>
      </c>
      <c r="BG6" s="129" t="s">
        <v>186</v>
      </c>
      <c r="BH6" s="129" t="s">
        <v>186</v>
      </c>
      <c r="BI6" s="154"/>
      <c r="BJ6" s="145">
        <v>88.956999999999994</v>
      </c>
      <c r="BK6" s="145">
        <v>18.774000000000001</v>
      </c>
      <c r="BL6" s="145">
        <v>4.0730000000000004</v>
      </c>
      <c r="BM6" s="147"/>
      <c r="BN6" s="147"/>
      <c r="BO6" s="145">
        <f t="shared" ref="BO6:BO19" si="3">SUM(BI6:BM6)</f>
        <v>111.804</v>
      </c>
      <c r="BP6" s="145">
        <v>0</v>
      </c>
      <c r="BQ6" s="145">
        <v>456.91199999999998</v>
      </c>
      <c r="BR6" s="148">
        <f t="shared" ref="BR6:BR65" si="4">BQ6/BJ6</f>
        <v>5.1363242915116292</v>
      </c>
      <c r="BS6" s="145">
        <f>(1290.22-60)*(850/1774)+60</f>
        <v>649.45152198421647</v>
      </c>
      <c r="BT6" s="145">
        <f>302.71/2</f>
        <v>151.35499999999999</v>
      </c>
      <c r="BU6" s="149">
        <f t="shared" ref="BU6:BU65" si="5">(BS6+BT6)/(BK6+BL6)</f>
        <v>35.050839146680808</v>
      </c>
      <c r="BV6" s="145">
        <v>0</v>
      </c>
      <c r="BW6" s="149">
        <v>0</v>
      </c>
      <c r="BX6" s="149">
        <f>22.75/2</f>
        <v>11.375</v>
      </c>
      <c r="BY6" s="150">
        <f>SUM(BP6:BX6)</f>
        <v>1309.2806854224089</v>
      </c>
      <c r="BZ6" s="149">
        <f t="shared" ref="BZ6:BZ15" si="6">BY6/CM6*100</f>
        <v>46.562331041827157</v>
      </c>
      <c r="CA6" s="155">
        <f>34000/2</f>
        <v>17000</v>
      </c>
      <c r="CB6" s="156">
        <f>299.59/2</f>
        <v>149.79499999999999</v>
      </c>
      <c r="CC6" s="145">
        <f>225.851/2</f>
        <v>112.9255</v>
      </c>
      <c r="CD6" s="145">
        <f>537.661/2</f>
        <v>268.83049999999997</v>
      </c>
      <c r="CE6" s="145">
        <f>671.655/2</f>
        <v>335.82749999999999</v>
      </c>
      <c r="CF6" s="145">
        <f>10.5/2</f>
        <v>5.25</v>
      </c>
      <c r="CG6" s="150">
        <f>SUM(CB6:CF6)</f>
        <v>872.62849999999992</v>
      </c>
      <c r="CH6" s="149">
        <f t="shared" ref="CH6:CH15" si="7">CG6/CM6*100</f>
        <v>31.033541963864092</v>
      </c>
      <c r="CI6" s="145">
        <v>236.46</v>
      </c>
      <c r="CJ6" s="145">
        <v>393.51900000000001</v>
      </c>
      <c r="CK6" s="150">
        <f>CI6+CJ6</f>
        <v>629.97900000000004</v>
      </c>
      <c r="CL6" s="149">
        <f t="shared" ref="CL6:CL15" si="8">CK6/CM6*100</f>
        <v>22.404126994308733</v>
      </c>
      <c r="CM6" s="150">
        <f>BY6+CG6+CK6</f>
        <v>2811.8881854224092</v>
      </c>
      <c r="CN6" s="148">
        <f>CM6/BO6</f>
        <v>25.150157287954002</v>
      </c>
    </row>
    <row r="7" spans="1:92" x14ac:dyDescent="0.25">
      <c r="B7" s="140" t="s">
        <v>102</v>
      </c>
      <c r="C7" s="140" t="s">
        <v>8</v>
      </c>
      <c r="D7" s="129">
        <v>2</v>
      </c>
      <c r="E7" s="141" t="s">
        <v>128</v>
      </c>
      <c r="F7" s="129" t="s">
        <v>21</v>
      </c>
      <c r="G7" s="129" t="s">
        <v>65</v>
      </c>
      <c r="H7" s="129" t="s">
        <v>183</v>
      </c>
      <c r="I7" s="129" t="s">
        <v>67</v>
      </c>
      <c r="J7" s="129" t="s">
        <v>69</v>
      </c>
      <c r="K7" s="129" t="s">
        <v>185</v>
      </c>
      <c r="L7" s="130" t="s">
        <v>185</v>
      </c>
      <c r="M7" s="130" t="s">
        <v>186</v>
      </c>
      <c r="N7" s="141" t="s">
        <v>187</v>
      </c>
      <c r="O7" s="153">
        <v>40725</v>
      </c>
      <c r="P7" s="165">
        <v>2100</v>
      </c>
      <c r="Q7" s="144" t="s">
        <v>70</v>
      </c>
      <c r="R7" s="144" t="s">
        <v>430</v>
      </c>
      <c r="S7" s="129">
        <v>75</v>
      </c>
      <c r="T7" s="129">
        <v>0.93</v>
      </c>
      <c r="U7" s="129">
        <v>15</v>
      </c>
      <c r="V7" s="129">
        <v>978</v>
      </c>
      <c r="W7" s="129">
        <v>150</v>
      </c>
      <c r="X7" s="129">
        <v>40</v>
      </c>
      <c r="Y7" s="129">
        <v>9300</v>
      </c>
      <c r="Z7" s="129">
        <v>8270</v>
      </c>
      <c r="AA7" s="129">
        <v>7500</v>
      </c>
      <c r="AB7" s="129">
        <v>1950</v>
      </c>
      <c r="AC7" s="129">
        <v>25.5</v>
      </c>
      <c r="AD7" s="129">
        <v>384</v>
      </c>
      <c r="AE7" s="129">
        <v>48</v>
      </c>
      <c r="AF7" s="129">
        <v>96</v>
      </c>
      <c r="AG7" s="129">
        <v>96</v>
      </c>
      <c r="AH7" s="129">
        <f t="shared" si="0"/>
        <v>4</v>
      </c>
      <c r="AI7" s="129" t="s">
        <v>190</v>
      </c>
      <c r="AJ7" s="129" t="s">
        <v>182</v>
      </c>
      <c r="AK7" s="129" t="s">
        <v>193</v>
      </c>
      <c r="AL7" s="129">
        <v>80</v>
      </c>
      <c r="AM7" s="129">
        <v>0.93</v>
      </c>
      <c r="AN7" s="129">
        <v>15</v>
      </c>
      <c r="AO7" s="144">
        <v>2</v>
      </c>
      <c r="AP7" s="129">
        <f t="shared" si="1"/>
        <v>3079.2014356780041</v>
      </c>
      <c r="AQ7" s="144">
        <v>881</v>
      </c>
      <c r="AR7" s="129">
        <v>8296</v>
      </c>
      <c r="AS7" s="129">
        <v>7495</v>
      </c>
      <c r="AT7" s="129">
        <v>1980</v>
      </c>
      <c r="AU7" s="129">
        <v>23</v>
      </c>
      <c r="AV7" s="129">
        <v>420</v>
      </c>
      <c r="AW7" s="129">
        <v>42</v>
      </c>
      <c r="AX7" s="129">
        <v>84</v>
      </c>
      <c r="AY7" s="129">
        <v>210</v>
      </c>
      <c r="AZ7" s="129">
        <f t="shared" si="2"/>
        <v>2</v>
      </c>
      <c r="BA7" s="129" t="s">
        <v>190</v>
      </c>
      <c r="BB7" s="129" t="s">
        <v>182</v>
      </c>
      <c r="BC7" s="129" t="s">
        <v>21</v>
      </c>
      <c r="BD7" s="129" t="s">
        <v>193</v>
      </c>
      <c r="BE7" s="129" t="s">
        <v>195</v>
      </c>
      <c r="BF7" s="129" t="s">
        <v>185</v>
      </c>
      <c r="BG7" s="129" t="s">
        <v>186</v>
      </c>
      <c r="BH7" s="129" t="s">
        <v>186</v>
      </c>
      <c r="BI7" s="154"/>
      <c r="BJ7" s="145">
        <v>110.426</v>
      </c>
      <c r="BK7" s="145">
        <v>17.788</v>
      </c>
      <c r="BL7" s="145">
        <v>4.1100000000000003</v>
      </c>
      <c r="BM7" s="147"/>
      <c r="BN7" s="147"/>
      <c r="BO7" s="145">
        <f t="shared" si="3"/>
        <v>132.32400000000001</v>
      </c>
      <c r="BP7" s="145">
        <v>0</v>
      </c>
      <c r="BQ7" s="145">
        <v>490.11799999999999</v>
      </c>
      <c r="BR7" s="148">
        <f t="shared" si="4"/>
        <v>4.4384293554054297</v>
      </c>
      <c r="BS7" s="145">
        <f>(1274.025-60)*(850/1774)+60</f>
        <v>641.69179819616693</v>
      </c>
      <c r="BT7" s="145">
        <f>300.19/2</f>
        <v>150.095</v>
      </c>
      <c r="BU7" s="149">
        <f t="shared" si="5"/>
        <v>36.157950415388022</v>
      </c>
      <c r="BV7" s="145">
        <v>0</v>
      </c>
      <c r="BW7" s="149">
        <v>0</v>
      </c>
      <c r="BX7" s="149">
        <f>22.75/2</f>
        <v>11.375</v>
      </c>
      <c r="BY7" s="150">
        <f>SUM(BP7:BX7)</f>
        <v>1333.8761779669605</v>
      </c>
      <c r="BZ7" s="149">
        <f t="shared" si="6"/>
        <v>47.058519713965701</v>
      </c>
      <c r="CA7" s="155">
        <f>31182/2</f>
        <v>15591</v>
      </c>
      <c r="CB7" s="145">
        <f>249.3/2</f>
        <v>124.65</v>
      </c>
      <c r="CC7" s="145">
        <f>248.4/2</f>
        <v>124.2</v>
      </c>
      <c r="CD7" s="145">
        <f>505.7/2</f>
        <v>252.85</v>
      </c>
      <c r="CE7" s="145">
        <f>712.1/2</f>
        <v>356.05</v>
      </c>
      <c r="CF7" s="145">
        <f>25.8/2</f>
        <v>12.9</v>
      </c>
      <c r="CG7" s="150">
        <f>SUM(CB7:CF7)</f>
        <v>870.65</v>
      </c>
      <c r="CH7" s="149">
        <f t="shared" si="7"/>
        <v>30.716119581212791</v>
      </c>
      <c r="CI7" s="145">
        <v>236.46</v>
      </c>
      <c r="CJ7" s="145">
        <v>393.51900000000001</v>
      </c>
      <c r="CK7" s="150">
        <f>CI7+CJ7</f>
        <v>629.97900000000004</v>
      </c>
      <c r="CL7" s="149">
        <f t="shared" si="8"/>
        <v>22.225360704821519</v>
      </c>
      <c r="CM7" s="150">
        <f t="shared" ref="CM7:CM15" si="9">BY7+CG7+CK7</f>
        <v>2834.5051779669602</v>
      </c>
      <c r="CN7" s="148">
        <f>CM7/BO7</f>
        <v>21.420945391364832</v>
      </c>
    </row>
    <row r="8" spans="1:92" x14ac:dyDescent="0.25">
      <c r="B8" s="140" t="s">
        <v>61</v>
      </c>
      <c r="C8" s="140" t="s">
        <v>8</v>
      </c>
      <c r="D8" s="129">
        <v>3</v>
      </c>
      <c r="E8" s="141" t="s">
        <v>128</v>
      </c>
      <c r="F8" s="129" t="s">
        <v>21</v>
      </c>
      <c r="G8" s="129" t="s">
        <v>22</v>
      </c>
      <c r="H8" s="129" t="s">
        <v>183</v>
      </c>
      <c r="I8" s="129" t="s">
        <v>24</v>
      </c>
      <c r="J8" s="129">
        <v>1953</v>
      </c>
      <c r="K8" s="157" t="s">
        <v>186</v>
      </c>
      <c r="L8" s="130" t="s">
        <v>186</v>
      </c>
      <c r="M8" s="130" t="s">
        <v>186</v>
      </c>
      <c r="N8" s="141" t="s">
        <v>187</v>
      </c>
      <c r="O8" s="153">
        <v>40940</v>
      </c>
      <c r="P8" s="165">
        <v>1900</v>
      </c>
      <c r="Q8" s="144" t="s">
        <v>66</v>
      </c>
      <c r="R8" s="144" t="s">
        <v>430</v>
      </c>
      <c r="S8" s="129">
        <v>21</v>
      </c>
      <c r="T8" s="129">
        <v>0.875</v>
      </c>
      <c r="U8" s="129">
        <v>12</v>
      </c>
      <c r="V8" s="129">
        <v>460</v>
      </c>
      <c r="W8" s="129">
        <v>600</v>
      </c>
      <c r="X8" s="129">
        <v>10</v>
      </c>
      <c r="Y8" s="129">
        <v>4100</v>
      </c>
      <c r="Z8" s="129">
        <v>2880</v>
      </c>
      <c r="AA8" s="129">
        <v>2300</v>
      </c>
      <c r="AB8" s="129">
        <v>1750</v>
      </c>
      <c r="AC8" s="129">
        <v>18</v>
      </c>
      <c r="AD8" s="129">
        <v>192</v>
      </c>
      <c r="AE8" s="129">
        <v>16</v>
      </c>
      <c r="AF8" s="129">
        <v>32</v>
      </c>
      <c r="AG8" s="129">
        <v>64</v>
      </c>
      <c r="AH8" s="129">
        <f t="shared" si="0"/>
        <v>3</v>
      </c>
      <c r="AI8" s="129" t="s">
        <v>189</v>
      </c>
      <c r="AJ8" s="129" t="s">
        <v>182</v>
      </c>
      <c r="AK8" s="129" t="s">
        <v>193</v>
      </c>
      <c r="AL8" s="129">
        <v>25</v>
      </c>
      <c r="AM8" s="129">
        <v>0.84499999999999997</v>
      </c>
      <c r="AN8" s="129">
        <v>12</v>
      </c>
      <c r="AO8" s="129">
        <v>1</v>
      </c>
      <c r="AP8" s="129">
        <f t="shared" si="1"/>
        <v>2405.6261216234411</v>
      </c>
      <c r="AQ8" s="129">
        <v>496</v>
      </c>
      <c r="AR8" s="129">
        <v>2880</v>
      </c>
      <c r="AS8" s="129">
        <v>2300</v>
      </c>
      <c r="AT8" s="129">
        <v>1750</v>
      </c>
      <c r="AU8" s="129">
        <v>18</v>
      </c>
      <c r="AV8" s="129">
        <v>168</v>
      </c>
      <c r="AW8" s="129">
        <v>12</v>
      </c>
      <c r="AX8" s="129">
        <v>24</v>
      </c>
      <c r="AY8" s="129">
        <v>48</v>
      </c>
      <c r="AZ8" s="129">
        <f t="shared" si="2"/>
        <v>3.5</v>
      </c>
      <c r="BA8" s="129" t="s">
        <v>190</v>
      </c>
      <c r="BB8" s="129" t="s">
        <v>182</v>
      </c>
      <c r="BC8" s="129" t="s">
        <v>21</v>
      </c>
      <c r="BD8" s="129" t="s">
        <v>193</v>
      </c>
      <c r="BE8" s="129" t="s">
        <v>212</v>
      </c>
      <c r="BF8" s="129" t="s">
        <v>186</v>
      </c>
      <c r="BG8" s="129" t="s">
        <v>186</v>
      </c>
      <c r="BH8" s="129" t="s">
        <v>186</v>
      </c>
      <c r="BI8" s="145">
        <v>9.6999999999999993</v>
      </c>
      <c r="BJ8" s="145">
        <v>24.465</v>
      </c>
      <c r="BK8" s="146">
        <v>5</v>
      </c>
      <c r="BL8" s="146">
        <v>1.6</v>
      </c>
      <c r="BM8" s="147"/>
      <c r="BN8" s="147"/>
      <c r="BO8" s="145">
        <f t="shared" si="3"/>
        <v>40.765000000000001</v>
      </c>
      <c r="BP8" s="145">
        <v>121.669</v>
      </c>
      <c r="BQ8" s="145">
        <v>138.834</v>
      </c>
      <c r="BR8" s="148">
        <f t="shared" si="4"/>
        <v>5.6748007357449417</v>
      </c>
      <c r="BS8" s="145">
        <v>270.15899999999999</v>
      </c>
      <c r="BT8" s="145">
        <v>0</v>
      </c>
      <c r="BU8" s="149">
        <f t="shared" si="5"/>
        <v>40.933181818181822</v>
      </c>
      <c r="BV8" s="145">
        <v>0</v>
      </c>
      <c r="BW8" s="149">
        <v>-10</v>
      </c>
      <c r="BX8" s="149">
        <v>15</v>
      </c>
      <c r="BY8" s="150">
        <f>SUM(BP8:BX8)</f>
        <v>582.26998255392664</v>
      </c>
      <c r="BZ8" s="149">
        <f t="shared" si="6"/>
        <v>50.753451849150068</v>
      </c>
      <c r="CA8" s="155">
        <v>1038</v>
      </c>
      <c r="CB8" s="158" t="s">
        <v>103</v>
      </c>
      <c r="CC8" s="145">
        <v>0</v>
      </c>
      <c r="CD8" s="159">
        <v>118.26600000000001</v>
      </c>
      <c r="CE8" s="159">
        <v>140.63800000000001</v>
      </c>
      <c r="CF8" s="145">
        <v>107.17</v>
      </c>
      <c r="CG8" s="150">
        <f>SUM(CB8:CF8)</f>
        <v>366.07400000000001</v>
      </c>
      <c r="CH8" s="149">
        <f t="shared" si="7"/>
        <v>31.90877031086697</v>
      </c>
      <c r="CI8" s="145">
        <v>84.272000000000006</v>
      </c>
      <c r="CJ8" s="145">
        <v>114.636</v>
      </c>
      <c r="CK8" s="150">
        <f>CI8+CJ8</f>
        <v>198.90800000000002</v>
      </c>
      <c r="CL8" s="149">
        <f t="shared" si="8"/>
        <v>17.337777839982973</v>
      </c>
      <c r="CM8" s="150">
        <f t="shared" si="9"/>
        <v>1147.2519825539266</v>
      </c>
      <c r="CN8" s="148">
        <f>CM8/BO8</f>
        <v>28.143063474890877</v>
      </c>
    </row>
    <row r="9" spans="1:92" x14ac:dyDescent="0.25">
      <c r="B9" s="140" t="s">
        <v>74</v>
      </c>
      <c r="C9" s="140" t="s">
        <v>8</v>
      </c>
      <c r="D9" s="129">
        <v>1</v>
      </c>
      <c r="E9" s="141" t="s">
        <v>128</v>
      </c>
      <c r="F9" s="129" t="s">
        <v>21</v>
      </c>
      <c r="G9" s="129" t="s">
        <v>65</v>
      </c>
      <c r="H9" s="129" t="s">
        <v>183</v>
      </c>
      <c r="I9" s="129" t="s">
        <v>75</v>
      </c>
      <c r="J9" s="129">
        <v>1962</v>
      </c>
      <c r="K9" s="129" t="s">
        <v>185</v>
      </c>
      <c r="L9" s="130" t="s">
        <v>185</v>
      </c>
      <c r="M9" s="130" t="s">
        <v>185</v>
      </c>
      <c r="N9" s="141" t="s">
        <v>187</v>
      </c>
      <c r="O9" s="153">
        <v>39569</v>
      </c>
      <c r="P9" s="165">
        <v>3300</v>
      </c>
      <c r="Q9" s="144" t="s">
        <v>435</v>
      </c>
      <c r="R9" s="144" t="s">
        <v>430</v>
      </c>
      <c r="S9" s="129">
        <v>63.5</v>
      </c>
      <c r="T9" s="129">
        <v>0.93</v>
      </c>
      <c r="U9" s="129">
        <v>10.5</v>
      </c>
      <c r="V9" s="129">
        <v>779</v>
      </c>
      <c r="W9" s="129">
        <v>107.1</v>
      </c>
      <c r="X9" s="129">
        <v>56</v>
      </c>
      <c r="Y9" s="129">
        <v>10200</v>
      </c>
      <c r="Z9" s="129">
        <v>9090</v>
      </c>
      <c r="AA9" s="129">
        <v>8473.2000000000007</v>
      </c>
      <c r="AB9" s="129">
        <v>1425</v>
      </c>
      <c r="AC9" s="129">
        <v>9.6</v>
      </c>
      <c r="AD9" s="129">
        <v>480</v>
      </c>
      <c r="AE9" s="129">
        <v>40</v>
      </c>
      <c r="AF9" s="129">
        <v>80</v>
      </c>
      <c r="AG9" s="129">
        <v>80</v>
      </c>
      <c r="AH9" s="129">
        <f t="shared" si="0"/>
        <v>6</v>
      </c>
      <c r="AI9" s="129" t="s">
        <v>189</v>
      </c>
      <c r="AJ9" s="129" t="s">
        <v>182</v>
      </c>
      <c r="AK9" s="129" t="s">
        <v>193</v>
      </c>
      <c r="AL9" s="129">
        <v>68</v>
      </c>
      <c r="AM9" s="129">
        <v>0.92</v>
      </c>
      <c r="AN9" s="129">
        <v>10.5</v>
      </c>
      <c r="AO9" s="129">
        <v>2</v>
      </c>
      <c r="AP9" s="129">
        <f t="shared" si="1"/>
        <v>3739.0303147518625</v>
      </c>
      <c r="AQ9" s="129">
        <v>805</v>
      </c>
      <c r="AR9" s="129">
        <v>9026</v>
      </c>
      <c r="AS9" s="129">
        <v>8474</v>
      </c>
      <c r="AT9" s="129">
        <v>1425</v>
      </c>
      <c r="AU9" s="129">
        <v>10</v>
      </c>
      <c r="AV9" s="129">
        <v>480</v>
      </c>
      <c r="AW9" s="129">
        <v>40</v>
      </c>
      <c r="AX9" s="129">
        <v>80</v>
      </c>
      <c r="AY9" s="129">
        <v>240</v>
      </c>
      <c r="AZ9" s="129">
        <f t="shared" si="2"/>
        <v>2</v>
      </c>
      <c r="BA9" s="129" t="s">
        <v>190</v>
      </c>
      <c r="BB9" s="129" t="s">
        <v>182</v>
      </c>
      <c r="BC9" s="129" t="s">
        <v>21</v>
      </c>
      <c r="BD9" s="129" t="s">
        <v>193</v>
      </c>
      <c r="BE9" s="129" t="s">
        <v>194</v>
      </c>
      <c r="BF9" s="129" t="s">
        <v>185</v>
      </c>
      <c r="BG9" s="129" t="s">
        <v>186</v>
      </c>
      <c r="BH9" s="129" t="s">
        <v>186</v>
      </c>
      <c r="BI9" s="154"/>
      <c r="BJ9" s="147">
        <v>61.975999999999999</v>
      </c>
      <c r="BK9" s="147">
        <v>13.131</v>
      </c>
      <c r="BL9" s="147">
        <v>4.6150000000000002</v>
      </c>
      <c r="BM9" s="147"/>
      <c r="BN9" s="147"/>
      <c r="BO9" s="145">
        <f t="shared" si="3"/>
        <v>79.721999999999994</v>
      </c>
      <c r="BP9" s="145">
        <v>41.081000000000003</v>
      </c>
      <c r="BQ9" s="145">
        <v>304.77800000000002</v>
      </c>
      <c r="BR9" s="193">
        <f t="shared" si="4"/>
        <v>4.9176778107654577</v>
      </c>
      <c r="BS9" s="145">
        <f>428.487-37.161</f>
        <v>391.32600000000002</v>
      </c>
      <c r="BT9" s="145">
        <v>126.054</v>
      </c>
      <c r="BU9" s="149">
        <f t="shared" si="5"/>
        <v>29.154739096134335</v>
      </c>
      <c r="BV9" s="145">
        <v>6.9859999999999998</v>
      </c>
      <c r="BW9" s="149">
        <v>23.238</v>
      </c>
      <c r="BX9" s="149">
        <v>25</v>
      </c>
      <c r="BY9" s="150">
        <f t="shared" ref="BY9:BY15" si="10">SUM(BP9:BX9)</f>
        <v>952.53541690689985</v>
      </c>
      <c r="BZ9" s="149">
        <f t="shared" si="6"/>
        <v>49.580582525691433</v>
      </c>
      <c r="CA9" s="155">
        <v>8436</v>
      </c>
      <c r="CB9" s="156">
        <v>113.4</v>
      </c>
      <c r="CC9" s="145">
        <v>14.093999999999999</v>
      </c>
      <c r="CD9" s="145">
        <v>235.14699999999999</v>
      </c>
      <c r="CE9" s="145">
        <v>281.82499999999999</v>
      </c>
      <c r="CF9" s="145">
        <v>25.841000000000001</v>
      </c>
      <c r="CG9" s="150">
        <f t="shared" ref="CG9:CG15" si="11">SUM(CB9:CF9)</f>
        <v>670.3069999999999</v>
      </c>
      <c r="CH9" s="149">
        <f t="shared" si="7"/>
        <v>34.890263334215668</v>
      </c>
      <c r="CI9" s="145">
        <v>137.48500000000001</v>
      </c>
      <c r="CJ9" s="145">
        <v>160.85900000000001</v>
      </c>
      <c r="CK9" s="150">
        <f t="shared" ref="CK9:CK15" si="12">CI9+CJ9</f>
        <v>298.34400000000005</v>
      </c>
      <c r="CL9" s="149">
        <f t="shared" si="8"/>
        <v>15.529154140092889</v>
      </c>
      <c r="CM9" s="150">
        <f t="shared" si="9"/>
        <v>1921.1864169068999</v>
      </c>
      <c r="CN9" s="148">
        <f t="shared" ref="CN9:CN15" si="13">CM9/BO9</f>
        <v>24.098572751648227</v>
      </c>
    </row>
    <row r="10" spans="1:92" x14ac:dyDescent="0.25">
      <c r="B10" s="140" t="s">
        <v>86</v>
      </c>
      <c r="C10" s="140" t="s">
        <v>8</v>
      </c>
      <c r="D10" s="129">
        <v>1</v>
      </c>
      <c r="E10" s="141" t="s">
        <v>128</v>
      </c>
      <c r="F10" s="129" t="s">
        <v>21</v>
      </c>
      <c r="G10" s="129" t="s">
        <v>65</v>
      </c>
      <c r="H10" s="129" t="s">
        <v>183</v>
      </c>
      <c r="I10" s="129" t="s">
        <v>83</v>
      </c>
      <c r="J10" s="129" t="s">
        <v>85</v>
      </c>
      <c r="K10" s="129" t="s">
        <v>185</v>
      </c>
      <c r="L10" s="130" t="s">
        <v>186</v>
      </c>
      <c r="M10" s="130" t="s">
        <v>186</v>
      </c>
      <c r="N10" s="141" t="s">
        <v>187</v>
      </c>
      <c r="O10" s="153">
        <v>41091</v>
      </c>
      <c r="P10" s="165"/>
      <c r="Q10" s="144" t="s">
        <v>435</v>
      </c>
      <c r="R10" s="144" t="s">
        <v>430</v>
      </c>
      <c r="S10" s="129">
        <v>35</v>
      </c>
      <c r="T10" s="129">
        <v>0.91500000000000004</v>
      </c>
      <c r="U10" s="129">
        <v>10.5</v>
      </c>
      <c r="V10" s="129">
        <v>898</v>
      </c>
      <c r="W10" s="129">
        <v>78.900000000000006</v>
      </c>
      <c r="X10" s="129">
        <v>76</v>
      </c>
      <c r="Y10" s="129">
        <v>10700</v>
      </c>
      <c r="Z10" s="144">
        <v>9850</v>
      </c>
      <c r="AA10" s="129">
        <v>9290</v>
      </c>
      <c r="AB10" s="129">
        <v>1050</v>
      </c>
      <c r="AC10" s="129">
        <v>12</v>
      </c>
      <c r="AD10" s="129">
        <v>468</v>
      </c>
      <c r="AE10" s="144">
        <v>52</v>
      </c>
      <c r="AF10" s="129">
        <v>104</v>
      </c>
      <c r="AG10" s="144">
        <v>208</v>
      </c>
      <c r="AH10" s="129">
        <f t="shared" si="0"/>
        <v>2.25</v>
      </c>
      <c r="AI10" s="144" t="s">
        <v>189</v>
      </c>
      <c r="AJ10" s="129" t="s">
        <v>191</v>
      </c>
      <c r="AK10" s="129" t="s">
        <v>193</v>
      </c>
      <c r="AL10" s="129">
        <v>38</v>
      </c>
      <c r="AM10" s="129">
        <v>0.91500000000000004</v>
      </c>
      <c r="AN10" s="129">
        <v>10.5</v>
      </c>
      <c r="AO10" s="129">
        <v>1</v>
      </c>
      <c r="AP10" s="129">
        <f t="shared" si="1"/>
        <v>4178.9162341344345</v>
      </c>
      <c r="AQ10" s="129">
        <v>893</v>
      </c>
      <c r="AR10" s="129">
        <v>9850</v>
      </c>
      <c r="AS10" s="129">
        <v>9290</v>
      </c>
      <c r="AT10" s="129">
        <v>1050</v>
      </c>
      <c r="AU10" s="129">
        <v>12</v>
      </c>
      <c r="AV10" s="129">
        <v>348</v>
      </c>
      <c r="AW10" s="129">
        <v>29</v>
      </c>
      <c r="AX10" s="129">
        <v>58</v>
      </c>
      <c r="AY10" s="129">
        <v>116</v>
      </c>
      <c r="AZ10" s="144">
        <f t="shared" si="2"/>
        <v>3</v>
      </c>
      <c r="BA10" s="129" t="s">
        <v>190</v>
      </c>
      <c r="BB10" s="129" t="s">
        <v>182</v>
      </c>
      <c r="BC10" s="129" t="s">
        <v>21</v>
      </c>
      <c r="BD10" s="129" t="s">
        <v>193</v>
      </c>
      <c r="BE10" s="129" t="s">
        <v>195</v>
      </c>
      <c r="BF10" s="129" t="s">
        <v>185</v>
      </c>
      <c r="BG10" s="129" t="s">
        <v>186</v>
      </c>
      <c r="BH10" s="129" t="s">
        <v>186</v>
      </c>
      <c r="BI10" s="154"/>
      <c r="BJ10" s="147">
        <v>54.548999999999999</v>
      </c>
      <c r="BK10" s="147">
        <v>7.827</v>
      </c>
      <c r="BL10" s="147">
        <v>3.6160000000000001</v>
      </c>
      <c r="BM10" s="147"/>
      <c r="BN10" s="147"/>
      <c r="BO10" s="145">
        <f t="shared" si="3"/>
        <v>65.992000000000004</v>
      </c>
      <c r="BP10" s="145">
        <v>0</v>
      </c>
      <c r="BQ10" s="145">
        <v>340.98599999999999</v>
      </c>
      <c r="BR10" s="148">
        <f t="shared" si="4"/>
        <v>6.2510036847604908</v>
      </c>
      <c r="BS10" s="145">
        <f>270.7-24.179</f>
        <v>246.52099999999999</v>
      </c>
      <c r="BT10" s="145">
        <v>142.61000000000001</v>
      </c>
      <c r="BU10" s="149">
        <f t="shared" si="5"/>
        <v>34.006029887267324</v>
      </c>
      <c r="BV10" s="145">
        <v>0</v>
      </c>
      <c r="BW10" s="149">
        <v>0</v>
      </c>
      <c r="BX10" s="149">
        <v>13.4</v>
      </c>
      <c r="BY10" s="150">
        <f t="shared" si="10"/>
        <v>783.77403357202775</v>
      </c>
      <c r="BZ10" s="149">
        <f t="shared" si="6"/>
        <v>44.517994580554465</v>
      </c>
      <c r="CA10" s="155">
        <v>8342</v>
      </c>
      <c r="CB10" s="156">
        <v>16.946000000000002</v>
      </c>
      <c r="CC10" s="145">
        <v>0</v>
      </c>
      <c r="CD10" s="145">
        <v>123.387</v>
      </c>
      <c r="CE10" s="145">
        <v>313.87799999999999</v>
      </c>
      <c r="CF10" s="145">
        <v>24.3</v>
      </c>
      <c r="CG10" s="150">
        <f t="shared" si="11"/>
        <v>478.51100000000002</v>
      </c>
      <c r="CH10" s="149">
        <f t="shared" si="7"/>
        <v>27.179198585657204</v>
      </c>
      <c r="CI10" s="145">
        <v>118.685</v>
      </c>
      <c r="CJ10" s="145">
        <v>379.608</v>
      </c>
      <c r="CK10" s="150">
        <f t="shared" si="12"/>
        <v>498.29300000000001</v>
      </c>
      <c r="CL10" s="149">
        <f t="shared" si="8"/>
        <v>28.302806833788324</v>
      </c>
      <c r="CM10" s="150">
        <f t="shared" si="9"/>
        <v>1760.5780335720278</v>
      </c>
      <c r="CN10" s="148">
        <f t="shared" si="13"/>
        <v>26.678658527882586</v>
      </c>
    </row>
    <row r="11" spans="1:92" x14ac:dyDescent="0.25">
      <c r="B11" s="140" t="s">
        <v>77</v>
      </c>
      <c r="C11" s="140" t="s">
        <v>8</v>
      </c>
      <c r="D11" s="129">
        <v>1</v>
      </c>
      <c r="E11" s="141" t="s">
        <v>128</v>
      </c>
      <c r="F11" s="129" t="s">
        <v>21</v>
      </c>
      <c r="G11" s="129" t="s">
        <v>22</v>
      </c>
      <c r="H11" s="129" t="s">
        <v>183</v>
      </c>
      <c r="I11" s="129" t="s">
        <v>24</v>
      </c>
      <c r="J11" s="129">
        <v>1959</v>
      </c>
      <c r="K11" s="129" t="s">
        <v>186</v>
      </c>
      <c r="L11" s="130" t="s">
        <v>185</v>
      </c>
      <c r="M11" s="130" t="s">
        <v>186</v>
      </c>
      <c r="N11" s="141" t="s">
        <v>187</v>
      </c>
      <c r="O11" s="153">
        <v>40452</v>
      </c>
      <c r="P11" s="165">
        <v>2500</v>
      </c>
      <c r="Q11" s="144" t="s">
        <v>434</v>
      </c>
      <c r="R11" s="144" t="s">
        <v>430</v>
      </c>
      <c r="S11" s="129">
        <v>39</v>
      </c>
      <c r="T11" s="129">
        <v>0.9</v>
      </c>
      <c r="U11" s="129">
        <v>10.3</v>
      </c>
      <c r="V11" s="129">
        <v>711</v>
      </c>
      <c r="W11" s="129">
        <v>83.3</v>
      </c>
      <c r="X11" s="129">
        <v>72</v>
      </c>
      <c r="Y11" s="129">
        <v>11110</v>
      </c>
      <c r="Z11" s="129">
        <v>10154</v>
      </c>
      <c r="AA11" s="129">
        <v>9600</v>
      </c>
      <c r="AB11" s="129">
        <v>920</v>
      </c>
      <c r="AC11" s="129">
        <v>14</v>
      </c>
      <c r="AD11" s="129">
        <v>405</v>
      </c>
      <c r="AE11" s="129">
        <v>45</v>
      </c>
      <c r="AF11" s="129">
        <v>90</v>
      </c>
      <c r="AG11" s="129">
        <v>180</v>
      </c>
      <c r="AH11" s="129">
        <f>IF(AG11=0,"",AD11/AG11)</f>
        <v>2.25</v>
      </c>
      <c r="AI11" s="129" t="s">
        <v>189</v>
      </c>
      <c r="AJ11" s="129" t="s">
        <v>182</v>
      </c>
      <c r="AK11" s="129" t="s">
        <v>193</v>
      </c>
      <c r="AL11" s="129">
        <v>39</v>
      </c>
      <c r="AM11" s="129">
        <v>0.9</v>
      </c>
      <c r="AN11" s="129">
        <v>10.3</v>
      </c>
      <c r="AO11" s="129">
        <v>1</v>
      </c>
      <c r="AP11" s="129">
        <f t="shared" si="1"/>
        <v>4372.1670870670687</v>
      </c>
      <c r="AQ11" s="129">
        <v>730</v>
      </c>
      <c r="AR11" s="129">
        <v>10180</v>
      </c>
      <c r="AS11" s="129">
        <v>9600</v>
      </c>
      <c r="AT11" s="129">
        <v>920</v>
      </c>
      <c r="AU11" s="129">
        <v>13</v>
      </c>
      <c r="AV11" s="129">
        <v>405</v>
      </c>
      <c r="AW11" s="129">
        <v>45</v>
      </c>
      <c r="AX11" s="129">
        <v>135</v>
      </c>
      <c r="AY11" s="129">
        <v>135</v>
      </c>
      <c r="AZ11" s="129">
        <f t="shared" si="2"/>
        <v>3</v>
      </c>
      <c r="BA11" s="129" t="s">
        <v>190</v>
      </c>
      <c r="BB11" s="129" t="s">
        <v>182</v>
      </c>
      <c r="BC11" s="129" t="s">
        <v>21</v>
      </c>
      <c r="BD11" s="129" t="s">
        <v>193</v>
      </c>
      <c r="BE11" s="129" t="s">
        <v>194</v>
      </c>
      <c r="BF11" s="129" t="s">
        <v>186</v>
      </c>
      <c r="BG11" s="129" t="s">
        <v>186</v>
      </c>
      <c r="BH11" s="129" t="s">
        <v>186</v>
      </c>
      <c r="BI11" s="159">
        <v>16.5</v>
      </c>
      <c r="BJ11" s="145">
        <v>50.747999999999998</v>
      </c>
      <c r="BK11" s="145">
        <v>10.118</v>
      </c>
      <c r="BL11" s="145">
        <v>4.1239999999999997</v>
      </c>
      <c r="BM11" s="147"/>
      <c r="BN11" s="147"/>
      <c r="BO11" s="145">
        <f t="shared" si="3"/>
        <v>81.489999999999981</v>
      </c>
      <c r="BP11" s="145">
        <v>88.444000000000003</v>
      </c>
      <c r="BQ11" s="145">
        <v>279.39100000000002</v>
      </c>
      <c r="BR11" s="148">
        <f t="shared" si="4"/>
        <v>5.5054583431859392</v>
      </c>
      <c r="BS11" s="145">
        <f>514.308-22.267</f>
        <v>492.041</v>
      </c>
      <c r="BT11" s="145">
        <v>134.94900000000001</v>
      </c>
      <c r="BU11" s="149">
        <f t="shared" si="5"/>
        <v>44.024013481252631</v>
      </c>
      <c r="BV11" s="145">
        <v>81.97</v>
      </c>
      <c r="BW11" s="149">
        <v>41.49</v>
      </c>
      <c r="BX11" s="149">
        <v>20.788</v>
      </c>
      <c r="BY11" s="150">
        <f t="shared" si="10"/>
        <v>1188.6024718244387</v>
      </c>
      <c r="BZ11" s="149">
        <f t="shared" si="6"/>
        <v>51.014263070467372</v>
      </c>
      <c r="CA11" s="155">
        <v>11887</v>
      </c>
      <c r="CB11" s="156">
        <v>227.2</v>
      </c>
      <c r="CC11" s="145">
        <v>79.411000000000001</v>
      </c>
      <c r="CD11" s="145">
        <v>125.386</v>
      </c>
      <c r="CE11" s="145">
        <v>360.036</v>
      </c>
      <c r="CF11" s="145">
        <v>12.986000000000001</v>
      </c>
      <c r="CG11" s="150">
        <f t="shared" si="11"/>
        <v>805.01899999999989</v>
      </c>
      <c r="CH11" s="149">
        <f t="shared" si="7"/>
        <v>34.551039574811178</v>
      </c>
      <c r="CI11" s="145">
        <v>148.85499999999999</v>
      </c>
      <c r="CJ11" s="145">
        <v>187.465</v>
      </c>
      <c r="CK11" s="150">
        <f t="shared" si="12"/>
        <v>336.32</v>
      </c>
      <c r="CL11" s="149">
        <f t="shared" si="8"/>
        <v>14.434697354721438</v>
      </c>
      <c r="CM11" s="150">
        <f t="shared" si="9"/>
        <v>2329.9414718244388</v>
      </c>
      <c r="CN11" s="148">
        <f t="shared" si="13"/>
        <v>28.591747107920472</v>
      </c>
    </row>
    <row r="12" spans="1:92" x14ac:dyDescent="0.25">
      <c r="B12" s="140" t="s">
        <v>78</v>
      </c>
      <c r="C12" s="140" t="s">
        <v>8</v>
      </c>
      <c r="D12" s="129">
        <v>4</v>
      </c>
      <c r="E12" s="141" t="s">
        <v>128</v>
      </c>
      <c r="F12" s="129" t="s">
        <v>21</v>
      </c>
      <c r="G12" s="129" t="s">
        <v>22</v>
      </c>
      <c r="H12" s="129" t="s">
        <v>183</v>
      </c>
      <c r="I12" s="129" t="s">
        <v>87</v>
      </c>
      <c r="J12" s="129" t="s">
        <v>88</v>
      </c>
      <c r="K12" s="129" t="s">
        <v>185</v>
      </c>
      <c r="L12" s="130" t="s">
        <v>185</v>
      </c>
      <c r="M12" s="130" t="s">
        <v>186</v>
      </c>
      <c r="N12" s="141" t="s">
        <v>187</v>
      </c>
      <c r="O12" s="153">
        <v>40575</v>
      </c>
      <c r="P12" s="165">
        <v>7200</v>
      </c>
      <c r="Q12" s="144" t="s">
        <v>66</v>
      </c>
      <c r="R12" s="144" t="s">
        <v>431</v>
      </c>
      <c r="S12" s="129">
        <v>88</v>
      </c>
      <c r="T12" s="129">
        <v>0.93</v>
      </c>
      <c r="U12" s="129">
        <v>10.3</v>
      </c>
      <c r="V12" s="129">
        <v>737</v>
      </c>
      <c r="W12" s="129">
        <v>428.6</v>
      </c>
      <c r="X12" s="129">
        <v>14</v>
      </c>
      <c r="Y12" s="129">
        <v>5750</v>
      </c>
      <c r="Z12" s="144">
        <v>4430</v>
      </c>
      <c r="AA12" s="129">
        <v>3510</v>
      </c>
      <c r="AB12" s="129">
        <v>1830</v>
      </c>
      <c r="AC12" s="129">
        <v>21</v>
      </c>
      <c r="AD12" s="129">
        <v>156</v>
      </c>
      <c r="AE12" s="129">
        <v>26</v>
      </c>
      <c r="AF12" s="129">
        <v>52</v>
      </c>
      <c r="AG12" s="129">
        <v>52</v>
      </c>
      <c r="AH12" s="129">
        <f t="shared" ref="AH12:AH19" si="14">IF(AG12=0,"",AD12/AG12)</f>
        <v>3</v>
      </c>
      <c r="AI12" s="129" t="s">
        <v>190</v>
      </c>
      <c r="AJ12" s="129" t="s">
        <v>182</v>
      </c>
      <c r="AK12" s="129" t="s">
        <v>193</v>
      </c>
      <c r="AL12" s="129">
        <v>107</v>
      </c>
      <c r="AM12" s="129">
        <v>0.93</v>
      </c>
      <c r="AN12" s="129">
        <v>10.3</v>
      </c>
      <c r="AO12" s="129">
        <v>2</v>
      </c>
      <c r="AP12" s="129">
        <f t="shared" si="1"/>
        <v>5997.7163886689277</v>
      </c>
      <c r="AQ12" s="129">
        <v>752</v>
      </c>
      <c r="AR12" s="129">
        <v>4430</v>
      </c>
      <c r="AS12" s="129">
        <v>3508</v>
      </c>
      <c r="AT12" s="129">
        <v>2240</v>
      </c>
      <c r="AU12" s="129">
        <v>10</v>
      </c>
      <c r="AV12" s="129">
        <v>156</v>
      </c>
      <c r="AW12" s="129">
        <v>13</v>
      </c>
      <c r="AX12" s="129">
        <v>39</v>
      </c>
      <c r="AY12" s="129">
        <v>52</v>
      </c>
      <c r="AZ12" s="129">
        <f t="shared" si="2"/>
        <v>3</v>
      </c>
      <c r="BA12" s="129" t="s">
        <v>190</v>
      </c>
      <c r="BB12" s="129" t="s">
        <v>182</v>
      </c>
      <c r="BC12" s="129" t="s">
        <v>21</v>
      </c>
      <c r="BD12" s="129" t="s">
        <v>193</v>
      </c>
      <c r="BE12" s="129" t="s">
        <v>194</v>
      </c>
      <c r="BF12" s="129" t="s">
        <v>186</v>
      </c>
      <c r="BG12" s="129" t="s">
        <v>186</v>
      </c>
      <c r="BH12" s="129" t="s">
        <v>186</v>
      </c>
      <c r="BI12" s="160"/>
      <c r="BJ12" s="145">
        <v>77.587000000000003</v>
      </c>
      <c r="BK12" s="145">
        <v>11.125999999999999</v>
      </c>
      <c r="BL12" s="145">
        <v>3.0390000000000001</v>
      </c>
      <c r="BM12" s="147"/>
      <c r="BN12" s="147"/>
      <c r="BO12" s="145">
        <f t="shared" si="3"/>
        <v>91.75200000000001</v>
      </c>
      <c r="BP12" s="145">
        <v>60.975000000000001</v>
      </c>
      <c r="BQ12" s="145">
        <v>245.14599999999999</v>
      </c>
      <c r="BR12" s="193">
        <f t="shared" si="4"/>
        <v>3.1596272571435935</v>
      </c>
      <c r="BS12" s="145">
        <f>(326.436-60)*0.95+60</f>
        <v>313.11419999999998</v>
      </c>
      <c r="BT12" s="145">
        <v>76.855999999999995</v>
      </c>
      <c r="BU12" s="149">
        <f t="shared" si="5"/>
        <v>27.530547123190964</v>
      </c>
      <c r="BV12" s="145">
        <v>16.882999999999999</v>
      </c>
      <c r="BW12" s="149">
        <v>6</v>
      </c>
      <c r="BX12" s="149">
        <v>20.106999999999999</v>
      </c>
      <c r="BY12" s="150">
        <f t="shared" si="10"/>
        <v>769.77137438033458</v>
      </c>
      <c r="BZ12" s="149">
        <f t="shared" si="6"/>
        <v>44.57101012961499</v>
      </c>
      <c r="CA12" s="155">
        <v>7304</v>
      </c>
      <c r="CB12" s="156">
        <v>93.531000000000006</v>
      </c>
      <c r="CC12" s="145">
        <v>11.223000000000001</v>
      </c>
      <c r="CD12" s="145">
        <v>179.58</v>
      </c>
      <c r="CE12" s="145">
        <v>188.93299999999999</v>
      </c>
      <c r="CF12" s="145">
        <v>96.025000000000006</v>
      </c>
      <c r="CG12" s="150">
        <f t="shared" si="11"/>
        <v>569.29200000000003</v>
      </c>
      <c r="CH12" s="149">
        <f t="shared" si="7"/>
        <v>32.962929440101313</v>
      </c>
      <c r="CI12" s="145">
        <v>188</v>
      </c>
      <c r="CJ12" s="145">
        <v>200.00399999999999</v>
      </c>
      <c r="CK12" s="150">
        <f t="shared" si="12"/>
        <v>388.00400000000002</v>
      </c>
      <c r="CL12" s="149">
        <f t="shared" si="8"/>
        <v>22.466060430283701</v>
      </c>
      <c r="CM12" s="150">
        <f t="shared" si="9"/>
        <v>1727.0673743803345</v>
      </c>
      <c r="CN12" s="148">
        <f t="shared" si="13"/>
        <v>18.823212293795606</v>
      </c>
    </row>
    <row r="13" spans="1:92" x14ac:dyDescent="0.25">
      <c r="B13" s="140" t="s">
        <v>79</v>
      </c>
      <c r="C13" s="140" t="s">
        <v>8</v>
      </c>
      <c r="D13" s="129">
        <v>1</v>
      </c>
      <c r="E13" s="141" t="s">
        <v>128</v>
      </c>
      <c r="F13" s="129" t="s">
        <v>21</v>
      </c>
      <c r="G13" s="129" t="s">
        <v>22</v>
      </c>
      <c r="H13" s="129" t="s">
        <v>183</v>
      </c>
      <c r="I13" s="129" t="s">
        <v>75</v>
      </c>
      <c r="J13" s="129">
        <v>1966</v>
      </c>
      <c r="K13" s="129" t="s">
        <v>186</v>
      </c>
      <c r="L13" s="130" t="s">
        <v>185</v>
      </c>
      <c r="M13" s="130" t="s">
        <v>186</v>
      </c>
      <c r="N13" s="141" t="s">
        <v>187</v>
      </c>
      <c r="O13" s="153">
        <v>39692</v>
      </c>
      <c r="P13" s="165">
        <v>1500</v>
      </c>
      <c r="Q13" s="144" t="s">
        <v>84</v>
      </c>
      <c r="R13" s="144" t="s">
        <v>430</v>
      </c>
      <c r="S13" s="129">
        <v>25</v>
      </c>
      <c r="T13" s="129">
        <v>0.9</v>
      </c>
      <c r="U13" s="129">
        <v>5.65</v>
      </c>
      <c r="V13" s="129">
        <v>751</v>
      </c>
      <c r="W13" s="129">
        <v>150</v>
      </c>
      <c r="X13" s="129">
        <v>40</v>
      </c>
      <c r="Y13" s="129">
        <v>6600</v>
      </c>
      <c r="Z13" s="129">
        <v>5810</v>
      </c>
      <c r="AA13" s="129">
        <v>5200</v>
      </c>
      <c r="AB13" s="129">
        <v>890</v>
      </c>
      <c r="AC13" s="129">
        <v>9.5</v>
      </c>
      <c r="AD13" s="129">
        <v>288</v>
      </c>
      <c r="AE13" s="129">
        <v>36</v>
      </c>
      <c r="AF13" s="129">
        <v>72</v>
      </c>
      <c r="AG13" s="129">
        <v>72</v>
      </c>
      <c r="AH13" s="129">
        <f t="shared" si="14"/>
        <v>4</v>
      </c>
      <c r="AI13" s="129" t="s">
        <v>189</v>
      </c>
      <c r="AJ13" s="129" t="s">
        <v>191</v>
      </c>
      <c r="AK13" s="129" t="s">
        <v>193</v>
      </c>
      <c r="AL13" s="129">
        <v>25</v>
      </c>
      <c r="AM13" s="129">
        <v>0.9</v>
      </c>
      <c r="AN13" s="129">
        <v>5.65</v>
      </c>
      <c r="AO13" s="129">
        <v>2</v>
      </c>
      <c r="AP13" s="129">
        <f t="shared" si="1"/>
        <v>2554.6472088036539</v>
      </c>
      <c r="AQ13" s="129">
        <v>751</v>
      </c>
      <c r="AR13" s="129">
        <v>5790</v>
      </c>
      <c r="AS13" s="129">
        <v>5200</v>
      </c>
      <c r="AT13" s="129">
        <v>890</v>
      </c>
      <c r="AU13" s="129">
        <v>9.5</v>
      </c>
      <c r="AV13" s="129">
        <v>264</v>
      </c>
      <c r="AW13" s="129">
        <v>21.667000000000002</v>
      </c>
      <c r="AX13" s="129">
        <v>63</v>
      </c>
      <c r="AY13" s="129">
        <f>AV13/3</f>
        <v>88</v>
      </c>
      <c r="AZ13" s="144">
        <f t="shared" si="2"/>
        <v>3</v>
      </c>
      <c r="BA13" s="129" t="s">
        <v>190</v>
      </c>
      <c r="BB13" s="129" t="s">
        <v>182</v>
      </c>
      <c r="BC13" s="129" t="s">
        <v>21</v>
      </c>
      <c r="BD13" s="129" t="s">
        <v>193</v>
      </c>
      <c r="BE13" s="129" t="s">
        <v>194</v>
      </c>
      <c r="BF13" s="129" t="s">
        <v>186</v>
      </c>
      <c r="BG13" s="129" t="s">
        <v>185</v>
      </c>
      <c r="BH13" s="129" t="s">
        <v>186</v>
      </c>
      <c r="BI13" s="159">
        <v>13.694000000000001</v>
      </c>
      <c r="BJ13" s="145">
        <v>28.393000000000001</v>
      </c>
      <c r="BK13" s="145">
        <v>5.1050000000000004</v>
      </c>
      <c r="BL13" s="145">
        <v>2.0579999999999998</v>
      </c>
      <c r="BM13" s="147">
        <v>3.02</v>
      </c>
      <c r="BN13" s="147"/>
      <c r="BO13" s="145">
        <f t="shared" si="3"/>
        <v>52.27000000000001</v>
      </c>
      <c r="BP13" s="145">
        <v>102.003</v>
      </c>
      <c r="BQ13" s="145">
        <v>207.018</v>
      </c>
      <c r="BR13" s="148">
        <f t="shared" si="4"/>
        <v>7.29116331490156</v>
      </c>
      <c r="BS13" s="145">
        <v>414.709</v>
      </c>
      <c r="BT13" s="145">
        <v>74.003</v>
      </c>
      <c r="BU13" s="149">
        <f t="shared" si="5"/>
        <v>68.227279073014103</v>
      </c>
      <c r="BV13" s="145">
        <v>47.911999999999999</v>
      </c>
      <c r="BW13" s="149">
        <v>22.5</v>
      </c>
      <c r="BX13" s="149">
        <v>70.942999999999998</v>
      </c>
      <c r="BY13" s="150">
        <f t="shared" si="10"/>
        <v>1014.6064423879156</v>
      </c>
      <c r="BZ13" s="149">
        <f t="shared" si="6"/>
        <v>64.124222939982488</v>
      </c>
      <c r="CA13" s="155">
        <v>4048</v>
      </c>
      <c r="CB13" s="156">
        <v>0</v>
      </c>
      <c r="CC13" s="145">
        <v>8.59</v>
      </c>
      <c r="CD13" s="147">
        <v>51.64</v>
      </c>
      <c r="CE13" s="145">
        <v>129.66999999999999</v>
      </c>
      <c r="CF13" s="145">
        <v>44.31</v>
      </c>
      <c r="CG13" s="150">
        <f t="shared" si="11"/>
        <v>234.20999999999998</v>
      </c>
      <c r="CH13" s="149">
        <f t="shared" si="7"/>
        <v>14.80232494821006</v>
      </c>
      <c r="CI13" s="145">
        <v>159.35400000000001</v>
      </c>
      <c r="CJ13" s="145">
        <v>174.08099999999999</v>
      </c>
      <c r="CK13" s="150">
        <f t="shared" si="12"/>
        <v>333.435</v>
      </c>
      <c r="CL13" s="149">
        <f t="shared" si="8"/>
        <v>21.073452111807448</v>
      </c>
      <c r="CM13" s="150">
        <f t="shared" si="9"/>
        <v>1582.2514423879156</v>
      </c>
      <c r="CN13" s="148">
        <f t="shared" si="13"/>
        <v>30.270737371109917</v>
      </c>
    </row>
    <row r="14" spans="1:92" x14ac:dyDescent="0.25">
      <c r="B14" s="140" t="s">
        <v>81</v>
      </c>
      <c r="C14" s="140" t="s">
        <v>8</v>
      </c>
      <c r="D14" s="129">
        <v>1</v>
      </c>
      <c r="E14" s="141" t="s">
        <v>128</v>
      </c>
      <c r="F14" s="129" t="s">
        <v>21</v>
      </c>
      <c r="G14" s="129" t="s">
        <v>22</v>
      </c>
      <c r="H14" s="129" t="s">
        <v>183</v>
      </c>
      <c r="I14" s="129" t="s">
        <v>75</v>
      </c>
      <c r="J14" s="129">
        <v>1969</v>
      </c>
      <c r="K14" s="129" t="s">
        <v>186</v>
      </c>
      <c r="L14" s="130" t="s">
        <v>186</v>
      </c>
      <c r="M14" s="130" t="s">
        <v>186</v>
      </c>
      <c r="N14" s="141" t="s">
        <v>187</v>
      </c>
      <c r="O14" s="153">
        <v>41306</v>
      </c>
      <c r="P14" s="165"/>
      <c r="Q14" s="144" t="s">
        <v>89</v>
      </c>
      <c r="R14" s="144" t="s">
        <v>432</v>
      </c>
      <c r="S14" s="129">
        <v>55</v>
      </c>
      <c r="T14" s="129">
        <v>0.875</v>
      </c>
      <c r="U14" s="129">
        <v>5.65</v>
      </c>
      <c r="V14" s="129">
        <v>1238</v>
      </c>
      <c r="W14" s="129">
        <v>150</v>
      </c>
      <c r="X14" s="129">
        <v>40</v>
      </c>
      <c r="Y14" s="129">
        <v>8200</v>
      </c>
      <c r="Z14" s="161">
        <v>6500</v>
      </c>
      <c r="AA14" s="129">
        <v>5950</v>
      </c>
      <c r="AB14" s="129">
        <v>1530</v>
      </c>
      <c r="AC14" s="129">
        <v>9</v>
      </c>
      <c r="AD14" s="129">
        <v>420</v>
      </c>
      <c r="AE14" s="129">
        <v>30</v>
      </c>
      <c r="AF14" s="129">
        <v>60</v>
      </c>
      <c r="AG14" s="129">
        <v>60</v>
      </c>
      <c r="AH14" s="129">
        <f t="shared" si="14"/>
        <v>7</v>
      </c>
      <c r="AI14" s="129" t="s">
        <v>189</v>
      </c>
      <c r="AJ14" s="129" t="s">
        <v>182</v>
      </c>
      <c r="AK14" s="129" t="s">
        <v>193</v>
      </c>
      <c r="AL14" s="129">
        <v>55</v>
      </c>
      <c r="AM14" s="129">
        <v>0.875</v>
      </c>
      <c r="AN14" s="129">
        <v>5.65</v>
      </c>
      <c r="AO14" s="129">
        <v>4</v>
      </c>
      <c r="AP14" s="129">
        <f t="shared" si="1"/>
        <v>2810.1119296840193</v>
      </c>
      <c r="AQ14" s="129">
        <v>1238</v>
      </c>
      <c r="AR14" s="129">
        <v>6520</v>
      </c>
      <c r="AS14" s="129">
        <v>5952</v>
      </c>
      <c r="AT14" s="129">
        <v>1530</v>
      </c>
      <c r="AU14" s="129">
        <v>10</v>
      </c>
      <c r="AV14" s="129">
        <v>420</v>
      </c>
      <c r="AW14" s="129">
        <v>23</v>
      </c>
      <c r="AX14" s="129">
        <v>46</v>
      </c>
      <c r="AY14" s="129">
        <v>163</v>
      </c>
      <c r="AZ14" s="144">
        <f t="shared" si="2"/>
        <v>2.576687116564417</v>
      </c>
      <c r="BA14" s="129" t="s">
        <v>190</v>
      </c>
      <c r="BB14" s="129" t="s">
        <v>182</v>
      </c>
      <c r="BC14" s="129" t="s">
        <v>21</v>
      </c>
      <c r="BD14" s="129" t="s">
        <v>193</v>
      </c>
      <c r="BE14" s="129" t="s">
        <v>194</v>
      </c>
      <c r="BF14" s="129" t="s">
        <v>186</v>
      </c>
      <c r="BG14" s="129" t="s">
        <v>185</v>
      </c>
      <c r="BH14" s="129" t="s">
        <v>186</v>
      </c>
      <c r="BI14" s="159">
        <v>27.795999999999999</v>
      </c>
      <c r="BJ14" s="145">
        <v>53.262</v>
      </c>
      <c r="BK14" s="145">
        <v>11.647</v>
      </c>
      <c r="BL14" s="145">
        <v>4.2690000000000001</v>
      </c>
      <c r="BM14" s="147"/>
      <c r="BN14" s="147"/>
      <c r="BO14" s="145">
        <f t="shared" si="3"/>
        <v>96.974000000000004</v>
      </c>
      <c r="BP14" s="146">
        <v>125.96</v>
      </c>
      <c r="BQ14" s="145">
        <v>243.04900000000001</v>
      </c>
      <c r="BR14" s="148">
        <f t="shared" si="4"/>
        <v>4.5632721264691529</v>
      </c>
      <c r="BS14" s="145">
        <f>(468-60)*0.95+60</f>
        <v>447.59999999999997</v>
      </c>
      <c r="BT14" s="145">
        <v>140.304</v>
      </c>
      <c r="BU14" s="149">
        <f t="shared" si="5"/>
        <v>36.937924101533049</v>
      </c>
      <c r="BV14" s="145">
        <v>0</v>
      </c>
      <c r="BW14" s="149">
        <v>202.99100000000001</v>
      </c>
      <c r="BX14" s="149">
        <v>54.055</v>
      </c>
      <c r="BY14" s="150">
        <f t="shared" si="10"/>
        <v>1255.4601962280024</v>
      </c>
      <c r="BZ14" s="149">
        <f t="shared" si="6"/>
        <v>55.196292164841495</v>
      </c>
      <c r="CA14" s="155">
        <v>9913</v>
      </c>
      <c r="CB14" s="156">
        <v>33.488</v>
      </c>
      <c r="CC14" s="145">
        <v>8.9440000000000008</v>
      </c>
      <c r="CD14" s="145">
        <v>170.136</v>
      </c>
      <c r="CE14" s="145">
        <v>323.41000000000003</v>
      </c>
      <c r="CF14" s="145">
        <v>14.61</v>
      </c>
      <c r="CG14" s="150">
        <f t="shared" si="11"/>
        <v>550.58800000000008</v>
      </c>
      <c r="CH14" s="149">
        <f t="shared" si="7"/>
        <v>24.206594682780842</v>
      </c>
      <c r="CI14" s="145">
        <v>159.75299999999999</v>
      </c>
      <c r="CJ14" s="145">
        <v>308.73599999999999</v>
      </c>
      <c r="CK14" s="150">
        <f t="shared" si="12"/>
        <v>468.48899999999998</v>
      </c>
      <c r="CL14" s="149">
        <f t="shared" si="8"/>
        <v>20.597113152377659</v>
      </c>
      <c r="CM14" s="150">
        <f t="shared" si="9"/>
        <v>2274.5371962280024</v>
      </c>
      <c r="CN14" s="148">
        <f t="shared" si="13"/>
        <v>23.455124014973109</v>
      </c>
    </row>
    <row r="15" spans="1:92" x14ac:dyDescent="0.25">
      <c r="B15" s="140" t="s">
        <v>82</v>
      </c>
      <c r="C15" s="140" t="s">
        <v>8</v>
      </c>
      <c r="D15" s="129">
        <v>1</v>
      </c>
      <c r="E15" s="141" t="s">
        <v>128</v>
      </c>
      <c r="F15" s="129" t="s">
        <v>21</v>
      </c>
      <c r="G15" s="129" t="s">
        <v>22</v>
      </c>
      <c r="H15" s="129" t="s">
        <v>183</v>
      </c>
      <c r="I15" s="129" t="s">
        <v>83</v>
      </c>
      <c r="J15" s="129">
        <v>1953</v>
      </c>
      <c r="K15" s="129" t="s">
        <v>186</v>
      </c>
      <c r="L15" s="130" t="s">
        <v>186</v>
      </c>
      <c r="M15" s="130" t="s">
        <v>186</v>
      </c>
      <c r="N15" s="141" t="s">
        <v>187</v>
      </c>
      <c r="O15" s="153">
        <v>41306</v>
      </c>
      <c r="P15" s="165"/>
      <c r="Q15" s="144" t="s">
        <v>89</v>
      </c>
      <c r="R15" s="144" t="s">
        <v>432</v>
      </c>
      <c r="S15" s="129">
        <v>36.4</v>
      </c>
      <c r="T15" s="129">
        <v>0.9</v>
      </c>
      <c r="U15" s="129">
        <v>10.3</v>
      </c>
      <c r="V15" s="129">
        <v>730</v>
      </c>
      <c r="W15" s="129">
        <v>375</v>
      </c>
      <c r="X15" s="129">
        <v>16</v>
      </c>
      <c r="Y15" s="129">
        <v>5400</v>
      </c>
      <c r="Z15" s="162">
        <v>4550</v>
      </c>
      <c r="AA15" s="129">
        <v>3640</v>
      </c>
      <c r="AB15" s="129">
        <v>1250</v>
      </c>
      <c r="AC15" s="129">
        <v>15</v>
      </c>
      <c r="AD15" s="129">
        <v>168</v>
      </c>
      <c r="AE15" s="144">
        <v>12</v>
      </c>
      <c r="AF15" s="144">
        <v>36</v>
      </c>
      <c r="AG15" s="144">
        <v>72</v>
      </c>
      <c r="AH15" s="129">
        <f t="shared" si="14"/>
        <v>2.3333333333333335</v>
      </c>
      <c r="AI15" s="129" t="s">
        <v>189</v>
      </c>
      <c r="AJ15" s="129" t="s">
        <v>191</v>
      </c>
      <c r="AK15" s="129" t="s">
        <v>193</v>
      </c>
      <c r="AL15" s="129">
        <v>42</v>
      </c>
      <c r="AM15" s="129">
        <v>0.86</v>
      </c>
      <c r="AN15" s="129">
        <v>10.3</v>
      </c>
      <c r="AO15" s="129">
        <v>1</v>
      </c>
      <c r="AP15" s="129">
        <f t="shared" si="1"/>
        <v>4708.4876322260743</v>
      </c>
      <c r="AQ15" s="129">
        <v>730</v>
      </c>
      <c r="AR15" s="129">
        <v>4550</v>
      </c>
      <c r="AS15" s="129">
        <v>3638</v>
      </c>
      <c r="AT15" s="129">
        <v>1250</v>
      </c>
      <c r="AU15" s="129">
        <v>14</v>
      </c>
      <c r="AV15" s="129">
        <v>156</v>
      </c>
      <c r="AW15" s="129">
        <v>13</v>
      </c>
      <c r="AX15" s="129">
        <v>39</v>
      </c>
      <c r="AY15" s="129">
        <v>78</v>
      </c>
      <c r="AZ15" s="129">
        <f t="shared" si="2"/>
        <v>2</v>
      </c>
      <c r="BA15" s="129" t="s">
        <v>190</v>
      </c>
      <c r="BB15" s="129" t="s">
        <v>182</v>
      </c>
      <c r="BC15" s="129" t="s">
        <v>21</v>
      </c>
      <c r="BD15" s="129" t="s">
        <v>193</v>
      </c>
      <c r="BE15" s="129" t="s">
        <v>194</v>
      </c>
      <c r="BF15" s="129" t="s">
        <v>184</v>
      </c>
      <c r="BG15" s="129" t="s">
        <v>186</v>
      </c>
      <c r="BH15" s="129" t="s">
        <v>184</v>
      </c>
      <c r="BI15" s="163">
        <v>16.75</v>
      </c>
      <c r="BJ15" s="147">
        <v>46.639000000000003</v>
      </c>
      <c r="BK15" s="147">
        <v>5.5579999999999998</v>
      </c>
      <c r="BL15" s="147">
        <v>1.744</v>
      </c>
      <c r="BM15" s="147"/>
      <c r="BN15" s="147"/>
      <c r="BO15" s="145">
        <f t="shared" si="3"/>
        <v>70.691000000000003</v>
      </c>
      <c r="BP15" s="145">
        <v>101.943</v>
      </c>
      <c r="BQ15" s="145">
        <v>170.38900000000001</v>
      </c>
      <c r="BR15" s="148">
        <f t="shared" si="4"/>
        <v>3.6533587769892151</v>
      </c>
      <c r="BS15" s="145">
        <f>162.085-7.695</f>
        <v>154.39000000000001</v>
      </c>
      <c r="BT15" s="145">
        <v>65.820999999999998</v>
      </c>
      <c r="BU15" s="149">
        <f t="shared" si="5"/>
        <v>30.157628047110386</v>
      </c>
      <c r="BV15" s="145">
        <v>37.85</v>
      </c>
      <c r="BW15" s="149">
        <v>67.123000000000005</v>
      </c>
      <c r="BX15" s="149">
        <v>33.448999999999998</v>
      </c>
      <c r="BY15" s="150">
        <f t="shared" si="10"/>
        <v>664.77598682409962</v>
      </c>
      <c r="BZ15" s="149">
        <f t="shared" si="6"/>
        <v>45.542396982962117</v>
      </c>
      <c r="CA15" s="155">
        <v>7398</v>
      </c>
      <c r="CB15" s="156">
        <v>23.675999999999998</v>
      </c>
      <c r="CC15" s="145">
        <v>43.405999999999999</v>
      </c>
      <c r="CD15" s="145">
        <v>81.551000000000002</v>
      </c>
      <c r="CE15" s="145">
        <v>194.67</v>
      </c>
      <c r="CF15" s="145">
        <v>74.317999999999998</v>
      </c>
      <c r="CG15" s="150">
        <f t="shared" si="11"/>
        <v>417.62099999999998</v>
      </c>
      <c r="CH15" s="149">
        <f t="shared" si="7"/>
        <v>28.610331521277093</v>
      </c>
      <c r="CI15" s="145">
        <v>170.59200000000001</v>
      </c>
      <c r="CJ15" s="145">
        <v>206.697</v>
      </c>
      <c r="CK15" s="150">
        <f t="shared" si="12"/>
        <v>377.28899999999999</v>
      </c>
      <c r="CL15" s="149">
        <f t="shared" si="8"/>
        <v>25.847271495760783</v>
      </c>
      <c r="CM15" s="150">
        <f t="shared" si="9"/>
        <v>1459.6859868240997</v>
      </c>
      <c r="CN15" s="148">
        <f t="shared" si="13"/>
        <v>20.648823567697438</v>
      </c>
    </row>
    <row r="16" spans="1:92" x14ac:dyDescent="0.25">
      <c r="B16" s="140" t="s">
        <v>62</v>
      </c>
      <c r="C16" s="140" t="s">
        <v>8</v>
      </c>
      <c r="D16" s="129">
        <v>5</v>
      </c>
      <c r="E16" s="141" t="s">
        <v>127</v>
      </c>
      <c r="F16" s="129" t="s">
        <v>64</v>
      </c>
      <c r="G16" s="129" t="s">
        <v>22</v>
      </c>
      <c r="H16" s="129" t="s">
        <v>183</v>
      </c>
      <c r="I16" s="129" t="s">
        <v>71</v>
      </c>
      <c r="J16" s="129" t="s">
        <v>72</v>
      </c>
      <c r="K16" s="129" t="s">
        <v>185</v>
      </c>
      <c r="L16" s="130" t="s">
        <v>185</v>
      </c>
      <c r="M16" s="130" t="s">
        <v>185</v>
      </c>
      <c r="N16" s="141" t="s">
        <v>187</v>
      </c>
      <c r="O16" s="153">
        <v>41030</v>
      </c>
      <c r="P16" s="165">
        <v>4700</v>
      </c>
      <c r="Q16" s="144" t="s">
        <v>70</v>
      </c>
      <c r="R16" s="144" t="s">
        <v>430</v>
      </c>
      <c r="S16" s="129">
        <v>10</v>
      </c>
      <c r="T16" s="129">
        <v>0.99</v>
      </c>
      <c r="U16" s="129">
        <v>3.5</v>
      </c>
      <c r="V16" s="129">
        <v>1153</v>
      </c>
      <c r="W16" s="129">
        <v>93.8</v>
      </c>
      <c r="X16" s="129">
        <v>64</v>
      </c>
      <c r="Y16" s="129">
        <v>4367</v>
      </c>
      <c r="Z16" s="129">
        <v>4230</v>
      </c>
      <c r="AA16" s="129">
        <v>3853</v>
      </c>
      <c r="AB16" s="129">
        <v>935</v>
      </c>
      <c r="AC16" s="129">
        <v>4.5</v>
      </c>
      <c r="AD16" s="129">
        <v>240</v>
      </c>
      <c r="AE16" s="144"/>
      <c r="AF16" s="144"/>
      <c r="AG16" s="144"/>
      <c r="AH16" s="129" t="str">
        <f t="shared" si="14"/>
        <v/>
      </c>
      <c r="AI16" s="129" t="s">
        <v>190</v>
      </c>
      <c r="AJ16" s="129" t="s">
        <v>182</v>
      </c>
      <c r="AK16" s="129" t="s">
        <v>192</v>
      </c>
      <c r="AL16" s="129">
        <v>11</v>
      </c>
      <c r="AM16" s="129">
        <v>0.995</v>
      </c>
      <c r="AN16" s="129">
        <v>3.5</v>
      </c>
      <c r="AO16" s="129">
        <v>1</v>
      </c>
      <c r="AP16" s="129">
        <f>AL16*1000/SQRT(3)/AN16/AO16*2</f>
        <v>3629.0588349062195</v>
      </c>
      <c r="AQ16" s="129">
        <v>1150</v>
      </c>
      <c r="AR16" s="129">
        <v>4230</v>
      </c>
      <c r="AS16" s="129">
        <v>3853</v>
      </c>
      <c r="AT16" s="129">
        <v>935</v>
      </c>
      <c r="AU16" s="129">
        <v>4.5</v>
      </c>
      <c r="AV16" s="129">
        <v>240</v>
      </c>
      <c r="AW16" s="129">
        <v>15</v>
      </c>
      <c r="AX16" s="129">
        <v>60</v>
      </c>
      <c r="AY16" s="129">
        <v>120</v>
      </c>
      <c r="AZ16" s="129">
        <f>AV16/AY16</f>
        <v>2</v>
      </c>
      <c r="BA16" s="129" t="s">
        <v>190</v>
      </c>
      <c r="BB16" s="129" t="s">
        <v>182</v>
      </c>
      <c r="BC16" s="129" t="s">
        <v>182</v>
      </c>
      <c r="BD16" s="129" t="s">
        <v>192</v>
      </c>
      <c r="BE16" s="129" t="s">
        <v>212</v>
      </c>
      <c r="BF16" s="129" t="s">
        <v>186</v>
      </c>
      <c r="BG16" s="129" t="s">
        <v>185</v>
      </c>
      <c r="BH16" s="129" t="s">
        <v>186</v>
      </c>
      <c r="BI16" s="154"/>
      <c r="BJ16" s="145">
        <v>13.475</v>
      </c>
      <c r="BK16" s="145">
        <v>3.4</v>
      </c>
      <c r="BL16" s="145">
        <v>1.4</v>
      </c>
      <c r="BM16" s="147"/>
      <c r="BN16" s="147"/>
      <c r="BO16" s="145">
        <f>SUM(BI16:BM16)</f>
        <v>18.274999999999999</v>
      </c>
      <c r="BP16" s="145">
        <v>27.792000000000002</v>
      </c>
      <c r="BQ16" s="145">
        <v>135.9</v>
      </c>
      <c r="BR16" s="148">
        <f>BQ16/BJ16</f>
        <v>10.085343228200372</v>
      </c>
      <c r="BS16" s="145">
        <v>227.4</v>
      </c>
      <c r="BT16" s="145">
        <v>64.108999999999995</v>
      </c>
      <c r="BU16" s="149">
        <f>(BS16+BT16)/(BK16+BL16)</f>
        <v>60.73104166666667</v>
      </c>
      <c r="BV16" s="145">
        <v>0</v>
      </c>
      <c r="BW16" s="149">
        <v>-11.726000000000001</v>
      </c>
      <c r="BX16" s="149">
        <v>7.1</v>
      </c>
      <c r="BY16" s="150">
        <f>SUM(BP16:BX16)</f>
        <v>521.39138489486709</v>
      </c>
      <c r="BZ16" s="149">
        <f>BY16/CM16*100</f>
        <v>46.106899724006261</v>
      </c>
      <c r="CA16" s="155">
        <f>26869/5</f>
        <v>5373.8</v>
      </c>
      <c r="CB16" s="164">
        <v>0</v>
      </c>
      <c r="CC16" s="156">
        <v>0</v>
      </c>
      <c r="CD16" s="156">
        <f>535.111/5</f>
        <v>107.0222</v>
      </c>
      <c r="CE16" s="156">
        <f>888.485/5</f>
        <v>177.697</v>
      </c>
      <c r="CF16" s="145">
        <v>0</v>
      </c>
      <c r="CG16" s="150">
        <f>SUM(CB16:CF16)</f>
        <v>284.7192</v>
      </c>
      <c r="CH16" s="149">
        <f>CG16/CM16*100</f>
        <v>25.177860594198933</v>
      </c>
      <c r="CI16" s="145">
        <v>138.73099999999999</v>
      </c>
      <c r="CJ16" s="145">
        <v>185.99</v>
      </c>
      <c r="CK16" s="150">
        <f>CI16+CJ16</f>
        <v>324.721</v>
      </c>
      <c r="CL16" s="149">
        <f>CK16/CM16*100</f>
        <v>28.715239681794806</v>
      </c>
      <c r="CM16" s="150">
        <f>BY16+CG16+CK16</f>
        <v>1130.8315848948671</v>
      </c>
      <c r="CN16" s="148">
        <f>CM16/BO16</f>
        <v>61.878609296572762</v>
      </c>
    </row>
    <row r="17" spans="2:92" x14ac:dyDescent="0.25">
      <c r="B17" s="140" t="s">
        <v>63</v>
      </c>
      <c r="C17" s="140" t="s">
        <v>8</v>
      </c>
      <c r="D17" s="129">
        <v>1</v>
      </c>
      <c r="E17" s="141" t="s">
        <v>127</v>
      </c>
      <c r="F17" s="129" t="s">
        <v>64</v>
      </c>
      <c r="G17" s="129" t="s">
        <v>65</v>
      </c>
      <c r="H17" s="129" t="s">
        <v>183</v>
      </c>
      <c r="I17" s="129" t="s">
        <v>188</v>
      </c>
      <c r="J17" s="129">
        <v>1979</v>
      </c>
      <c r="K17" s="129" t="s">
        <v>186</v>
      </c>
      <c r="L17" s="130" t="s">
        <v>185</v>
      </c>
      <c r="M17" s="130" t="s">
        <v>186</v>
      </c>
      <c r="N17" s="141" t="s">
        <v>187</v>
      </c>
      <c r="O17" s="153">
        <v>41456</v>
      </c>
      <c r="P17" s="165"/>
      <c r="Q17" s="144" t="s">
        <v>73</v>
      </c>
      <c r="R17" s="144" t="s">
        <v>432</v>
      </c>
      <c r="S17" s="129">
        <v>18.2</v>
      </c>
      <c r="T17" s="129">
        <v>0.99</v>
      </c>
      <c r="U17" s="129">
        <v>3</v>
      </c>
      <c r="V17" s="129">
        <v>1170</v>
      </c>
      <c r="W17" s="129">
        <v>75</v>
      </c>
      <c r="X17" s="129">
        <v>80</v>
      </c>
      <c r="Y17" s="129">
        <v>5600</v>
      </c>
      <c r="Z17" s="129">
        <v>5432</v>
      </c>
      <c r="AA17" s="129">
        <v>5070</v>
      </c>
      <c r="AB17" s="129">
        <v>1170</v>
      </c>
      <c r="AC17" s="129">
        <v>6</v>
      </c>
      <c r="AD17" s="129">
        <v>330</v>
      </c>
      <c r="AE17" s="144">
        <v>33</v>
      </c>
      <c r="AF17" s="129">
        <v>66</v>
      </c>
      <c r="AG17" s="129">
        <v>132</v>
      </c>
      <c r="AH17" s="129">
        <f t="shared" si="14"/>
        <v>2.5</v>
      </c>
      <c r="AI17" s="129" t="s">
        <v>190</v>
      </c>
      <c r="AJ17" s="129" t="s">
        <v>182</v>
      </c>
      <c r="AK17" s="129" t="s">
        <v>192</v>
      </c>
      <c r="AL17" s="129">
        <v>19</v>
      </c>
      <c r="AM17" s="129">
        <v>1</v>
      </c>
      <c r="AN17" s="129">
        <v>3</v>
      </c>
      <c r="AO17" s="129">
        <v>2</v>
      </c>
      <c r="AP17" s="129">
        <f>AL17*1000/SQRT(3)/AN17/AO17*2</f>
        <v>3656.5517048676302</v>
      </c>
      <c r="AQ17" s="129">
        <v>1086</v>
      </c>
      <c r="AR17" s="129">
        <v>5480</v>
      </c>
      <c r="AS17" s="129">
        <v>5070</v>
      </c>
      <c r="AT17" s="129">
        <v>1190</v>
      </c>
      <c r="AU17" s="129">
        <v>6</v>
      </c>
      <c r="AV17" s="129">
        <v>336</v>
      </c>
      <c r="AW17" s="129">
        <v>28</v>
      </c>
      <c r="AX17" s="129">
        <v>56</v>
      </c>
      <c r="AY17" s="129">
        <v>168</v>
      </c>
      <c r="AZ17" s="129">
        <f>AV17/AY17</f>
        <v>2</v>
      </c>
      <c r="BA17" s="129" t="s">
        <v>190</v>
      </c>
      <c r="BB17" s="129" t="s">
        <v>182</v>
      </c>
      <c r="BC17" s="129" t="s">
        <v>21</v>
      </c>
      <c r="BD17" s="129" t="s">
        <v>192</v>
      </c>
      <c r="BE17" s="129" t="s">
        <v>194</v>
      </c>
      <c r="BF17" s="129" t="s">
        <v>185</v>
      </c>
      <c r="BG17" s="129" t="s">
        <v>186</v>
      </c>
      <c r="BH17" s="129" t="s">
        <v>186</v>
      </c>
      <c r="BI17" s="146">
        <v>56.4</v>
      </c>
      <c r="BJ17" s="145">
        <v>24.64</v>
      </c>
      <c r="BK17" s="145">
        <v>5.351</v>
      </c>
      <c r="BL17" s="145">
        <v>1.67</v>
      </c>
      <c r="BM17" s="147"/>
      <c r="BN17" s="147"/>
      <c r="BO17" s="145">
        <f>SUM(BI17:BM17)</f>
        <v>88.060999999999993</v>
      </c>
      <c r="BP17" s="145">
        <v>402.55</v>
      </c>
      <c r="BQ17" s="145">
        <v>228.346</v>
      </c>
      <c r="BR17" s="148">
        <f>BQ17/BJ17</f>
        <v>9.267288961038961</v>
      </c>
      <c r="BS17" s="145">
        <v>221.364</v>
      </c>
      <c r="BT17" s="145">
        <v>86.409000000000006</v>
      </c>
      <c r="BU17" s="149">
        <f>(BS17+BT17)/(BK17+BL17)</f>
        <v>43.836063238854869</v>
      </c>
      <c r="BV17" s="145"/>
      <c r="BW17" s="149">
        <v>43.238999999999997</v>
      </c>
      <c r="BX17" s="149">
        <v>23.052</v>
      </c>
      <c r="BY17" s="150">
        <f>SUM(BP17:BX17)</f>
        <v>1058.0633521998936</v>
      </c>
      <c r="BZ17" s="149">
        <f>BY17/CM17*100</f>
        <v>53.63049493801676</v>
      </c>
      <c r="CA17" s="155">
        <v>5620</v>
      </c>
      <c r="CB17" s="156">
        <v>81.935000000000002</v>
      </c>
      <c r="CC17" s="156">
        <v>2.7109999999999999</v>
      </c>
      <c r="CD17" s="145">
        <v>166.58</v>
      </c>
      <c r="CE17" s="145">
        <v>139.55000000000001</v>
      </c>
      <c r="CF17" s="145"/>
      <c r="CG17" s="150">
        <f>SUM(CB17:CF17)</f>
        <v>390.77600000000001</v>
      </c>
      <c r="CH17" s="149">
        <f>CG17/CM17*100</f>
        <v>19.807424807148085</v>
      </c>
      <c r="CI17" s="145">
        <v>224.78200000000001</v>
      </c>
      <c r="CJ17" s="145">
        <v>299.255</v>
      </c>
      <c r="CK17" s="150">
        <f>CI17+CJ17</f>
        <v>524.03700000000003</v>
      </c>
      <c r="CL17" s="149">
        <f>CK17/CM17*100</f>
        <v>26.562080254835152</v>
      </c>
      <c r="CM17" s="150">
        <f>BY17+CG17+CK17</f>
        <v>1972.8763521998937</v>
      </c>
      <c r="CN17" s="148">
        <f>CM17/BO17</f>
        <v>22.403519744266973</v>
      </c>
    </row>
    <row r="18" spans="2:92" x14ac:dyDescent="0.25">
      <c r="B18" s="140" t="s">
        <v>80</v>
      </c>
      <c r="C18" s="140" t="s">
        <v>8</v>
      </c>
      <c r="D18" s="129">
        <v>2</v>
      </c>
      <c r="E18" s="141" t="s">
        <v>128</v>
      </c>
      <c r="F18" s="129" t="s">
        <v>21</v>
      </c>
      <c r="G18" s="129" t="s">
        <v>22</v>
      </c>
      <c r="H18" s="129" t="s">
        <v>183</v>
      </c>
      <c r="I18" s="129" t="s">
        <v>67</v>
      </c>
      <c r="J18" s="129">
        <v>1959</v>
      </c>
      <c r="K18" s="129">
        <v>1</v>
      </c>
      <c r="L18" s="130" t="s">
        <v>186</v>
      </c>
      <c r="M18" s="130" t="s">
        <v>186</v>
      </c>
      <c r="N18" s="141" t="s">
        <v>187</v>
      </c>
      <c r="O18" s="153">
        <v>39569</v>
      </c>
      <c r="P18" s="165">
        <v>2100</v>
      </c>
      <c r="Q18" s="144" t="s">
        <v>84</v>
      </c>
      <c r="R18" s="144" t="s">
        <v>431</v>
      </c>
      <c r="S18" s="129">
        <v>14.4</v>
      </c>
      <c r="T18" s="129">
        <v>0.9</v>
      </c>
      <c r="U18" s="129">
        <v>5.7</v>
      </c>
      <c r="V18" s="129">
        <v>840</v>
      </c>
      <c r="W18" s="129">
        <v>107.1</v>
      </c>
      <c r="X18" s="129">
        <v>56</v>
      </c>
      <c r="Y18" s="129">
        <v>7810</v>
      </c>
      <c r="Z18" s="161">
        <v>6750</v>
      </c>
      <c r="AA18" s="129">
        <v>6310</v>
      </c>
      <c r="AB18" s="129">
        <v>700</v>
      </c>
      <c r="AC18" s="129">
        <v>14</v>
      </c>
      <c r="AD18" s="129">
        <v>312</v>
      </c>
      <c r="AE18" s="129">
        <v>34.659999999999997</v>
      </c>
      <c r="AF18" s="129">
        <v>52</v>
      </c>
      <c r="AG18" s="129">
        <v>52</v>
      </c>
      <c r="AH18" s="129">
        <f t="shared" si="14"/>
        <v>6</v>
      </c>
      <c r="AI18" s="129" t="s">
        <v>189</v>
      </c>
      <c r="AJ18" s="129" t="s">
        <v>182</v>
      </c>
      <c r="AK18" s="129" t="s">
        <v>193</v>
      </c>
      <c r="AL18" s="129">
        <v>14.4</v>
      </c>
      <c r="AM18" s="129">
        <v>0.9</v>
      </c>
      <c r="AN18" s="129">
        <v>5.7</v>
      </c>
      <c r="AO18" s="129">
        <v>1</v>
      </c>
      <c r="AP18" s="129">
        <f t="shared" si="1"/>
        <v>2917.138202221267</v>
      </c>
      <c r="AQ18" s="129">
        <v>605</v>
      </c>
      <c r="AR18" s="129">
        <v>6757</v>
      </c>
      <c r="AS18" s="129">
        <v>6310</v>
      </c>
      <c r="AT18" s="129">
        <v>700</v>
      </c>
      <c r="AU18" s="129">
        <v>8.5</v>
      </c>
      <c r="AV18" s="129">
        <v>312</v>
      </c>
      <c r="AW18" s="129">
        <v>26</v>
      </c>
      <c r="AX18" s="129">
        <v>52</v>
      </c>
      <c r="AY18" s="129">
        <f>AV18/2</f>
        <v>156</v>
      </c>
      <c r="AZ18" s="144">
        <f>AV18/AY18</f>
        <v>2</v>
      </c>
      <c r="BA18" s="129" t="s">
        <v>190</v>
      </c>
      <c r="BB18" s="129" t="s">
        <v>182</v>
      </c>
      <c r="BC18" s="129" t="s">
        <v>21</v>
      </c>
      <c r="BD18" s="129" t="s">
        <v>193</v>
      </c>
      <c r="BE18" s="129" t="s">
        <v>194</v>
      </c>
      <c r="BF18" s="129" t="s">
        <v>185</v>
      </c>
      <c r="BG18" s="129" t="s">
        <v>186</v>
      </c>
      <c r="BH18" s="129" t="s">
        <v>186</v>
      </c>
      <c r="BI18" s="159">
        <v>12.34</v>
      </c>
      <c r="BJ18" s="145">
        <v>19.748000000000001</v>
      </c>
      <c r="BK18" s="145">
        <v>4.7229999999999999</v>
      </c>
      <c r="BL18" s="145">
        <v>2.5870000000000002</v>
      </c>
      <c r="BM18" s="147">
        <v>10.878</v>
      </c>
      <c r="BN18" s="147"/>
      <c r="BO18" s="145">
        <f>SUM(BI18:BM18)</f>
        <v>50.276000000000003</v>
      </c>
      <c r="BP18" s="145">
        <f>99.071/2</f>
        <v>49.535499999999999</v>
      </c>
      <c r="BQ18" s="145">
        <f>119.609</f>
        <v>119.60899999999999</v>
      </c>
      <c r="BR18" s="148">
        <f t="shared" si="4"/>
        <v>6.0567652420498268</v>
      </c>
      <c r="BS18" s="145">
        <v>192</v>
      </c>
      <c r="BT18" s="145">
        <v>36.548999999999999</v>
      </c>
      <c r="BU18" s="149">
        <f t="shared" si="5"/>
        <v>31.265253077975373</v>
      </c>
      <c r="BV18" s="145">
        <v>25.722000000000001</v>
      </c>
      <c r="BW18" s="149">
        <f>18.363/2</f>
        <v>9.1814999999999998</v>
      </c>
      <c r="BX18" s="149">
        <f>33.825/2</f>
        <v>16.912500000000001</v>
      </c>
      <c r="BY18" s="150">
        <f>SUM(BP18:BX18)</f>
        <v>486.83151832002522</v>
      </c>
      <c r="BZ18" s="149">
        <f>BY18/CM18*100</f>
        <v>54.980353051715866</v>
      </c>
      <c r="CA18" s="165"/>
      <c r="CB18" s="165"/>
      <c r="CC18" s="165"/>
      <c r="CD18" s="165"/>
      <c r="CE18" s="165"/>
      <c r="CF18" s="165"/>
      <c r="CG18" s="150"/>
      <c r="CH18" s="149"/>
      <c r="CI18" s="145">
        <v>148.63300000000001</v>
      </c>
      <c r="CJ18" s="145">
        <v>250</v>
      </c>
      <c r="CK18" s="150">
        <f>CI18+CJ18</f>
        <v>398.63300000000004</v>
      </c>
      <c r="CL18" s="149">
        <f>CK18/CM18*100</f>
        <v>45.019646948284134</v>
      </c>
      <c r="CM18" s="150">
        <f>BY18+CG18+CK18</f>
        <v>885.46451832002526</v>
      </c>
      <c r="CN18" s="148">
        <f>CM18/BO18</f>
        <v>17.612071730448427</v>
      </c>
    </row>
    <row r="19" spans="2:92" x14ac:dyDescent="0.25">
      <c r="B19" s="140" t="s">
        <v>437</v>
      </c>
      <c r="C19" s="140" t="s">
        <v>8</v>
      </c>
      <c r="D19" s="129">
        <v>1</v>
      </c>
      <c r="E19" s="141" t="s">
        <v>128</v>
      </c>
      <c r="F19" s="129" t="s">
        <v>21</v>
      </c>
      <c r="G19" s="129" t="s">
        <v>22</v>
      </c>
      <c r="H19" s="129" t="s">
        <v>183</v>
      </c>
      <c r="I19" s="129" t="s">
        <v>24</v>
      </c>
      <c r="J19" s="144"/>
      <c r="K19" s="129" t="s">
        <v>186</v>
      </c>
      <c r="L19" s="130" t="s">
        <v>185</v>
      </c>
      <c r="M19" s="130" t="s">
        <v>185</v>
      </c>
      <c r="N19" s="141" t="s">
        <v>187</v>
      </c>
      <c r="O19" s="153">
        <v>38991</v>
      </c>
      <c r="P19" s="269">
        <v>4200</v>
      </c>
      <c r="Q19" s="144" t="s">
        <v>91</v>
      </c>
      <c r="R19" s="144" t="s">
        <v>430</v>
      </c>
      <c r="S19" s="129">
        <v>42</v>
      </c>
      <c r="T19" s="129">
        <v>0.9</v>
      </c>
      <c r="U19" s="129">
        <v>10.3</v>
      </c>
      <c r="V19" s="129">
        <v>1103</v>
      </c>
      <c r="W19" s="129">
        <v>75</v>
      </c>
      <c r="X19" s="129">
        <v>80</v>
      </c>
      <c r="Y19" s="162">
        <v>12230</v>
      </c>
      <c r="Z19" s="129">
        <v>10900</v>
      </c>
      <c r="AA19" s="129">
        <v>10300</v>
      </c>
      <c r="AB19" s="144">
        <v>1110</v>
      </c>
      <c r="AC19" s="129">
        <v>12.5</v>
      </c>
      <c r="AD19" s="129">
        <v>345</v>
      </c>
      <c r="AE19" s="129">
        <v>34.5</v>
      </c>
      <c r="AF19" s="144"/>
      <c r="AG19" s="144"/>
      <c r="AH19" s="129" t="str">
        <f t="shared" si="14"/>
        <v/>
      </c>
      <c r="AI19" s="129" t="s">
        <v>189</v>
      </c>
      <c r="AJ19" s="129" t="s">
        <v>182</v>
      </c>
      <c r="AK19" s="129" t="s">
        <v>193</v>
      </c>
      <c r="AL19" s="129">
        <v>45</v>
      </c>
      <c r="AM19" s="144">
        <v>0.9</v>
      </c>
      <c r="AN19" s="129">
        <v>10.3</v>
      </c>
      <c r="AO19" s="144">
        <v>2</v>
      </c>
      <c r="AP19" s="144">
        <f t="shared" si="1"/>
        <v>2522.4040886925395</v>
      </c>
      <c r="AQ19" s="144">
        <v>1090</v>
      </c>
      <c r="AR19" s="129">
        <v>10980</v>
      </c>
      <c r="AS19" s="129">
        <v>10300</v>
      </c>
      <c r="AT19" s="129">
        <v>1110</v>
      </c>
      <c r="AU19" s="129">
        <v>12.5</v>
      </c>
      <c r="AV19" s="129">
        <v>600</v>
      </c>
      <c r="AW19" s="129">
        <v>37.5</v>
      </c>
      <c r="AX19" s="129">
        <v>75</v>
      </c>
      <c r="AY19" s="129">
        <v>300</v>
      </c>
      <c r="AZ19" s="129">
        <f t="shared" si="2"/>
        <v>2</v>
      </c>
      <c r="BA19" s="129" t="s">
        <v>190</v>
      </c>
      <c r="BB19" s="129" t="s">
        <v>182</v>
      </c>
      <c r="BC19" s="129" t="s">
        <v>21</v>
      </c>
      <c r="BD19" s="129" t="s">
        <v>193</v>
      </c>
      <c r="BE19" s="129" t="s">
        <v>194</v>
      </c>
      <c r="BF19" s="129" t="s">
        <v>186</v>
      </c>
      <c r="BG19" s="129" t="s">
        <v>186</v>
      </c>
      <c r="BH19" s="129" t="s">
        <v>186</v>
      </c>
      <c r="BI19" s="163">
        <v>24.635999999999999</v>
      </c>
      <c r="BJ19" s="147">
        <v>83.293999999999997</v>
      </c>
      <c r="BK19" s="147">
        <v>10.042999999999999</v>
      </c>
      <c r="BL19" s="147">
        <v>4.6520000000000001</v>
      </c>
      <c r="BM19" s="147"/>
      <c r="BN19" s="147"/>
      <c r="BO19" s="145">
        <f t="shared" si="3"/>
        <v>122.62499999999999</v>
      </c>
      <c r="BP19" s="145">
        <v>141.46</v>
      </c>
      <c r="BQ19" s="145">
        <v>358.92</v>
      </c>
      <c r="BR19" s="148">
        <f t="shared" si="4"/>
        <v>4.309073882872716</v>
      </c>
      <c r="BS19" s="145">
        <v>578.57000000000005</v>
      </c>
      <c r="BT19" s="145">
        <v>134.11799999999999</v>
      </c>
      <c r="BU19" s="149">
        <f t="shared" si="5"/>
        <v>48.498673018033351</v>
      </c>
      <c r="BV19" s="145"/>
      <c r="BW19" s="145"/>
      <c r="BX19" s="149">
        <v>13.268000000000001</v>
      </c>
      <c r="BY19" s="150">
        <f>SUM(BP19:BX19)</f>
        <v>1279.1437469009061</v>
      </c>
      <c r="BZ19" s="149"/>
      <c r="CA19" s="166"/>
      <c r="CB19" s="156"/>
      <c r="CC19" s="145"/>
      <c r="CD19" s="145"/>
      <c r="CE19" s="145"/>
      <c r="CF19" s="145"/>
      <c r="CG19" s="150">
        <v>594.08900000000006</v>
      </c>
      <c r="CH19" s="149">
        <f t="shared" ref="CH19" si="15">CG19/CM19*100</f>
        <v>27.513893574126342</v>
      </c>
      <c r="CI19" s="145">
        <v>150</v>
      </c>
      <c r="CJ19" s="145">
        <v>136</v>
      </c>
      <c r="CK19" s="150">
        <f>CI19+CJ19</f>
        <v>286</v>
      </c>
      <c r="CL19" s="149">
        <f>CK19/CM19*100</f>
        <v>13.245445652419304</v>
      </c>
      <c r="CM19" s="150">
        <f>BY19+CG19+CK19</f>
        <v>2159.232746900906</v>
      </c>
      <c r="CN19" s="148">
        <f>CM19/BO19</f>
        <v>17.608421993075687</v>
      </c>
    </row>
    <row r="20" spans="2:92" x14ac:dyDescent="0.25">
      <c r="B20" s="167" t="s">
        <v>146</v>
      </c>
      <c r="C20" s="167" t="s">
        <v>181</v>
      </c>
      <c r="D20" s="129">
        <v>1</v>
      </c>
      <c r="E20" s="140"/>
      <c r="F20" s="129" t="s">
        <v>64</v>
      </c>
      <c r="G20" s="129"/>
      <c r="H20" s="129"/>
      <c r="I20" s="129"/>
      <c r="J20" s="129"/>
      <c r="K20" s="129" t="s">
        <v>185</v>
      </c>
      <c r="L20" s="130"/>
      <c r="M20" s="129"/>
      <c r="N20" s="129" t="s">
        <v>181</v>
      </c>
      <c r="O20" s="168">
        <v>41061</v>
      </c>
      <c r="P20" s="268"/>
      <c r="Q20" s="129"/>
      <c r="R20" s="129"/>
      <c r="S20" s="129"/>
      <c r="T20" s="129"/>
      <c r="U20" s="129">
        <v>16</v>
      </c>
      <c r="V20" s="129"/>
      <c r="W20" s="129">
        <v>600</v>
      </c>
      <c r="X20" s="129">
        <v>10</v>
      </c>
      <c r="Y20" s="129"/>
      <c r="Z20" s="129"/>
      <c r="AA20" s="129"/>
      <c r="AB20" s="129"/>
      <c r="AC20" s="129"/>
      <c r="AD20" s="129"/>
      <c r="AE20" s="129"/>
      <c r="AF20" s="129"/>
      <c r="AG20" s="129"/>
      <c r="AH20" s="129"/>
      <c r="AI20" s="140"/>
      <c r="AJ20" s="140"/>
      <c r="AK20" s="140"/>
      <c r="AL20" s="129">
        <v>5.5</v>
      </c>
      <c r="AM20" s="129"/>
      <c r="AN20" s="129">
        <v>16</v>
      </c>
      <c r="AO20" s="129"/>
      <c r="AP20" s="129"/>
      <c r="AQ20" s="129"/>
      <c r="AR20" s="129"/>
      <c r="AS20" s="129">
        <v>1912</v>
      </c>
      <c r="AT20" s="129">
        <v>560</v>
      </c>
      <c r="AU20" s="129"/>
      <c r="AV20" s="129">
        <v>114</v>
      </c>
      <c r="AW20" s="129"/>
      <c r="AX20" s="129"/>
      <c r="AY20" s="129"/>
      <c r="AZ20" s="129"/>
      <c r="BA20" s="129"/>
      <c r="BB20" s="140"/>
      <c r="BC20" s="129" t="s">
        <v>210</v>
      </c>
      <c r="BD20" s="129"/>
      <c r="BE20" s="129" t="s">
        <v>212</v>
      </c>
      <c r="BF20" s="140"/>
      <c r="BG20" s="140"/>
      <c r="BH20" s="140"/>
      <c r="BI20" s="140"/>
      <c r="BJ20" s="140"/>
      <c r="BK20" s="140"/>
      <c r="BL20" s="140"/>
      <c r="BM20" s="140"/>
      <c r="BN20" s="140"/>
      <c r="BO20" s="140">
        <v>9.9</v>
      </c>
      <c r="BP20" s="140"/>
      <c r="BQ20" s="140"/>
      <c r="BR20" s="148"/>
      <c r="BS20" s="140"/>
      <c r="BT20" s="140"/>
      <c r="BU20" s="149"/>
      <c r="BV20" s="140"/>
      <c r="BW20" s="140"/>
      <c r="BX20" s="140"/>
      <c r="BY20" s="145">
        <v>209.21700000000001</v>
      </c>
      <c r="BZ20" s="140"/>
      <c r="CA20" s="140"/>
      <c r="CB20" s="140"/>
      <c r="CC20" s="140"/>
      <c r="CD20" s="140"/>
      <c r="CE20" s="140"/>
      <c r="CF20" s="140"/>
      <c r="CG20" s="140"/>
      <c r="CH20" s="140"/>
      <c r="CI20" s="140"/>
      <c r="CJ20" s="140"/>
      <c r="CK20" s="140"/>
      <c r="CL20" s="140"/>
      <c r="CM20" s="140"/>
      <c r="CN20" s="140"/>
    </row>
    <row r="21" spans="2:92" x14ac:dyDescent="0.25">
      <c r="B21" s="169" t="s">
        <v>129</v>
      </c>
      <c r="C21" s="167" t="s">
        <v>181</v>
      </c>
      <c r="D21" s="129">
        <v>1</v>
      </c>
      <c r="E21" s="140"/>
      <c r="F21" s="129" t="s">
        <v>64</v>
      </c>
      <c r="G21" s="129" t="s">
        <v>197</v>
      </c>
      <c r="H21" s="129" t="s">
        <v>205</v>
      </c>
      <c r="I21" s="129"/>
      <c r="J21" s="129"/>
      <c r="K21" s="129" t="s">
        <v>186</v>
      </c>
      <c r="L21" s="130" t="s">
        <v>185</v>
      </c>
      <c r="M21" s="129" t="s">
        <v>186</v>
      </c>
      <c r="N21" s="129" t="s">
        <v>181</v>
      </c>
      <c r="O21" s="143">
        <v>41122</v>
      </c>
      <c r="P21" s="165"/>
      <c r="Q21" s="129"/>
      <c r="R21" s="129"/>
      <c r="S21" s="129"/>
      <c r="T21" s="129"/>
      <c r="U21" s="129">
        <v>11</v>
      </c>
      <c r="V21" s="129"/>
      <c r="W21" s="129">
        <v>500</v>
      </c>
      <c r="X21" s="129">
        <v>12</v>
      </c>
      <c r="Y21" s="129"/>
      <c r="Z21" s="129"/>
      <c r="AA21" s="129"/>
      <c r="AB21" s="129"/>
      <c r="AC21" s="129"/>
      <c r="AD21" s="129"/>
      <c r="AE21" s="129"/>
      <c r="AF21" s="129"/>
      <c r="AG21" s="129"/>
      <c r="AH21" s="129"/>
      <c r="AI21" s="140"/>
      <c r="AJ21" s="140"/>
      <c r="AK21" s="140"/>
      <c r="AL21" s="170">
        <v>9</v>
      </c>
      <c r="AM21" s="129">
        <v>0.85</v>
      </c>
      <c r="AN21" s="129">
        <v>11</v>
      </c>
      <c r="AO21" s="129"/>
      <c r="AP21" s="129"/>
      <c r="AQ21" s="129"/>
      <c r="AR21" s="129"/>
      <c r="AS21" s="129">
        <v>2000</v>
      </c>
      <c r="AT21" s="129">
        <v>750</v>
      </c>
      <c r="AU21" s="129"/>
      <c r="AV21" s="129">
        <v>99</v>
      </c>
      <c r="AW21" s="129"/>
      <c r="AX21" s="129"/>
      <c r="AY21" s="129"/>
      <c r="AZ21" s="129"/>
      <c r="BA21" s="129"/>
      <c r="BB21" s="140"/>
      <c r="BC21" s="129" t="s">
        <v>210</v>
      </c>
      <c r="BD21" s="129"/>
      <c r="BE21" s="129" t="s">
        <v>212</v>
      </c>
      <c r="BF21" s="140"/>
      <c r="BG21" s="140"/>
      <c r="BH21" s="140"/>
      <c r="BI21" s="140"/>
      <c r="BJ21" s="140"/>
      <c r="BK21" s="140"/>
      <c r="BL21" s="140"/>
      <c r="BM21" s="140"/>
      <c r="BN21" s="140"/>
      <c r="BO21" s="140">
        <v>15.1</v>
      </c>
      <c r="BP21" s="140"/>
      <c r="BQ21" s="140"/>
      <c r="BR21" s="148"/>
      <c r="BS21" s="140"/>
      <c r="BT21" s="140"/>
      <c r="BU21" s="149"/>
      <c r="BV21" s="140"/>
      <c r="BW21" s="140"/>
      <c r="BX21" s="140"/>
      <c r="BY21" s="145">
        <v>457.71699999999998</v>
      </c>
      <c r="BZ21" s="140"/>
      <c r="CA21" s="140"/>
      <c r="CB21" s="140"/>
      <c r="CC21" s="140"/>
      <c r="CD21" s="140"/>
      <c r="CE21" s="140"/>
      <c r="CF21" s="140"/>
      <c r="CG21" s="140"/>
      <c r="CH21" s="140"/>
      <c r="CI21" s="140"/>
      <c r="CJ21" s="140"/>
      <c r="CK21" s="140"/>
      <c r="CL21" s="140"/>
      <c r="CM21" s="140"/>
      <c r="CN21" s="140"/>
    </row>
    <row r="22" spans="2:92" x14ac:dyDescent="0.25">
      <c r="B22" s="169" t="s">
        <v>147</v>
      </c>
      <c r="C22" s="167" t="s">
        <v>181</v>
      </c>
      <c r="D22" s="129">
        <v>1</v>
      </c>
      <c r="E22" s="140"/>
      <c r="F22" s="129" t="s">
        <v>64</v>
      </c>
      <c r="G22" s="129"/>
      <c r="H22" s="129"/>
      <c r="I22" s="129"/>
      <c r="J22" s="129"/>
      <c r="K22" s="129" t="s">
        <v>186</v>
      </c>
      <c r="L22" s="130"/>
      <c r="M22" s="129"/>
      <c r="N22" s="129" t="s">
        <v>181</v>
      </c>
      <c r="O22" s="168">
        <v>40909</v>
      </c>
      <c r="P22" s="268"/>
      <c r="Q22" s="129"/>
      <c r="R22" s="129"/>
      <c r="S22" s="129"/>
      <c r="T22" s="129"/>
      <c r="U22" s="129">
        <v>16.8</v>
      </c>
      <c r="V22" s="129"/>
      <c r="W22" s="129">
        <v>750</v>
      </c>
      <c r="X22" s="129">
        <v>8</v>
      </c>
      <c r="Y22" s="129"/>
      <c r="Z22" s="129"/>
      <c r="AA22" s="129"/>
      <c r="AB22" s="129"/>
      <c r="AC22" s="129"/>
      <c r="AD22" s="129"/>
      <c r="AE22" s="129"/>
      <c r="AF22" s="129"/>
      <c r="AG22" s="129"/>
      <c r="AH22" s="129"/>
      <c r="AI22" s="140"/>
      <c r="AJ22" s="140"/>
      <c r="AK22" s="140"/>
      <c r="AL22" s="170">
        <v>22</v>
      </c>
      <c r="AM22" s="129"/>
      <c r="AN22" s="129">
        <v>16.8</v>
      </c>
      <c r="AO22" s="129"/>
      <c r="AP22" s="129"/>
      <c r="AQ22" s="129"/>
      <c r="AR22" s="129"/>
      <c r="AS22" s="129">
        <v>2000</v>
      </c>
      <c r="AT22" s="129">
        <v>1200</v>
      </c>
      <c r="AU22" s="129"/>
      <c r="AV22" s="129">
        <v>90</v>
      </c>
      <c r="AW22" s="129"/>
      <c r="AX22" s="129"/>
      <c r="AY22" s="129"/>
      <c r="AZ22" s="129"/>
      <c r="BA22" s="129"/>
      <c r="BB22" s="140"/>
      <c r="BC22" s="129" t="s">
        <v>210</v>
      </c>
      <c r="BD22" s="129"/>
      <c r="BE22" s="129" t="s">
        <v>212</v>
      </c>
      <c r="BF22" s="140"/>
      <c r="BG22" s="140"/>
      <c r="BH22" s="140"/>
      <c r="BI22" s="140"/>
      <c r="BJ22" s="140"/>
      <c r="BK22" s="140"/>
      <c r="BL22" s="140"/>
      <c r="BM22" s="140"/>
      <c r="BN22" s="140"/>
      <c r="BO22" s="140">
        <v>22.7</v>
      </c>
      <c r="BP22" s="140"/>
      <c r="BQ22" s="140"/>
      <c r="BR22" s="148"/>
      <c r="BS22" s="140"/>
      <c r="BT22" s="140"/>
      <c r="BU22" s="149"/>
      <c r="BV22" s="140"/>
      <c r="BW22" s="140"/>
      <c r="BX22" s="140"/>
      <c r="BY22" s="145">
        <v>440.11</v>
      </c>
      <c r="BZ22" s="140"/>
      <c r="CA22" s="140"/>
      <c r="CB22" s="140"/>
      <c r="CC22" s="140"/>
      <c r="CD22" s="140"/>
      <c r="CE22" s="140"/>
      <c r="CF22" s="140"/>
      <c r="CG22" s="140"/>
      <c r="CH22" s="140"/>
      <c r="CI22" s="140"/>
      <c r="CJ22" s="140"/>
      <c r="CK22" s="140"/>
      <c r="CL22" s="140"/>
      <c r="CM22" s="140"/>
      <c r="CN22" s="140"/>
    </row>
    <row r="23" spans="2:92" x14ac:dyDescent="0.25">
      <c r="B23" s="169" t="s">
        <v>148</v>
      </c>
      <c r="C23" s="167" t="s">
        <v>181</v>
      </c>
      <c r="D23" s="129">
        <v>1</v>
      </c>
      <c r="E23" s="140"/>
      <c r="F23" s="129" t="s">
        <v>21</v>
      </c>
      <c r="G23" s="129"/>
      <c r="H23" s="129"/>
      <c r="I23" s="129"/>
      <c r="J23" s="129"/>
      <c r="K23" s="129" t="s">
        <v>186</v>
      </c>
      <c r="L23" s="130"/>
      <c r="M23" s="129"/>
      <c r="N23" s="129" t="s">
        <v>181</v>
      </c>
      <c r="O23" s="168">
        <v>41275</v>
      </c>
      <c r="P23" s="268"/>
      <c r="Q23" s="129"/>
      <c r="R23" s="129"/>
      <c r="S23" s="129"/>
      <c r="T23" s="129"/>
      <c r="U23" s="129">
        <v>6</v>
      </c>
      <c r="V23" s="129"/>
      <c r="W23" s="129">
        <v>1000</v>
      </c>
      <c r="X23" s="129">
        <v>6</v>
      </c>
      <c r="Y23" s="129"/>
      <c r="Z23" s="129"/>
      <c r="AA23" s="129"/>
      <c r="AB23" s="129"/>
      <c r="AC23" s="129"/>
      <c r="AD23" s="129"/>
      <c r="AE23" s="129"/>
      <c r="AF23" s="129"/>
      <c r="AG23" s="129"/>
      <c r="AH23" s="129"/>
      <c r="AI23" s="140"/>
      <c r="AJ23" s="140"/>
      <c r="AK23" s="140"/>
      <c r="AL23" s="170">
        <v>18</v>
      </c>
      <c r="AM23" s="129"/>
      <c r="AN23" s="129">
        <v>6</v>
      </c>
      <c r="AO23" s="129"/>
      <c r="AP23" s="129"/>
      <c r="AQ23" s="129"/>
      <c r="AR23" s="129"/>
      <c r="AS23" s="129">
        <v>1610</v>
      </c>
      <c r="AT23" s="129">
        <v>950</v>
      </c>
      <c r="AU23" s="129"/>
      <c r="AV23" s="129">
        <v>108</v>
      </c>
      <c r="AW23" s="129"/>
      <c r="AX23" s="129"/>
      <c r="AY23" s="129"/>
      <c r="AZ23" s="129"/>
      <c r="BA23" s="129"/>
      <c r="BB23" s="140"/>
      <c r="BC23" s="129" t="s">
        <v>210</v>
      </c>
      <c r="BD23" s="129"/>
      <c r="BE23" s="129" t="s">
        <v>212</v>
      </c>
      <c r="BF23" s="140"/>
      <c r="BG23" s="140"/>
      <c r="BH23" s="140"/>
      <c r="BI23" s="140"/>
      <c r="BJ23" s="140"/>
      <c r="BK23" s="140"/>
      <c r="BL23" s="140"/>
      <c r="BM23" s="140"/>
      <c r="BN23" s="140"/>
      <c r="BO23" s="140">
        <v>24.8</v>
      </c>
      <c r="BP23" s="140"/>
      <c r="BQ23" s="140"/>
      <c r="BR23" s="148"/>
      <c r="BS23" s="140"/>
      <c r="BT23" s="140"/>
      <c r="BU23" s="149"/>
      <c r="BV23" s="140"/>
      <c r="BW23" s="140"/>
      <c r="BX23" s="140"/>
      <c r="BY23" s="145">
        <v>335.50599999999997</v>
      </c>
      <c r="BZ23" s="140"/>
      <c r="CA23" s="140"/>
      <c r="CB23" s="140"/>
      <c r="CC23" s="140"/>
      <c r="CD23" s="140"/>
      <c r="CE23" s="140"/>
      <c r="CF23" s="140"/>
      <c r="CG23" s="140"/>
      <c r="CH23" s="140"/>
      <c r="CI23" s="140"/>
      <c r="CJ23" s="140"/>
      <c r="CK23" s="140"/>
      <c r="CL23" s="140"/>
      <c r="CM23" s="140"/>
      <c r="CN23" s="140"/>
    </row>
    <row r="24" spans="2:92" x14ac:dyDescent="0.25">
      <c r="B24" s="169" t="s">
        <v>149</v>
      </c>
      <c r="C24" s="167" t="s">
        <v>181</v>
      </c>
      <c r="D24" s="129">
        <v>2</v>
      </c>
      <c r="E24" s="140"/>
      <c r="F24" s="129" t="s">
        <v>21</v>
      </c>
      <c r="G24" s="129"/>
      <c r="H24" s="129"/>
      <c r="I24" s="129"/>
      <c r="J24" s="129"/>
      <c r="K24" s="129" t="s">
        <v>186</v>
      </c>
      <c r="L24" s="130"/>
      <c r="M24" s="129"/>
      <c r="N24" s="129" t="s">
        <v>181</v>
      </c>
      <c r="O24" s="168">
        <v>40878</v>
      </c>
      <c r="P24" s="268"/>
      <c r="Q24" s="129"/>
      <c r="R24" s="129"/>
      <c r="S24" s="129"/>
      <c r="T24" s="129"/>
      <c r="U24" s="129">
        <v>6</v>
      </c>
      <c r="V24" s="129"/>
      <c r="W24" s="129">
        <v>500</v>
      </c>
      <c r="X24" s="129">
        <v>12</v>
      </c>
      <c r="Y24" s="129"/>
      <c r="Z24" s="129"/>
      <c r="AA24" s="129"/>
      <c r="AB24" s="129"/>
      <c r="AC24" s="129"/>
      <c r="AD24" s="129"/>
      <c r="AE24" s="129"/>
      <c r="AF24" s="129"/>
      <c r="AG24" s="129"/>
      <c r="AH24" s="129"/>
      <c r="AI24" s="140"/>
      <c r="AJ24" s="140"/>
      <c r="AK24" s="140"/>
      <c r="AL24" s="170">
        <v>20</v>
      </c>
      <c r="AM24" s="129"/>
      <c r="AN24" s="129">
        <v>6</v>
      </c>
      <c r="AO24" s="129"/>
      <c r="AP24" s="129"/>
      <c r="AQ24" s="129"/>
      <c r="AR24" s="129"/>
      <c r="AS24" s="129">
        <v>2750</v>
      </c>
      <c r="AT24" s="129">
        <v>1050</v>
      </c>
      <c r="AU24" s="129"/>
      <c r="AV24" s="129">
        <v>144</v>
      </c>
      <c r="AW24" s="129"/>
      <c r="AX24" s="129"/>
      <c r="AY24" s="129"/>
      <c r="AZ24" s="129"/>
      <c r="BA24" s="129"/>
      <c r="BB24" s="140"/>
      <c r="BC24" s="129" t="s">
        <v>210</v>
      </c>
      <c r="BD24" s="129"/>
      <c r="BE24" s="129" t="s">
        <v>212</v>
      </c>
      <c r="BF24" s="140"/>
      <c r="BG24" s="140"/>
      <c r="BH24" s="140"/>
      <c r="BI24" s="140"/>
      <c r="BJ24" s="140"/>
      <c r="BK24" s="140"/>
      <c r="BL24" s="140"/>
      <c r="BM24" s="140"/>
      <c r="BN24" s="140"/>
      <c r="BO24" s="140">
        <v>30.5</v>
      </c>
      <c r="BP24" s="140"/>
      <c r="BQ24" s="140"/>
      <c r="BR24" s="148"/>
      <c r="BS24" s="140"/>
      <c r="BT24" s="140"/>
      <c r="BU24" s="149"/>
      <c r="BV24" s="140"/>
      <c r="BW24" s="140"/>
      <c r="BX24" s="140"/>
      <c r="BY24" s="145">
        <v>491.94299999999998</v>
      </c>
      <c r="BZ24" s="140"/>
      <c r="CA24" s="140"/>
      <c r="CB24" s="140"/>
      <c r="CC24" s="140"/>
      <c r="CD24" s="140"/>
      <c r="CE24" s="140"/>
      <c r="CF24" s="140"/>
      <c r="CG24" s="140"/>
      <c r="CH24" s="140"/>
      <c r="CI24" s="140"/>
      <c r="CJ24" s="140"/>
      <c r="CK24" s="140"/>
      <c r="CL24" s="140"/>
      <c r="CM24" s="140"/>
      <c r="CN24" s="140"/>
    </row>
    <row r="25" spans="2:92" x14ac:dyDescent="0.25">
      <c r="B25" s="169" t="s">
        <v>150</v>
      </c>
      <c r="C25" s="167" t="s">
        <v>181</v>
      </c>
      <c r="D25" s="129">
        <v>1</v>
      </c>
      <c r="E25" s="140"/>
      <c r="F25" s="129" t="s">
        <v>64</v>
      </c>
      <c r="G25" s="129"/>
      <c r="H25" s="129"/>
      <c r="I25" s="129"/>
      <c r="J25" s="129"/>
      <c r="K25" s="129" t="s">
        <v>185</v>
      </c>
      <c r="L25" s="130"/>
      <c r="M25" s="129"/>
      <c r="N25" s="129" t="s">
        <v>181</v>
      </c>
      <c r="O25" s="168">
        <v>40817</v>
      </c>
      <c r="P25" s="268"/>
      <c r="Q25" s="129"/>
      <c r="R25" s="129"/>
      <c r="S25" s="129"/>
      <c r="T25" s="129"/>
      <c r="U25" s="129">
        <v>10.5</v>
      </c>
      <c r="V25" s="129"/>
      <c r="W25" s="129">
        <v>500</v>
      </c>
      <c r="X25" s="129">
        <v>12</v>
      </c>
      <c r="Y25" s="129"/>
      <c r="Z25" s="129"/>
      <c r="AA25" s="129"/>
      <c r="AB25" s="129"/>
      <c r="AC25" s="129"/>
      <c r="AD25" s="129"/>
      <c r="AE25" s="129"/>
      <c r="AF25" s="129"/>
      <c r="AG25" s="129"/>
      <c r="AH25" s="129"/>
      <c r="AI25" s="140"/>
      <c r="AJ25" s="140"/>
      <c r="AK25" s="140"/>
      <c r="AL25" s="170">
        <v>25</v>
      </c>
      <c r="AM25" s="129"/>
      <c r="AN25" s="129">
        <v>10.5</v>
      </c>
      <c r="AO25" s="129"/>
      <c r="AP25" s="129"/>
      <c r="AQ25" s="129"/>
      <c r="AR25" s="129"/>
      <c r="AS25" s="129">
        <v>3000</v>
      </c>
      <c r="AT25" s="129">
        <v>1100</v>
      </c>
      <c r="AU25" s="129"/>
      <c r="AV25" s="129">
        <v>180</v>
      </c>
      <c r="AW25" s="129"/>
      <c r="AX25" s="129"/>
      <c r="AY25" s="129"/>
      <c r="AZ25" s="129"/>
      <c r="BA25" s="129"/>
      <c r="BB25" s="140"/>
      <c r="BC25" s="129" t="s">
        <v>210</v>
      </c>
      <c r="BD25" s="129"/>
      <c r="BE25" s="129" t="s">
        <v>212</v>
      </c>
      <c r="BF25" s="140"/>
      <c r="BG25" s="140"/>
      <c r="BH25" s="140"/>
      <c r="BI25" s="140"/>
      <c r="BJ25" s="140"/>
      <c r="BK25" s="140"/>
      <c r="BL25" s="140"/>
      <c r="BM25" s="140"/>
      <c r="BN25" s="140"/>
      <c r="BO25" s="140">
        <v>31.5</v>
      </c>
      <c r="BP25" s="140"/>
      <c r="BQ25" s="140"/>
      <c r="BR25" s="148"/>
      <c r="BS25" s="140"/>
      <c r="BT25" s="140"/>
      <c r="BU25" s="149"/>
      <c r="BV25" s="140"/>
      <c r="BW25" s="140"/>
      <c r="BX25" s="140"/>
      <c r="BY25" s="145">
        <v>715</v>
      </c>
      <c r="BZ25" s="140"/>
      <c r="CA25" s="140"/>
      <c r="CB25" s="140"/>
      <c r="CC25" s="140"/>
      <c r="CD25" s="140"/>
      <c r="CE25" s="140"/>
      <c r="CF25" s="140"/>
      <c r="CG25" s="140"/>
      <c r="CH25" s="140"/>
      <c r="CI25" s="140"/>
      <c r="CJ25" s="140"/>
      <c r="CK25" s="140"/>
      <c r="CL25" s="140"/>
      <c r="CM25" s="140"/>
      <c r="CN25" s="140"/>
    </row>
    <row r="26" spans="2:92" x14ac:dyDescent="0.25">
      <c r="B26" s="169" t="s">
        <v>147</v>
      </c>
      <c r="C26" s="167" t="s">
        <v>181</v>
      </c>
      <c r="D26" s="129">
        <v>1</v>
      </c>
      <c r="E26" s="140"/>
      <c r="F26" s="129" t="s">
        <v>64</v>
      </c>
      <c r="G26" s="129"/>
      <c r="H26" s="129"/>
      <c r="I26" s="129"/>
      <c r="J26" s="129"/>
      <c r="K26" s="129" t="s">
        <v>186</v>
      </c>
      <c r="L26" s="130"/>
      <c r="M26" s="129"/>
      <c r="N26" s="129" t="s">
        <v>181</v>
      </c>
      <c r="O26" s="168">
        <v>40909</v>
      </c>
      <c r="P26" s="268"/>
      <c r="Q26" s="129"/>
      <c r="R26" s="129"/>
      <c r="S26" s="129"/>
      <c r="T26" s="129"/>
      <c r="U26" s="129">
        <v>16.8</v>
      </c>
      <c r="V26" s="129"/>
      <c r="W26" s="129">
        <v>750</v>
      </c>
      <c r="X26" s="129">
        <v>8</v>
      </c>
      <c r="Y26" s="129"/>
      <c r="Z26" s="129"/>
      <c r="AA26" s="129"/>
      <c r="AB26" s="129"/>
      <c r="AC26" s="129"/>
      <c r="AD26" s="129"/>
      <c r="AE26" s="129"/>
      <c r="AF26" s="129"/>
      <c r="AG26" s="129"/>
      <c r="AH26" s="129"/>
      <c r="AI26" s="140"/>
      <c r="AJ26" s="140"/>
      <c r="AK26" s="140"/>
      <c r="AL26" s="170">
        <v>22</v>
      </c>
      <c r="AM26" s="129"/>
      <c r="AN26" s="129">
        <v>16.8</v>
      </c>
      <c r="AO26" s="129"/>
      <c r="AP26" s="129"/>
      <c r="AQ26" s="129"/>
      <c r="AR26" s="129"/>
      <c r="AS26" s="129">
        <v>2000</v>
      </c>
      <c r="AT26" s="129">
        <v>1200</v>
      </c>
      <c r="AU26" s="129"/>
      <c r="AV26" s="129">
        <v>90</v>
      </c>
      <c r="AW26" s="129"/>
      <c r="AX26" s="129"/>
      <c r="AY26" s="129"/>
      <c r="AZ26" s="129"/>
      <c r="BA26" s="129"/>
      <c r="BB26" s="140"/>
      <c r="BC26" s="129" t="s">
        <v>182</v>
      </c>
      <c r="BD26" s="129"/>
      <c r="BE26" s="129" t="s">
        <v>212</v>
      </c>
      <c r="BF26" s="140"/>
      <c r="BG26" s="140"/>
      <c r="BH26" s="140"/>
      <c r="BI26" s="140"/>
      <c r="BJ26" s="140"/>
      <c r="BK26" s="140"/>
      <c r="BL26" s="140"/>
      <c r="BM26" s="140"/>
      <c r="BN26" s="140"/>
      <c r="BO26" s="140">
        <v>22.7</v>
      </c>
      <c r="BP26" s="140"/>
      <c r="BQ26" s="140"/>
      <c r="BR26" s="148"/>
      <c r="BS26" s="140"/>
      <c r="BT26" s="140"/>
      <c r="BU26" s="149"/>
      <c r="BV26" s="140"/>
      <c r="BW26" s="140"/>
      <c r="BX26" s="140"/>
      <c r="BY26" s="145">
        <v>499.51299999999998</v>
      </c>
      <c r="BZ26" s="140"/>
      <c r="CA26" s="140"/>
      <c r="CB26" s="140"/>
      <c r="CC26" s="140"/>
      <c r="CD26" s="140"/>
      <c r="CE26" s="140"/>
      <c r="CF26" s="140"/>
      <c r="CG26" s="140"/>
      <c r="CH26" s="140"/>
      <c r="CI26" s="140"/>
      <c r="CJ26" s="140"/>
      <c r="CK26" s="140"/>
      <c r="CL26" s="140"/>
      <c r="CM26" s="140"/>
      <c r="CN26" s="140"/>
    </row>
    <row r="27" spans="2:92" x14ac:dyDescent="0.25">
      <c r="B27" s="169" t="s">
        <v>151</v>
      </c>
      <c r="C27" s="167" t="s">
        <v>181</v>
      </c>
      <c r="D27" s="129">
        <v>2</v>
      </c>
      <c r="E27" s="140"/>
      <c r="F27" s="129" t="s">
        <v>64</v>
      </c>
      <c r="G27" s="129"/>
      <c r="H27" s="129"/>
      <c r="I27" s="129"/>
      <c r="J27" s="129"/>
      <c r="K27" s="129" t="s">
        <v>186</v>
      </c>
      <c r="L27" s="130"/>
      <c r="M27" s="129"/>
      <c r="N27" s="129" t="s">
        <v>181</v>
      </c>
      <c r="O27" s="168">
        <v>40575</v>
      </c>
      <c r="P27" s="268"/>
      <c r="Q27" s="129"/>
      <c r="R27" s="129"/>
      <c r="S27" s="129"/>
      <c r="T27" s="129"/>
      <c r="U27" s="129">
        <v>10</v>
      </c>
      <c r="V27" s="129"/>
      <c r="W27" s="129">
        <v>500</v>
      </c>
      <c r="X27" s="129">
        <v>12</v>
      </c>
      <c r="Y27" s="129"/>
      <c r="Z27" s="129"/>
      <c r="AA27" s="129"/>
      <c r="AB27" s="129"/>
      <c r="AC27" s="129"/>
      <c r="AD27" s="129"/>
      <c r="AE27" s="129"/>
      <c r="AF27" s="129"/>
      <c r="AG27" s="129"/>
      <c r="AH27" s="129"/>
      <c r="AI27" s="140"/>
      <c r="AJ27" s="140"/>
      <c r="AK27" s="140"/>
      <c r="AL27" s="170">
        <v>9</v>
      </c>
      <c r="AM27" s="129"/>
      <c r="AN27" s="129">
        <v>10</v>
      </c>
      <c r="AO27" s="129"/>
      <c r="AP27" s="129"/>
      <c r="AQ27" s="129"/>
      <c r="AR27" s="129"/>
      <c r="AS27" s="129">
        <v>2200</v>
      </c>
      <c r="AT27" s="129">
        <v>1200</v>
      </c>
      <c r="AU27" s="129"/>
      <c r="AV27" s="129">
        <v>144</v>
      </c>
      <c r="AW27" s="129"/>
      <c r="AX27" s="129"/>
      <c r="AY27" s="129"/>
      <c r="AZ27" s="129"/>
      <c r="BA27" s="129"/>
      <c r="BB27" s="140"/>
      <c r="BC27" s="129" t="s">
        <v>182</v>
      </c>
      <c r="BD27" s="129"/>
      <c r="BE27" s="129"/>
      <c r="BF27" s="140"/>
      <c r="BG27" s="140"/>
      <c r="BH27" s="140"/>
      <c r="BI27" s="140"/>
      <c r="BJ27" s="140"/>
      <c r="BK27" s="140"/>
      <c r="BL27" s="140"/>
      <c r="BM27" s="140"/>
      <c r="BN27" s="140"/>
      <c r="BO27" s="140">
        <v>23.3</v>
      </c>
      <c r="BP27" s="140"/>
      <c r="BQ27" s="140"/>
      <c r="BR27" s="148"/>
      <c r="BS27" s="140"/>
      <c r="BT27" s="140"/>
      <c r="BU27" s="149"/>
      <c r="BV27" s="140">
        <v>30.38</v>
      </c>
      <c r="BW27" s="140"/>
      <c r="BX27" s="140"/>
      <c r="BY27" s="145">
        <v>382.20800000000003</v>
      </c>
      <c r="BZ27" s="140"/>
      <c r="CA27" s="140"/>
      <c r="CB27" s="140"/>
      <c r="CC27" s="140"/>
      <c r="CD27" s="140"/>
      <c r="CE27" s="140"/>
      <c r="CF27" s="140"/>
      <c r="CG27" s="140"/>
      <c r="CH27" s="140"/>
      <c r="CI27" s="140"/>
      <c r="CJ27" s="140"/>
      <c r="CK27" s="140"/>
      <c r="CL27" s="140"/>
      <c r="CM27" s="140"/>
      <c r="CN27" s="140"/>
    </row>
    <row r="28" spans="2:92" x14ac:dyDescent="0.25">
      <c r="B28" s="140" t="s">
        <v>152</v>
      </c>
      <c r="C28" s="167" t="s">
        <v>181</v>
      </c>
      <c r="D28" s="129">
        <v>2</v>
      </c>
      <c r="E28" s="140"/>
      <c r="F28" s="129" t="s">
        <v>21</v>
      </c>
      <c r="G28" s="129"/>
      <c r="H28" s="129"/>
      <c r="I28" s="129"/>
      <c r="J28" s="129"/>
      <c r="K28" s="129" t="s">
        <v>186</v>
      </c>
      <c r="L28" s="130"/>
      <c r="M28" s="129"/>
      <c r="N28" s="129" t="s">
        <v>181</v>
      </c>
      <c r="O28" s="168">
        <v>41518</v>
      </c>
      <c r="P28" s="268"/>
      <c r="Q28" s="129"/>
      <c r="R28" s="129"/>
      <c r="S28" s="129"/>
      <c r="T28" s="129"/>
      <c r="U28" s="129">
        <v>6.3</v>
      </c>
      <c r="V28" s="129"/>
      <c r="W28" s="129">
        <v>214</v>
      </c>
      <c r="X28" s="129">
        <v>28</v>
      </c>
      <c r="Y28" s="129"/>
      <c r="Z28" s="129"/>
      <c r="AA28" s="129"/>
      <c r="AB28" s="129"/>
      <c r="AC28" s="129"/>
      <c r="AD28" s="129"/>
      <c r="AE28" s="129"/>
      <c r="AF28" s="129"/>
      <c r="AG28" s="129"/>
      <c r="AH28" s="129"/>
      <c r="AI28" s="140"/>
      <c r="AJ28" s="140"/>
      <c r="AK28" s="140"/>
      <c r="AL28" s="129">
        <v>10</v>
      </c>
      <c r="AM28" s="129"/>
      <c r="AN28" s="129">
        <v>6.3</v>
      </c>
      <c r="AO28" s="129"/>
      <c r="AP28" s="129"/>
      <c r="AQ28" s="129"/>
      <c r="AR28" s="129"/>
      <c r="AS28" s="129">
        <v>4050</v>
      </c>
      <c r="AT28" s="129">
        <v>590</v>
      </c>
      <c r="AU28" s="129"/>
      <c r="AV28" s="129">
        <v>336</v>
      </c>
      <c r="AW28" s="129"/>
      <c r="AX28" s="129"/>
      <c r="AY28" s="129"/>
      <c r="AZ28" s="129"/>
      <c r="BA28" s="129"/>
      <c r="BB28" s="140"/>
      <c r="BC28" s="129" t="s">
        <v>21</v>
      </c>
      <c r="BD28" s="129"/>
      <c r="BE28" s="140"/>
      <c r="BF28" s="140"/>
      <c r="BG28" s="140"/>
      <c r="BH28" s="140"/>
      <c r="BI28" s="140"/>
      <c r="BJ28" s="140"/>
      <c r="BK28" s="140"/>
      <c r="BL28" s="140"/>
      <c r="BM28" s="140"/>
      <c r="BN28" s="140"/>
      <c r="BO28" s="140">
        <v>27.6</v>
      </c>
      <c r="BP28" s="140"/>
      <c r="BQ28" s="140"/>
      <c r="BR28" s="148"/>
      <c r="BS28" s="140"/>
      <c r="BT28" s="140"/>
      <c r="BU28" s="149"/>
      <c r="BV28" s="145">
        <v>115.937</v>
      </c>
      <c r="BW28" s="140"/>
      <c r="BX28" s="140"/>
      <c r="BY28" s="145">
        <v>637.61599999999999</v>
      </c>
      <c r="BZ28" s="140"/>
      <c r="CA28" s="140"/>
      <c r="CB28" s="140"/>
      <c r="CC28" s="140"/>
      <c r="CD28" s="140"/>
      <c r="CE28" s="140"/>
      <c r="CF28" s="140"/>
      <c r="CG28" s="140"/>
      <c r="CH28" s="140"/>
      <c r="CI28" s="140"/>
      <c r="CJ28" s="140"/>
      <c r="CK28" s="140"/>
      <c r="CL28" s="140"/>
      <c r="CM28" s="140"/>
      <c r="CN28" s="140"/>
    </row>
    <row r="29" spans="2:92" x14ac:dyDescent="0.25">
      <c r="B29" s="140" t="s">
        <v>153</v>
      </c>
      <c r="C29" s="167" t="s">
        <v>181</v>
      </c>
      <c r="D29" s="129">
        <v>1</v>
      </c>
      <c r="E29" s="140"/>
      <c r="F29" s="129" t="s">
        <v>21</v>
      </c>
      <c r="G29" s="129"/>
      <c r="H29" s="129"/>
      <c r="I29" s="129"/>
      <c r="J29" s="129"/>
      <c r="K29" s="129" t="s">
        <v>185</v>
      </c>
      <c r="L29" s="130"/>
      <c r="M29" s="129"/>
      <c r="N29" s="129" t="s">
        <v>181</v>
      </c>
      <c r="O29" s="168">
        <v>41426</v>
      </c>
      <c r="P29" s="268"/>
      <c r="Q29" s="129"/>
      <c r="R29" s="129"/>
      <c r="S29" s="129"/>
      <c r="T29" s="129"/>
      <c r="U29" s="129">
        <v>11</v>
      </c>
      <c r="V29" s="129"/>
      <c r="W29" s="129">
        <v>83</v>
      </c>
      <c r="X29" s="129">
        <v>72</v>
      </c>
      <c r="Y29" s="129"/>
      <c r="Z29" s="129"/>
      <c r="AA29" s="129"/>
      <c r="AB29" s="129"/>
      <c r="AC29" s="129"/>
      <c r="AD29" s="129"/>
      <c r="AE29" s="129"/>
      <c r="AF29" s="129"/>
      <c r="AG29" s="129"/>
      <c r="AH29" s="129"/>
      <c r="AI29" s="140"/>
      <c r="AJ29" s="140"/>
      <c r="AK29" s="140"/>
      <c r="AL29" s="129">
        <v>12.6</v>
      </c>
      <c r="AM29" s="129"/>
      <c r="AN29" s="129">
        <v>11</v>
      </c>
      <c r="AO29" s="129"/>
      <c r="AP29" s="129"/>
      <c r="AQ29" s="129"/>
      <c r="AR29" s="129"/>
      <c r="AS29" s="129">
        <v>6860</v>
      </c>
      <c r="AT29" s="129">
        <v>700</v>
      </c>
      <c r="AU29" s="129"/>
      <c r="AV29" s="129">
        <v>432</v>
      </c>
      <c r="AW29" s="129"/>
      <c r="AX29" s="129"/>
      <c r="AY29" s="129"/>
      <c r="AZ29" s="129"/>
      <c r="BA29" s="129"/>
      <c r="BB29" s="140"/>
      <c r="BC29" s="129" t="s">
        <v>182</v>
      </c>
      <c r="BD29" s="129"/>
      <c r="BE29" s="140"/>
      <c r="BF29" s="140"/>
      <c r="BG29" s="140"/>
      <c r="BH29" s="140"/>
      <c r="BI29" s="140"/>
      <c r="BJ29" s="140"/>
      <c r="BK29" s="140"/>
      <c r="BL29" s="140"/>
      <c r="BM29" s="140"/>
      <c r="BN29" s="140"/>
      <c r="BO29" s="140">
        <v>28.4</v>
      </c>
      <c r="BP29" s="140"/>
      <c r="BQ29" s="140"/>
      <c r="BR29" s="148"/>
      <c r="BS29" s="140"/>
      <c r="BT29" s="140"/>
      <c r="BU29" s="149"/>
      <c r="BV29" s="145">
        <v>65</v>
      </c>
      <c r="BW29" s="140"/>
      <c r="BX29" s="140"/>
      <c r="BY29" s="145">
        <v>550</v>
      </c>
      <c r="BZ29" s="140"/>
      <c r="CA29" s="140"/>
      <c r="CB29" s="140"/>
      <c r="CC29" s="140"/>
      <c r="CD29" s="140"/>
      <c r="CE29" s="140"/>
      <c r="CF29" s="140"/>
      <c r="CG29" s="140"/>
      <c r="CH29" s="140"/>
      <c r="CI29" s="140"/>
      <c r="CJ29" s="140"/>
      <c r="CK29" s="140"/>
      <c r="CL29" s="140"/>
      <c r="CM29" s="140"/>
      <c r="CN29" s="140"/>
    </row>
    <row r="30" spans="2:92" x14ac:dyDescent="0.25">
      <c r="B30" s="140" t="s">
        <v>154</v>
      </c>
      <c r="C30" s="167" t="s">
        <v>181</v>
      </c>
      <c r="D30" s="129">
        <v>1</v>
      </c>
      <c r="E30" s="140"/>
      <c r="F30" s="129" t="s">
        <v>21</v>
      </c>
      <c r="G30" s="171" t="s">
        <v>200</v>
      </c>
      <c r="H30" s="129" t="s">
        <v>43</v>
      </c>
      <c r="I30" s="129"/>
      <c r="J30" s="129"/>
      <c r="K30" s="129" t="s">
        <v>185</v>
      </c>
      <c r="L30" s="130" t="s">
        <v>185</v>
      </c>
      <c r="M30" s="129" t="s">
        <v>186</v>
      </c>
      <c r="N30" s="129" t="s">
        <v>181</v>
      </c>
      <c r="O30" s="143">
        <v>40817</v>
      </c>
      <c r="P30" s="165"/>
      <c r="Q30" s="129"/>
      <c r="R30" s="129"/>
      <c r="S30" s="129"/>
      <c r="T30" s="129"/>
      <c r="U30" s="129">
        <v>6.3</v>
      </c>
      <c r="V30" s="129"/>
      <c r="W30" s="129">
        <v>115.4</v>
      </c>
      <c r="X30" s="129">
        <v>52</v>
      </c>
      <c r="Y30" s="129"/>
      <c r="Z30" s="129"/>
      <c r="AA30" s="129"/>
      <c r="AB30" s="129"/>
      <c r="AC30" s="129"/>
      <c r="AD30" s="129"/>
      <c r="AE30" s="129"/>
      <c r="AF30" s="129"/>
      <c r="AG30" s="129"/>
      <c r="AH30" s="129"/>
      <c r="AI30" s="140"/>
      <c r="AJ30" s="140"/>
      <c r="AK30" s="140"/>
      <c r="AL30" s="129">
        <v>16.5</v>
      </c>
      <c r="AM30" s="129">
        <v>0.8</v>
      </c>
      <c r="AN30" s="129">
        <v>6.3</v>
      </c>
      <c r="AO30" s="129"/>
      <c r="AP30" s="129"/>
      <c r="AQ30" s="129"/>
      <c r="AR30" s="129"/>
      <c r="AS30" s="129">
        <v>6500</v>
      </c>
      <c r="AT30" s="129">
        <v>580</v>
      </c>
      <c r="AU30" s="129"/>
      <c r="AV30" s="129">
        <v>384</v>
      </c>
      <c r="AW30" s="129"/>
      <c r="AX30" s="129"/>
      <c r="AY30" s="129"/>
      <c r="AZ30" s="129"/>
      <c r="BA30" s="129"/>
      <c r="BB30" s="140"/>
      <c r="BC30" s="129" t="s">
        <v>21</v>
      </c>
      <c r="BD30" s="129"/>
      <c r="BE30" s="140"/>
      <c r="BF30" s="140"/>
      <c r="BG30" s="140"/>
      <c r="BH30" s="140"/>
      <c r="BI30" s="140"/>
      <c r="BJ30" s="140">
        <v>21.1</v>
      </c>
      <c r="BK30" s="140">
        <v>7.6</v>
      </c>
      <c r="BL30" s="140"/>
      <c r="BM30" s="140"/>
      <c r="BN30" s="140"/>
      <c r="BO30" s="140">
        <v>28.7</v>
      </c>
      <c r="BP30" s="140"/>
      <c r="BQ30" s="140"/>
      <c r="BR30" s="148">
        <f t="shared" si="4"/>
        <v>0</v>
      </c>
      <c r="BS30" s="140"/>
      <c r="BT30" s="140"/>
      <c r="BU30" s="149">
        <f t="shared" si="5"/>
        <v>0</v>
      </c>
      <c r="BV30" s="145"/>
      <c r="BW30" s="140"/>
      <c r="BX30" s="140"/>
      <c r="BY30" s="145">
        <v>591.92499999999995</v>
      </c>
      <c r="BZ30" s="140"/>
      <c r="CA30" s="140"/>
      <c r="CB30" s="140"/>
      <c r="CC30" s="140"/>
      <c r="CD30" s="140"/>
      <c r="CE30" s="140"/>
      <c r="CF30" s="140"/>
      <c r="CG30" s="140"/>
      <c r="CH30" s="140"/>
      <c r="CI30" s="140"/>
      <c r="CJ30" s="140"/>
      <c r="CK30" s="140"/>
      <c r="CL30" s="140"/>
      <c r="CM30" s="140"/>
      <c r="CN30" s="140"/>
    </row>
    <row r="31" spans="2:92" x14ac:dyDescent="0.25">
      <c r="B31" s="169" t="s">
        <v>149</v>
      </c>
      <c r="C31" s="167" t="s">
        <v>181</v>
      </c>
      <c r="D31" s="129">
        <v>2</v>
      </c>
      <c r="E31" s="140"/>
      <c r="F31" s="129" t="s">
        <v>21</v>
      </c>
      <c r="G31" s="129"/>
      <c r="H31" s="129"/>
      <c r="I31" s="129"/>
      <c r="J31" s="129"/>
      <c r="K31" s="129" t="s">
        <v>186</v>
      </c>
      <c r="L31" s="130"/>
      <c r="M31" s="129"/>
      <c r="N31" s="129" t="s">
        <v>181</v>
      </c>
      <c r="O31" s="168">
        <v>40878</v>
      </c>
      <c r="P31" s="268"/>
      <c r="Q31" s="129"/>
      <c r="R31" s="129"/>
      <c r="S31" s="129"/>
      <c r="T31" s="129"/>
      <c r="U31" s="129">
        <v>6</v>
      </c>
      <c r="V31" s="129"/>
      <c r="W31" s="129">
        <v>500</v>
      </c>
      <c r="X31" s="129">
        <v>12</v>
      </c>
      <c r="Y31" s="129"/>
      <c r="Z31" s="129"/>
      <c r="AA31" s="129"/>
      <c r="AB31" s="129"/>
      <c r="AC31" s="129"/>
      <c r="AD31" s="129"/>
      <c r="AE31" s="129"/>
      <c r="AF31" s="129"/>
      <c r="AG31" s="129"/>
      <c r="AH31" s="129"/>
      <c r="AI31" s="140"/>
      <c r="AJ31" s="140"/>
      <c r="AK31" s="140"/>
      <c r="AL31" s="170">
        <v>20</v>
      </c>
      <c r="AM31" s="129"/>
      <c r="AN31" s="129">
        <v>6</v>
      </c>
      <c r="AO31" s="129"/>
      <c r="AP31" s="129"/>
      <c r="AQ31" s="129"/>
      <c r="AR31" s="129"/>
      <c r="AS31" s="129">
        <v>2750</v>
      </c>
      <c r="AT31" s="129">
        <v>1050</v>
      </c>
      <c r="AU31" s="129"/>
      <c r="AV31" s="129">
        <v>144</v>
      </c>
      <c r="AW31" s="129"/>
      <c r="AX31" s="129"/>
      <c r="AY31" s="129"/>
      <c r="AZ31" s="129"/>
      <c r="BA31" s="129"/>
      <c r="BB31" s="140"/>
      <c r="BC31" s="129" t="s">
        <v>182</v>
      </c>
      <c r="BD31" s="129"/>
      <c r="BE31" s="129" t="s">
        <v>212</v>
      </c>
      <c r="BF31" s="140"/>
      <c r="BG31" s="140"/>
      <c r="BH31" s="140"/>
      <c r="BI31" s="140"/>
      <c r="BJ31" s="140"/>
      <c r="BK31" s="140"/>
      <c r="BL31" s="140"/>
      <c r="BM31" s="140"/>
      <c r="BN31" s="140"/>
      <c r="BO31" s="140">
        <v>30.5</v>
      </c>
      <c r="BP31" s="140"/>
      <c r="BQ31" s="140"/>
      <c r="BR31" s="148"/>
      <c r="BS31" s="140"/>
      <c r="BT31" s="140"/>
      <c r="BU31" s="149"/>
      <c r="BV31" s="140"/>
      <c r="BW31" s="140"/>
      <c r="BX31" s="140"/>
      <c r="BY31" s="145">
        <v>554.50400000000002</v>
      </c>
      <c r="BZ31" s="140"/>
      <c r="CA31" s="140"/>
      <c r="CB31" s="140"/>
      <c r="CC31" s="140"/>
      <c r="CD31" s="140"/>
      <c r="CE31" s="140"/>
      <c r="CF31" s="140"/>
      <c r="CG31" s="140"/>
      <c r="CH31" s="140"/>
      <c r="CI31" s="140"/>
      <c r="CJ31" s="140"/>
      <c r="CK31" s="140"/>
      <c r="CL31" s="140"/>
      <c r="CM31" s="140"/>
      <c r="CN31" s="140"/>
    </row>
    <row r="32" spans="2:92" x14ac:dyDescent="0.25">
      <c r="B32" s="140" t="s">
        <v>155</v>
      </c>
      <c r="C32" s="167" t="s">
        <v>181</v>
      </c>
      <c r="D32" s="129">
        <v>1</v>
      </c>
      <c r="E32" s="140"/>
      <c r="F32" s="129" t="s">
        <v>21</v>
      </c>
      <c r="G32" s="129"/>
      <c r="H32" s="129"/>
      <c r="I32" s="129"/>
      <c r="J32" s="129"/>
      <c r="K32" s="129" t="s">
        <v>186</v>
      </c>
      <c r="L32" s="130"/>
      <c r="M32" s="129"/>
      <c r="N32" s="129" t="s">
        <v>181</v>
      </c>
      <c r="O32" s="143">
        <v>41306</v>
      </c>
      <c r="P32" s="165"/>
      <c r="Q32" s="129"/>
      <c r="R32" s="129"/>
      <c r="S32" s="129"/>
      <c r="T32" s="129"/>
      <c r="U32" s="129">
        <v>5.5</v>
      </c>
      <c r="V32" s="129"/>
      <c r="W32" s="129">
        <v>600</v>
      </c>
      <c r="X32" s="129">
        <v>10</v>
      </c>
      <c r="Y32" s="129"/>
      <c r="Z32" s="129"/>
      <c r="AA32" s="129"/>
      <c r="AB32" s="129"/>
      <c r="AC32" s="129"/>
      <c r="AD32" s="129"/>
      <c r="AE32" s="129"/>
      <c r="AF32" s="129"/>
      <c r="AG32" s="129"/>
      <c r="AH32" s="129"/>
      <c r="AI32" s="140"/>
      <c r="AJ32" s="140"/>
      <c r="AK32" s="140"/>
      <c r="AL32" s="129">
        <v>22.5</v>
      </c>
      <c r="AM32" s="129"/>
      <c r="AN32" s="129">
        <v>5.5</v>
      </c>
      <c r="AO32" s="129"/>
      <c r="AP32" s="129"/>
      <c r="AQ32" s="129"/>
      <c r="AR32" s="129"/>
      <c r="AS32" s="129">
        <v>2498</v>
      </c>
      <c r="AT32" s="129">
        <v>1040</v>
      </c>
      <c r="AU32" s="129"/>
      <c r="AV32" s="129">
        <v>216</v>
      </c>
      <c r="AW32" s="129"/>
      <c r="AX32" s="129"/>
      <c r="AY32" s="129"/>
      <c r="AZ32" s="129"/>
      <c r="BA32" s="129"/>
      <c r="BB32" s="140"/>
      <c r="BC32" s="129" t="s">
        <v>21</v>
      </c>
      <c r="BD32" s="129"/>
      <c r="BE32" s="140"/>
      <c r="BF32" s="140"/>
      <c r="BG32" s="140"/>
      <c r="BH32" s="140"/>
      <c r="BI32" s="140"/>
      <c r="BJ32" s="140"/>
      <c r="BK32" s="140"/>
      <c r="BL32" s="140"/>
      <c r="BM32" s="140"/>
      <c r="BN32" s="140"/>
      <c r="BO32" s="140">
        <v>36.799999999999997</v>
      </c>
      <c r="BP32" s="140"/>
      <c r="BQ32" s="140"/>
      <c r="BR32" s="148"/>
      <c r="BS32" s="140"/>
      <c r="BT32" s="140"/>
      <c r="BU32" s="149"/>
      <c r="BV32" s="140">
        <v>39.344000000000001</v>
      </c>
      <c r="BW32" s="140"/>
      <c r="BX32" s="140"/>
      <c r="BY32" s="145">
        <v>495.86</v>
      </c>
      <c r="BZ32" s="140"/>
      <c r="CA32" s="140"/>
      <c r="CB32" s="140"/>
      <c r="CC32" s="140"/>
      <c r="CD32" s="140"/>
      <c r="CE32" s="140"/>
      <c r="CF32" s="140"/>
      <c r="CG32" s="140"/>
      <c r="CH32" s="140"/>
      <c r="CI32" s="140"/>
      <c r="CJ32" s="140"/>
      <c r="CK32" s="140"/>
      <c r="CL32" s="140"/>
      <c r="CM32" s="140"/>
      <c r="CN32" s="140"/>
    </row>
    <row r="33" spans="2:92" x14ac:dyDescent="0.25">
      <c r="B33" s="140" t="s">
        <v>156</v>
      </c>
      <c r="C33" s="167" t="s">
        <v>181</v>
      </c>
      <c r="D33" s="129">
        <v>1</v>
      </c>
      <c r="E33" s="140"/>
      <c r="F33" s="129" t="s">
        <v>21</v>
      </c>
      <c r="G33" s="171" t="s">
        <v>200</v>
      </c>
      <c r="H33" s="129" t="s">
        <v>43</v>
      </c>
      <c r="I33" s="129"/>
      <c r="J33" s="129"/>
      <c r="K33" s="129" t="s">
        <v>186</v>
      </c>
      <c r="L33" s="130" t="s">
        <v>185</v>
      </c>
      <c r="M33" s="129" t="s">
        <v>186</v>
      </c>
      <c r="N33" s="129" t="s">
        <v>181</v>
      </c>
      <c r="O33" s="143">
        <v>40817</v>
      </c>
      <c r="P33" s="165"/>
      <c r="Q33" s="129"/>
      <c r="R33" s="129"/>
      <c r="S33" s="129"/>
      <c r="T33" s="129"/>
      <c r="U33" s="129">
        <v>6.3</v>
      </c>
      <c r="V33" s="129"/>
      <c r="W33" s="129">
        <v>115.4</v>
      </c>
      <c r="X33" s="129">
        <v>52</v>
      </c>
      <c r="Y33" s="129"/>
      <c r="Z33" s="129"/>
      <c r="AA33" s="129"/>
      <c r="AB33" s="129"/>
      <c r="AC33" s="129"/>
      <c r="AD33" s="129"/>
      <c r="AE33" s="129"/>
      <c r="AF33" s="129"/>
      <c r="AG33" s="129"/>
      <c r="AH33" s="129"/>
      <c r="AI33" s="140"/>
      <c r="AJ33" s="140"/>
      <c r="AK33" s="140"/>
      <c r="AL33" s="129">
        <v>16.5</v>
      </c>
      <c r="AM33" s="129">
        <v>0.8</v>
      </c>
      <c r="AN33" s="129">
        <v>6.3</v>
      </c>
      <c r="AO33" s="129"/>
      <c r="AP33" s="129"/>
      <c r="AQ33" s="129"/>
      <c r="AR33" s="129"/>
      <c r="AS33" s="129">
        <v>6500</v>
      </c>
      <c r="AT33" s="129">
        <v>580</v>
      </c>
      <c r="AU33" s="129"/>
      <c r="AV33" s="129">
        <v>384</v>
      </c>
      <c r="AW33" s="129"/>
      <c r="AX33" s="129"/>
      <c r="AY33" s="129"/>
      <c r="AZ33" s="129"/>
      <c r="BA33" s="129"/>
      <c r="BB33" s="140"/>
      <c r="BC33" s="129" t="s">
        <v>21</v>
      </c>
      <c r="BD33" s="129"/>
      <c r="BE33" s="140"/>
      <c r="BF33" s="140"/>
      <c r="BG33" s="140"/>
      <c r="BH33" s="140"/>
      <c r="BI33" s="140">
        <v>13</v>
      </c>
      <c r="BJ33" s="140">
        <v>21.1</v>
      </c>
      <c r="BK33" s="140">
        <v>7.6</v>
      </c>
      <c r="BL33" s="140"/>
      <c r="BM33" s="140"/>
      <c r="BN33" s="140">
        <f>BO33-BI33-BJ33-BK33</f>
        <v>0</v>
      </c>
      <c r="BO33" s="140">
        <v>41.7</v>
      </c>
      <c r="BP33" s="140">
        <v>66.5</v>
      </c>
      <c r="BQ33" s="140">
        <v>121.18300000000001</v>
      </c>
      <c r="BR33" s="148">
        <f t="shared" si="4"/>
        <v>5.7432701421800951</v>
      </c>
      <c r="BS33" s="140">
        <v>423.089</v>
      </c>
      <c r="BT33" s="140"/>
      <c r="BU33" s="149">
        <f t="shared" si="5"/>
        <v>55.669605263157898</v>
      </c>
      <c r="BV33" s="145">
        <v>153.905</v>
      </c>
      <c r="BW33" s="140"/>
      <c r="BX33" s="140"/>
      <c r="BY33" s="145">
        <f>SUM(BP33:BX33)</f>
        <v>826.08987540533792</v>
      </c>
      <c r="BZ33" s="140"/>
      <c r="CA33" s="140"/>
      <c r="CB33" s="140"/>
      <c r="CC33" s="140"/>
      <c r="CD33" s="140"/>
      <c r="CE33" s="140"/>
      <c r="CF33" s="140"/>
      <c r="CG33" s="140"/>
      <c r="CH33" s="140"/>
      <c r="CI33" s="140"/>
      <c r="CJ33" s="140"/>
      <c r="CK33" s="140"/>
      <c r="CL33" s="140"/>
      <c r="CM33" s="140"/>
      <c r="CN33" s="140"/>
    </row>
    <row r="34" spans="2:92" x14ac:dyDescent="0.25">
      <c r="B34" s="172" t="s">
        <v>130</v>
      </c>
      <c r="C34" s="167" t="s">
        <v>181</v>
      </c>
      <c r="D34" s="129">
        <v>1</v>
      </c>
      <c r="E34" s="140"/>
      <c r="F34" s="129" t="s">
        <v>64</v>
      </c>
      <c r="G34" s="129" t="s">
        <v>198</v>
      </c>
      <c r="H34" s="129" t="s">
        <v>43</v>
      </c>
      <c r="I34" s="129"/>
      <c r="J34" s="129"/>
      <c r="K34" s="129" t="s">
        <v>186</v>
      </c>
      <c r="L34" s="130" t="s">
        <v>185</v>
      </c>
      <c r="M34" s="129" t="s">
        <v>186</v>
      </c>
      <c r="N34" s="129" t="s">
        <v>181</v>
      </c>
      <c r="O34" s="143">
        <v>40269</v>
      </c>
      <c r="P34" s="165"/>
      <c r="Q34" s="129"/>
      <c r="R34" s="129"/>
      <c r="S34" s="129"/>
      <c r="T34" s="129"/>
      <c r="U34" s="129">
        <v>10.5</v>
      </c>
      <c r="V34" s="129"/>
      <c r="W34" s="129">
        <v>500</v>
      </c>
      <c r="X34" s="129">
        <v>12</v>
      </c>
      <c r="Y34" s="129"/>
      <c r="Z34" s="129"/>
      <c r="AA34" s="129"/>
      <c r="AB34" s="129"/>
      <c r="AC34" s="129"/>
      <c r="AD34" s="129"/>
      <c r="AE34" s="129"/>
      <c r="AF34" s="129"/>
      <c r="AG34" s="129"/>
      <c r="AH34" s="129"/>
      <c r="AI34" s="140"/>
      <c r="AJ34" s="140"/>
      <c r="AK34" s="140"/>
      <c r="AL34" s="129">
        <v>32</v>
      </c>
      <c r="AM34" s="129">
        <v>0.85</v>
      </c>
      <c r="AN34" s="129">
        <v>10.5</v>
      </c>
      <c r="AO34" s="129"/>
      <c r="AP34" s="129"/>
      <c r="AQ34" s="129"/>
      <c r="AR34" s="129"/>
      <c r="AS34" s="129">
        <v>2700</v>
      </c>
      <c r="AT34" s="129">
        <v>1450</v>
      </c>
      <c r="AU34" s="129"/>
      <c r="AV34" s="129">
        <v>162</v>
      </c>
      <c r="AW34" s="129"/>
      <c r="AX34" s="129"/>
      <c r="AY34" s="129"/>
      <c r="AZ34" s="129"/>
      <c r="BA34" s="129"/>
      <c r="BB34" s="140"/>
      <c r="BC34" s="129" t="s">
        <v>21</v>
      </c>
      <c r="BD34" s="129"/>
      <c r="BE34" s="140"/>
      <c r="BF34" s="140"/>
      <c r="BG34" s="140"/>
      <c r="BH34" s="140"/>
      <c r="BI34" s="140">
        <v>9.6</v>
      </c>
      <c r="BJ34" s="140">
        <v>27.2</v>
      </c>
      <c r="BK34" s="140">
        <v>6.9</v>
      </c>
      <c r="BL34" s="140"/>
      <c r="BM34" s="140"/>
      <c r="BN34" s="140">
        <f>BO34-BI34-BJ34-BK34</f>
        <v>0</v>
      </c>
      <c r="BO34" s="140">
        <v>43.7</v>
      </c>
      <c r="BP34" s="140">
        <v>47.4</v>
      </c>
      <c r="BQ34" s="140">
        <v>134.21199999999999</v>
      </c>
      <c r="BR34" s="148">
        <f t="shared" si="4"/>
        <v>4.9342647058823523</v>
      </c>
      <c r="BS34" s="140">
        <v>280.48200000000003</v>
      </c>
      <c r="BT34" s="140"/>
      <c r="BU34" s="149">
        <f t="shared" si="5"/>
        <v>40.649565217391306</v>
      </c>
      <c r="BV34" s="140">
        <v>92.653999999999996</v>
      </c>
      <c r="BW34" s="140"/>
      <c r="BX34" s="140"/>
      <c r="BY34" s="145">
        <f t="shared" ref="BY34:BY35" si="16">SUM(BP34:BX34)</f>
        <v>600.33182992327374</v>
      </c>
      <c r="BZ34" s="140"/>
      <c r="CA34" s="140"/>
      <c r="CB34" s="140"/>
      <c r="CC34" s="140"/>
      <c r="CD34" s="140"/>
      <c r="CE34" s="140"/>
      <c r="CF34" s="140"/>
      <c r="CG34" s="140"/>
      <c r="CH34" s="140"/>
      <c r="CI34" s="140"/>
      <c r="CJ34" s="140"/>
      <c r="CK34" s="140"/>
      <c r="CL34" s="140"/>
      <c r="CM34" s="140"/>
      <c r="CN34" s="140"/>
    </row>
    <row r="35" spans="2:92" x14ac:dyDescent="0.25">
      <c r="B35" s="169" t="s">
        <v>131</v>
      </c>
      <c r="C35" s="167" t="s">
        <v>181</v>
      </c>
      <c r="D35" s="129">
        <v>1</v>
      </c>
      <c r="E35" s="140"/>
      <c r="F35" s="129" t="s">
        <v>64</v>
      </c>
      <c r="G35" s="129" t="s">
        <v>198</v>
      </c>
      <c r="H35" s="129" t="s">
        <v>43</v>
      </c>
      <c r="I35" s="129"/>
      <c r="J35" s="129"/>
      <c r="K35" s="129" t="s">
        <v>186</v>
      </c>
      <c r="L35" s="130" t="s">
        <v>185</v>
      </c>
      <c r="M35" s="129" t="s">
        <v>186</v>
      </c>
      <c r="N35" s="129" t="s">
        <v>181</v>
      </c>
      <c r="O35" s="143">
        <v>40269</v>
      </c>
      <c r="P35" s="165"/>
      <c r="Q35" s="129"/>
      <c r="R35" s="129"/>
      <c r="S35" s="129"/>
      <c r="T35" s="129"/>
      <c r="U35" s="129">
        <v>10.5</v>
      </c>
      <c r="V35" s="129"/>
      <c r="W35" s="129">
        <v>500</v>
      </c>
      <c r="X35" s="129">
        <v>12</v>
      </c>
      <c r="Y35" s="129"/>
      <c r="Z35" s="129"/>
      <c r="AA35" s="129"/>
      <c r="AB35" s="129"/>
      <c r="AC35" s="129"/>
      <c r="AD35" s="129"/>
      <c r="AE35" s="129"/>
      <c r="AF35" s="129"/>
      <c r="AG35" s="129"/>
      <c r="AH35" s="129"/>
      <c r="AI35" s="140"/>
      <c r="AJ35" s="140"/>
      <c r="AK35" s="140"/>
      <c r="AL35" s="129">
        <v>32</v>
      </c>
      <c r="AM35" s="129">
        <v>0.85</v>
      </c>
      <c r="AN35" s="129">
        <v>10.5</v>
      </c>
      <c r="AO35" s="129"/>
      <c r="AP35" s="129"/>
      <c r="AQ35" s="129"/>
      <c r="AR35" s="129"/>
      <c r="AS35" s="129">
        <v>2700</v>
      </c>
      <c r="AT35" s="129">
        <v>1450</v>
      </c>
      <c r="AU35" s="129"/>
      <c r="AV35" s="129">
        <v>162</v>
      </c>
      <c r="AW35" s="129"/>
      <c r="AX35" s="129"/>
      <c r="AY35" s="129"/>
      <c r="AZ35" s="129"/>
      <c r="BA35" s="129"/>
      <c r="BB35" s="140"/>
      <c r="BC35" s="129" t="s">
        <v>21</v>
      </c>
      <c r="BD35" s="129"/>
      <c r="BE35" s="140"/>
      <c r="BF35" s="140"/>
      <c r="BG35" s="140"/>
      <c r="BH35" s="140"/>
      <c r="BI35" s="140">
        <v>9.6</v>
      </c>
      <c r="BJ35" s="140">
        <v>27.2</v>
      </c>
      <c r="BK35" s="140">
        <v>6.9</v>
      </c>
      <c r="BL35" s="140"/>
      <c r="BM35" s="140"/>
      <c r="BN35" s="140">
        <f t="shared" ref="BN35:BN77" si="17">BO35-BI35-BJ35-BK35</f>
        <v>0</v>
      </c>
      <c r="BO35" s="140">
        <v>43.7</v>
      </c>
      <c r="BP35" s="140">
        <v>47.4</v>
      </c>
      <c r="BQ35" s="140">
        <v>134.21199999999999</v>
      </c>
      <c r="BR35" s="148">
        <f t="shared" si="4"/>
        <v>4.9342647058823523</v>
      </c>
      <c r="BS35" s="140">
        <v>280.48200000000003</v>
      </c>
      <c r="BT35" s="140"/>
      <c r="BU35" s="149">
        <f t="shared" si="5"/>
        <v>40.649565217391306</v>
      </c>
      <c r="BV35" s="145">
        <v>92.653999999999996</v>
      </c>
      <c r="BW35" s="140"/>
      <c r="BX35" s="140"/>
      <c r="BY35" s="145">
        <f t="shared" si="16"/>
        <v>600.33182992327374</v>
      </c>
      <c r="BZ35" s="140"/>
      <c r="CA35" s="140"/>
      <c r="CB35" s="140"/>
      <c r="CC35" s="140"/>
      <c r="CD35" s="140"/>
      <c r="CE35" s="140"/>
      <c r="CF35" s="140"/>
      <c r="CG35" s="140"/>
      <c r="CH35" s="140"/>
      <c r="CI35" s="140"/>
      <c r="CJ35" s="140"/>
      <c r="CK35" s="140"/>
      <c r="CL35" s="140"/>
      <c r="CM35" s="140"/>
      <c r="CN35" s="140"/>
    </row>
    <row r="36" spans="2:92" x14ac:dyDescent="0.25">
      <c r="B36" s="169" t="s">
        <v>157</v>
      </c>
      <c r="C36" s="167" t="s">
        <v>181</v>
      </c>
      <c r="D36" s="129">
        <v>1</v>
      </c>
      <c r="E36" s="140"/>
      <c r="F36" s="129" t="s">
        <v>21</v>
      </c>
      <c r="G36" s="129"/>
      <c r="H36" s="129"/>
      <c r="I36" s="129"/>
      <c r="J36" s="129"/>
      <c r="K36" s="129" t="s">
        <v>186</v>
      </c>
      <c r="L36" s="130"/>
      <c r="M36" s="129"/>
      <c r="N36" s="129" t="s">
        <v>181</v>
      </c>
      <c r="O36" s="143">
        <v>41214</v>
      </c>
      <c r="P36" s="165"/>
      <c r="Q36" s="129"/>
      <c r="R36" s="129"/>
      <c r="S36" s="129"/>
      <c r="T36" s="129"/>
      <c r="U36" s="129">
        <v>10</v>
      </c>
      <c r="V36" s="129"/>
      <c r="W36" s="129">
        <v>333</v>
      </c>
      <c r="X36" s="129">
        <v>18</v>
      </c>
      <c r="Y36" s="129"/>
      <c r="Z36" s="129"/>
      <c r="AA36" s="129"/>
      <c r="AB36" s="129"/>
      <c r="AC36" s="129"/>
      <c r="AD36" s="129"/>
      <c r="AE36" s="129"/>
      <c r="AF36" s="129"/>
      <c r="AG36" s="129"/>
      <c r="AH36" s="129"/>
      <c r="AI36" s="140"/>
      <c r="AJ36" s="140"/>
      <c r="AK36" s="140"/>
      <c r="AL36" s="129">
        <v>22</v>
      </c>
      <c r="AM36" s="129"/>
      <c r="AN36" s="129">
        <v>10</v>
      </c>
      <c r="AO36" s="129"/>
      <c r="AP36" s="129"/>
      <c r="AQ36" s="129"/>
      <c r="AR36" s="129"/>
      <c r="AS36" s="129">
        <v>3304</v>
      </c>
      <c r="AT36" s="129">
        <v>1420</v>
      </c>
      <c r="AU36" s="129"/>
      <c r="AV36" s="129">
        <v>216</v>
      </c>
      <c r="AW36" s="129"/>
      <c r="AX36" s="129"/>
      <c r="AY36" s="129"/>
      <c r="AZ36" s="129"/>
      <c r="BA36" s="129"/>
      <c r="BB36" s="140"/>
      <c r="BC36" s="129" t="s">
        <v>21</v>
      </c>
      <c r="BD36" s="129"/>
      <c r="BE36" s="140"/>
      <c r="BF36" s="140"/>
      <c r="BG36" s="140"/>
      <c r="BH36" s="140"/>
      <c r="BI36" s="140"/>
      <c r="BJ36" s="140"/>
      <c r="BK36" s="140"/>
      <c r="BL36" s="140"/>
      <c r="BM36" s="140"/>
      <c r="BN36" s="140"/>
      <c r="BO36" s="140">
        <v>44.3</v>
      </c>
      <c r="BP36" s="140"/>
      <c r="BQ36" s="140"/>
      <c r="BR36" s="148"/>
      <c r="BS36" s="140"/>
      <c r="BT36" s="140"/>
      <c r="BU36" s="149"/>
      <c r="BV36" s="145">
        <v>100.675</v>
      </c>
      <c r="BW36" s="140"/>
      <c r="BX36" s="140"/>
      <c r="BY36" s="145">
        <v>554.76900000000001</v>
      </c>
      <c r="BZ36" s="140"/>
      <c r="CA36" s="140"/>
      <c r="CB36" s="140"/>
      <c r="CC36" s="140"/>
      <c r="CD36" s="140"/>
      <c r="CE36" s="140"/>
      <c r="CF36" s="140"/>
      <c r="CG36" s="140"/>
      <c r="CH36" s="140"/>
      <c r="CI36" s="140"/>
      <c r="CJ36" s="140"/>
      <c r="CK36" s="140"/>
      <c r="CL36" s="140"/>
      <c r="CM36" s="140"/>
      <c r="CN36" s="140"/>
    </row>
    <row r="37" spans="2:92" x14ac:dyDescent="0.25">
      <c r="B37" s="169" t="s">
        <v>158</v>
      </c>
      <c r="C37" s="167" t="s">
        <v>181</v>
      </c>
      <c r="D37" s="129">
        <v>3</v>
      </c>
      <c r="E37" s="140"/>
      <c r="F37" s="129" t="s">
        <v>21</v>
      </c>
      <c r="G37" s="129"/>
      <c r="H37" s="129"/>
      <c r="I37" s="129"/>
      <c r="J37" s="129"/>
      <c r="K37" s="129" t="s">
        <v>186</v>
      </c>
      <c r="L37" s="130"/>
      <c r="M37" s="129"/>
      <c r="N37" s="129" t="s">
        <v>181</v>
      </c>
      <c r="O37" s="143">
        <v>41426</v>
      </c>
      <c r="P37" s="165"/>
      <c r="Q37" s="129"/>
      <c r="R37" s="129"/>
      <c r="S37" s="129"/>
      <c r="T37" s="129"/>
      <c r="U37" s="129">
        <v>10</v>
      </c>
      <c r="V37" s="129"/>
      <c r="W37" s="129">
        <v>600</v>
      </c>
      <c r="X37" s="129">
        <v>10</v>
      </c>
      <c r="Y37" s="129"/>
      <c r="Z37" s="129"/>
      <c r="AA37" s="129"/>
      <c r="AB37" s="129"/>
      <c r="AC37" s="129"/>
      <c r="AD37" s="129"/>
      <c r="AE37" s="129"/>
      <c r="AF37" s="129"/>
      <c r="AG37" s="129"/>
      <c r="AH37" s="129"/>
      <c r="AI37" s="140"/>
      <c r="AJ37" s="140"/>
      <c r="AK37" s="140"/>
      <c r="AL37" s="129">
        <v>38</v>
      </c>
      <c r="AM37" s="129"/>
      <c r="AN37" s="129">
        <v>10</v>
      </c>
      <c r="AO37" s="129"/>
      <c r="AP37" s="129"/>
      <c r="AQ37" s="129"/>
      <c r="AR37" s="129"/>
      <c r="AS37" s="129">
        <v>2289</v>
      </c>
      <c r="AT37" s="129">
        <v>1800</v>
      </c>
      <c r="AU37" s="129"/>
      <c r="AV37" s="129">
        <v>120</v>
      </c>
      <c r="AW37" s="129"/>
      <c r="AX37" s="129"/>
      <c r="AY37" s="129"/>
      <c r="AZ37" s="129"/>
      <c r="BA37" s="129"/>
      <c r="BB37" s="140"/>
      <c r="BC37" s="129" t="s">
        <v>21</v>
      </c>
      <c r="BD37" s="129"/>
      <c r="BE37" s="140"/>
      <c r="BF37" s="140"/>
      <c r="BG37" s="140"/>
      <c r="BH37" s="140"/>
      <c r="BI37" s="140"/>
      <c r="BJ37" s="140"/>
      <c r="BK37" s="140"/>
      <c r="BL37" s="140"/>
      <c r="BM37" s="140"/>
      <c r="BN37" s="140"/>
      <c r="BO37" s="140">
        <v>47.1</v>
      </c>
      <c r="BP37" s="140"/>
      <c r="BQ37" s="140"/>
      <c r="BR37" s="148"/>
      <c r="BS37" s="140"/>
      <c r="BT37" s="140"/>
      <c r="BU37" s="149"/>
      <c r="BV37" s="145">
        <v>75.584000000000003</v>
      </c>
      <c r="BW37" s="140"/>
      <c r="BX37" s="140"/>
      <c r="BY37" s="145">
        <v>517.73500000000001</v>
      </c>
      <c r="BZ37" s="140"/>
      <c r="CA37" s="140"/>
      <c r="CB37" s="140"/>
      <c r="CC37" s="140"/>
      <c r="CD37" s="140"/>
      <c r="CE37" s="140"/>
      <c r="CF37" s="140"/>
      <c r="CG37" s="140"/>
      <c r="CH37" s="140"/>
      <c r="CI37" s="140"/>
      <c r="CJ37" s="140"/>
      <c r="CK37" s="140"/>
      <c r="CL37" s="140"/>
      <c r="CM37" s="140"/>
      <c r="CN37" s="140"/>
    </row>
    <row r="38" spans="2:92" x14ac:dyDescent="0.25">
      <c r="B38" s="140" t="s">
        <v>132</v>
      </c>
      <c r="C38" s="167" t="s">
        <v>181</v>
      </c>
      <c r="D38" s="129">
        <v>3</v>
      </c>
      <c r="E38" s="140"/>
      <c r="F38" s="129" t="s">
        <v>21</v>
      </c>
      <c r="G38" s="129" t="s">
        <v>199</v>
      </c>
      <c r="H38" s="129" t="s">
        <v>43</v>
      </c>
      <c r="I38" s="129"/>
      <c r="J38" s="129"/>
      <c r="K38" s="129" t="s">
        <v>186</v>
      </c>
      <c r="L38" s="130" t="s">
        <v>185</v>
      </c>
      <c r="M38" s="129" t="s">
        <v>186</v>
      </c>
      <c r="N38" s="129" t="s">
        <v>181</v>
      </c>
      <c r="O38" s="143">
        <v>40816</v>
      </c>
      <c r="P38" s="165"/>
      <c r="Q38" s="129"/>
      <c r="R38" s="129"/>
      <c r="S38" s="129"/>
      <c r="T38" s="129"/>
      <c r="U38" s="129">
        <v>6.3</v>
      </c>
      <c r="V38" s="129"/>
      <c r="W38" s="129">
        <v>68.2</v>
      </c>
      <c r="X38" s="129">
        <v>88</v>
      </c>
      <c r="Y38" s="129"/>
      <c r="Z38" s="129"/>
      <c r="AA38" s="129"/>
      <c r="AB38" s="129"/>
      <c r="AC38" s="129"/>
      <c r="AD38" s="129"/>
      <c r="AE38" s="129"/>
      <c r="AF38" s="129"/>
      <c r="AG38" s="129"/>
      <c r="AH38" s="129"/>
      <c r="AI38" s="140"/>
      <c r="AJ38" s="140"/>
      <c r="AK38" s="140"/>
      <c r="AL38" s="129">
        <v>12.5</v>
      </c>
      <c r="AM38" s="129">
        <v>0.85</v>
      </c>
      <c r="AN38" s="129">
        <v>6.3</v>
      </c>
      <c r="AO38" s="129"/>
      <c r="AP38" s="129"/>
      <c r="AQ38" s="129"/>
      <c r="AR38" s="129"/>
      <c r="AS38" s="129">
        <v>8000</v>
      </c>
      <c r="AT38" s="129">
        <v>600</v>
      </c>
      <c r="AU38" s="129"/>
      <c r="AV38" s="129">
        <v>624</v>
      </c>
      <c r="AW38" s="129"/>
      <c r="AX38" s="129"/>
      <c r="AY38" s="129"/>
      <c r="AZ38" s="129"/>
      <c r="BA38" s="129"/>
      <c r="BB38" s="140"/>
      <c r="BC38" s="129" t="s">
        <v>21</v>
      </c>
      <c r="BD38" s="129"/>
      <c r="BE38" s="140"/>
      <c r="BF38" s="140"/>
      <c r="BG38" s="140"/>
      <c r="BH38" s="140"/>
      <c r="BI38" s="140">
        <v>16.399999999999999</v>
      </c>
      <c r="BJ38" s="140">
        <v>23.3</v>
      </c>
      <c r="BK38" s="140">
        <v>9.3000000000000007</v>
      </c>
      <c r="BL38" s="140"/>
      <c r="BM38" s="140"/>
      <c r="BN38" s="140">
        <v>0</v>
      </c>
      <c r="BO38" s="140">
        <f>SUM(BI38:BN38)</f>
        <v>49</v>
      </c>
      <c r="BP38" s="140">
        <v>79.5</v>
      </c>
      <c r="BQ38" s="140">
        <v>147.44900000000001</v>
      </c>
      <c r="BR38" s="148">
        <f t="shared" si="4"/>
        <v>6.3282832618025751</v>
      </c>
      <c r="BS38" s="140">
        <v>586.46299999999997</v>
      </c>
      <c r="BT38" s="140"/>
      <c r="BU38" s="149">
        <f t="shared" si="5"/>
        <v>63.060537634408597</v>
      </c>
      <c r="BV38" s="145">
        <v>162.41300000000001</v>
      </c>
      <c r="BW38" s="140"/>
      <c r="BX38" s="140"/>
      <c r="BY38" s="145">
        <f>SUM(BP38:BX38)</f>
        <v>1045.213820896211</v>
      </c>
      <c r="BZ38" s="140"/>
      <c r="CA38" s="140"/>
      <c r="CB38" s="140"/>
      <c r="CC38" s="140"/>
      <c r="CD38" s="140"/>
      <c r="CE38" s="140"/>
      <c r="CF38" s="140"/>
      <c r="CG38" s="140"/>
      <c r="CH38" s="140"/>
      <c r="CI38" s="140"/>
      <c r="CJ38" s="140"/>
      <c r="CK38" s="140"/>
      <c r="CL38" s="140"/>
      <c r="CM38" s="140"/>
      <c r="CN38" s="140"/>
    </row>
    <row r="39" spans="2:92" x14ac:dyDescent="0.25">
      <c r="B39" s="140" t="s">
        <v>159</v>
      </c>
      <c r="C39" s="167" t="s">
        <v>181</v>
      </c>
      <c r="D39" s="129">
        <v>1</v>
      </c>
      <c r="E39" s="140"/>
      <c r="F39" s="129" t="s">
        <v>21</v>
      </c>
      <c r="G39" s="129"/>
      <c r="H39" s="129"/>
      <c r="I39" s="129"/>
      <c r="J39" s="129"/>
      <c r="K39" s="129" t="s">
        <v>185</v>
      </c>
      <c r="L39" s="130"/>
      <c r="M39" s="129"/>
      <c r="N39" s="129" t="s">
        <v>181</v>
      </c>
      <c r="O39" s="143">
        <v>40603</v>
      </c>
      <c r="P39" s="165"/>
      <c r="Q39" s="129"/>
      <c r="R39" s="129"/>
      <c r="S39" s="129"/>
      <c r="T39" s="129"/>
      <c r="U39" s="129">
        <v>10</v>
      </c>
      <c r="V39" s="129"/>
      <c r="W39" s="129">
        <v>214</v>
      </c>
      <c r="X39" s="129">
        <v>28</v>
      </c>
      <c r="Y39" s="129"/>
      <c r="Z39" s="129"/>
      <c r="AA39" s="129"/>
      <c r="AB39" s="129"/>
      <c r="AC39" s="129"/>
      <c r="AD39" s="129"/>
      <c r="AE39" s="129"/>
      <c r="AF39" s="129"/>
      <c r="AG39" s="129"/>
      <c r="AH39" s="129"/>
      <c r="AI39" s="140"/>
      <c r="AJ39" s="140"/>
      <c r="AK39" s="140"/>
      <c r="AL39" s="129">
        <v>42</v>
      </c>
      <c r="AM39" s="129"/>
      <c r="AN39" s="129">
        <v>10</v>
      </c>
      <c r="AO39" s="129"/>
      <c r="AP39" s="129"/>
      <c r="AQ39" s="129"/>
      <c r="AR39" s="129"/>
      <c r="AS39" s="129">
        <v>4200</v>
      </c>
      <c r="AT39" s="129">
        <v>1770</v>
      </c>
      <c r="AU39" s="129"/>
      <c r="AV39" s="129">
        <v>189</v>
      </c>
      <c r="AW39" s="129"/>
      <c r="AX39" s="129"/>
      <c r="AY39" s="129"/>
      <c r="AZ39" s="129"/>
      <c r="BA39" s="129"/>
      <c r="BB39" s="140"/>
      <c r="BC39" s="129" t="s">
        <v>21</v>
      </c>
      <c r="BD39" s="129"/>
      <c r="BE39" s="140"/>
      <c r="BF39" s="140"/>
      <c r="BG39" s="140"/>
      <c r="BH39" s="140"/>
      <c r="BI39" s="140"/>
      <c r="BJ39" s="140"/>
      <c r="BK39" s="140"/>
      <c r="BL39" s="140"/>
      <c r="BM39" s="140"/>
      <c r="BN39" s="140"/>
      <c r="BO39" s="140">
        <v>49.8</v>
      </c>
      <c r="BP39" s="140"/>
      <c r="BQ39" s="140"/>
      <c r="BR39" s="148"/>
      <c r="BS39" s="140"/>
      <c r="BT39" s="140"/>
      <c r="BU39" s="149"/>
      <c r="BV39" s="145">
        <v>92.799000000000007</v>
      </c>
      <c r="BW39" s="140"/>
      <c r="BX39" s="140"/>
      <c r="BY39" s="145">
        <v>606.19899999999996</v>
      </c>
      <c r="BZ39" s="140"/>
      <c r="CA39" s="140"/>
      <c r="CB39" s="140"/>
      <c r="CC39" s="140"/>
      <c r="CD39" s="140"/>
      <c r="CE39" s="140"/>
      <c r="CF39" s="140"/>
      <c r="CG39" s="140"/>
      <c r="CH39" s="140"/>
      <c r="CI39" s="140"/>
      <c r="CJ39" s="140"/>
      <c r="CK39" s="140"/>
      <c r="CL39" s="140"/>
      <c r="CM39" s="140"/>
      <c r="CN39" s="140"/>
    </row>
    <row r="40" spans="2:92" x14ac:dyDescent="0.25">
      <c r="B40" s="140" t="s">
        <v>160</v>
      </c>
      <c r="C40" s="167" t="s">
        <v>181</v>
      </c>
      <c r="D40" s="129">
        <v>2</v>
      </c>
      <c r="E40" s="140"/>
      <c r="F40" s="129" t="s">
        <v>21</v>
      </c>
      <c r="G40" s="129"/>
      <c r="H40" s="129"/>
      <c r="I40" s="129"/>
      <c r="J40" s="129"/>
      <c r="K40" s="129" t="s">
        <v>186</v>
      </c>
      <c r="L40" s="130"/>
      <c r="M40" s="129"/>
      <c r="N40" s="129" t="s">
        <v>181</v>
      </c>
      <c r="O40" s="143">
        <v>40787</v>
      </c>
      <c r="P40" s="165"/>
      <c r="Q40" s="129"/>
      <c r="R40" s="129"/>
      <c r="S40" s="129"/>
      <c r="T40" s="129"/>
      <c r="U40" s="129">
        <v>11</v>
      </c>
      <c r="V40" s="129"/>
      <c r="W40" s="129">
        <v>750</v>
      </c>
      <c r="X40" s="129">
        <v>8</v>
      </c>
      <c r="Y40" s="129"/>
      <c r="Z40" s="129"/>
      <c r="AA40" s="129"/>
      <c r="AB40" s="129"/>
      <c r="AC40" s="129"/>
      <c r="AD40" s="129"/>
      <c r="AE40" s="129"/>
      <c r="AF40" s="129"/>
      <c r="AG40" s="129"/>
      <c r="AH40" s="129"/>
      <c r="AI40" s="140"/>
      <c r="AJ40" s="140"/>
      <c r="AK40" s="140"/>
      <c r="AL40" s="129">
        <v>53</v>
      </c>
      <c r="AM40" s="129"/>
      <c r="AN40" s="129">
        <v>11</v>
      </c>
      <c r="AO40" s="129"/>
      <c r="AP40" s="129"/>
      <c r="AQ40" s="129"/>
      <c r="AR40" s="129"/>
      <c r="AS40" s="129">
        <v>2350</v>
      </c>
      <c r="AT40" s="129">
        <v>1800</v>
      </c>
      <c r="AU40" s="129"/>
      <c r="AV40" s="129">
        <v>99</v>
      </c>
      <c r="AW40" s="129"/>
      <c r="AX40" s="129"/>
      <c r="AY40" s="129"/>
      <c r="AZ40" s="129"/>
      <c r="BA40" s="129"/>
      <c r="BB40" s="140"/>
      <c r="BC40" s="129" t="s">
        <v>21</v>
      </c>
      <c r="BD40" s="129"/>
      <c r="BE40" s="140"/>
      <c r="BF40" s="140"/>
      <c r="BG40" s="140"/>
      <c r="BH40" s="140"/>
      <c r="BI40" s="140"/>
      <c r="BJ40" s="140"/>
      <c r="BK40" s="140"/>
      <c r="BL40" s="140"/>
      <c r="BM40" s="140"/>
      <c r="BN40" s="140"/>
      <c r="BO40" s="140">
        <v>61.1</v>
      </c>
      <c r="BP40" s="140"/>
      <c r="BQ40" s="140"/>
      <c r="BR40" s="148"/>
      <c r="BS40" s="140"/>
      <c r="BT40" s="140"/>
      <c r="BU40" s="149"/>
      <c r="BV40" s="145">
        <v>135.06299999999999</v>
      </c>
      <c r="BW40" s="140"/>
      <c r="BX40" s="140"/>
      <c r="BY40" s="145">
        <v>649.798</v>
      </c>
      <c r="BZ40" s="140"/>
      <c r="CA40" s="140"/>
      <c r="CB40" s="140"/>
      <c r="CC40" s="140"/>
      <c r="CD40" s="140"/>
      <c r="CE40" s="140"/>
      <c r="CF40" s="140"/>
      <c r="CG40" s="140"/>
      <c r="CH40" s="140"/>
      <c r="CI40" s="140"/>
      <c r="CJ40" s="140"/>
      <c r="CK40" s="140"/>
      <c r="CL40" s="140"/>
      <c r="CM40" s="140"/>
      <c r="CN40" s="140"/>
    </row>
    <row r="41" spans="2:92" x14ac:dyDescent="0.25">
      <c r="B41" s="140" t="s">
        <v>161</v>
      </c>
      <c r="C41" s="167" t="s">
        <v>181</v>
      </c>
      <c r="D41" s="129">
        <v>1</v>
      </c>
      <c r="E41" s="140"/>
      <c r="F41" s="129" t="s">
        <v>21</v>
      </c>
      <c r="G41" s="129"/>
      <c r="H41" s="129"/>
      <c r="I41" s="129"/>
      <c r="J41" s="129"/>
      <c r="K41" s="129" t="s">
        <v>185</v>
      </c>
      <c r="L41" s="130"/>
      <c r="M41" s="129"/>
      <c r="N41" s="129" t="s">
        <v>181</v>
      </c>
      <c r="O41" s="143">
        <v>41609</v>
      </c>
      <c r="P41" s="165"/>
      <c r="Q41" s="129"/>
      <c r="R41" s="129"/>
      <c r="S41" s="129"/>
      <c r="T41" s="129"/>
      <c r="U41" s="129">
        <v>10.5</v>
      </c>
      <c r="V41" s="129"/>
      <c r="W41" s="129">
        <v>250</v>
      </c>
      <c r="X41" s="129">
        <v>24</v>
      </c>
      <c r="Y41" s="129"/>
      <c r="Z41" s="129"/>
      <c r="AA41" s="129"/>
      <c r="AB41" s="129"/>
      <c r="AC41" s="129"/>
      <c r="AD41" s="129"/>
      <c r="AE41" s="129"/>
      <c r="AF41" s="129"/>
      <c r="AG41" s="129"/>
      <c r="AH41" s="129"/>
      <c r="AI41" s="140"/>
      <c r="AJ41" s="140"/>
      <c r="AK41" s="140"/>
      <c r="AL41" s="129">
        <v>48.93</v>
      </c>
      <c r="AM41" s="129"/>
      <c r="AN41" s="129">
        <v>10.5</v>
      </c>
      <c r="AO41" s="129"/>
      <c r="AP41" s="129"/>
      <c r="AQ41" s="129"/>
      <c r="AR41" s="129"/>
      <c r="AS41" s="129">
        <v>4844</v>
      </c>
      <c r="AT41" s="129">
        <v>1620</v>
      </c>
      <c r="AU41" s="129"/>
      <c r="AV41" s="129">
        <v>162</v>
      </c>
      <c r="AW41" s="129"/>
      <c r="AX41" s="129"/>
      <c r="AY41" s="129"/>
      <c r="AZ41" s="129"/>
      <c r="BA41" s="129"/>
      <c r="BB41" s="140"/>
      <c r="BC41" s="129" t="s">
        <v>21</v>
      </c>
      <c r="BD41" s="129"/>
      <c r="BE41" s="140"/>
      <c r="BF41" s="140"/>
      <c r="BG41" s="140"/>
      <c r="BH41" s="140"/>
      <c r="BI41" s="140"/>
      <c r="BJ41" s="140"/>
      <c r="BK41" s="140"/>
      <c r="BL41" s="140"/>
      <c r="BM41" s="140"/>
      <c r="BN41" s="140"/>
      <c r="BO41" s="140">
        <v>63.5</v>
      </c>
      <c r="BP41" s="140"/>
      <c r="BQ41" s="140"/>
      <c r="BR41" s="148"/>
      <c r="BS41" s="140"/>
      <c r="BT41" s="140"/>
      <c r="BU41" s="149"/>
      <c r="BV41" s="145">
        <v>47.741999999999997</v>
      </c>
      <c r="BW41" s="140"/>
      <c r="BX41" s="140"/>
      <c r="BY41" s="145">
        <v>711.28899999999999</v>
      </c>
      <c r="BZ41" s="140"/>
      <c r="CA41" s="140"/>
      <c r="CB41" s="140"/>
      <c r="CC41" s="140"/>
      <c r="CD41" s="140"/>
      <c r="CE41" s="140"/>
      <c r="CF41" s="140"/>
      <c r="CG41" s="140"/>
      <c r="CH41" s="140"/>
      <c r="CI41" s="140"/>
      <c r="CJ41" s="140"/>
      <c r="CK41" s="140"/>
      <c r="CL41" s="140"/>
      <c r="CM41" s="140"/>
      <c r="CN41" s="140"/>
    </row>
    <row r="42" spans="2:92" x14ac:dyDescent="0.25">
      <c r="B42" s="140" t="s">
        <v>162</v>
      </c>
      <c r="C42" s="167" t="s">
        <v>181</v>
      </c>
      <c r="D42" s="129">
        <v>2</v>
      </c>
      <c r="E42" s="140"/>
      <c r="F42" s="129" t="s">
        <v>21</v>
      </c>
      <c r="G42" s="129"/>
      <c r="H42" s="129"/>
      <c r="I42" s="129"/>
      <c r="J42" s="129"/>
      <c r="K42" s="129" t="s">
        <v>186</v>
      </c>
      <c r="L42" s="130"/>
      <c r="M42" s="129"/>
      <c r="N42" s="129" t="s">
        <v>181</v>
      </c>
      <c r="O42" s="143">
        <v>40909</v>
      </c>
      <c r="P42" s="165"/>
      <c r="Q42" s="129"/>
      <c r="R42" s="129"/>
      <c r="S42" s="129"/>
      <c r="T42" s="129"/>
      <c r="U42" s="129">
        <v>12</v>
      </c>
      <c r="V42" s="129"/>
      <c r="W42" s="129">
        <v>500</v>
      </c>
      <c r="X42" s="129">
        <v>12</v>
      </c>
      <c r="Y42" s="129"/>
      <c r="Z42" s="129"/>
      <c r="AA42" s="129"/>
      <c r="AB42" s="129"/>
      <c r="AC42" s="129"/>
      <c r="AD42" s="129"/>
      <c r="AE42" s="129"/>
      <c r="AF42" s="129"/>
      <c r="AG42" s="129"/>
      <c r="AH42" s="129"/>
      <c r="AI42" s="140"/>
      <c r="AJ42" s="140"/>
      <c r="AK42" s="140"/>
      <c r="AL42" s="129">
        <v>46</v>
      </c>
      <c r="AM42" s="129"/>
      <c r="AN42" s="129">
        <v>12</v>
      </c>
      <c r="AO42" s="129"/>
      <c r="AP42" s="129"/>
      <c r="AQ42" s="129"/>
      <c r="AR42" s="129"/>
      <c r="AS42" s="129">
        <v>3173</v>
      </c>
      <c r="AT42" s="129">
        <v>1300</v>
      </c>
      <c r="AU42" s="129"/>
      <c r="AV42" s="129">
        <v>162</v>
      </c>
      <c r="AW42" s="129"/>
      <c r="AX42" s="129"/>
      <c r="AY42" s="129"/>
      <c r="AZ42" s="129"/>
      <c r="BA42" s="129"/>
      <c r="BB42" s="140"/>
      <c r="BC42" s="129" t="s">
        <v>21</v>
      </c>
      <c r="BD42" s="129"/>
      <c r="BE42" s="140"/>
      <c r="BF42" s="140"/>
      <c r="BG42" s="140"/>
      <c r="BH42" s="140"/>
      <c r="BI42" s="140"/>
      <c r="BJ42" s="140"/>
      <c r="BK42" s="140"/>
      <c r="BL42" s="140"/>
      <c r="BM42" s="140"/>
      <c r="BN42" s="140"/>
      <c r="BO42" s="140">
        <v>63.7</v>
      </c>
      <c r="BP42" s="140"/>
      <c r="BQ42" s="140"/>
      <c r="BR42" s="148"/>
      <c r="BS42" s="140"/>
      <c r="BT42" s="140"/>
      <c r="BU42" s="149"/>
      <c r="BV42" s="145">
        <v>0</v>
      </c>
      <c r="BW42" s="140"/>
      <c r="BX42" s="140"/>
      <c r="BY42" s="145">
        <v>562.13099999999997</v>
      </c>
      <c r="BZ42" s="140"/>
      <c r="CA42" s="140"/>
      <c r="CB42" s="140"/>
      <c r="CC42" s="140"/>
      <c r="CD42" s="140"/>
      <c r="CE42" s="140"/>
      <c r="CF42" s="140"/>
      <c r="CG42" s="140"/>
      <c r="CH42" s="140"/>
      <c r="CI42" s="140"/>
      <c r="CJ42" s="140"/>
      <c r="CK42" s="140"/>
      <c r="CL42" s="140"/>
      <c r="CM42" s="140"/>
      <c r="CN42" s="140"/>
    </row>
    <row r="43" spans="2:92" x14ac:dyDescent="0.25">
      <c r="B43" s="140" t="s">
        <v>163</v>
      </c>
      <c r="C43" s="167" t="s">
        <v>181</v>
      </c>
      <c r="D43" s="129">
        <v>1</v>
      </c>
      <c r="E43" s="140"/>
      <c r="F43" s="129" t="s">
        <v>21</v>
      </c>
      <c r="G43" s="129"/>
      <c r="H43" s="129"/>
      <c r="I43" s="129"/>
      <c r="J43" s="129"/>
      <c r="K43" s="129" t="s">
        <v>186</v>
      </c>
      <c r="L43" s="130"/>
      <c r="M43" s="129"/>
      <c r="N43" s="129" t="s">
        <v>181</v>
      </c>
      <c r="O43" s="143">
        <v>41518</v>
      </c>
      <c r="P43" s="165"/>
      <c r="Q43" s="129"/>
      <c r="R43" s="129"/>
      <c r="S43" s="129"/>
      <c r="T43" s="129"/>
      <c r="U43" s="129">
        <v>10.5</v>
      </c>
      <c r="V43" s="129"/>
      <c r="W43" s="129">
        <v>333</v>
      </c>
      <c r="X43" s="129">
        <v>18</v>
      </c>
      <c r="Y43" s="129"/>
      <c r="Z43" s="129"/>
      <c r="AA43" s="129"/>
      <c r="AB43" s="129"/>
      <c r="AC43" s="129"/>
      <c r="AD43" s="129"/>
      <c r="AE43" s="129"/>
      <c r="AF43" s="129"/>
      <c r="AG43" s="129"/>
      <c r="AH43" s="129"/>
      <c r="AI43" s="140"/>
      <c r="AJ43" s="140"/>
      <c r="AK43" s="140"/>
      <c r="AL43" s="129">
        <v>35</v>
      </c>
      <c r="AM43" s="129"/>
      <c r="AN43" s="129">
        <v>10.5</v>
      </c>
      <c r="AO43" s="129"/>
      <c r="AP43" s="129"/>
      <c r="AQ43" s="129"/>
      <c r="AR43" s="129"/>
      <c r="AS43" s="129">
        <v>4506</v>
      </c>
      <c r="AT43" s="129">
        <v>1000</v>
      </c>
      <c r="AU43" s="129"/>
      <c r="AV43" s="129">
        <v>216</v>
      </c>
      <c r="AW43" s="129"/>
      <c r="AX43" s="129"/>
      <c r="AY43" s="129"/>
      <c r="AZ43" s="129"/>
      <c r="BA43" s="129"/>
      <c r="BB43" s="140"/>
      <c r="BC43" s="129" t="s">
        <v>21</v>
      </c>
      <c r="BD43" s="129"/>
      <c r="BE43" s="140"/>
      <c r="BF43" s="140"/>
      <c r="BG43" s="140"/>
      <c r="BH43" s="140"/>
      <c r="BI43" s="140"/>
      <c r="BJ43" s="140"/>
      <c r="BK43" s="140"/>
      <c r="BL43" s="140"/>
      <c r="BM43" s="140"/>
      <c r="BN43" s="140"/>
      <c r="BO43" s="140">
        <v>68.900000000000006</v>
      </c>
      <c r="BP43" s="140"/>
      <c r="BQ43" s="140"/>
      <c r="BR43" s="148"/>
      <c r="BS43" s="140"/>
      <c r="BT43" s="140"/>
      <c r="BU43" s="149"/>
      <c r="BV43" s="145">
        <v>98.263000000000005</v>
      </c>
      <c r="BW43" s="140"/>
      <c r="BX43" s="140"/>
      <c r="BY43" s="145">
        <v>706.69200000000001</v>
      </c>
      <c r="BZ43" s="140"/>
      <c r="CA43" s="140"/>
      <c r="CB43" s="140"/>
      <c r="CC43" s="140"/>
      <c r="CD43" s="140"/>
      <c r="CE43" s="140"/>
      <c r="CF43" s="140"/>
      <c r="CG43" s="140"/>
      <c r="CH43" s="140"/>
      <c r="CI43" s="140"/>
      <c r="CJ43" s="140"/>
      <c r="CK43" s="140"/>
      <c r="CL43" s="140"/>
      <c r="CM43" s="140"/>
      <c r="CN43" s="140"/>
    </row>
    <row r="44" spans="2:92" x14ac:dyDescent="0.25">
      <c r="B44" s="140" t="s">
        <v>164</v>
      </c>
      <c r="C44" s="167" t="s">
        <v>181</v>
      </c>
      <c r="D44" s="129">
        <v>2</v>
      </c>
      <c r="E44" s="140"/>
      <c r="F44" s="129" t="s">
        <v>21</v>
      </c>
      <c r="G44" s="129"/>
      <c r="H44" s="129"/>
      <c r="I44" s="129"/>
      <c r="J44" s="129"/>
      <c r="K44" s="129" t="s">
        <v>186</v>
      </c>
      <c r="L44" s="130"/>
      <c r="M44" s="129"/>
      <c r="N44" s="129" t="s">
        <v>181</v>
      </c>
      <c r="O44" s="143">
        <v>41214</v>
      </c>
      <c r="P44" s="165"/>
      <c r="Q44" s="129"/>
      <c r="R44" s="129"/>
      <c r="S44" s="129"/>
      <c r="T44" s="129"/>
      <c r="U44" s="129">
        <v>10</v>
      </c>
      <c r="V44" s="129"/>
      <c r="W44" s="129">
        <v>500</v>
      </c>
      <c r="X44" s="129">
        <v>12</v>
      </c>
      <c r="Y44" s="129"/>
      <c r="Z44" s="129"/>
      <c r="AA44" s="129"/>
      <c r="AB44" s="129"/>
      <c r="AC44" s="129"/>
      <c r="AD44" s="129"/>
      <c r="AE44" s="129"/>
      <c r="AF44" s="129"/>
      <c r="AG44" s="129"/>
      <c r="AH44" s="129"/>
      <c r="AI44" s="140"/>
      <c r="AJ44" s="140"/>
      <c r="AK44" s="140"/>
      <c r="AL44" s="129">
        <v>53</v>
      </c>
      <c r="AM44" s="129"/>
      <c r="AN44" s="129">
        <v>10</v>
      </c>
      <c r="AO44" s="129"/>
      <c r="AP44" s="129"/>
      <c r="AQ44" s="129"/>
      <c r="AR44" s="129"/>
      <c r="AS44" s="129">
        <v>2803</v>
      </c>
      <c r="AT44" s="129">
        <v>2600</v>
      </c>
      <c r="AU44" s="129"/>
      <c r="AV44" s="129">
        <v>162</v>
      </c>
      <c r="AW44" s="129"/>
      <c r="AX44" s="129"/>
      <c r="AY44" s="129"/>
      <c r="AZ44" s="129"/>
      <c r="BA44" s="129"/>
      <c r="BB44" s="140"/>
      <c r="BC44" s="129" t="s">
        <v>21</v>
      </c>
      <c r="BD44" s="129"/>
      <c r="BE44" s="140"/>
      <c r="BF44" s="140"/>
      <c r="BG44" s="140"/>
      <c r="BH44" s="140"/>
      <c r="BI44" s="140"/>
      <c r="BJ44" s="140"/>
      <c r="BK44" s="140"/>
      <c r="BL44" s="140"/>
      <c r="BM44" s="140"/>
      <c r="BN44" s="140"/>
      <c r="BO44" s="140">
        <v>70.7</v>
      </c>
      <c r="BP44" s="140"/>
      <c r="BQ44" s="140"/>
      <c r="BR44" s="148"/>
      <c r="BS44" s="140"/>
      <c r="BT44" s="140"/>
      <c r="BU44" s="149"/>
      <c r="BV44" s="145">
        <v>99.802000000000007</v>
      </c>
      <c r="BW44" s="140"/>
      <c r="BX44" s="140"/>
      <c r="BY44" s="145">
        <v>675.35299999999995</v>
      </c>
      <c r="BZ44" s="140"/>
      <c r="CA44" s="140"/>
      <c r="CB44" s="140"/>
      <c r="CC44" s="140"/>
      <c r="CD44" s="140"/>
      <c r="CE44" s="140"/>
      <c r="CF44" s="140"/>
      <c r="CG44" s="140"/>
      <c r="CH44" s="140"/>
      <c r="CI44" s="140"/>
      <c r="CJ44" s="140"/>
      <c r="CK44" s="140"/>
      <c r="CL44" s="140"/>
      <c r="CM44" s="140"/>
      <c r="CN44" s="140"/>
    </row>
    <row r="45" spans="2:92" x14ac:dyDescent="0.25">
      <c r="B45" s="140" t="s">
        <v>165</v>
      </c>
      <c r="C45" s="167" t="s">
        <v>181</v>
      </c>
      <c r="D45" s="129">
        <v>3</v>
      </c>
      <c r="E45" s="140"/>
      <c r="F45" s="129" t="s">
        <v>21</v>
      </c>
      <c r="G45" s="129"/>
      <c r="H45" s="129"/>
      <c r="I45" s="129"/>
      <c r="J45" s="129"/>
      <c r="K45" s="129" t="s">
        <v>186</v>
      </c>
      <c r="L45" s="130"/>
      <c r="M45" s="129"/>
      <c r="N45" s="129" t="s">
        <v>181</v>
      </c>
      <c r="O45" s="143">
        <v>41487</v>
      </c>
      <c r="P45" s="165"/>
      <c r="Q45" s="129"/>
      <c r="R45" s="129"/>
      <c r="S45" s="129"/>
      <c r="T45" s="129"/>
      <c r="U45" s="129">
        <v>10.5</v>
      </c>
      <c r="V45" s="129"/>
      <c r="W45" s="129">
        <v>750</v>
      </c>
      <c r="X45" s="129">
        <v>8</v>
      </c>
      <c r="Y45" s="129"/>
      <c r="Z45" s="129"/>
      <c r="AA45" s="129"/>
      <c r="AB45" s="129"/>
      <c r="AC45" s="129"/>
      <c r="AD45" s="129"/>
      <c r="AE45" s="129"/>
      <c r="AF45" s="129"/>
      <c r="AG45" s="129"/>
      <c r="AH45" s="129"/>
      <c r="AI45" s="140"/>
      <c r="AJ45" s="140"/>
      <c r="AK45" s="140"/>
      <c r="AL45" s="129">
        <v>60</v>
      </c>
      <c r="AM45" s="129"/>
      <c r="AN45" s="129">
        <v>10.5</v>
      </c>
      <c r="AO45" s="129"/>
      <c r="AP45" s="129"/>
      <c r="AQ45" s="129"/>
      <c r="AR45" s="129"/>
      <c r="AS45" s="129">
        <v>2200</v>
      </c>
      <c r="AT45" s="129">
        <v>3000</v>
      </c>
      <c r="AU45" s="129"/>
      <c r="AV45" s="129">
        <v>144</v>
      </c>
      <c r="AW45" s="129"/>
      <c r="AX45" s="129"/>
      <c r="AY45" s="129"/>
      <c r="AZ45" s="129"/>
      <c r="BA45" s="129"/>
      <c r="BB45" s="140"/>
      <c r="BC45" s="129" t="s">
        <v>21</v>
      </c>
      <c r="BD45" s="129"/>
      <c r="BE45" s="140"/>
      <c r="BF45" s="140"/>
      <c r="BG45" s="140"/>
      <c r="BH45" s="140"/>
      <c r="BI45" s="140"/>
      <c r="BJ45" s="140"/>
      <c r="BK45" s="140"/>
      <c r="BL45" s="140"/>
      <c r="BM45" s="140"/>
      <c r="BN45" s="140"/>
      <c r="BO45" s="140">
        <v>73.7</v>
      </c>
      <c r="BP45" s="140"/>
      <c r="BQ45" s="140"/>
      <c r="BR45" s="148"/>
      <c r="BS45" s="140"/>
      <c r="BT45" s="140"/>
      <c r="BU45" s="149"/>
      <c r="BV45" s="145">
        <v>110.06699999999999</v>
      </c>
      <c r="BW45" s="140"/>
      <c r="BX45" s="140"/>
      <c r="BY45" s="145">
        <v>703.53399999999999</v>
      </c>
      <c r="BZ45" s="140"/>
      <c r="CA45" s="140"/>
      <c r="CB45" s="140"/>
      <c r="CC45" s="140"/>
      <c r="CD45" s="140"/>
      <c r="CE45" s="140"/>
      <c r="CF45" s="140"/>
      <c r="CG45" s="140"/>
      <c r="CH45" s="140"/>
      <c r="CI45" s="140"/>
      <c r="CJ45" s="140"/>
      <c r="CK45" s="140"/>
      <c r="CL45" s="140"/>
      <c r="CM45" s="140"/>
      <c r="CN45" s="140"/>
    </row>
    <row r="46" spans="2:92" x14ac:dyDescent="0.25">
      <c r="B46" s="140" t="s">
        <v>166</v>
      </c>
      <c r="C46" s="167" t="s">
        <v>181</v>
      </c>
      <c r="D46" s="129">
        <v>1</v>
      </c>
      <c r="E46" s="140"/>
      <c r="F46" s="129" t="s">
        <v>21</v>
      </c>
      <c r="G46" s="129"/>
      <c r="H46" s="129"/>
      <c r="I46" s="129"/>
      <c r="J46" s="129"/>
      <c r="K46" s="129" t="s">
        <v>186</v>
      </c>
      <c r="L46" s="130"/>
      <c r="M46" s="129"/>
      <c r="N46" s="129" t="s">
        <v>181</v>
      </c>
      <c r="O46" s="143">
        <v>41244</v>
      </c>
      <c r="P46" s="165"/>
      <c r="Q46" s="129"/>
      <c r="R46" s="129"/>
      <c r="S46" s="129"/>
      <c r="T46" s="129"/>
      <c r="U46" s="129">
        <v>11</v>
      </c>
      <c r="V46" s="129"/>
      <c r="W46" s="129">
        <v>150</v>
      </c>
      <c r="X46" s="129">
        <v>40</v>
      </c>
      <c r="Y46" s="129"/>
      <c r="Z46" s="129"/>
      <c r="AA46" s="129"/>
      <c r="AB46" s="129"/>
      <c r="AC46" s="129"/>
      <c r="AD46" s="129"/>
      <c r="AE46" s="129"/>
      <c r="AF46" s="129"/>
      <c r="AG46" s="129"/>
      <c r="AH46" s="129"/>
      <c r="AI46" s="140"/>
      <c r="AJ46" s="140"/>
      <c r="AK46" s="140"/>
      <c r="AL46" s="129">
        <v>35</v>
      </c>
      <c r="AM46" s="129"/>
      <c r="AN46" s="129">
        <v>11</v>
      </c>
      <c r="AO46" s="129"/>
      <c r="AP46" s="129"/>
      <c r="AQ46" s="129"/>
      <c r="AR46" s="129"/>
      <c r="AS46" s="129">
        <v>6685</v>
      </c>
      <c r="AT46" s="129">
        <v>813</v>
      </c>
      <c r="AU46" s="129"/>
      <c r="AV46" s="129">
        <v>420</v>
      </c>
      <c r="AW46" s="129"/>
      <c r="AX46" s="129"/>
      <c r="AY46" s="129"/>
      <c r="AZ46" s="129"/>
      <c r="BA46" s="129"/>
      <c r="BB46" s="140"/>
      <c r="BC46" s="129" t="s">
        <v>182</v>
      </c>
      <c r="BD46" s="129"/>
      <c r="BE46" s="140"/>
      <c r="BF46" s="140"/>
      <c r="BG46" s="140"/>
      <c r="BH46" s="140"/>
      <c r="BI46" s="140"/>
      <c r="BJ46" s="140"/>
      <c r="BK46" s="140"/>
      <c r="BL46" s="140"/>
      <c r="BM46" s="140"/>
      <c r="BN46" s="140"/>
      <c r="BO46" s="140">
        <v>74.7</v>
      </c>
      <c r="BP46" s="140"/>
      <c r="BQ46" s="140"/>
      <c r="BR46" s="148"/>
      <c r="BS46" s="140"/>
      <c r="BT46" s="140"/>
      <c r="BU46" s="149"/>
      <c r="BV46" s="145">
        <v>50</v>
      </c>
      <c r="BW46" s="140"/>
      <c r="BX46" s="140"/>
      <c r="BY46" s="145">
        <v>797.89599999999996</v>
      </c>
      <c r="BZ46" s="140"/>
      <c r="CA46" s="140"/>
      <c r="CB46" s="140"/>
      <c r="CC46" s="140"/>
      <c r="CD46" s="140"/>
      <c r="CE46" s="140"/>
      <c r="CF46" s="140"/>
      <c r="CG46" s="140"/>
      <c r="CH46" s="140"/>
      <c r="CI46" s="140"/>
      <c r="CJ46" s="140"/>
      <c r="CK46" s="140"/>
      <c r="CL46" s="140"/>
      <c r="CM46" s="140"/>
      <c r="CN46" s="140"/>
    </row>
    <row r="47" spans="2:92" x14ac:dyDescent="0.25">
      <c r="B47" s="140" t="s">
        <v>167</v>
      </c>
      <c r="C47" s="167" t="s">
        <v>181</v>
      </c>
      <c r="D47" s="129">
        <v>2</v>
      </c>
      <c r="E47" s="140"/>
      <c r="F47" s="129" t="s">
        <v>64</v>
      </c>
      <c r="G47" s="129"/>
      <c r="H47" s="129"/>
      <c r="I47" s="129"/>
      <c r="J47" s="129"/>
      <c r="K47" s="129" t="s">
        <v>186</v>
      </c>
      <c r="L47" s="130"/>
      <c r="M47" s="129"/>
      <c r="N47" s="129" t="s">
        <v>181</v>
      </c>
      <c r="O47" s="143">
        <v>40238</v>
      </c>
      <c r="P47" s="165"/>
      <c r="Q47" s="129"/>
      <c r="R47" s="129"/>
      <c r="S47" s="129"/>
      <c r="T47" s="129"/>
      <c r="U47" s="129">
        <v>10.5</v>
      </c>
      <c r="V47" s="129"/>
      <c r="W47" s="129">
        <v>250</v>
      </c>
      <c r="X47" s="129">
        <v>24</v>
      </c>
      <c r="Y47" s="129"/>
      <c r="Z47" s="129"/>
      <c r="AA47" s="129"/>
      <c r="AB47" s="129"/>
      <c r="AC47" s="129"/>
      <c r="AD47" s="129"/>
      <c r="AE47" s="129"/>
      <c r="AF47" s="129"/>
      <c r="AG47" s="129"/>
      <c r="AH47" s="129"/>
      <c r="AI47" s="140"/>
      <c r="AJ47" s="140"/>
      <c r="AK47" s="140"/>
      <c r="AL47" s="129">
        <v>50</v>
      </c>
      <c r="AM47" s="129"/>
      <c r="AN47" s="129">
        <v>10.5</v>
      </c>
      <c r="AO47" s="129"/>
      <c r="AP47" s="129"/>
      <c r="AQ47" s="129"/>
      <c r="AR47" s="129"/>
      <c r="AS47" s="129">
        <v>5000</v>
      </c>
      <c r="AT47" s="129">
        <v>1620</v>
      </c>
      <c r="AU47" s="129"/>
      <c r="AV47" s="129">
        <v>306</v>
      </c>
      <c r="AW47" s="129"/>
      <c r="AX47" s="129"/>
      <c r="AY47" s="129"/>
      <c r="AZ47" s="129"/>
      <c r="BA47" s="129"/>
      <c r="BB47" s="140"/>
      <c r="BC47" s="129" t="s">
        <v>21</v>
      </c>
      <c r="BD47" s="129"/>
      <c r="BE47" s="140"/>
      <c r="BF47" s="140"/>
      <c r="BG47" s="140"/>
      <c r="BH47" s="140"/>
      <c r="BI47" s="140"/>
      <c r="BJ47" s="140"/>
      <c r="BK47" s="140"/>
      <c r="BL47" s="140"/>
      <c r="BM47" s="140"/>
      <c r="BN47" s="140"/>
      <c r="BO47" s="140">
        <v>78.599999999999994</v>
      </c>
      <c r="BP47" s="140"/>
      <c r="BQ47" s="140"/>
      <c r="BR47" s="148"/>
      <c r="BS47" s="140"/>
      <c r="BT47" s="140"/>
      <c r="BU47" s="149"/>
      <c r="BV47" s="145">
        <v>92.878</v>
      </c>
      <c r="BW47" s="140"/>
      <c r="BX47" s="140"/>
      <c r="BY47" s="145">
        <v>822.41</v>
      </c>
      <c r="BZ47" s="140"/>
      <c r="CA47" s="140"/>
      <c r="CB47" s="140"/>
      <c r="CC47" s="140"/>
      <c r="CD47" s="140"/>
      <c r="CE47" s="140"/>
      <c r="CF47" s="140"/>
      <c r="CG47" s="140"/>
      <c r="CH47" s="140"/>
      <c r="CI47" s="140"/>
      <c r="CJ47" s="140"/>
      <c r="CK47" s="140"/>
      <c r="CL47" s="140"/>
      <c r="CM47" s="140"/>
      <c r="CN47" s="140"/>
    </row>
    <row r="48" spans="2:92" x14ac:dyDescent="0.25">
      <c r="B48" s="140" t="s">
        <v>138</v>
      </c>
      <c r="C48" s="167" t="s">
        <v>181</v>
      </c>
      <c r="D48" s="129">
        <v>2</v>
      </c>
      <c r="E48" s="140"/>
      <c r="F48" s="129" t="s">
        <v>21</v>
      </c>
      <c r="G48" s="129" t="s">
        <v>199</v>
      </c>
      <c r="H48" s="129" t="s">
        <v>43</v>
      </c>
      <c r="I48" s="129"/>
      <c r="J48" s="129"/>
      <c r="K48" s="129" t="s">
        <v>186</v>
      </c>
      <c r="L48" s="130" t="s">
        <v>186</v>
      </c>
      <c r="M48" s="129" t="s">
        <v>186</v>
      </c>
      <c r="N48" s="129" t="s">
        <v>181</v>
      </c>
      <c r="O48" s="143">
        <v>41213</v>
      </c>
      <c r="P48" s="165"/>
      <c r="Q48" s="129"/>
      <c r="R48" s="129"/>
      <c r="S48" s="129"/>
      <c r="T48" s="129"/>
      <c r="U48" s="129">
        <v>10.5</v>
      </c>
      <c r="V48" s="129"/>
      <c r="W48" s="129">
        <v>136.4</v>
      </c>
      <c r="X48" s="129">
        <v>44</v>
      </c>
      <c r="Y48" s="129"/>
      <c r="Z48" s="129"/>
      <c r="AA48" s="129"/>
      <c r="AB48" s="129"/>
      <c r="AC48" s="129"/>
      <c r="AD48" s="129"/>
      <c r="AE48" s="129"/>
      <c r="AF48" s="129"/>
      <c r="AG48" s="129"/>
      <c r="AH48" s="129"/>
      <c r="AI48" s="140"/>
      <c r="AJ48" s="140"/>
      <c r="AK48" s="140"/>
      <c r="AL48" s="129">
        <v>52</v>
      </c>
      <c r="AM48" s="129">
        <v>0.85</v>
      </c>
      <c r="AN48" s="129">
        <v>10.5</v>
      </c>
      <c r="AO48" s="129"/>
      <c r="AP48" s="129"/>
      <c r="AQ48" s="129"/>
      <c r="AR48" s="129"/>
      <c r="AS48" s="129">
        <v>7096</v>
      </c>
      <c r="AT48" s="129">
        <v>1150</v>
      </c>
      <c r="AU48" s="129"/>
      <c r="AV48" s="129">
        <v>285</v>
      </c>
      <c r="AW48" s="129"/>
      <c r="AX48" s="129"/>
      <c r="AY48" s="129"/>
      <c r="AZ48" s="129"/>
      <c r="BA48" s="129"/>
      <c r="BB48" s="140"/>
      <c r="BC48" s="129" t="s">
        <v>21</v>
      </c>
      <c r="BD48" s="129"/>
      <c r="BE48" s="140"/>
      <c r="BF48" s="140"/>
      <c r="BG48" s="140"/>
      <c r="BH48" s="140"/>
      <c r="BI48" s="140"/>
      <c r="BJ48" s="140"/>
      <c r="BK48" s="140"/>
      <c r="BL48" s="140"/>
      <c r="BM48" s="140"/>
      <c r="BN48" s="140">
        <v>0</v>
      </c>
      <c r="BO48" s="140">
        <v>79.5</v>
      </c>
      <c r="BP48" s="140"/>
      <c r="BQ48" s="140"/>
      <c r="BR48" s="148"/>
      <c r="BS48" s="140"/>
      <c r="BT48" s="140"/>
      <c r="BU48" s="149"/>
      <c r="BV48" s="145">
        <v>87.480999999999995</v>
      </c>
      <c r="BW48" s="140"/>
      <c r="BX48" s="140"/>
      <c r="BY48" s="145">
        <v>758.07799999999997</v>
      </c>
      <c r="BZ48" s="140"/>
      <c r="CA48" s="140"/>
      <c r="CB48" s="140"/>
      <c r="CC48" s="140"/>
      <c r="CD48" s="140"/>
      <c r="CE48" s="140"/>
      <c r="CF48" s="140"/>
      <c r="CG48" s="140"/>
      <c r="CH48" s="140"/>
      <c r="CI48" s="140"/>
      <c r="CJ48" s="140"/>
      <c r="CK48" s="140"/>
      <c r="CL48" s="140"/>
      <c r="CM48" s="140"/>
      <c r="CN48" s="140"/>
    </row>
    <row r="49" spans="2:92" x14ac:dyDescent="0.25">
      <c r="B49" s="140" t="s">
        <v>168</v>
      </c>
      <c r="C49" s="167" t="s">
        <v>181</v>
      </c>
      <c r="D49" s="129">
        <v>5</v>
      </c>
      <c r="E49" s="140"/>
      <c r="F49" s="129" t="s">
        <v>64</v>
      </c>
      <c r="G49" s="129"/>
      <c r="H49" s="129"/>
      <c r="I49" s="129"/>
      <c r="J49" s="129"/>
      <c r="K49" s="129" t="s">
        <v>186</v>
      </c>
      <c r="L49" s="130"/>
      <c r="M49" s="129"/>
      <c r="N49" s="129" t="s">
        <v>181</v>
      </c>
      <c r="O49" s="143">
        <v>40756</v>
      </c>
      <c r="P49" s="165"/>
      <c r="Q49" s="129"/>
      <c r="R49" s="129"/>
      <c r="S49" s="129"/>
      <c r="T49" s="129"/>
      <c r="U49" s="129">
        <v>14</v>
      </c>
      <c r="V49" s="129"/>
      <c r="W49" s="129">
        <v>500</v>
      </c>
      <c r="X49" s="129">
        <v>12</v>
      </c>
      <c r="Y49" s="129"/>
      <c r="Z49" s="129"/>
      <c r="AA49" s="129"/>
      <c r="AB49" s="129"/>
      <c r="AC49" s="129"/>
      <c r="AD49" s="129"/>
      <c r="AE49" s="129"/>
      <c r="AF49" s="129"/>
      <c r="AG49" s="129"/>
      <c r="AH49" s="129"/>
      <c r="AI49" s="140"/>
      <c r="AJ49" s="140"/>
      <c r="AK49" s="140"/>
      <c r="AL49" s="129">
        <v>67</v>
      </c>
      <c r="AM49" s="129"/>
      <c r="AN49" s="129">
        <v>14</v>
      </c>
      <c r="AO49" s="129"/>
      <c r="AP49" s="129"/>
      <c r="AQ49" s="129"/>
      <c r="AR49" s="129"/>
      <c r="AS49" s="129">
        <v>3095</v>
      </c>
      <c r="AT49" s="129">
        <v>2500</v>
      </c>
      <c r="AU49" s="129"/>
      <c r="AV49" s="129">
        <v>216</v>
      </c>
      <c r="AW49" s="129"/>
      <c r="AX49" s="129"/>
      <c r="AY49" s="129"/>
      <c r="AZ49" s="129"/>
      <c r="BA49" s="129"/>
      <c r="BB49" s="140"/>
      <c r="BC49" s="129" t="s">
        <v>21</v>
      </c>
      <c r="BD49" s="129"/>
      <c r="BE49" s="140"/>
      <c r="BF49" s="140"/>
      <c r="BG49" s="140"/>
      <c r="BH49" s="140"/>
      <c r="BI49" s="140"/>
      <c r="BJ49" s="140"/>
      <c r="BK49" s="140"/>
      <c r="BL49" s="140"/>
      <c r="BM49" s="140"/>
      <c r="BN49" s="140"/>
      <c r="BO49" s="140">
        <v>79.7</v>
      </c>
      <c r="BP49" s="140"/>
      <c r="BQ49" s="140"/>
      <c r="BR49" s="148"/>
      <c r="BS49" s="140"/>
      <c r="BT49" s="140"/>
      <c r="BU49" s="149"/>
      <c r="BV49" s="145">
        <v>110.66200000000001</v>
      </c>
      <c r="BW49" s="140"/>
      <c r="BX49" s="140"/>
      <c r="BY49" s="145">
        <v>753.91600000000005</v>
      </c>
      <c r="BZ49" s="140"/>
      <c r="CA49" s="140"/>
      <c r="CB49" s="140"/>
      <c r="CC49" s="140"/>
      <c r="CD49" s="140"/>
      <c r="CE49" s="140"/>
      <c r="CF49" s="140"/>
      <c r="CG49" s="140"/>
      <c r="CH49" s="140"/>
      <c r="CI49" s="140"/>
      <c r="CJ49" s="140"/>
      <c r="CK49" s="140"/>
      <c r="CL49" s="140"/>
      <c r="CM49" s="140"/>
      <c r="CN49" s="140"/>
    </row>
    <row r="50" spans="2:92" x14ac:dyDescent="0.25">
      <c r="B50" s="140" t="s">
        <v>134</v>
      </c>
      <c r="C50" s="167" t="s">
        <v>181</v>
      </c>
      <c r="D50" s="129">
        <v>3</v>
      </c>
      <c r="E50" s="140"/>
      <c r="F50" s="129" t="s">
        <v>21</v>
      </c>
      <c r="G50" s="129" t="s">
        <v>202</v>
      </c>
      <c r="H50" s="129" t="s">
        <v>206</v>
      </c>
      <c r="I50" s="129"/>
      <c r="J50" s="129"/>
      <c r="K50" s="129" t="s">
        <v>185</v>
      </c>
      <c r="L50" s="130" t="s">
        <v>185</v>
      </c>
      <c r="M50" s="129" t="s">
        <v>186</v>
      </c>
      <c r="N50" s="129" t="s">
        <v>181</v>
      </c>
      <c r="O50" s="143">
        <v>40634</v>
      </c>
      <c r="P50" s="165"/>
      <c r="Q50" s="129"/>
      <c r="R50" s="129"/>
      <c r="S50" s="129"/>
      <c r="T50" s="129"/>
      <c r="U50" s="129">
        <v>10.5</v>
      </c>
      <c r="V50" s="129"/>
      <c r="W50" s="129">
        <v>75</v>
      </c>
      <c r="X50" s="129">
        <v>80</v>
      </c>
      <c r="Y50" s="129"/>
      <c r="Z50" s="129"/>
      <c r="AA50" s="129"/>
      <c r="AB50" s="129"/>
      <c r="AC50" s="129"/>
      <c r="AD50" s="129"/>
      <c r="AE50" s="129"/>
      <c r="AF50" s="129"/>
      <c r="AG50" s="129"/>
      <c r="AH50" s="129"/>
      <c r="AI50" s="140"/>
      <c r="AJ50" s="140"/>
      <c r="AK50" s="140"/>
      <c r="AL50" s="129">
        <v>40</v>
      </c>
      <c r="AM50" s="129">
        <v>0.7</v>
      </c>
      <c r="AN50" s="129">
        <v>10.5</v>
      </c>
      <c r="AO50" s="129"/>
      <c r="AP50" s="129"/>
      <c r="AQ50" s="129"/>
      <c r="AR50" s="129"/>
      <c r="AS50" s="129">
        <v>9400</v>
      </c>
      <c r="AT50" s="129">
        <v>1600</v>
      </c>
      <c r="AU50" s="129"/>
      <c r="AV50" s="129">
        <v>660</v>
      </c>
      <c r="AW50" s="129"/>
      <c r="AX50" s="129"/>
      <c r="AY50" s="129"/>
      <c r="AZ50" s="129"/>
      <c r="BA50" s="129"/>
      <c r="BB50" s="140"/>
      <c r="BC50" s="129" t="s">
        <v>21</v>
      </c>
      <c r="BD50" s="129"/>
      <c r="BE50" s="140"/>
      <c r="BF50" s="140"/>
      <c r="BG50" s="140"/>
      <c r="BH50" s="140"/>
      <c r="BI50" s="140">
        <v>0</v>
      </c>
      <c r="BJ50" s="140">
        <v>62.8</v>
      </c>
      <c r="BK50" s="140">
        <v>16.899999999999999</v>
      </c>
      <c r="BL50" s="140"/>
      <c r="BM50" s="140"/>
      <c r="BN50" s="140">
        <f>BO50-BI50-BJ50-BK50</f>
        <v>0</v>
      </c>
      <c r="BO50" s="140">
        <v>79.7</v>
      </c>
      <c r="BP50" s="140">
        <v>25</v>
      </c>
      <c r="BQ50" s="140">
        <v>276.55700000000002</v>
      </c>
      <c r="BR50" s="148">
        <f t="shared" si="4"/>
        <v>4.4037738853503186</v>
      </c>
      <c r="BS50" s="140">
        <v>867.13900000000001</v>
      </c>
      <c r="BT50" s="140"/>
      <c r="BU50" s="149">
        <f t="shared" si="5"/>
        <v>51.31</v>
      </c>
      <c r="BV50" s="145">
        <v>128.88900000000001</v>
      </c>
      <c r="BW50" s="140"/>
      <c r="BX50" s="140"/>
      <c r="BY50" s="140">
        <f>SUM(BP50:BX50)</f>
        <v>1353.2987738853503</v>
      </c>
      <c r="BZ50" s="140"/>
      <c r="CA50" s="140"/>
      <c r="CB50" s="140"/>
      <c r="CC50" s="140"/>
      <c r="CD50" s="140"/>
      <c r="CE50" s="140"/>
      <c r="CF50" s="140"/>
      <c r="CG50" s="140"/>
      <c r="CH50" s="140"/>
      <c r="CI50" s="140"/>
      <c r="CJ50" s="140"/>
      <c r="CK50" s="140"/>
      <c r="CL50" s="140"/>
      <c r="CM50" s="140"/>
      <c r="CN50" s="140"/>
    </row>
    <row r="51" spans="2:92" x14ac:dyDescent="0.25">
      <c r="B51" s="140" t="s">
        <v>169</v>
      </c>
      <c r="C51" s="167" t="s">
        <v>181</v>
      </c>
      <c r="D51" s="129">
        <v>4</v>
      </c>
      <c r="E51" s="140"/>
      <c r="F51" s="129" t="s">
        <v>21</v>
      </c>
      <c r="G51" s="129"/>
      <c r="H51" s="129"/>
      <c r="I51" s="129"/>
      <c r="J51" s="129"/>
      <c r="K51" s="129" t="s">
        <v>186</v>
      </c>
      <c r="L51" s="130"/>
      <c r="M51" s="129"/>
      <c r="N51" s="129" t="s">
        <v>181</v>
      </c>
      <c r="O51" s="143">
        <v>40238</v>
      </c>
      <c r="P51" s="165"/>
      <c r="Q51" s="129"/>
      <c r="R51" s="129"/>
      <c r="S51" s="129"/>
      <c r="T51" s="129"/>
      <c r="U51" s="129">
        <v>10.5</v>
      </c>
      <c r="V51" s="129"/>
      <c r="W51" s="129">
        <v>500</v>
      </c>
      <c r="X51" s="129">
        <v>12</v>
      </c>
      <c r="Y51" s="129"/>
      <c r="Z51" s="129"/>
      <c r="AA51" s="129"/>
      <c r="AB51" s="129"/>
      <c r="AC51" s="129"/>
      <c r="AD51" s="129"/>
      <c r="AE51" s="129"/>
      <c r="AF51" s="129"/>
      <c r="AG51" s="129"/>
      <c r="AH51" s="129"/>
      <c r="AI51" s="140"/>
      <c r="AJ51" s="140"/>
      <c r="AK51" s="140"/>
      <c r="AL51" s="129">
        <v>64</v>
      </c>
      <c r="AM51" s="129"/>
      <c r="AN51" s="129">
        <v>10.5</v>
      </c>
      <c r="AO51" s="129"/>
      <c r="AP51" s="129"/>
      <c r="AQ51" s="129"/>
      <c r="AR51" s="129"/>
      <c r="AS51" s="129">
        <v>3250</v>
      </c>
      <c r="AT51" s="129">
        <v>2200</v>
      </c>
      <c r="AU51" s="129"/>
      <c r="AV51" s="129">
        <v>180</v>
      </c>
      <c r="AW51" s="129"/>
      <c r="AX51" s="129"/>
      <c r="AY51" s="129"/>
      <c r="AZ51" s="129"/>
      <c r="BA51" s="129"/>
      <c r="BB51" s="140"/>
      <c r="BC51" s="129" t="s">
        <v>21</v>
      </c>
      <c r="BD51" s="129"/>
      <c r="BE51" s="140"/>
      <c r="BF51" s="140"/>
      <c r="BG51" s="140"/>
      <c r="BH51" s="140"/>
      <c r="BI51" s="140"/>
      <c r="BJ51" s="140"/>
      <c r="BK51" s="140"/>
      <c r="BL51" s="140"/>
      <c r="BM51" s="140"/>
      <c r="BN51" s="140"/>
      <c r="BO51" s="140">
        <v>81.400000000000006</v>
      </c>
      <c r="BP51" s="140"/>
      <c r="BQ51" s="140"/>
      <c r="BR51" s="148"/>
      <c r="BS51" s="140"/>
      <c r="BT51" s="140"/>
      <c r="BU51" s="149"/>
      <c r="BV51" s="145">
        <v>81.097999999999999</v>
      </c>
      <c r="BW51" s="140"/>
      <c r="BX51" s="140"/>
      <c r="BY51" s="140">
        <v>663.25400000000002</v>
      </c>
      <c r="BZ51" s="140"/>
      <c r="CA51" s="140"/>
      <c r="CB51" s="140"/>
      <c r="CC51" s="140"/>
      <c r="CD51" s="140"/>
      <c r="CE51" s="140"/>
      <c r="CF51" s="140"/>
      <c r="CG51" s="140"/>
      <c r="CH51" s="140"/>
      <c r="CI51" s="140"/>
      <c r="CJ51" s="140"/>
      <c r="CK51" s="140"/>
      <c r="CL51" s="140"/>
      <c r="CM51" s="140"/>
      <c r="CN51" s="140"/>
    </row>
    <row r="52" spans="2:92" x14ac:dyDescent="0.25">
      <c r="B52" s="140" t="s">
        <v>213</v>
      </c>
      <c r="C52" s="167" t="s">
        <v>181</v>
      </c>
      <c r="D52" s="129">
        <v>3</v>
      </c>
      <c r="E52" s="140"/>
      <c r="F52" s="129" t="s">
        <v>64</v>
      </c>
      <c r="G52" s="129"/>
      <c r="H52" s="129"/>
      <c r="I52" s="129"/>
      <c r="J52" s="129"/>
      <c r="K52" s="129" t="s">
        <v>186</v>
      </c>
      <c r="L52" s="130"/>
      <c r="M52" s="129"/>
      <c r="N52" s="129" t="s">
        <v>181</v>
      </c>
      <c r="O52" s="143">
        <v>40238</v>
      </c>
      <c r="P52" s="165"/>
      <c r="Q52" s="129"/>
      <c r="R52" s="129"/>
      <c r="S52" s="129"/>
      <c r="T52" s="129"/>
      <c r="U52" s="129">
        <v>10.5</v>
      </c>
      <c r="V52" s="129"/>
      <c r="W52" s="129">
        <v>750</v>
      </c>
      <c r="X52" s="129">
        <v>8</v>
      </c>
      <c r="Y52" s="129"/>
      <c r="Z52" s="129"/>
      <c r="AA52" s="129"/>
      <c r="AB52" s="129"/>
      <c r="AC52" s="129"/>
      <c r="AD52" s="129"/>
      <c r="AE52" s="129"/>
      <c r="AF52" s="129"/>
      <c r="AG52" s="129"/>
      <c r="AH52" s="129"/>
      <c r="AI52" s="140"/>
      <c r="AJ52" s="140"/>
      <c r="AK52" s="140"/>
      <c r="AL52" s="129">
        <v>70</v>
      </c>
      <c r="AM52" s="129"/>
      <c r="AN52" s="129">
        <v>10.5</v>
      </c>
      <c r="AO52" s="129"/>
      <c r="AP52" s="129"/>
      <c r="AQ52" s="129"/>
      <c r="AR52" s="129"/>
      <c r="AS52" s="129">
        <v>2450</v>
      </c>
      <c r="AT52" s="129">
        <v>2600</v>
      </c>
      <c r="AU52" s="129"/>
      <c r="AV52" s="129">
        <v>144</v>
      </c>
      <c r="AW52" s="129"/>
      <c r="AX52" s="129"/>
      <c r="AY52" s="129"/>
      <c r="AZ52" s="129"/>
      <c r="BA52" s="129"/>
      <c r="BB52" s="140"/>
      <c r="BC52" s="129" t="s">
        <v>21</v>
      </c>
      <c r="BD52" s="129"/>
      <c r="BE52" s="140"/>
      <c r="BF52" s="140"/>
      <c r="BG52" s="140"/>
      <c r="BH52" s="140"/>
      <c r="BI52" s="140"/>
      <c r="BJ52" s="140"/>
      <c r="BK52" s="140"/>
      <c r="BL52" s="140"/>
      <c r="BM52" s="140"/>
      <c r="BN52" s="140"/>
      <c r="BO52" s="140">
        <v>82.5</v>
      </c>
      <c r="BP52" s="140"/>
      <c r="BQ52" s="140"/>
      <c r="BR52" s="148"/>
      <c r="BS52" s="140"/>
      <c r="BT52" s="140"/>
      <c r="BU52" s="149"/>
      <c r="BV52" s="145">
        <v>93.683999999999997</v>
      </c>
      <c r="BW52" s="140"/>
      <c r="BX52" s="140"/>
      <c r="BY52" s="140">
        <v>671.39300000000003</v>
      </c>
      <c r="BZ52" s="140"/>
      <c r="CA52" s="140"/>
      <c r="CB52" s="140"/>
      <c r="CC52" s="140"/>
      <c r="CD52" s="140"/>
      <c r="CE52" s="140"/>
      <c r="CF52" s="140"/>
      <c r="CG52" s="140"/>
      <c r="CH52" s="140"/>
      <c r="CI52" s="140"/>
      <c r="CJ52" s="140"/>
      <c r="CK52" s="140"/>
      <c r="CL52" s="140"/>
      <c r="CM52" s="140"/>
      <c r="CN52" s="140"/>
    </row>
    <row r="53" spans="2:92" x14ac:dyDescent="0.25">
      <c r="B53" s="140" t="s">
        <v>139</v>
      </c>
      <c r="C53" s="167" t="s">
        <v>181</v>
      </c>
      <c r="D53" s="129">
        <v>5</v>
      </c>
      <c r="E53" s="140"/>
      <c r="F53" s="129" t="s">
        <v>21</v>
      </c>
      <c r="G53" s="129" t="s">
        <v>199</v>
      </c>
      <c r="H53" s="129" t="s">
        <v>43</v>
      </c>
      <c r="I53" s="129"/>
      <c r="J53" s="129"/>
      <c r="K53" s="129" t="s">
        <v>186</v>
      </c>
      <c r="L53" s="130" t="s">
        <v>185</v>
      </c>
      <c r="M53" s="129" t="s">
        <v>186</v>
      </c>
      <c r="N53" s="129" t="s">
        <v>181</v>
      </c>
      <c r="O53" s="143">
        <v>40847</v>
      </c>
      <c r="P53" s="165"/>
      <c r="Q53" s="129"/>
      <c r="R53" s="129"/>
      <c r="S53" s="129"/>
      <c r="T53" s="129"/>
      <c r="U53" s="129">
        <v>10.25</v>
      </c>
      <c r="V53" s="129"/>
      <c r="W53" s="129">
        <v>375</v>
      </c>
      <c r="X53" s="129">
        <v>16</v>
      </c>
      <c r="Y53" s="129"/>
      <c r="Z53" s="129"/>
      <c r="AA53" s="129"/>
      <c r="AB53" s="129"/>
      <c r="AC53" s="129"/>
      <c r="AD53" s="129"/>
      <c r="AE53" s="129"/>
      <c r="AF53" s="129"/>
      <c r="AG53" s="129"/>
      <c r="AH53" s="129"/>
      <c r="AI53" s="140"/>
      <c r="AJ53" s="140"/>
      <c r="AK53" s="140"/>
      <c r="AL53" s="129">
        <v>66.5</v>
      </c>
      <c r="AM53" s="129">
        <v>0.9</v>
      </c>
      <c r="AN53" s="129">
        <v>10.25</v>
      </c>
      <c r="AO53" s="129"/>
      <c r="AP53" s="129"/>
      <c r="AQ53" s="129"/>
      <c r="AR53" s="129"/>
      <c r="AS53" s="129">
        <v>3396</v>
      </c>
      <c r="AT53" s="129">
        <v>2000</v>
      </c>
      <c r="AU53" s="129"/>
      <c r="AV53" s="129">
        <v>204</v>
      </c>
      <c r="AW53" s="129"/>
      <c r="AX53" s="129"/>
      <c r="AY53" s="129"/>
      <c r="AZ53" s="129"/>
      <c r="BA53" s="129"/>
      <c r="BB53" s="140"/>
      <c r="BC53" s="129" t="s">
        <v>21</v>
      </c>
      <c r="BD53" s="129"/>
      <c r="BE53" s="140"/>
      <c r="BF53" s="140"/>
      <c r="BG53" s="140"/>
      <c r="BH53" s="140"/>
      <c r="BI53" s="140">
        <v>17</v>
      </c>
      <c r="BJ53" s="140">
        <v>53.3</v>
      </c>
      <c r="BK53" s="140">
        <v>12.7</v>
      </c>
      <c r="BL53" s="140"/>
      <c r="BM53" s="140"/>
      <c r="BN53" s="140">
        <f>BO53-BI53-BJ53-BK53</f>
        <v>0.20000000000000639</v>
      </c>
      <c r="BO53" s="140">
        <v>83.2</v>
      </c>
      <c r="BP53" s="140">
        <v>71.146000000000001</v>
      </c>
      <c r="BQ53" s="140">
        <v>215.774</v>
      </c>
      <c r="BR53" s="148">
        <f t="shared" si="4"/>
        <v>4.0482926829268298</v>
      </c>
      <c r="BS53" s="140">
        <v>400.346</v>
      </c>
      <c r="BT53" s="140"/>
      <c r="BU53" s="149">
        <f t="shared" si="5"/>
        <v>31.523307086614174</v>
      </c>
      <c r="BV53" s="145">
        <v>117.236</v>
      </c>
      <c r="BW53" s="140"/>
      <c r="BX53" s="140"/>
      <c r="BY53" s="140">
        <f>SUM(BP53:BX53)</f>
        <v>840.07359976954103</v>
      </c>
      <c r="BZ53" s="140"/>
      <c r="CA53" s="140"/>
      <c r="CB53" s="140"/>
      <c r="CC53" s="140"/>
      <c r="CD53" s="140"/>
      <c r="CE53" s="140"/>
      <c r="CF53" s="140"/>
      <c r="CG53" s="140"/>
      <c r="CH53" s="140"/>
      <c r="CI53" s="140"/>
      <c r="CJ53" s="140"/>
      <c r="CK53" s="140"/>
      <c r="CL53" s="140"/>
      <c r="CM53" s="140"/>
      <c r="CN53" s="140"/>
    </row>
    <row r="54" spans="2:92" x14ac:dyDescent="0.25">
      <c r="B54" s="140" t="s">
        <v>138</v>
      </c>
      <c r="C54" s="167" t="s">
        <v>181</v>
      </c>
      <c r="D54" s="129">
        <v>2</v>
      </c>
      <c r="E54" s="140"/>
      <c r="F54" s="129" t="s">
        <v>21</v>
      </c>
      <c r="G54" s="129" t="s">
        <v>199</v>
      </c>
      <c r="H54" s="129" t="s">
        <v>43</v>
      </c>
      <c r="I54" s="129"/>
      <c r="J54" s="129"/>
      <c r="K54" s="129" t="s">
        <v>186</v>
      </c>
      <c r="L54" s="130" t="s">
        <v>186</v>
      </c>
      <c r="M54" s="129" t="s">
        <v>186</v>
      </c>
      <c r="N54" s="129" t="s">
        <v>181</v>
      </c>
      <c r="O54" s="143">
        <v>41213</v>
      </c>
      <c r="P54" s="165"/>
      <c r="Q54" s="129"/>
      <c r="R54" s="129"/>
      <c r="S54" s="129"/>
      <c r="T54" s="129"/>
      <c r="U54" s="129">
        <v>10.5</v>
      </c>
      <c r="V54" s="129"/>
      <c r="W54" s="129">
        <v>136.4</v>
      </c>
      <c r="X54" s="129">
        <v>44</v>
      </c>
      <c r="Y54" s="129"/>
      <c r="Z54" s="129"/>
      <c r="AA54" s="129"/>
      <c r="AB54" s="129"/>
      <c r="AC54" s="129"/>
      <c r="AD54" s="129"/>
      <c r="AE54" s="129"/>
      <c r="AF54" s="129"/>
      <c r="AG54" s="129"/>
      <c r="AH54" s="129"/>
      <c r="AI54" s="140"/>
      <c r="AJ54" s="140"/>
      <c r="AK54" s="140"/>
      <c r="AL54" s="129">
        <v>52</v>
      </c>
      <c r="AM54" s="129">
        <v>0.85</v>
      </c>
      <c r="AN54" s="129">
        <v>10.5</v>
      </c>
      <c r="AO54" s="129"/>
      <c r="AP54" s="129"/>
      <c r="AQ54" s="129"/>
      <c r="AR54" s="129"/>
      <c r="AS54" s="129">
        <v>7096</v>
      </c>
      <c r="AT54" s="129">
        <v>1150</v>
      </c>
      <c r="AU54" s="129"/>
      <c r="AV54" s="129">
        <v>504</v>
      </c>
      <c r="AW54" s="129"/>
      <c r="AX54" s="129"/>
      <c r="AY54" s="129"/>
      <c r="AZ54" s="129"/>
      <c r="BA54" s="129"/>
      <c r="BB54" s="140"/>
      <c r="BC54" s="129" t="s">
        <v>21</v>
      </c>
      <c r="BD54" s="129"/>
      <c r="BE54" s="140"/>
      <c r="BF54" s="140"/>
      <c r="BG54" s="140"/>
      <c r="BH54" s="140"/>
      <c r="BI54" s="140">
        <v>18.7</v>
      </c>
      <c r="BJ54" s="140">
        <v>51</v>
      </c>
      <c r="BK54" s="140">
        <v>14</v>
      </c>
      <c r="BL54" s="140"/>
      <c r="BM54" s="140"/>
      <c r="BN54" s="140">
        <v>0</v>
      </c>
      <c r="BO54" s="140">
        <f>SUM(BI54:BN54)</f>
        <v>83.7</v>
      </c>
      <c r="BP54" s="140">
        <v>70.400000000000006</v>
      </c>
      <c r="BQ54" s="140">
        <v>200.93299999999999</v>
      </c>
      <c r="BR54" s="148">
        <f t="shared" si="4"/>
        <v>3.939862745098039</v>
      </c>
      <c r="BS54" s="140">
        <v>568.01599999999996</v>
      </c>
      <c r="BT54" s="140"/>
      <c r="BU54" s="149">
        <f t="shared" si="5"/>
        <v>40.572571428571429</v>
      </c>
      <c r="BV54" s="145">
        <v>97.260999999999996</v>
      </c>
      <c r="BW54" s="140"/>
      <c r="BX54" s="140"/>
      <c r="BY54" s="145">
        <f>SUM(BP54:BX54)</f>
        <v>981.12243417366938</v>
      </c>
      <c r="BZ54" s="140"/>
      <c r="CA54" s="140"/>
      <c r="CB54" s="140"/>
      <c r="CC54" s="140"/>
      <c r="CD54" s="140"/>
      <c r="CE54" s="140"/>
      <c r="CF54" s="140"/>
      <c r="CG54" s="140"/>
      <c r="CH54" s="140"/>
      <c r="CI54" s="140"/>
      <c r="CJ54" s="140"/>
      <c r="CK54" s="140"/>
      <c r="CL54" s="140"/>
      <c r="CM54" s="140"/>
      <c r="CN54" s="140"/>
    </row>
    <row r="55" spans="2:92" x14ac:dyDescent="0.25">
      <c r="B55" s="140" t="s">
        <v>214</v>
      </c>
      <c r="C55" s="167" t="s">
        <v>181</v>
      </c>
      <c r="D55" s="129">
        <v>4</v>
      </c>
      <c r="E55" s="140"/>
      <c r="F55" s="129" t="s">
        <v>21</v>
      </c>
      <c r="G55" s="129"/>
      <c r="H55" s="129"/>
      <c r="I55" s="129"/>
      <c r="J55" s="129"/>
      <c r="K55" s="129" t="s">
        <v>186</v>
      </c>
      <c r="L55" s="130"/>
      <c r="M55" s="129"/>
      <c r="N55" s="129" t="s">
        <v>181</v>
      </c>
      <c r="O55" s="143">
        <v>40238</v>
      </c>
      <c r="P55" s="165"/>
      <c r="Q55" s="129"/>
      <c r="R55" s="129"/>
      <c r="S55" s="129"/>
      <c r="T55" s="129"/>
      <c r="U55" s="129">
        <v>10.5</v>
      </c>
      <c r="V55" s="129"/>
      <c r="W55" s="129">
        <v>600</v>
      </c>
      <c r="X55" s="129">
        <v>10</v>
      </c>
      <c r="Y55" s="129"/>
      <c r="Z55" s="129"/>
      <c r="AA55" s="129"/>
      <c r="AB55" s="129"/>
      <c r="AC55" s="129"/>
      <c r="AD55" s="129"/>
      <c r="AE55" s="129"/>
      <c r="AF55" s="129"/>
      <c r="AG55" s="129"/>
      <c r="AH55" s="129"/>
      <c r="AI55" s="140"/>
      <c r="AJ55" s="140"/>
      <c r="AK55" s="140"/>
      <c r="AL55" s="129">
        <v>72</v>
      </c>
      <c r="AM55" s="129"/>
      <c r="AN55" s="129">
        <v>10.5</v>
      </c>
      <c r="AO55" s="129"/>
      <c r="AP55" s="129"/>
      <c r="AQ55" s="129"/>
      <c r="AR55" s="129"/>
      <c r="AS55" s="129">
        <v>2888</v>
      </c>
      <c r="AT55" s="129">
        <v>2450</v>
      </c>
      <c r="AU55" s="129"/>
      <c r="AV55" s="129">
        <v>150</v>
      </c>
      <c r="AW55" s="129"/>
      <c r="AX55" s="129"/>
      <c r="AY55" s="129"/>
      <c r="AZ55" s="129"/>
      <c r="BA55" s="129"/>
      <c r="BB55" s="140"/>
      <c r="BC55" s="129" t="s">
        <v>21</v>
      </c>
      <c r="BD55" s="129"/>
      <c r="BE55" s="140"/>
      <c r="BF55" s="140"/>
      <c r="BG55" s="140"/>
      <c r="BH55" s="140"/>
      <c r="BI55" s="140"/>
      <c r="BJ55" s="140"/>
      <c r="BK55" s="140"/>
      <c r="BL55" s="140"/>
      <c r="BM55" s="140"/>
      <c r="BN55" s="140"/>
      <c r="BO55" s="140">
        <v>93.7</v>
      </c>
      <c r="BP55" s="140"/>
      <c r="BQ55" s="140"/>
      <c r="BR55" s="148"/>
      <c r="BS55" s="140"/>
      <c r="BT55" s="140"/>
      <c r="BU55" s="149"/>
      <c r="BV55" s="145">
        <v>81.308000000000007</v>
      </c>
      <c r="BW55" s="140"/>
      <c r="BX55" s="140"/>
      <c r="BY55" s="145">
        <v>666.63499999999999</v>
      </c>
      <c r="BZ55" s="140"/>
      <c r="CA55" s="140"/>
      <c r="CB55" s="140"/>
      <c r="CC55" s="140"/>
      <c r="CD55" s="140"/>
      <c r="CE55" s="140"/>
      <c r="CF55" s="140"/>
      <c r="CG55" s="140"/>
      <c r="CH55" s="140"/>
      <c r="CI55" s="140"/>
      <c r="CJ55" s="140"/>
      <c r="CK55" s="140"/>
      <c r="CL55" s="140"/>
      <c r="CM55" s="140"/>
      <c r="CN55" s="140"/>
    </row>
    <row r="56" spans="2:92" x14ac:dyDescent="0.25">
      <c r="B56" s="140" t="s">
        <v>170</v>
      </c>
      <c r="C56" s="167" t="s">
        <v>181</v>
      </c>
      <c r="D56" s="129">
        <v>1</v>
      </c>
      <c r="E56" s="140"/>
      <c r="F56" s="129" t="s">
        <v>21</v>
      </c>
      <c r="G56" s="129"/>
      <c r="H56" s="129"/>
      <c r="I56" s="129"/>
      <c r="J56" s="129"/>
      <c r="K56" s="129" t="s">
        <v>186</v>
      </c>
      <c r="L56" s="130"/>
      <c r="M56" s="129"/>
      <c r="N56" s="129" t="s">
        <v>181</v>
      </c>
      <c r="O56" s="143">
        <v>41548</v>
      </c>
      <c r="P56" s="165"/>
      <c r="Q56" s="129"/>
      <c r="R56" s="129"/>
      <c r="S56" s="129"/>
      <c r="T56" s="129"/>
      <c r="U56" s="129">
        <v>10</v>
      </c>
      <c r="V56" s="129"/>
      <c r="W56" s="129">
        <v>125</v>
      </c>
      <c r="X56" s="129">
        <v>48</v>
      </c>
      <c r="Y56" s="129"/>
      <c r="Z56" s="129"/>
      <c r="AA56" s="129"/>
      <c r="AB56" s="129"/>
      <c r="AC56" s="129"/>
      <c r="AD56" s="129"/>
      <c r="AE56" s="129"/>
      <c r="AF56" s="129"/>
      <c r="AG56" s="129"/>
      <c r="AH56" s="129"/>
      <c r="AI56" s="140"/>
      <c r="AJ56" s="140"/>
      <c r="AK56" s="140"/>
      <c r="AL56" s="129">
        <v>60</v>
      </c>
      <c r="AM56" s="129"/>
      <c r="AN56" s="129">
        <v>10</v>
      </c>
      <c r="AO56" s="129"/>
      <c r="AP56" s="129"/>
      <c r="AQ56" s="129"/>
      <c r="AR56" s="129"/>
      <c r="AS56" s="129">
        <v>6925</v>
      </c>
      <c r="AT56" s="129">
        <v>1550</v>
      </c>
      <c r="AU56" s="129"/>
      <c r="AV56" s="129">
        <v>432</v>
      </c>
      <c r="AW56" s="129"/>
      <c r="AX56" s="129"/>
      <c r="AY56" s="129"/>
      <c r="AZ56" s="129"/>
      <c r="BA56" s="129"/>
      <c r="BB56" s="140"/>
      <c r="BC56" s="129" t="s">
        <v>21</v>
      </c>
      <c r="BD56" s="129"/>
      <c r="BE56" s="140"/>
      <c r="BF56" s="140"/>
      <c r="BG56" s="140"/>
      <c r="BH56" s="140"/>
      <c r="BI56" s="140"/>
      <c r="BJ56" s="140"/>
      <c r="BK56" s="140"/>
      <c r="BL56" s="140"/>
      <c r="BM56" s="140"/>
      <c r="BN56" s="140"/>
      <c r="BO56" s="140">
        <v>101.7</v>
      </c>
      <c r="BP56" s="140"/>
      <c r="BQ56" s="140"/>
      <c r="BR56" s="148"/>
      <c r="BS56" s="140"/>
      <c r="BT56" s="140"/>
      <c r="BU56" s="149"/>
      <c r="BV56" s="145">
        <v>86.6</v>
      </c>
      <c r="BW56" s="140"/>
      <c r="BX56" s="140"/>
      <c r="BY56" s="145">
        <v>963.28700000000003</v>
      </c>
      <c r="BZ56" s="140"/>
      <c r="CA56" s="140"/>
      <c r="CB56" s="140"/>
      <c r="CC56" s="140"/>
      <c r="CD56" s="140"/>
      <c r="CE56" s="140"/>
      <c r="CF56" s="140"/>
      <c r="CG56" s="140"/>
      <c r="CH56" s="140"/>
      <c r="CI56" s="140"/>
      <c r="CJ56" s="140"/>
      <c r="CK56" s="140"/>
      <c r="CL56" s="140"/>
      <c r="CM56" s="140"/>
      <c r="CN56" s="140"/>
    </row>
    <row r="57" spans="2:92" x14ac:dyDescent="0.25">
      <c r="B57" s="140" t="s">
        <v>215</v>
      </c>
      <c r="C57" s="167" t="s">
        <v>181</v>
      </c>
      <c r="D57" s="129">
        <v>2</v>
      </c>
      <c r="E57" s="140"/>
      <c r="F57" s="129" t="s">
        <v>21</v>
      </c>
      <c r="G57" s="129"/>
      <c r="H57" s="129"/>
      <c r="I57" s="129"/>
      <c r="J57" s="129"/>
      <c r="K57" s="129" t="s">
        <v>186</v>
      </c>
      <c r="L57" s="130"/>
      <c r="M57" s="129"/>
      <c r="N57" s="129" t="s">
        <v>181</v>
      </c>
      <c r="O57" s="143">
        <v>40483</v>
      </c>
      <c r="P57" s="165"/>
      <c r="Q57" s="129"/>
      <c r="R57" s="129"/>
      <c r="S57" s="129"/>
      <c r="T57" s="129"/>
      <c r="U57" s="129">
        <v>13</v>
      </c>
      <c r="V57" s="129"/>
      <c r="W57" s="129">
        <v>500</v>
      </c>
      <c r="X57" s="129">
        <v>12</v>
      </c>
      <c r="Y57" s="129"/>
      <c r="Z57" s="129"/>
      <c r="AA57" s="129"/>
      <c r="AB57" s="129"/>
      <c r="AC57" s="129"/>
      <c r="AD57" s="129"/>
      <c r="AE57" s="129"/>
      <c r="AF57" s="129"/>
      <c r="AG57" s="129"/>
      <c r="AH57" s="129"/>
      <c r="AI57" s="140"/>
      <c r="AJ57" s="140"/>
      <c r="AK57" s="140"/>
      <c r="AL57" s="129">
        <v>80</v>
      </c>
      <c r="AM57" s="129"/>
      <c r="AN57" s="129">
        <v>13</v>
      </c>
      <c r="AO57" s="129"/>
      <c r="AP57" s="129"/>
      <c r="AQ57" s="129"/>
      <c r="AR57" s="129"/>
      <c r="AS57" s="129">
        <v>3340</v>
      </c>
      <c r="AT57" s="129">
        <v>2640</v>
      </c>
      <c r="AU57" s="129"/>
      <c r="AV57" s="129">
        <v>198</v>
      </c>
      <c r="AW57" s="129"/>
      <c r="AX57" s="129"/>
      <c r="AY57" s="129"/>
      <c r="AZ57" s="129"/>
      <c r="BA57" s="129"/>
      <c r="BB57" s="140"/>
      <c r="BC57" s="129" t="s">
        <v>21</v>
      </c>
      <c r="BD57" s="129"/>
      <c r="BE57" s="140"/>
      <c r="BF57" s="140"/>
      <c r="BG57" s="140"/>
      <c r="BH57" s="140"/>
      <c r="BI57" s="140"/>
      <c r="BJ57" s="140"/>
      <c r="BK57" s="140"/>
      <c r="BL57" s="140"/>
      <c r="BM57" s="140"/>
      <c r="BN57" s="140"/>
      <c r="BO57" s="140">
        <v>103.9</v>
      </c>
      <c r="BP57" s="140"/>
      <c r="BQ57" s="140"/>
      <c r="BR57" s="148"/>
      <c r="BS57" s="140"/>
      <c r="BT57" s="140"/>
      <c r="BU57" s="149"/>
      <c r="BV57" s="145">
        <v>87.278000000000006</v>
      </c>
      <c r="BW57" s="140"/>
      <c r="BX57" s="140"/>
      <c r="BY57" s="145">
        <v>806.93</v>
      </c>
      <c r="BZ57" s="140"/>
      <c r="CA57" s="140"/>
      <c r="CB57" s="140"/>
      <c r="CC57" s="140"/>
      <c r="CD57" s="140"/>
      <c r="CE57" s="140"/>
      <c r="CF57" s="140"/>
      <c r="CG57" s="140"/>
      <c r="CH57" s="140"/>
      <c r="CI57" s="140"/>
      <c r="CJ57" s="140"/>
      <c r="CK57" s="140"/>
      <c r="CL57" s="140"/>
      <c r="CM57" s="140"/>
      <c r="CN57" s="140"/>
    </row>
    <row r="58" spans="2:92" x14ac:dyDescent="0.25">
      <c r="B58" s="140" t="s">
        <v>133</v>
      </c>
      <c r="C58" s="167" t="s">
        <v>181</v>
      </c>
      <c r="D58" s="129">
        <v>4</v>
      </c>
      <c r="E58" s="140"/>
      <c r="F58" s="129" t="s">
        <v>21</v>
      </c>
      <c r="G58" s="129" t="s">
        <v>201</v>
      </c>
      <c r="H58" s="129" t="s">
        <v>43</v>
      </c>
      <c r="I58" s="129"/>
      <c r="J58" s="129"/>
      <c r="K58" s="129" t="s">
        <v>186</v>
      </c>
      <c r="L58" s="130" t="s">
        <v>185</v>
      </c>
      <c r="M58" s="129" t="s">
        <v>185</v>
      </c>
      <c r="N58" s="129" t="s">
        <v>181</v>
      </c>
      <c r="O58" s="143">
        <v>39539</v>
      </c>
      <c r="P58" s="165"/>
      <c r="Q58" s="129"/>
      <c r="R58" s="129"/>
      <c r="S58" s="129"/>
      <c r="T58" s="129"/>
      <c r="U58" s="129">
        <v>9</v>
      </c>
      <c r="V58" s="129"/>
      <c r="W58" s="129">
        <v>65.2</v>
      </c>
      <c r="X58" s="129">
        <v>92</v>
      </c>
      <c r="Y58" s="129"/>
      <c r="Z58" s="129"/>
      <c r="AA58" s="129"/>
      <c r="AB58" s="129"/>
      <c r="AC58" s="129"/>
      <c r="AD58" s="129"/>
      <c r="AE58" s="129"/>
      <c r="AF58" s="129"/>
      <c r="AG58" s="129"/>
      <c r="AH58" s="129"/>
      <c r="AI58" s="140"/>
      <c r="AJ58" s="140"/>
      <c r="AK58" s="140"/>
      <c r="AL58" s="129">
        <v>35</v>
      </c>
      <c r="AM58" s="129">
        <v>0.9</v>
      </c>
      <c r="AN58" s="129">
        <v>9</v>
      </c>
      <c r="AO58" s="129"/>
      <c r="AP58" s="129"/>
      <c r="AQ58" s="129"/>
      <c r="AR58" s="129"/>
      <c r="AS58" s="129">
        <v>10000</v>
      </c>
      <c r="AT58" s="129">
        <v>1250</v>
      </c>
      <c r="AU58" s="129"/>
      <c r="AV58" s="129">
        <v>684</v>
      </c>
      <c r="AW58" s="129"/>
      <c r="AX58" s="129"/>
      <c r="AY58" s="129"/>
      <c r="AZ58" s="129"/>
      <c r="BA58" s="129"/>
      <c r="BB58" s="140"/>
      <c r="BC58" s="129" t="s">
        <v>21</v>
      </c>
      <c r="BD58" s="129"/>
      <c r="BE58" s="140"/>
      <c r="BF58" s="140"/>
      <c r="BG58" s="140"/>
      <c r="BH58" s="140"/>
      <c r="BI58" s="140">
        <v>32</v>
      </c>
      <c r="BJ58" s="140">
        <v>57</v>
      </c>
      <c r="BK58" s="140">
        <v>16.399999999999999</v>
      </c>
      <c r="BL58" s="140"/>
      <c r="BM58" s="140"/>
      <c r="BN58" s="140">
        <f>BO58-BI58-BJ58-BK58</f>
        <v>0</v>
      </c>
      <c r="BO58" s="140">
        <v>105.4</v>
      </c>
      <c r="BP58" s="140">
        <v>156.4</v>
      </c>
      <c r="BQ58" s="140">
        <v>258.84899999999999</v>
      </c>
      <c r="BR58" s="148">
        <f t="shared" si="4"/>
        <v>4.5412105263157896</v>
      </c>
      <c r="BS58" s="140">
        <v>700.423</v>
      </c>
      <c r="BT58" s="140"/>
      <c r="BU58" s="149">
        <f t="shared" si="5"/>
        <v>42.708719512195124</v>
      </c>
      <c r="BV58" s="145">
        <v>84.375</v>
      </c>
      <c r="BW58" s="140"/>
      <c r="BX58" s="140"/>
      <c r="BY58" s="140">
        <f>SUM(BP58:BX58)</f>
        <v>1247.2969300385109</v>
      </c>
      <c r="BZ58" s="140"/>
      <c r="CA58" s="140"/>
      <c r="CB58" s="140"/>
      <c r="CC58" s="140"/>
      <c r="CD58" s="140"/>
      <c r="CE58" s="140"/>
      <c r="CF58" s="140"/>
      <c r="CG58" s="140"/>
      <c r="CH58" s="140"/>
      <c r="CI58" s="140"/>
      <c r="CJ58" s="140"/>
      <c r="CK58" s="140"/>
      <c r="CL58" s="140"/>
      <c r="CM58" s="140"/>
      <c r="CN58" s="140"/>
    </row>
    <row r="59" spans="2:92" x14ac:dyDescent="0.25">
      <c r="B59" s="140" t="s">
        <v>136</v>
      </c>
      <c r="C59" s="167" t="s">
        <v>181</v>
      </c>
      <c r="D59" s="129">
        <v>1</v>
      </c>
      <c r="E59" s="140"/>
      <c r="F59" s="129" t="s">
        <v>21</v>
      </c>
      <c r="G59" s="129" t="s">
        <v>199</v>
      </c>
      <c r="H59" s="129" t="s">
        <v>43</v>
      </c>
      <c r="I59" s="129"/>
      <c r="J59" s="129"/>
      <c r="K59" s="129" t="s">
        <v>186</v>
      </c>
      <c r="L59" s="130" t="s">
        <v>185</v>
      </c>
      <c r="M59" s="129" t="s">
        <v>185</v>
      </c>
      <c r="N59" s="129" t="s">
        <v>181</v>
      </c>
      <c r="O59" s="143">
        <v>39783</v>
      </c>
      <c r="P59" s="165"/>
      <c r="Q59" s="129"/>
      <c r="R59" s="129"/>
      <c r="S59" s="129"/>
      <c r="T59" s="129"/>
      <c r="U59" s="129">
        <v>10.5</v>
      </c>
      <c r="V59" s="129"/>
      <c r="W59" s="129">
        <v>115.4</v>
      </c>
      <c r="X59" s="129">
        <v>52</v>
      </c>
      <c r="Y59" s="129"/>
      <c r="Z59" s="129"/>
      <c r="AA59" s="129"/>
      <c r="AB59" s="129"/>
      <c r="AC59" s="129"/>
      <c r="AD59" s="129"/>
      <c r="AE59" s="129"/>
      <c r="AF59" s="129"/>
      <c r="AG59" s="129"/>
      <c r="AH59" s="129"/>
      <c r="AI59" s="140"/>
      <c r="AJ59" s="140"/>
      <c r="AK59" s="140"/>
      <c r="AL59" s="129">
        <v>50</v>
      </c>
      <c r="AM59" s="129">
        <v>0.8</v>
      </c>
      <c r="AN59" s="129">
        <v>10.5</v>
      </c>
      <c r="AO59" s="129"/>
      <c r="AP59" s="129"/>
      <c r="AQ59" s="129"/>
      <c r="AR59" s="129"/>
      <c r="AS59" s="129">
        <v>7700</v>
      </c>
      <c r="AT59" s="129">
        <v>1320</v>
      </c>
      <c r="AU59" s="129"/>
      <c r="AV59" s="129">
        <v>516</v>
      </c>
      <c r="AW59" s="129"/>
      <c r="AX59" s="129"/>
      <c r="AY59" s="129"/>
      <c r="AZ59" s="129"/>
      <c r="BA59" s="129"/>
      <c r="BB59" s="140"/>
      <c r="BC59" s="129" t="s">
        <v>21</v>
      </c>
      <c r="BD59" s="129"/>
      <c r="BE59" s="140"/>
      <c r="BF59" s="140"/>
      <c r="BG59" s="140"/>
      <c r="BH59" s="140"/>
      <c r="BI59" s="140">
        <v>32.200000000000003</v>
      </c>
      <c r="BJ59" s="140">
        <v>55.4</v>
      </c>
      <c r="BK59" s="140">
        <v>15.1</v>
      </c>
      <c r="BL59" s="140"/>
      <c r="BM59" s="140"/>
      <c r="BN59" s="140">
        <f>BO59-BI59-BJ59-BK59</f>
        <v>5.0000000000000018</v>
      </c>
      <c r="BO59" s="140">
        <v>107.7</v>
      </c>
      <c r="BP59" s="140">
        <v>170.5</v>
      </c>
      <c r="BQ59" s="140">
        <v>266.76600000000002</v>
      </c>
      <c r="BR59" s="148">
        <f t="shared" si="4"/>
        <v>4.8152707581227441</v>
      </c>
      <c r="BS59" s="140">
        <v>641.95399999999995</v>
      </c>
      <c r="BT59" s="140"/>
      <c r="BU59" s="149">
        <f t="shared" si="5"/>
        <v>42.513509933774834</v>
      </c>
      <c r="BV59" s="145">
        <v>97.572000000000003</v>
      </c>
      <c r="BW59" s="140"/>
      <c r="BX59" s="140"/>
      <c r="BY59" s="140">
        <f>SUM(BP59:BX59)</f>
        <v>1224.1207806918978</v>
      </c>
      <c r="BZ59" s="140"/>
      <c r="CA59" s="140"/>
      <c r="CB59" s="140"/>
      <c r="CC59" s="140"/>
      <c r="CD59" s="140"/>
      <c r="CE59" s="140"/>
      <c r="CF59" s="140"/>
      <c r="CG59" s="140"/>
      <c r="CH59" s="140"/>
      <c r="CI59" s="140"/>
      <c r="CJ59" s="140"/>
      <c r="CK59" s="140"/>
      <c r="CL59" s="140"/>
      <c r="CM59" s="140"/>
      <c r="CN59" s="140"/>
    </row>
    <row r="60" spans="2:92" x14ac:dyDescent="0.25">
      <c r="B60" s="140" t="s">
        <v>135</v>
      </c>
      <c r="C60" s="167" t="s">
        <v>181</v>
      </c>
      <c r="D60" s="129">
        <v>6</v>
      </c>
      <c r="E60" s="140"/>
      <c r="F60" s="129" t="s">
        <v>21</v>
      </c>
      <c r="G60" s="129" t="s">
        <v>199</v>
      </c>
      <c r="H60" s="129" t="s">
        <v>43</v>
      </c>
      <c r="I60" s="129"/>
      <c r="J60" s="129"/>
      <c r="K60" s="129" t="s">
        <v>186</v>
      </c>
      <c r="L60" s="130" t="s">
        <v>185</v>
      </c>
      <c r="M60" s="129" t="s">
        <v>186</v>
      </c>
      <c r="N60" s="129" t="s">
        <v>181</v>
      </c>
      <c r="O60" s="143">
        <v>41033</v>
      </c>
      <c r="P60" s="165"/>
      <c r="Q60" s="129" t="s">
        <v>207</v>
      </c>
      <c r="R60" s="129"/>
      <c r="S60" s="129"/>
      <c r="T60" s="129"/>
      <c r="U60" s="129">
        <v>10.3</v>
      </c>
      <c r="V60" s="129"/>
      <c r="W60" s="129">
        <v>68.2</v>
      </c>
      <c r="X60" s="129">
        <v>88</v>
      </c>
      <c r="Y60" s="129"/>
      <c r="Z60" s="129"/>
      <c r="AA60" s="129"/>
      <c r="AB60" s="129"/>
      <c r="AC60" s="129"/>
      <c r="AD60" s="129"/>
      <c r="AE60" s="129"/>
      <c r="AF60" s="129"/>
      <c r="AG60" s="129"/>
      <c r="AH60" s="129"/>
      <c r="AI60" s="140"/>
      <c r="AJ60" s="140"/>
      <c r="AK60" s="140"/>
      <c r="AL60" s="129">
        <v>45</v>
      </c>
      <c r="AM60" s="129">
        <v>0.9</v>
      </c>
      <c r="AN60" s="129">
        <v>10.3</v>
      </c>
      <c r="AO60" s="129"/>
      <c r="AP60" s="129"/>
      <c r="AQ60" s="129"/>
      <c r="AR60" s="129"/>
      <c r="AS60" s="129">
        <v>10000</v>
      </c>
      <c r="AT60" s="129">
        <v>1350</v>
      </c>
      <c r="AU60" s="129"/>
      <c r="AV60" s="129">
        <v>600</v>
      </c>
      <c r="AW60" s="129"/>
      <c r="AX60" s="129"/>
      <c r="AY60" s="129"/>
      <c r="AZ60" s="129"/>
      <c r="BA60" s="129"/>
      <c r="BB60" s="140"/>
      <c r="BC60" s="129" t="s">
        <v>21</v>
      </c>
      <c r="BD60" s="129"/>
      <c r="BE60" s="140"/>
      <c r="BF60" s="140"/>
      <c r="BG60" s="140"/>
      <c r="BH60" s="140"/>
      <c r="BI60" s="140">
        <v>24</v>
      </c>
      <c r="BJ60" s="140">
        <v>76.400000000000006</v>
      </c>
      <c r="BK60" s="140">
        <v>16</v>
      </c>
      <c r="BL60" s="140"/>
      <c r="BM60" s="140"/>
      <c r="BN60" s="140">
        <v>0</v>
      </c>
      <c r="BO60" s="140">
        <v>119.8</v>
      </c>
      <c r="BP60" s="140">
        <v>131.9</v>
      </c>
      <c r="BQ60" s="140">
        <v>280.488</v>
      </c>
      <c r="BR60" s="148">
        <f t="shared" si="4"/>
        <v>3.67130890052356</v>
      </c>
      <c r="BS60" s="140">
        <v>663.59799999999996</v>
      </c>
      <c r="BT60" s="140"/>
      <c r="BU60" s="149">
        <f t="shared" si="5"/>
        <v>41.474874999999997</v>
      </c>
      <c r="BV60" s="145">
        <v>121.43300000000001</v>
      </c>
      <c r="BW60" s="140"/>
      <c r="BX60" s="140"/>
      <c r="BY60" s="140">
        <f>SUM(BP60:BX60)</f>
        <v>1242.5651839005236</v>
      </c>
      <c r="BZ60" s="140"/>
      <c r="CA60" s="140"/>
      <c r="CB60" s="140"/>
      <c r="CC60" s="140"/>
      <c r="CD60" s="140"/>
      <c r="CE60" s="140"/>
      <c r="CF60" s="140"/>
      <c r="CG60" s="140"/>
      <c r="CH60" s="140"/>
      <c r="CI60" s="140"/>
      <c r="CJ60" s="140"/>
      <c r="CK60" s="140"/>
      <c r="CL60" s="140"/>
      <c r="CM60" s="140"/>
      <c r="CN60" s="140"/>
    </row>
    <row r="61" spans="2:92" x14ac:dyDescent="0.25">
      <c r="B61" s="140" t="s">
        <v>142</v>
      </c>
      <c r="C61" s="167" t="s">
        <v>181</v>
      </c>
      <c r="D61" s="129">
        <v>3</v>
      </c>
      <c r="E61" s="140"/>
      <c r="F61" s="129" t="s">
        <v>64</v>
      </c>
      <c r="G61" s="129" t="s">
        <v>204</v>
      </c>
      <c r="H61" s="129" t="s">
        <v>205</v>
      </c>
      <c r="I61" s="129"/>
      <c r="J61" s="129"/>
      <c r="K61" s="129" t="s">
        <v>186</v>
      </c>
      <c r="L61" s="130" t="s">
        <v>185</v>
      </c>
      <c r="M61" s="129" t="s">
        <v>186</v>
      </c>
      <c r="N61" s="129" t="s">
        <v>181</v>
      </c>
      <c r="O61" s="143">
        <v>40745</v>
      </c>
      <c r="P61" s="165"/>
      <c r="Q61" s="129" t="s">
        <v>209</v>
      </c>
      <c r="R61" s="129"/>
      <c r="S61" s="129"/>
      <c r="T61" s="129"/>
      <c r="U61" s="129">
        <v>13</v>
      </c>
      <c r="V61" s="129"/>
      <c r="W61" s="129">
        <v>600</v>
      </c>
      <c r="X61" s="129">
        <v>10</v>
      </c>
      <c r="Y61" s="129"/>
      <c r="Z61" s="129"/>
      <c r="AA61" s="129"/>
      <c r="AB61" s="129"/>
      <c r="AC61" s="129"/>
      <c r="AD61" s="129"/>
      <c r="AE61" s="129"/>
      <c r="AF61" s="129"/>
      <c r="AG61" s="129"/>
      <c r="AH61" s="129"/>
      <c r="AI61" s="140"/>
      <c r="AJ61" s="140"/>
      <c r="AK61" s="140"/>
      <c r="AL61" s="129">
        <v>120</v>
      </c>
      <c r="AM61" s="129">
        <v>0.85</v>
      </c>
      <c r="AN61" s="129">
        <v>13</v>
      </c>
      <c r="AO61" s="129"/>
      <c r="AP61" s="129"/>
      <c r="AQ61" s="129"/>
      <c r="AR61" s="129"/>
      <c r="AS61" s="129">
        <v>2850</v>
      </c>
      <c r="AT61" s="129">
        <v>3000</v>
      </c>
      <c r="AU61" s="129"/>
      <c r="AV61" s="129">
        <v>144</v>
      </c>
      <c r="AW61" s="129"/>
      <c r="AX61" s="129"/>
      <c r="AY61" s="129"/>
      <c r="AZ61" s="129"/>
      <c r="BA61" s="129"/>
      <c r="BB61" s="140"/>
      <c r="BC61" s="129" t="s">
        <v>21</v>
      </c>
      <c r="BD61" s="129"/>
      <c r="BE61" s="140"/>
      <c r="BF61" s="140"/>
      <c r="BG61" s="140"/>
      <c r="BH61" s="140"/>
      <c r="BI61" s="140">
        <v>19.5</v>
      </c>
      <c r="BJ61" s="140">
        <v>78.5</v>
      </c>
      <c r="BK61" s="140">
        <v>14</v>
      </c>
      <c r="BL61" s="140"/>
      <c r="BM61" s="140"/>
      <c r="BN61" s="140">
        <v>0</v>
      </c>
      <c r="BO61" s="140">
        <f>SUM(BI61:BN61)</f>
        <v>112</v>
      </c>
      <c r="BP61" s="140">
        <v>72.534000000000006</v>
      </c>
      <c r="BQ61" s="140">
        <v>253.28899999999999</v>
      </c>
      <c r="BR61" s="148">
        <f t="shared" si="4"/>
        <v>3.2266114649681525</v>
      </c>
      <c r="BS61" s="140">
        <v>365.14699999999999</v>
      </c>
      <c r="BT61" s="140"/>
      <c r="BU61" s="149">
        <f t="shared" si="5"/>
        <v>26.08192857142857</v>
      </c>
      <c r="BV61" s="145">
        <v>104.437</v>
      </c>
      <c r="BW61" s="140"/>
      <c r="BX61" s="140"/>
      <c r="BY61" s="145">
        <f>SUM(BP61:BX61)</f>
        <v>824.71554003639665</v>
      </c>
      <c r="BZ61" s="140"/>
      <c r="CA61" s="140"/>
      <c r="CB61" s="140"/>
      <c r="CC61" s="140"/>
      <c r="CD61" s="140"/>
      <c r="CE61" s="140"/>
      <c r="CF61" s="140"/>
      <c r="CG61" s="140"/>
      <c r="CH61" s="140"/>
      <c r="CI61" s="140"/>
      <c r="CJ61" s="140"/>
      <c r="CK61" s="140"/>
      <c r="CL61" s="140"/>
      <c r="CM61" s="140"/>
      <c r="CN61" s="140"/>
    </row>
    <row r="62" spans="2:92" x14ac:dyDescent="0.25">
      <c r="B62" s="140" t="s">
        <v>171</v>
      </c>
      <c r="C62" s="167" t="s">
        <v>181</v>
      </c>
      <c r="D62" s="129">
        <v>1</v>
      </c>
      <c r="E62" s="140"/>
      <c r="F62" s="129" t="s">
        <v>21</v>
      </c>
      <c r="G62" s="129"/>
      <c r="H62" s="129"/>
      <c r="I62" s="129"/>
      <c r="J62" s="129"/>
      <c r="K62" s="129" t="s">
        <v>186</v>
      </c>
      <c r="L62" s="130"/>
      <c r="M62" s="129"/>
      <c r="N62" s="129" t="s">
        <v>181</v>
      </c>
      <c r="O62" s="143">
        <v>40238</v>
      </c>
      <c r="P62" s="165"/>
      <c r="Q62" s="129"/>
      <c r="R62" s="129"/>
      <c r="S62" s="129"/>
      <c r="T62" s="129"/>
      <c r="U62" s="129">
        <v>12</v>
      </c>
      <c r="V62" s="129"/>
      <c r="W62" s="129">
        <v>231</v>
      </c>
      <c r="X62" s="129">
        <v>26</v>
      </c>
      <c r="Y62" s="129"/>
      <c r="Z62" s="129"/>
      <c r="AA62" s="129"/>
      <c r="AB62" s="129"/>
      <c r="AC62" s="129"/>
      <c r="AD62" s="129"/>
      <c r="AE62" s="129"/>
      <c r="AF62" s="129"/>
      <c r="AG62" s="129"/>
      <c r="AH62" s="129"/>
      <c r="AI62" s="140"/>
      <c r="AJ62" s="140"/>
      <c r="AK62" s="140"/>
      <c r="AL62" s="129">
        <v>80</v>
      </c>
      <c r="AM62" s="129"/>
      <c r="AN62" s="129">
        <v>12</v>
      </c>
      <c r="AO62" s="129"/>
      <c r="AP62" s="129"/>
      <c r="AQ62" s="129"/>
      <c r="AR62" s="129"/>
      <c r="AS62" s="129">
        <v>5790</v>
      </c>
      <c r="AT62" s="129">
        <v>1700</v>
      </c>
      <c r="AU62" s="129"/>
      <c r="AV62" s="129">
        <v>288</v>
      </c>
      <c r="AW62" s="129"/>
      <c r="AX62" s="129"/>
      <c r="AY62" s="129"/>
      <c r="AZ62" s="129"/>
      <c r="BA62" s="129"/>
      <c r="BB62" s="140"/>
      <c r="BC62" s="129" t="s">
        <v>21</v>
      </c>
      <c r="BD62" s="129"/>
      <c r="BE62" s="140"/>
      <c r="BF62" s="140"/>
      <c r="BG62" s="140"/>
      <c r="BH62" s="140"/>
      <c r="BI62" s="140"/>
      <c r="BJ62" s="140"/>
      <c r="BK62" s="140"/>
      <c r="BL62" s="140"/>
      <c r="BM62" s="140"/>
      <c r="BN62" s="140"/>
      <c r="BO62" s="140">
        <v>117.4</v>
      </c>
      <c r="BP62" s="140"/>
      <c r="BQ62" s="140"/>
      <c r="BR62" s="148"/>
      <c r="BS62" s="140"/>
      <c r="BT62" s="140"/>
      <c r="BU62" s="149"/>
      <c r="BV62" s="145">
        <v>83.626999999999995</v>
      </c>
      <c r="BW62" s="140"/>
      <c r="BX62" s="140"/>
      <c r="BY62" s="145">
        <v>1013.2809999999999</v>
      </c>
      <c r="BZ62" s="140"/>
      <c r="CA62" s="140"/>
      <c r="CB62" s="140"/>
      <c r="CC62" s="140"/>
      <c r="CD62" s="140"/>
      <c r="CE62" s="140"/>
      <c r="CF62" s="140"/>
      <c r="CG62" s="140"/>
      <c r="CH62" s="140"/>
      <c r="CI62" s="140"/>
      <c r="CJ62" s="140"/>
      <c r="CK62" s="140"/>
      <c r="CL62" s="140"/>
      <c r="CM62" s="140"/>
      <c r="CN62" s="140"/>
    </row>
    <row r="63" spans="2:92" x14ac:dyDescent="0.25">
      <c r="B63" s="140" t="s">
        <v>172</v>
      </c>
      <c r="C63" s="167" t="s">
        <v>181</v>
      </c>
      <c r="D63" s="129">
        <v>2</v>
      </c>
      <c r="E63" s="140"/>
      <c r="F63" s="129" t="s">
        <v>64</v>
      </c>
      <c r="G63" s="129"/>
      <c r="H63" s="129"/>
      <c r="I63" s="129"/>
      <c r="J63" s="129"/>
      <c r="K63" s="129" t="s">
        <v>186</v>
      </c>
      <c r="L63" s="130"/>
      <c r="M63" s="129"/>
      <c r="N63" s="129" t="s">
        <v>181</v>
      </c>
      <c r="O63" s="143">
        <v>40787</v>
      </c>
      <c r="P63" s="165"/>
      <c r="Q63" s="129"/>
      <c r="R63" s="129"/>
      <c r="S63" s="129"/>
      <c r="T63" s="129"/>
      <c r="U63" s="129">
        <v>14</v>
      </c>
      <c r="V63" s="129"/>
      <c r="W63" s="129">
        <v>429</v>
      </c>
      <c r="X63" s="129">
        <v>14</v>
      </c>
      <c r="Y63" s="129"/>
      <c r="Z63" s="129"/>
      <c r="AA63" s="129"/>
      <c r="AB63" s="129"/>
      <c r="AC63" s="129"/>
      <c r="AD63" s="129"/>
      <c r="AE63" s="129"/>
      <c r="AF63" s="129"/>
      <c r="AG63" s="129"/>
      <c r="AH63" s="129"/>
      <c r="AI63" s="140"/>
      <c r="AJ63" s="140"/>
      <c r="AK63" s="140"/>
      <c r="AL63" s="129">
        <v>110</v>
      </c>
      <c r="AM63" s="129"/>
      <c r="AN63" s="129">
        <v>14</v>
      </c>
      <c r="AO63" s="129"/>
      <c r="AP63" s="129"/>
      <c r="AQ63" s="129"/>
      <c r="AR63" s="129"/>
      <c r="AS63" s="129">
        <v>3400</v>
      </c>
      <c r="AT63" s="129">
        <v>2850</v>
      </c>
      <c r="AU63" s="129"/>
      <c r="AV63" s="129">
        <v>192</v>
      </c>
      <c r="AW63" s="129"/>
      <c r="AX63" s="129"/>
      <c r="AY63" s="129"/>
      <c r="AZ63" s="129"/>
      <c r="BA63" s="129"/>
      <c r="BB63" s="140"/>
      <c r="BC63" s="129" t="s">
        <v>21</v>
      </c>
      <c r="BD63" s="129"/>
      <c r="BE63" s="140"/>
      <c r="BF63" s="140"/>
      <c r="BG63" s="140"/>
      <c r="BH63" s="140"/>
      <c r="BI63" s="140"/>
      <c r="BJ63" s="140"/>
      <c r="BK63" s="140"/>
      <c r="BL63" s="140"/>
      <c r="BM63" s="140"/>
      <c r="BN63" s="140"/>
      <c r="BO63" s="140">
        <v>120.6</v>
      </c>
      <c r="BP63" s="140"/>
      <c r="BQ63" s="140"/>
      <c r="BR63" s="148"/>
      <c r="BS63" s="140"/>
      <c r="BT63" s="140"/>
      <c r="BU63" s="149"/>
      <c r="BV63" s="145">
        <v>114.902</v>
      </c>
      <c r="BW63" s="140"/>
      <c r="BX63" s="140"/>
      <c r="BY63" s="145">
        <v>935.65800000000002</v>
      </c>
      <c r="BZ63" s="140"/>
      <c r="CA63" s="140"/>
      <c r="CB63" s="140"/>
      <c r="CC63" s="140"/>
      <c r="CD63" s="140"/>
      <c r="CE63" s="140"/>
      <c r="CF63" s="140"/>
      <c r="CG63" s="140"/>
      <c r="CH63" s="140"/>
      <c r="CI63" s="140"/>
      <c r="CJ63" s="140"/>
      <c r="CK63" s="140"/>
      <c r="CL63" s="140"/>
      <c r="CM63" s="140"/>
      <c r="CN63" s="140"/>
    </row>
    <row r="64" spans="2:92" x14ac:dyDescent="0.25">
      <c r="B64" s="140" t="s">
        <v>141</v>
      </c>
      <c r="C64" s="167" t="s">
        <v>181</v>
      </c>
      <c r="D64" s="129">
        <v>3</v>
      </c>
      <c r="E64" s="140"/>
      <c r="F64" s="129" t="s">
        <v>64</v>
      </c>
      <c r="G64" s="171" t="s">
        <v>203</v>
      </c>
      <c r="H64" s="129" t="s">
        <v>43</v>
      </c>
      <c r="I64" s="129"/>
      <c r="J64" s="129"/>
      <c r="K64" s="129" t="s">
        <v>186</v>
      </c>
      <c r="L64" s="130" t="s">
        <v>186</v>
      </c>
      <c r="M64" s="129" t="s">
        <v>186</v>
      </c>
      <c r="N64" s="129" t="s">
        <v>181</v>
      </c>
      <c r="O64" s="143">
        <v>40603</v>
      </c>
      <c r="P64" s="165"/>
      <c r="Q64" s="129"/>
      <c r="R64" s="129"/>
      <c r="S64" s="129"/>
      <c r="T64" s="129"/>
      <c r="U64" s="129">
        <v>12.5</v>
      </c>
      <c r="V64" s="129"/>
      <c r="W64" s="129">
        <v>500</v>
      </c>
      <c r="X64" s="129">
        <v>12</v>
      </c>
      <c r="Y64" s="129"/>
      <c r="Z64" s="129"/>
      <c r="AA64" s="129"/>
      <c r="AB64" s="129"/>
      <c r="AC64" s="129"/>
      <c r="AD64" s="129"/>
      <c r="AE64" s="129"/>
      <c r="AF64" s="129"/>
      <c r="AG64" s="129"/>
      <c r="AH64" s="129"/>
      <c r="AI64" s="140"/>
      <c r="AJ64" s="140"/>
      <c r="AK64" s="140"/>
      <c r="AL64" s="129">
        <v>115</v>
      </c>
      <c r="AM64" s="129">
        <v>0.83499999999999996</v>
      </c>
      <c r="AN64" s="129">
        <v>12.5</v>
      </c>
      <c r="AO64" s="129"/>
      <c r="AP64" s="129"/>
      <c r="AQ64" s="129"/>
      <c r="AR64" s="129"/>
      <c r="AS64" s="129">
        <v>3270</v>
      </c>
      <c r="AT64" s="129">
        <v>2700</v>
      </c>
      <c r="AU64" s="129"/>
      <c r="AV64" s="129">
        <v>144</v>
      </c>
      <c r="AW64" s="129"/>
      <c r="AX64" s="129"/>
      <c r="AY64" s="129"/>
      <c r="AZ64" s="129"/>
      <c r="BA64" s="129"/>
      <c r="BB64" s="140"/>
      <c r="BC64" s="129" t="s">
        <v>21</v>
      </c>
      <c r="BD64" s="129"/>
      <c r="BE64" s="140"/>
      <c r="BF64" s="140"/>
      <c r="BG64" s="140"/>
      <c r="BH64" s="140"/>
      <c r="BI64" s="140">
        <v>22.5</v>
      </c>
      <c r="BJ64" s="140">
        <v>90.4</v>
      </c>
      <c r="BK64" s="140">
        <v>12.8</v>
      </c>
      <c r="BL64" s="140"/>
      <c r="BM64" s="140"/>
      <c r="BN64" s="140">
        <v>0</v>
      </c>
      <c r="BO64" s="140">
        <v>127.4</v>
      </c>
      <c r="BP64" s="140">
        <v>96.015000000000001</v>
      </c>
      <c r="BQ64" s="140">
        <v>319.84100000000001</v>
      </c>
      <c r="BR64" s="148">
        <f t="shared" si="4"/>
        <v>3.5380641592920354</v>
      </c>
      <c r="BS64" s="140">
        <v>356.14400000000001</v>
      </c>
      <c r="BT64" s="140"/>
      <c r="BU64" s="149">
        <f t="shared" si="5"/>
        <v>27.82375</v>
      </c>
      <c r="BV64" s="145">
        <v>103.244</v>
      </c>
      <c r="BW64" s="140"/>
      <c r="BX64" s="140"/>
      <c r="BY64" s="145">
        <f>SUM(BP64:BX64)</f>
        <v>906.60581415929209</v>
      </c>
      <c r="BZ64" s="140"/>
      <c r="CA64" s="140"/>
      <c r="CB64" s="140"/>
      <c r="CC64" s="140"/>
      <c r="CD64" s="140"/>
      <c r="CE64" s="140"/>
      <c r="CF64" s="140"/>
      <c r="CG64" s="140"/>
      <c r="CH64" s="140"/>
      <c r="CI64" s="140"/>
      <c r="CJ64" s="140"/>
      <c r="CK64" s="140"/>
      <c r="CL64" s="140"/>
      <c r="CM64" s="140"/>
      <c r="CN64" s="140"/>
    </row>
    <row r="65" spans="2:92" x14ac:dyDescent="0.25">
      <c r="B65" s="140" t="s">
        <v>140</v>
      </c>
      <c r="C65" s="167" t="s">
        <v>181</v>
      </c>
      <c r="D65" s="129">
        <v>2</v>
      </c>
      <c r="E65" s="140"/>
      <c r="F65" s="129" t="s">
        <v>64</v>
      </c>
      <c r="G65" s="129" t="s">
        <v>199</v>
      </c>
      <c r="H65" s="129" t="s">
        <v>43</v>
      </c>
      <c r="I65" s="129"/>
      <c r="J65" s="129"/>
      <c r="K65" s="129" t="s">
        <v>186</v>
      </c>
      <c r="L65" s="130" t="s">
        <v>186</v>
      </c>
      <c r="M65" s="129" t="s">
        <v>186</v>
      </c>
      <c r="N65" s="129" t="s">
        <v>181</v>
      </c>
      <c r="O65" s="143">
        <v>41214</v>
      </c>
      <c r="P65" s="165"/>
      <c r="Q65" s="129" t="s">
        <v>208</v>
      </c>
      <c r="R65" s="129"/>
      <c r="S65" s="129"/>
      <c r="T65" s="129"/>
      <c r="U65" s="129">
        <v>12.5</v>
      </c>
      <c r="V65" s="129"/>
      <c r="W65" s="129">
        <v>500</v>
      </c>
      <c r="X65" s="129">
        <v>12</v>
      </c>
      <c r="Y65" s="129"/>
      <c r="Z65" s="129"/>
      <c r="AA65" s="129"/>
      <c r="AB65" s="129"/>
      <c r="AC65" s="129"/>
      <c r="AD65" s="129"/>
      <c r="AE65" s="129"/>
      <c r="AF65" s="129"/>
      <c r="AG65" s="129"/>
      <c r="AH65" s="129"/>
      <c r="AI65" s="140"/>
      <c r="AJ65" s="140"/>
      <c r="AK65" s="140"/>
      <c r="AL65" s="129">
        <v>100</v>
      </c>
      <c r="AM65" s="129">
        <v>0.9</v>
      </c>
      <c r="AN65" s="129">
        <v>12.5</v>
      </c>
      <c r="AO65" s="129"/>
      <c r="AP65" s="129"/>
      <c r="AQ65" s="129"/>
      <c r="AR65" s="129"/>
      <c r="AS65" s="129">
        <v>3200</v>
      </c>
      <c r="AT65" s="129">
        <v>2500</v>
      </c>
      <c r="AU65" s="129"/>
      <c r="AV65" s="129">
        <v>162</v>
      </c>
      <c r="AW65" s="129"/>
      <c r="AX65" s="129"/>
      <c r="AY65" s="129"/>
      <c r="AZ65" s="129"/>
      <c r="BA65" s="129"/>
      <c r="BB65" s="140"/>
      <c r="BC65" s="129" t="s">
        <v>21</v>
      </c>
      <c r="BD65" s="129"/>
      <c r="BE65" s="140"/>
      <c r="BF65" s="140"/>
      <c r="BG65" s="140"/>
      <c r="BH65" s="140"/>
      <c r="BI65" s="140">
        <v>21.5</v>
      </c>
      <c r="BJ65" s="140">
        <v>94.7</v>
      </c>
      <c r="BK65" s="140">
        <v>14.1</v>
      </c>
      <c r="BL65" s="140"/>
      <c r="BM65" s="140"/>
      <c r="BN65" s="140">
        <v>0</v>
      </c>
      <c r="BO65" s="140">
        <v>131.9</v>
      </c>
      <c r="BP65" s="140">
        <v>87.733000000000004</v>
      </c>
      <c r="BQ65" s="140">
        <v>346.423</v>
      </c>
      <c r="BR65" s="148">
        <f t="shared" si="4"/>
        <v>3.6581098204857443</v>
      </c>
      <c r="BS65" s="140">
        <v>384.74799999999999</v>
      </c>
      <c r="BT65" s="140"/>
      <c r="BU65" s="149">
        <f t="shared" si="5"/>
        <v>27.287092198581561</v>
      </c>
      <c r="BV65" s="145">
        <v>93.335999999999999</v>
      </c>
      <c r="BW65" s="140"/>
      <c r="BX65" s="140"/>
      <c r="BY65" s="145">
        <f>SUM(BP65:BX65)</f>
        <v>943.18520201906733</v>
      </c>
      <c r="BZ65" s="140"/>
      <c r="CA65" s="140"/>
      <c r="CB65" s="140"/>
      <c r="CC65" s="140"/>
      <c r="CD65" s="140"/>
      <c r="CE65" s="140"/>
      <c r="CF65" s="140"/>
      <c r="CG65" s="140"/>
      <c r="CH65" s="140"/>
      <c r="CI65" s="140"/>
      <c r="CJ65" s="140"/>
      <c r="CK65" s="140"/>
      <c r="CL65" s="140"/>
      <c r="CM65" s="140"/>
      <c r="CN65" s="140"/>
    </row>
    <row r="66" spans="2:92" x14ac:dyDescent="0.25">
      <c r="B66" s="140" t="s">
        <v>173</v>
      </c>
      <c r="C66" s="167" t="s">
        <v>181</v>
      </c>
      <c r="D66" s="129">
        <v>2</v>
      </c>
      <c r="E66" s="140"/>
      <c r="F66" s="129" t="s">
        <v>21</v>
      </c>
      <c r="G66" s="129"/>
      <c r="H66" s="129"/>
      <c r="I66" s="129"/>
      <c r="J66" s="129"/>
      <c r="K66" s="129" t="s">
        <v>186</v>
      </c>
      <c r="L66" s="130"/>
      <c r="M66" s="129"/>
      <c r="N66" s="129" t="s">
        <v>181</v>
      </c>
      <c r="O66" s="143">
        <v>41091</v>
      </c>
      <c r="P66" s="165"/>
      <c r="Q66" s="129"/>
      <c r="R66" s="129"/>
      <c r="S66" s="129"/>
      <c r="T66" s="129"/>
      <c r="U66" s="129">
        <v>13.8</v>
      </c>
      <c r="V66" s="129"/>
      <c r="W66" s="129">
        <v>500</v>
      </c>
      <c r="X66" s="129">
        <v>12</v>
      </c>
      <c r="Y66" s="129"/>
      <c r="Z66" s="129"/>
      <c r="AA66" s="129"/>
      <c r="AB66" s="129"/>
      <c r="AC66" s="129"/>
      <c r="AD66" s="129"/>
      <c r="AE66" s="129"/>
      <c r="AF66" s="129"/>
      <c r="AG66" s="129"/>
      <c r="AH66" s="129"/>
      <c r="AI66" s="140"/>
      <c r="AJ66" s="140"/>
      <c r="AK66" s="140"/>
      <c r="AL66" s="129">
        <v>107</v>
      </c>
      <c r="AM66" s="129"/>
      <c r="AN66" s="129">
        <v>13.8</v>
      </c>
      <c r="AO66" s="129"/>
      <c r="AP66" s="129"/>
      <c r="AQ66" s="129"/>
      <c r="AR66" s="129"/>
      <c r="AS66" s="129">
        <v>3600</v>
      </c>
      <c r="AT66" s="129">
        <v>2100</v>
      </c>
      <c r="AU66" s="129"/>
      <c r="AV66" s="129"/>
      <c r="AW66" s="129"/>
      <c r="AX66" s="129"/>
      <c r="AY66" s="129"/>
      <c r="AZ66" s="129"/>
      <c r="BA66" s="129"/>
      <c r="BB66" s="140"/>
      <c r="BC66" s="129" t="s">
        <v>21</v>
      </c>
      <c r="BD66" s="129"/>
      <c r="BE66" s="140"/>
      <c r="BF66" s="140"/>
      <c r="BG66" s="140"/>
      <c r="BH66" s="140"/>
      <c r="BI66" s="140"/>
      <c r="BJ66" s="140"/>
      <c r="BK66" s="140"/>
      <c r="BL66" s="140"/>
      <c r="BM66" s="140"/>
      <c r="BN66" s="140"/>
      <c r="BO66" s="140">
        <v>134.69999999999999</v>
      </c>
      <c r="BP66" s="140"/>
      <c r="BQ66" s="140"/>
      <c r="BR66" s="148"/>
      <c r="BS66" s="140"/>
      <c r="BT66" s="140"/>
      <c r="BU66" s="149"/>
      <c r="BV66" s="145">
        <v>100</v>
      </c>
      <c r="BW66" s="140"/>
      <c r="BX66" s="140"/>
      <c r="BY66" s="145">
        <v>1034.7149999999999</v>
      </c>
      <c r="BZ66" s="140"/>
      <c r="CA66" s="140"/>
      <c r="CB66" s="140"/>
      <c r="CC66" s="140"/>
      <c r="CD66" s="140"/>
      <c r="CE66" s="140"/>
      <c r="CF66" s="140"/>
      <c r="CG66" s="140"/>
      <c r="CH66" s="140"/>
      <c r="CI66" s="140"/>
      <c r="CJ66" s="140"/>
      <c r="CK66" s="140"/>
      <c r="CL66" s="140"/>
      <c r="CM66" s="140"/>
      <c r="CN66" s="140"/>
    </row>
    <row r="67" spans="2:92" x14ac:dyDescent="0.25">
      <c r="B67" s="140" t="s">
        <v>174</v>
      </c>
      <c r="C67" s="167" t="s">
        <v>181</v>
      </c>
      <c r="D67" s="129">
        <v>2</v>
      </c>
      <c r="E67" s="140"/>
      <c r="F67" s="129" t="s">
        <v>64</v>
      </c>
      <c r="G67" s="129"/>
      <c r="H67" s="129"/>
      <c r="I67" s="129"/>
      <c r="J67" s="129"/>
      <c r="K67" s="129" t="s">
        <v>186</v>
      </c>
      <c r="L67" s="130"/>
      <c r="M67" s="129"/>
      <c r="N67" s="129" t="s">
        <v>181</v>
      </c>
      <c r="O67" s="143">
        <v>40330</v>
      </c>
      <c r="P67" s="165"/>
      <c r="Q67" s="129"/>
      <c r="R67" s="129"/>
      <c r="S67" s="129"/>
      <c r="T67" s="129"/>
      <c r="U67" s="129">
        <v>13.8</v>
      </c>
      <c r="V67" s="129"/>
      <c r="W67" s="129">
        <v>429</v>
      </c>
      <c r="X67" s="129">
        <v>14</v>
      </c>
      <c r="Y67" s="129"/>
      <c r="Z67" s="129"/>
      <c r="AA67" s="129"/>
      <c r="AB67" s="129"/>
      <c r="AC67" s="129"/>
      <c r="AD67" s="129"/>
      <c r="AE67" s="129"/>
      <c r="AF67" s="129"/>
      <c r="AG67" s="129"/>
      <c r="AH67" s="129"/>
      <c r="AI67" s="140"/>
      <c r="AJ67" s="140"/>
      <c r="AK67" s="140"/>
      <c r="AL67" s="129">
        <v>115</v>
      </c>
      <c r="AM67" s="129"/>
      <c r="AN67" s="129">
        <v>13.8</v>
      </c>
      <c r="AO67" s="129"/>
      <c r="AP67" s="129"/>
      <c r="AQ67" s="129"/>
      <c r="AR67" s="129"/>
      <c r="AS67" s="129">
        <v>4310</v>
      </c>
      <c r="AT67" s="129">
        <v>2200</v>
      </c>
      <c r="AU67" s="129"/>
      <c r="AV67" s="129">
        <v>180</v>
      </c>
      <c r="AW67" s="129"/>
      <c r="AX67" s="129"/>
      <c r="AY67" s="129"/>
      <c r="AZ67" s="129"/>
      <c r="BA67" s="129"/>
      <c r="BB67" s="140"/>
      <c r="BC67" s="129" t="s">
        <v>21</v>
      </c>
      <c r="BD67" s="129"/>
      <c r="BE67" s="140"/>
      <c r="BF67" s="140"/>
      <c r="BG67" s="140"/>
      <c r="BH67" s="140"/>
      <c r="BI67" s="140"/>
      <c r="BJ67" s="140"/>
      <c r="BK67" s="140"/>
      <c r="BL67" s="140"/>
      <c r="BM67" s="140"/>
      <c r="BN67" s="140"/>
      <c r="BO67" s="140">
        <v>152.19999999999999</v>
      </c>
      <c r="BP67" s="140"/>
      <c r="BQ67" s="140"/>
      <c r="BR67" s="148"/>
      <c r="BS67" s="140"/>
      <c r="BT67" s="140"/>
      <c r="BU67" s="149"/>
      <c r="BV67" s="145">
        <v>89.677999999999997</v>
      </c>
      <c r="BW67" s="140"/>
      <c r="BX67" s="140"/>
      <c r="BY67" s="145">
        <v>988.71699999999998</v>
      </c>
      <c r="BZ67" s="140"/>
      <c r="CA67" s="140"/>
      <c r="CB67" s="140"/>
      <c r="CC67" s="140"/>
      <c r="CD67" s="140"/>
      <c r="CE67" s="140"/>
      <c r="CF67" s="140"/>
      <c r="CG67" s="140"/>
      <c r="CH67" s="140"/>
      <c r="CI67" s="140"/>
      <c r="CJ67" s="140"/>
      <c r="CK67" s="140"/>
      <c r="CL67" s="140"/>
      <c r="CM67" s="140"/>
      <c r="CN67" s="140"/>
    </row>
    <row r="68" spans="2:92" x14ac:dyDescent="0.25">
      <c r="B68" s="140" t="s">
        <v>175</v>
      </c>
      <c r="C68" s="167" t="s">
        <v>181</v>
      </c>
      <c r="D68" s="129">
        <v>2</v>
      </c>
      <c r="E68" s="140"/>
      <c r="F68" s="129" t="s">
        <v>21</v>
      </c>
      <c r="G68" s="129"/>
      <c r="H68" s="129"/>
      <c r="I68" s="129"/>
      <c r="J68" s="129"/>
      <c r="K68" s="129" t="s">
        <v>186</v>
      </c>
      <c r="L68" s="130"/>
      <c r="M68" s="129"/>
      <c r="N68" s="129" t="s">
        <v>181</v>
      </c>
      <c r="O68" s="143">
        <v>40057</v>
      </c>
      <c r="P68" s="165"/>
      <c r="Q68" s="129"/>
      <c r="R68" s="129"/>
      <c r="S68" s="129"/>
      <c r="T68" s="129"/>
      <c r="U68" s="129">
        <v>16</v>
      </c>
      <c r="V68" s="129"/>
      <c r="W68" s="129">
        <v>300</v>
      </c>
      <c r="X68" s="129">
        <v>20</v>
      </c>
      <c r="Y68" s="129"/>
      <c r="Z68" s="129"/>
      <c r="AA68" s="129"/>
      <c r="AB68" s="129"/>
      <c r="AC68" s="129"/>
      <c r="AD68" s="129"/>
      <c r="AE68" s="129"/>
      <c r="AF68" s="129"/>
      <c r="AG68" s="129"/>
      <c r="AH68" s="129"/>
      <c r="AI68" s="140"/>
      <c r="AJ68" s="140"/>
      <c r="AK68" s="140"/>
      <c r="AL68" s="129">
        <v>160</v>
      </c>
      <c r="AM68" s="129"/>
      <c r="AN68" s="129">
        <v>16</v>
      </c>
      <c r="AO68" s="129"/>
      <c r="AP68" s="129"/>
      <c r="AQ68" s="129"/>
      <c r="AR68" s="129"/>
      <c r="AS68" s="129">
        <v>5340</v>
      </c>
      <c r="AT68" s="129">
        <v>2090</v>
      </c>
      <c r="AU68" s="129"/>
      <c r="AV68" s="129">
        <v>210</v>
      </c>
      <c r="AW68" s="129"/>
      <c r="AX68" s="129"/>
      <c r="AY68" s="129"/>
      <c r="AZ68" s="129"/>
      <c r="BA68" s="129"/>
      <c r="BB68" s="140"/>
      <c r="BC68" s="129" t="s">
        <v>21</v>
      </c>
      <c r="BD68" s="129"/>
      <c r="BE68" s="140"/>
      <c r="BF68" s="140"/>
      <c r="BG68" s="140"/>
      <c r="BH68" s="140"/>
      <c r="BI68" s="140"/>
      <c r="BJ68" s="140"/>
      <c r="BK68" s="140"/>
      <c r="BL68" s="140"/>
      <c r="BM68" s="140"/>
      <c r="BN68" s="140"/>
      <c r="BO68" s="145">
        <v>174.81600000000003</v>
      </c>
      <c r="BP68" s="140"/>
      <c r="BQ68" s="140"/>
      <c r="BR68" s="148"/>
      <c r="BS68" s="145"/>
      <c r="BT68" s="145"/>
      <c r="BU68" s="149"/>
      <c r="BV68" s="145">
        <v>112.642</v>
      </c>
      <c r="BW68" s="140"/>
      <c r="BX68" s="140"/>
      <c r="BY68" s="140">
        <v>1080.4449999999999</v>
      </c>
      <c r="BZ68" s="145"/>
      <c r="CA68" s="140"/>
      <c r="CB68" s="140"/>
      <c r="CC68" s="140"/>
      <c r="CD68" s="140"/>
      <c r="CE68" s="140"/>
      <c r="CF68" s="140"/>
      <c r="CG68" s="140"/>
      <c r="CH68" s="140"/>
      <c r="CI68" s="140"/>
      <c r="CJ68" s="140"/>
      <c r="CK68" s="140"/>
      <c r="CL68" s="140"/>
      <c r="CM68" s="140"/>
      <c r="CN68" s="140"/>
    </row>
    <row r="69" spans="2:92" x14ac:dyDescent="0.25">
      <c r="B69" s="140" t="s">
        <v>176</v>
      </c>
      <c r="C69" s="167" t="s">
        <v>181</v>
      </c>
      <c r="D69" s="129">
        <v>6</v>
      </c>
      <c r="E69" s="140"/>
      <c r="F69" s="129" t="s">
        <v>21</v>
      </c>
      <c r="G69" s="129"/>
      <c r="H69" s="129"/>
      <c r="I69" s="129"/>
      <c r="J69" s="129"/>
      <c r="K69" s="129" t="s">
        <v>185</v>
      </c>
      <c r="L69" s="130"/>
      <c r="M69" s="129"/>
      <c r="N69" s="129" t="s">
        <v>181</v>
      </c>
      <c r="O69" s="143">
        <v>41579</v>
      </c>
      <c r="P69" s="165"/>
      <c r="Q69" s="129"/>
      <c r="R69" s="129"/>
      <c r="S69" s="129"/>
      <c r="T69" s="129"/>
      <c r="U69" s="129">
        <v>15.75</v>
      </c>
      <c r="V69" s="129"/>
      <c r="W69" s="129">
        <v>375</v>
      </c>
      <c r="X69" s="129">
        <v>16</v>
      </c>
      <c r="Y69" s="129"/>
      <c r="Z69" s="129"/>
      <c r="AA69" s="129"/>
      <c r="AB69" s="129"/>
      <c r="AC69" s="129"/>
      <c r="AD69" s="129"/>
      <c r="AE69" s="129"/>
      <c r="AF69" s="129"/>
      <c r="AG69" s="129"/>
      <c r="AH69" s="129"/>
      <c r="AI69" s="140"/>
      <c r="AJ69" s="140"/>
      <c r="AK69" s="140"/>
      <c r="AL69" s="129">
        <v>220</v>
      </c>
      <c r="AM69" s="129"/>
      <c r="AN69" s="129">
        <v>15.75</v>
      </c>
      <c r="AO69" s="129"/>
      <c r="AP69" s="129"/>
      <c r="AQ69" s="129"/>
      <c r="AR69" s="129"/>
      <c r="AS69" s="129">
        <v>4662</v>
      </c>
      <c r="AT69" s="129">
        <v>3130</v>
      </c>
      <c r="AU69" s="129"/>
      <c r="AV69" s="129">
        <v>156</v>
      </c>
      <c r="AW69" s="129"/>
      <c r="AX69" s="129"/>
      <c r="AY69" s="129"/>
      <c r="AZ69" s="129"/>
      <c r="BA69" s="129"/>
      <c r="BB69" s="140"/>
      <c r="BC69" s="129" t="s">
        <v>21</v>
      </c>
      <c r="BD69" s="129"/>
      <c r="BE69" s="140"/>
      <c r="BF69" s="140"/>
      <c r="BG69" s="140"/>
      <c r="BH69" s="140"/>
      <c r="BI69" s="140"/>
      <c r="BJ69" s="140"/>
      <c r="BK69" s="140"/>
      <c r="BL69" s="140"/>
      <c r="BM69" s="140"/>
      <c r="BN69" s="140"/>
      <c r="BO69" s="145">
        <v>175.536</v>
      </c>
      <c r="BP69" s="140"/>
      <c r="BQ69" s="140"/>
      <c r="BR69" s="148"/>
      <c r="BS69" s="145"/>
      <c r="BT69" s="145"/>
      <c r="BU69" s="149"/>
      <c r="BV69" s="145">
        <v>122.489</v>
      </c>
      <c r="BW69" s="140"/>
      <c r="BX69" s="140"/>
      <c r="BY69" s="140">
        <v>1087.0450000000001</v>
      </c>
      <c r="BZ69" s="145"/>
      <c r="CA69" s="140"/>
      <c r="CB69" s="140"/>
      <c r="CC69" s="140"/>
      <c r="CD69" s="140"/>
      <c r="CE69" s="140"/>
      <c r="CF69" s="140"/>
      <c r="CG69" s="140"/>
      <c r="CH69" s="140"/>
      <c r="CI69" s="140"/>
      <c r="CJ69" s="140"/>
      <c r="CK69" s="140"/>
      <c r="CL69" s="140"/>
      <c r="CM69" s="140"/>
      <c r="CN69" s="140"/>
    </row>
    <row r="70" spans="2:92" x14ac:dyDescent="0.25">
      <c r="B70" s="140" t="s">
        <v>177</v>
      </c>
      <c r="C70" s="167" t="s">
        <v>181</v>
      </c>
      <c r="D70" s="129">
        <v>1</v>
      </c>
      <c r="E70" s="140"/>
      <c r="F70" s="129" t="s">
        <v>21</v>
      </c>
      <c r="G70" s="129"/>
      <c r="H70" s="129"/>
      <c r="I70" s="129"/>
      <c r="J70" s="129"/>
      <c r="K70" s="129" t="s">
        <v>186</v>
      </c>
      <c r="L70" s="130"/>
      <c r="M70" s="129"/>
      <c r="N70" s="129" t="s">
        <v>181</v>
      </c>
      <c r="O70" s="143">
        <v>41579</v>
      </c>
      <c r="P70" s="165"/>
      <c r="Q70" s="129"/>
      <c r="R70" s="129"/>
      <c r="S70" s="129"/>
      <c r="T70" s="129"/>
      <c r="U70" s="129">
        <v>15.75</v>
      </c>
      <c r="V70" s="129"/>
      <c r="W70" s="129">
        <v>375</v>
      </c>
      <c r="X70" s="129">
        <v>16</v>
      </c>
      <c r="Y70" s="129"/>
      <c r="Z70" s="129"/>
      <c r="AA70" s="129"/>
      <c r="AB70" s="129"/>
      <c r="AC70" s="129"/>
      <c r="AD70" s="129"/>
      <c r="AE70" s="129"/>
      <c r="AF70" s="129"/>
      <c r="AG70" s="129"/>
      <c r="AH70" s="129"/>
      <c r="AI70" s="140"/>
      <c r="AJ70" s="140"/>
      <c r="AK70" s="140"/>
      <c r="AL70" s="129">
        <v>265</v>
      </c>
      <c r="AM70" s="129"/>
      <c r="AN70" s="129">
        <v>15.75</v>
      </c>
      <c r="AO70" s="129"/>
      <c r="AP70" s="129"/>
      <c r="AQ70" s="129"/>
      <c r="AR70" s="129"/>
      <c r="AS70" s="129">
        <v>5202</v>
      </c>
      <c r="AT70" s="129">
        <v>2550</v>
      </c>
      <c r="AU70" s="129"/>
      <c r="AV70" s="129">
        <v>300</v>
      </c>
      <c r="AW70" s="129"/>
      <c r="AX70" s="129"/>
      <c r="AY70" s="129"/>
      <c r="AZ70" s="129"/>
      <c r="BA70" s="129"/>
      <c r="BB70" s="140"/>
      <c r="BC70" s="129" t="s">
        <v>21</v>
      </c>
      <c r="BD70" s="129"/>
      <c r="BE70" s="140"/>
      <c r="BF70" s="140"/>
      <c r="BG70" s="140"/>
      <c r="BH70" s="140"/>
      <c r="BI70" s="140"/>
      <c r="BJ70" s="140"/>
      <c r="BK70" s="140"/>
      <c r="BL70" s="140"/>
      <c r="BM70" s="140"/>
      <c r="BN70" s="140"/>
      <c r="BO70" s="145">
        <v>254.828</v>
      </c>
      <c r="BP70" s="140"/>
      <c r="BQ70" s="140"/>
      <c r="BR70" s="148"/>
      <c r="BS70" s="145"/>
      <c r="BT70" s="145"/>
      <c r="BU70" s="149"/>
      <c r="BV70" s="145">
        <v>56.863</v>
      </c>
      <c r="BW70" s="140"/>
      <c r="BX70" s="140"/>
      <c r="BY70" s="140">
        <v>1555.2250000000001</v>
      </c>
      <c r="BZ70" s="145"/>
      <c r="CA70" s="140"/>
      <c r="CB70" s="140"/>
      <c r="CC70" s="140"/>
      <c r="CD70" s="140"/>
      <c r="CE70" s="140"/>
      <c r="CF70" s="140"/>
      <c r="CG70" s="140"/>
      <c r="CH70" s="140"/>
      <c r="CI70" s="140"/>
      <c r="CJ70" s="140"/>
      <c r="CK70" s="140"/>
      <c r="CL70" s="140"/>
      <c r="CM70" s="140"/>
      <c r="CN70" s="140"/>
    </row>
    <row r="71" spans="2:92" x14ac:dyDescent="0.25">
      <c r="B71" s="140" t="s">
        <v>178</v>
      </c>
      <c r="C71" s="167" t="s">
        <v>181</v>
      </c>
      <c r="D71" s="129">
        <v>2</v>
      </c>
      <c r="E71" s="140"/>
      <c r="F71" s="129" t="s">
        <v>127</v>
      </c>
      <c r="G71" s="129"/>
      <c r="H71" s="129"/>
      <c r="I71" s="129"/>
      <c r="J71" s="129"/>
      <c r="K71" s="129" t="s">
        <v>186</v>
      </c>
      <c r="L71" s="130"/>
      <c r="M71" s="129"/>
      <c r="N71" s="129" t="s">
        <v>181</v>
      </c>
      <c r="O71" s="143">
        <v>41061</v>
      </c>
      <c r="P71" s="165"/>
      <c r="Q71" s="129"/>
      <c r="R71" s="129"/>
      <c r="S71" s="129"/>
      <c r="T71" s="129"/>
      <c r="U71" s="129">
        <v>5.3</v>
      </c>
      <c r="V71" s="129"/>
      <c r="W71" s="129">
        <v>150</v>
      </c>
      <c r="X71" s="129">
        <v>40</v>
      </c>
      <c r="Y71" s="129"/>
      <c r="Z71" s="129"/>
      <c r="AA71" s="129"/>
      <c r="AB71" s="129"/>
      <c r="AC71" s="129"/>
      <c r="AD71" s="129"/>
      <c r="AE71" s="129"/>
      <c r="AF71" s="129"/>
      <c r="AG71" s="129"/>
      <c r="AH71" s="129"/>
      <c r="AI71" s="140"/>
      <c r="AJ71" s="140"/>
      <c r="AK71" s="140"/>
      <c r="AL71" s="129">
        <v>9.6</v>
      </c>
      <c r="AM71" s="129"/>
      <c r="AN71" s="129">
        <v>5.3</v>
      </c>
      <c r="AO71" s="129"/>
      <c r="AP71" s="129"/>
      <c r="AQ71" s="129"/>
      <c r="AR71" s="129"/>
      <c r="AS71" s="129">
        <v>3500</v>
      </c>
      <c r="AT71" s="129">
        <v>900</v>
      </c>
      <c r="AU71" s="129"/>
      <c r="AV71" s="129">
        <v>288</v>
      </c>
      <c r="AW71" s="129"/>
      <c r="AX71" s="129"/>
      <c r="AY71" s="129"/>
      <c r="AZ71" s="129"/>
      <c r="BA71" s="129"/>
      <c r="BB71" s="140"/>
      <c r="BC71" s="129" t="s">
        <v>21</v>
      </c>
      <c r="BD71" s="129"/>
      <c r="BE71" s="140"/>
      <c r="BF71" s="140"/>
      <c r="BG71" s="140"/>
      <c r="BH71" s="140"/>
      <c r="BI71" s="140"/>
      <c r="BJ71" s="140"/>
      <c r="BK71" s="140"/>
      <c r="BL71" s="140"/>
      <c r="BM71" s="140"/>
      <c r="BN71" s="140"/>
      <c r="BO71" s="145">
        <v>43.052999999999997</v>
      </c>
      <c r="BP71" s="140"/>
      <c r="BQ71" s="140"/>
      <c r="BR71" s="148"/>
      <c r="BS71" s="145"/>
      <c r="BT71" s="145"/>
      <c r="BU71" s="149"/>
      <c r="BV71" s="145">
        <v>97.677000000000007</v>
      </c>
      <c r="BW71" s="140"/>
      <c r="BX71" s="140"/>
      <c r="BY71" s="140">
        <v>578.39</v>
      </c>
      <c r="BZ71" s="145"/>
      <c r="CA71" s="140"/>
      <c r="CB71" s="140"/>
      <c r="CC71" s="140"/>
      <c r="CD71" s="140"/>
      <c r="CE71" s="140"/>
      <c r="CF71" s="140"/>
      <c r="CG71" s="140"/>
      <c r="CH71" s="140"/>
      <c r="CI71" s="140"/>
      <c r="CJ71" s="140"/>
      <c r="CK71" s="140"/>
      <c r="CL71" s="140"/>
      <c r="CM71" s="140"/>
      <c r="CN71" s="140"/>
    </row>
    <row r="72" spans="2:92" x14ac:dyDescent="0.25">
      <c r="B72" s="140" t="s">
        <v>179</v>
      </c>
      <c r="C72" s="167" t="s">
        <v>181</v>
      </c>
      <c r="D72" s="129">
        <v>2</v>
      </c>
      <c r="E72" s="140"/>
      <c r="F72" s="129" t="s">
        <v>127</v>
      </c>
      <c r="G72" s="129"/>
      <c r="H72" s="129"/>
      <c r="I72" s="129"/>
      <c r="J72" s="129"/>
      <c r="K72" s="129" t="s">
        <v>186</v>
      </c>
      <c r="L72" s="130"/>
      <c r="M72" s="129"/>
      <c r="N72" s="129" t="s">
        <v>181</v>
      </c>
      <c r="O72" s="143">
        <v>40603</v>
      </c>
      <c r="P72" s="165"/>
      <c r="Q72" s="129"/>
      <c r="R72" s="129"/>
      <c r="S72" s="129"/>
      <c r="T72" s="129"/>
      <c r="U72" s="129">
        <v>6.3</v>
      </c>
      <c r="V72" s="129"/>
      <c r="W72" s="129">
        <v>115.4</v>
      </c>
      <c r="X72" s="129">
        <v>51.993067590987863</v>
      </c>
      <c r="Y72" s="129"/>
      <c r="Z72" s="129"/>
      <c r="AA72" s="129"/>
      <c r="AB72" s="129"/>
      <c r="AC72" s="129"/>
      <c r="AD72" s="129"/>
      <c r="AE72" s="129"/>
      <c r="AF72" s="129"/>
      <c r="AG72" s="129"/>
      <c r="AH72" s="129"/>
      <c r="AI72" s="140"/>
      <c r="AJ72" s="140"/>
      <c r="AK72" s="140"/>
      <c r="AL72" s="129">
        <v>13.75</v>
      </c>
      <c r="AM72" s="129"/>
      <c r="AN72" s="129">
        <v>6.3</v>
      </c>
      <c r="AO72" s="129"/>
      <c r="AP72" s="129"/>
      <c r="AQ72" s="129"/>
      <c r="AR72" s="129"/>
      <c r="AS72" s="129">
        <v>4680</v>
      </c>
      <c r="AT72" s="129">
        <v>1000</v>
      </c>
      <c r="AU72" s="129"/>
      <c r="AV72" s="129">
        <v>336</v>
      </c>
      <c r="AW72" s="129"/>
      <c r="AX72" s="129"/>
      <c r="AY72" s="129"/>
      <c r="AZ72" s="129"/>
      <c r="BA72" s="129"/>
      <c r="BB72" s="140"/>
      <c r="BC72" s="129" t="s">
        <v>21</v>
      </c>
      <c r="BD72" s="129"/>
      <c r="BE72" s="140"/>
      <c r="BF72" s="140"/>
      <c r="BG72" s="140"/>
      <c r="BH72" s="140"/>
      <c r="BI72" s="140"/>
      <c r="BJ72" s="140"/>
      <c r="BK72" s="140"/>
      <c r="BL72" s="140"/>
      <c r="BM72" s="140"/>
      <c r="BN72" s="140"/>
      <c r="BO72" s="145">
        <v>57.43</v>
      </c>
      <c r="BP72" s="140"/>
      <c r="BQ72" s="140"/>
      <c r="BR72" s="148"/>
      <c r="BS72" s="145"/>
      <c r="BT72" s="145"/>
      <c r="BU72" s="149"/>
      <c r="BV72" s="145">
        <v>57.143680000000003</v>
      </c>
      <c r="BW72" s="140"/>
      <c r="BX72" s="140"/>
      <c r="BY72" s="140">
        <v>588.90334000000007</v>
      </c>
      <c r="BZ72" s="145"/>
      <c r="CA72" s="140"/>
      <c r="CB72" s="140"/>
      <c r="CC72" s="140"/>
      <c r="CD72" s="140"/>
      <c r="CE72" s="140"/>
      <c r="CF72" s="140"/>
      <c r="CG72" s="140"/>
      <c r="CH72" s="140"/>
      <c r="CI72" s="140"/>
      <c r="CJ72" s="140"/>
      <c r="CK72" s="140"/>
      <c r="CL72" s="140"/>
      <c r="CM72" s="140"/>
      <c r="CN72" s="140"/>
    </row>
    <row r="73" spans="2:92" x14ac:dyDescent="0.25">
      <c r="B73" s="140" t="s">
        <v>254</v>
      </c>
      <c r="C73" s="167" t="s">
        <v>181</v>
      </c>
      <c r="D73" s="129">
        <v>1</v>
      </c>
      <c r="E73" s="140"/>
      <c r="F73" s="129" t="s">
        <v>21</v>
      </c>
      <c r="G73" s="129" t="s">
        <v>199</v>
      </c>
      <c r="H73" s="129" t="s">
        <v>43</v>
      </c>
      <c r="I73" s="129"/>
      <c r="J73" s="129"/>
      <c r="K73" s="129" t="s">
        <v>185</v>
      </c>
      <c r="L73" s="130" t="s">
        <v>185</v>
      </c>
      <c r="M73" s="129" t="s">
        <v>185</v>
      </c>
      <c r="N73" s="129" t="s">
        <v>181</v>
      </c>
      <c r="O73" s="143">
        <v>40969</v>
      </c>
      <c r="P73" s="165"/>
      <c r="Q73" s="129"/>
      <c r="R73" s="129"/>
      <c r="S73" s="129"/>
      <c r="T73" s="129"/>
      <c r="U73" s="129">
        <v>10.5</v>
      </c>
      <c r="V73" s="129"/>
      <c r="W73" s="129">
        <v>750</v>
      </c>
      <c r="X73" s="129">
        <v>8</v>
      </c>
      <c r="Y73" s="129"/>
      <c r="Z73" s="129"/>
      <c r="AA73" s="129"/>
      <c r="AB73" s="129"/>
      <c r="AC73" s="129"/>
      <c r="AD73" s="129"/>
      <c r="AE73" s="129"/>
      <c r="AF73" s="129"/>
      <c r="AG73" s="129"/>
      <c r="AH73" s="129"/>
      <c r="AI73" s="140"/>
      <c r="AJ73" s="140"/>
      <c r="AK73" s="140"/>
      <c r="AL73" s="129">
        <v>31</v>
      </c>
      <c r="AM73" s="129">
        <v>0.9</v>
      </c>
      <c r="AN73" s="129">
        <v>10.5</v>
      </c>
      <c r="AO73" s="129"/>
      <c r="AP73" s="129"/>
      <c r="AQ73" s="129"/>
      <c r="AR73" s="129"/>
      <c r="AS73" s="129">
        <v>2250</v>
      </c>
      <c r="AT73" s="129">
        <v>1180</v>
      </c>
      <c r="AU73" s="129"/>
      <c r="AV73" s="129">
        <v>132</v>
      </c>
      <c r="AW73" s="129"/>
      <c r="AX73" s="129"/>
      <c r="AY73" s="129"/>
      <c r="AZ73" s="129"/>
      <c r="BA73" s="129"/>
      <c r="BB73" s="140"/>
      <c r="BC73" s="129" t="s">
        <v>21</v>
      </c>
      <c r="BD73" s="129"/>
      <c r="BE73" s="140"/>
      <c r="BF73" s="140"/>
      <c r="BG73" s="140"/>
      <c r="BH73" s="140"/>
      <c r="BI73" s="140">
        <v>0</v>
      </c>
      <c r="BJ73" s="140">
        <v>0</v>
      </c>
      <c r="BK73" s="140">
        <v>4.7</v>
      </c>
      <c r="BL73" s="140"/>
      <c r="BM73" s="140"/>
      <c r="BN73" s="140">
        <f>BO73-BI73-BJ73-BK73</f>
        <v>0</v>
      </c>
      <c r="BO73" s="140">
        <v>4.7</v>
      </c>
      <c r="BP73" s="140">
        <v>0</v>
      </c>
      <c r="BQ73" s="140">
        <v>0</v>
      </c>
      <c r="BR73" s="148"/>
      <c r="BS73" s="140">
        <v>208.19900000000001</v>
      </c>
      <c r="BT73" s="140"/>
      <c r="BU73" s="149">
        <f t="shared" ref="BU73:BU77" si="18">(BS73+BT73)/(BK73+BL73)</f>
        <v>44.297659574468085</v>
      </c>
      <c r="BV73" s="145">
        <v>37.781999999999996</v>
      </c>
      <c r="BW73" s="140"/>
      <c r="BX73" s="140"/>
      <c r="BY73" s="140">
        <f>SUM(BP73:BX73)</f>
        <v>290.27865957446807</v>
      </c>
      <c r="BZ73" s="140"/>
      <c r="CA73" s="140"/>
      <c r="CB73" s="140"/>
      <c r="CC73" s="140"/>
      <c r="CD73" s="140"/>
      <c r="CE73" s="140"/>
      <c r="CF73" s="140"/>
      <c r="CG73" s="140"/>
      <c r="CH73" s="140"/>
      <c r="CI73" s="140"/>
      <c r="CJ73" s="140"/>
      <c r="CK73" s="140"/>
      <c r="CL73" s="140"/>
      <c r="CM73" s="140"/>
      <c r="CN73" s="140"/>
    </row>
    <row r="74" spans="2:92" x14ac:dyDescent="0.25">
      <c r="B74" s="140" t="s">
        <v>255</v>
      </c>
      <c r="C74" s="167" t="s">
        <v>181</v>
      </c>
      <c r="D74" s="129">
        <v>1</v>
      </c>
      <c r="E74" s="140"/>
      <c r="F74" s="129" t="s">
        <v>21</v>
      </c>
      <c r="G74" s="129"/>
      <c r="H74" s="129"/>
      <c r="I74" s="129"/>
      <c r="J74" s="129"/>
      <c r="K74" s="129" t="s">
        <v>185</v>
      </c>
      <c r="L74" s="130"/>
      <c r="M74" s="129"/>
      <c r="N74" s="129" t="s">
        <v>181</v>
      </c>
      <c r="O74" s="143">
        <v>40603</v>
      </c>
      <c r="P74" s="165"/>
      <c r="Q74" s="129"/>
      <c r="R74" s="129"/>
      <c r="S74" s="129"/>
      <c r="T74" s="129"/>
      <c r="U74" s="129">
        <v>10</v>
      </c>
      <c r="V74" s="129"/>
      <c r="W74" s="129">
        <v>214.3</v>
      </c>
      <c r="X74" s="129">
        <v>27.99813345776948</v>
      </c>
      <c r="Y74" s="129"/>
      <c r="Z74" s="129"/>
      <c r="AA74" s="129"/>
      <c r="AB74" s="129"/>
      <c r="AC74" s="129"/>
      <c r="AD74" s="129"/>
      <c r="AE74" s="129"/>
      <c r="AF74" s="129"/>
      <c r="AG74" s="129"/>
      <c r="AH74" s="129"/>
      <c r="AI74" s="140"/>
      <c r="AJ74" s="140"/>
      <c r="AK74" s="140"/>
      <c r="AL74" s="129">
        <v>42</v>
      </c>
      <c r="AM74" s="129"/>
      <c r="AN74" s="129">
        <v>10</v>
      </c>
      <c r="AO74" s="129"/>
      <c r="AP74" s="129"/>
      <c r="AQ74" s="129"/>
      <c r="AR74" s="129"/>
      <c r="AS74" s="129">
        <v>4200</v>
      </c>
      <c r="AT74" s="129">
        <v>1770</v>
      </c>
      <c r="AU74" s="129"/>
      <c r="AV74" s="129">
        <v>180</v>
      </c>
      <c r="AW74" s="129"/>
      <c r="AX74" s="129"/>
      <c r="AY74" s="129"/>
      <c r="AZ74" s="129"/>
      <c r="BA74" s="129"/>
      <c r="BB74" s="140"/>
      <c r="BC74" s="129" t="s">
        <v>21</v>
      </c>
      <c r="BD74" s="129"/>
      <c r="BE74" s="140"/>
      <c r="BF74" s="140"/>
      <c r="BG74" s="140"/>
      <c r="BH74" s="140"/>
      <c r="BI74" s="140"/>
      <c r="BJ74" s="140"/>
      <c r="BK74" s="140"/>
      <c r="BL74" s="140"/>
      <c r="BM74" s="140"/>
      <c r="BN74" s="140"/>
      <c r="BO74" s="145">
        <v>9.5</v>
      </c>
      <c r="BP74" s="140"/>
      <c r="BQ74" s="140"/>
      <c r="BR74" s="148"/>
      <c r="BS74" s="145"/>
      <c r="BT74" s="145"/>
      <c r="BU74" s="149"/>
      <c r="BV74" s="145">
        <v>44.658999999999999</v>
      </c>
      <c r="BW74" s="140"/>
      <c r="BX74" s="140"/>
      <c r="BY74" s="140">
        <v>376.23199999999997</v>
      </c>
      <c r="BZ74" s="145"/>
      <c r="CA74" s="140"/>
      <c r="CB74" s="140"/>
      <c r="CC74" s="140"/>
      <c r="CD74" s="140"/>
      <c r="CE74" s="140"/>
      <c r="CF74" s="140"/>
      <c r="CG74" s="140"/>
      <c r="CH74" s="140"/>
      <c r="CI74" s="140"/>
      <c r="CJ74" s="140"/>
      <c r="CK74" s="140"/>
      <c r="CL74" s="140"/>
      <c r="CM74" s="140"/>
      <c r="CN74" s="140"/>
    </row>
    <row r="75" spans="2:92" x14ac:dyDescent="0.25">
      <c r="B75" s="140" t="s">
        <v>256</v>
      </c>
      <c r="C75" s="167" t="s">
        <v>181</v>
      </c>
      <c r="D75" s="129">
        <v>4</v>
      </c>
      <c r="E75" s="140"/>
      <c r="F75" s="129" t="s">
        <v>21</v>
      </c>
      <c r="G75" s="129" t="s">
        <v>199</v>
      </c>
      <c r="H75" s="129" t="s">
        <v>43</v>
      </c>
      <c r="I75" s="129"/>
      <c r="J75" s="129"/>
      <c r="K75" s="129" t="s">
        <v>185</v>
      </c>
      <c r="L75" s="130" t="s">
        <v>185</v>
      </c>
      <c r="M75" s="129" t="s">
        <v>186</v>
      </c>
      <c r="N75" s="129" t="s">
        <v>181</v>
      </c>
      <c r="O75" s="143">
        <v>41244</v>
      </c>
      <c r="P75" s="165"/>
      <c r="Q75" s="129"/>
      <c r="R75" s="129"/>
      <c r="S75" s="129"/>
      <c r="T75" s="129"/>
      <c r="U75" s="129">
        <v>10.25</v>
      </c>
      <c r="V75" s="129"/>
      <c r="W75" s="129">
        <v>750</v>
      </c>
      <c r="X75" s="129">
        <v>8</v>
      </c>
      <c r="Y75" s="129"/>
      <c r="Z75" s="129"/>
      <c r="AA75" s="129"/>
      <c r="AB75" s="129"/>
      <c r="AC75" s="129"/>
      <c r="AD75" s="129"/>
      <c r="AE75" s="129"/>
      <c r="AF75" s="129"/>
      <c r="AG75" s="129"/>
      <c r="AH75" s="129"/>
      <c r="AI75" s="140"/>
      <c r="AJ75" s="140"/>
      <c r="AK75" s="140"/>
      <c r="AL75" s="129">
        <v>65</v>
      </c>
      <c r="AM75" s="129">
        <v>0.9</v>
      </c>
      <c r="AN75" s="129">
        <v>10.25</v>
      </c>
      <c r="AO75" s="129"/>
      <c r="AP75" s="129"/>
      <c r="AQ75" s="129"/>
      <c r="AR75" s="129"/>
      <c r="AS75" s="129">
        <v>2500</v>
      </c>
      <c r="AT75" s="129">
        <v>2000</v>
      </c>
      <c r="AU75" s="129"/>
      <c r="AV75" s="129">
        <v>132</v>
      </c>
      <c r="AW75" s="129"/>
      <c r="AX75" s="129"/>
      <c r="AY75" s="129"/>
      <c r="AZ75" s="129"/>
      <c r="BA75" s="129"/>
      <c r="BB75" s="140"/>
      <c r="BC75" s="129" t="s">
        <v>21</v>
      </c>
      <c r="BD75" s="129"/>
      <c r="BE75" s="140"/>
      <c r="BF75" s="140"/>
      <c r="BG75" s="140"/>
      <c r="BH75" s="140"/>
      <c r="BI75" s="140">
        <v>0</v>
      </c>
      <c r="BJ75" s="140">
        <v>0</v>
      </c>
      <c r="BK75" s="140">
        <v>5.94</v>
      </c>
      <c r="BL75" s="140"/>
      <c r="BM75" s="140"/>
      <c r="BN75" s="140">
        <f>BO75-BI75-BJ75-BK75</f>
        <v>0</v>
      </c>
      <c r="BO75" s="140">
        <v>5.94</v>
      </c>
      <c r="BP75" s="140">
        <v>0</v>
      </c>
      <c r="BQ75" s="140">
        <v>0</v>
      </c>
      <c r="BR75" s="148"/>
      <c r="BS75" s="140">
        <v>238.57599999999999</v>
      </c>
      <c r="BT75" s="140"/>
      <c r="BU75" s="149">
        <f t="shared" si="18"/>
        <v>40.164309764309763</v>
      </c>
      <c r="BV75" s="145">
        <v>63.9</v>
      </c>
      <c r="BW75" s="140"/>
      <c r="BX75" s="140"/>
      <c r="BY75" s="140">
        <f>SUM(BP75:BX75)</f>
        <v>342.64030976430973</v>
      </c>
      <c r="BZ75" s="140"/>
      <c r="CA75" s="140"/>
      <c r="CB75" s="140"/>
      <c r="CC75" s="140"/>
      <c r="CD75" s="140"/>
      <c r="CE75" s="140"/>
      <c r="CF75" s="140"/>
      <c r="CG75" s="140"/>
      <c r="CH75" s="140"/>
      <c r="CI75" s="140"/>
      <c r="CJ75" s="140"/>
      <c r="CK75" s="140"/>
      <c r="CL75" s="140"/>
      <c r="CM75" s="140"/>
      <c r="CN75" s="140"/>
    </row>
    <row r="76" spans="2:92" x14ac:dyDescent="0.25">
      <c r="B76" s="140" t="s">
        <v>257</v>
      </c>
      <c r="C76" s="167" t="s">
        <v>181</v>
      </c>
      <c r="D76" s="129">
        <v>1</v>
      </c>
      <c r="E76" s="140"/>
      <c r="F76" s="129" t="s">
        <v>21</v>
      </c>
      <c r="G76" s="129"/>
      <c r="H76" s="129"/>
      <c r="I76" s="129"/>
      <c r="J76" s="129"/>
      <c r="K76" s="129" t="s">
        <v>185</v>
      </c>
      <c r="L76" s="130"/>
      <c r="M76" s="129"/>
      <c r="N76" s="129" t="s">
        <v>181</v>
      </c>
      <c r="O76" s="143">
        <v>41334</v>
      </c>
      <c r="P76" s="165"/>
      <c r="Q76" s="129"/>
      <c r="R76" s="129"/>
      <c r="S76" s="129"/>
      <c r="T76" s="129"/>
      <c r="U76" s="129">
        <v>10.5</v>
      </c>
      <c r="V76" s="129"/>
      <c r="W76" s="129">
        <v>375</v>
      </c>
      <c r="X76" s="129">
        <v>16</v>
      </c>
      <c r="Y76" s="129"/>
      <c r="Z76" s="129"/>
      <c r="AA76" s="129"/>
      <c r="AB76" s="129"/>
      <c r="AC76" s="129"/>
      <c r="AD76" s="129"/>
      <c r="AE76" s="129"/>
      <c r="AF76" s="129"/>
      <c r="AG76" s="129"/>
      <c r="AH76" s="129"/>
      <c r="AI76" s="140"/>
      <c r="AJ76" s="140"/>
      <c r="AK76" s="140"/>
      <c r="AL76" s="129">
        <v>70</v>
      </c>
      <c r="AM76" s="129"/>
      <c r="AN76" s="129">
        <v>10.5</v>
      </c>
      <c r="AO76" s="129"/>
      <c r="AP76" s="129"/>
      <c r="AQ76" s="129"/>
      <c r="AR76" s="129"/>
      <c r="AS76" s="129">
        <v>3400</v>
      </c>
      <c r="AT76" s="129">
        <v>2000</v>
      </c>
      <c r="AU76" s="129"/>
      <c r="AV76" s="129">
        <v>210</v>
      </c>
      <c r="AW76" s="129"/>
      <c r="AX76" s="129"/>
      <c r="AY76" s="129"/>
      <c r="AZ76" s="129"/>
      <c r="BA76" s="129"/>
      <c r="BB76" s="140"/>
      <c r="BC76" s="129" t="s">
        <v>21</v>
      </c>
      <c r="BD76" s="129"/>
      <c r="BE76" s="140"/>
      <c r="BF76" s="140"/>
      <c r="BG76" s="140"/>
      <c r="BH76" s="140"/>
      <c r="BI76" s="140"/>
      <c r="BJ76" s="140"/>
      <c r="BK76" s="140"/>
      <c r="BL76" s="140"/>
      <c r="BM76" s="140"/>
      <c r="BN76" s="140"/>
      <c r="BO76" s="145">
        <v>9.5239999999999991</v>
      </c>
      <c r="BP76" s="140"/>
      <c r="BQ76" s="140"/>
      <c r="BR76" s="148"/>
      <c r="BS76" s="145"/>
      <c r="BT76" s="145"/>
      <c r="BU76" s="149"/>
      <c r="BV76" s="145">
        <v>29.67</v>
      </c>
      <c r="BW76" s="140"/>
      <c r="BX76" s="140"/>
      <c r="BY76" s="140">
        <v>402.416</v>
      </c>
      <c r="BZ76" s="145"/>
      <c r="CA76" s="140"/>
      <c r="CB76" s="140"/>
      <c r="CC76" s="140"/>
      <c r="CD76" s="140"/>
      <c r="CE76" s="140"/>
      <c r="CF76" s="140"/>
      <c r="CG76" s="140"/>
      <c r="CH76" s="140"/>
      <c r="CI76" s="140"/>
      <c r="CJ76" s="140"/>
      <c r="CK76" s="140"/>
      <c r="CL76" s="140"/>
      <c r="CM76" s="140"/>
      <c r="CN76" s="140"/>
    </row>
    <row r="77" spans="2:92" x14ac:dyDescent="0.25">
      <c r="B77" s="140" t="s">
        <v>137</v>
      </c>
      <c r="C77" s="167" t="s">
        <v>181</v>
      </c>
      <c r="D77" s="129">
        <v>1</v>
      </c>
      <c r="E77" s="140"/>
      <c r="F77" s="129" t="s">
        <v>21</v>
      </c>
      <c r="G77" s="129" t="s">
        <v>199</v>
      </c>
      <c r="H77" s="129" t="s">
        <v>43</v>
      </c>
      <c r="I77" s="129"/>
      <c r="J77" s="129"/>
      <c r="K77" s="129" t="s">
        <v>186</v>
      </c>
      <c r="L77" s="130" t="s">
        <v>185</v>
      </c>
      <c r="M77" s="129" t="s">
        <v>185</v>
      </c>
      <c r="N77" s="129" t="s">
        <v>181</v>
      </c>
      <c r="O77" s="143">
        <v>40878</v>
      </c>
      <c r="P77" s="165"/>
      <c r="Q77" s="129"/>
      <c r="R77" s="129"/>
      <c r="S77" s="129"/>
      <c r="T77" s="129"/>
      <c r="U77" s="129">
        <v>10.5</v>
      </c>
      <c r="V77" s="129"/>
      <c r="W77" s="129">
        <v>115.4</v>
      </c>
      <c r="X77" s="129">
        <v>52</v>
      </c>
      <c r="Y77" s="129"/>
      <c r="Z77" s="129"/>
      <c r="AA77" s="129"/>
      <c r="AB77" s="129"/>
      <c r="AC77" s="129"/>
      <c r="AD77" s="129"/>
      <c r="AE77" s="129"/>
      <c r="AF77" s="129"/>
      <c r="AG77" s="129"/>
      <c r="AH77" s="129"/>
      <c r="AI77" s="140"/>
      <c r="AJ77" s="140"/>
      <c r="AK77" s="140"/>
      <c r="AL77" s="129">
        <v>50</v>
      </c>
      <c r="AM77" s="129">
        <v>0.8</v>
      </c>
      <c r="AN77" s="129">
        <v>10.5</v>
      </c>
      <c r="AO77" s="129"/>
      <c r="AP77" s="129"/>
      <c r="AQ77" s="129"/>
      <c r="AR77" s="129"/>
      <c r="AS77" s="129">
        <v>7700</v>
      </c>
      <c r="AT77" s="129">
        <v>1320</v>
      </c>
      <c r="AU77" s="129"/>
      <c r="AV77" s="129">
        <v>516</v>
      </c>
      <c r="AW77" s="129"/>
      <c r="AX77" s="129"/>
      <c r="AY77" s="129"/>
      <c r="AZ77" s="129"/>
      <c r="BA77" s="129"/>
      <c r="BB77" s="140"/>
      <c r="BC77" s="129" t="s">
        <v>21</v>
      </c>
      <c r="BD77" s="129"/>
      <c r="BE77" s="140"/>
      <c r="BF77" s="140"/>
      <c r="BG77" s="140"/>
      <c r="BH77" s="140"/>
      <c r="BI77" s="140">
        <v>32.200000000000003</v>
      </c>
      <c r="BJ77" s="140">
        <v>55.4</v>
      </c>
      <c r="BK77" s="140">
        <v>15.1</v>
      </c>
      <c r="BL77" s="140"/>
      <c r="BM77" s="140"/>
      <c r="BN77" s="140">
        <f t="shared" si="17"/>
        <v>5.0000000000000018</v>
      </c>
      <c r="BO77" s="140">
        <v>107.7</v>
      </c>
      <c r="BP77" s="140">
        <v>170</v>
      </c>
      <c r="BQ77" s="140">
        <v>270</v>
      </c>
      <c r="BR77" s="148">
        <f t="shared" ref="BR77" si="19">BQ77/BJ77</f>
        <v>4.8736462093862816</v>
      </c>
      <c r="BS77" s="140">
        <v>630</v>
      </c>
      <c r="BT77" s="140"/>
      <c r="BU77" s="149">
        <f t="shared" si="18"/>
        <v>41.721854304635762</v>
      </c>
      <c r="BV77" s="145">
        <v>0</v>
      </c>
      <c r="BW77" s="140"/>
      <c r="BX77" s="140"/>
      <c r="BY77" s="140"/>
      <c r="BZ77" s="140"/>
      <c r="CA77" s="140"/>
      <c r="CB77" s="140"/>
      <c r="CC77" s="140"/>
      <c r="CD77" s="140"/>
      <c r="CE77" s="140"/>
      <c r="CF77" s="140"/>
      <c r="CG77" s="140"/>
      <c r="CH77" s="140"/>
      <c r="CI77" s="140"/>
      <c r="CJ77" s="140"/>
      <c r="CK77" s="140"/>
      <c r="CL77" s="140"/>
      <c r="CM77" s="140"/>
      <c r="CN77" s="140"/>
    </row>
    <row r="78" spans="2:92" x14ac:dyDescent="0.25">
      <c r="B78" s="140" t="s">
        <v>217</v>
      </c>
      <c r="C78" s="140" t="s">
        <v>216</v>
      </c>
      <c r="D78" s="129">
        <v>1</v>
      </c>
      <c r="E78" s="140"/>
      <c r="F78" s="129"/>
      <c r="G78" s="171" t="s">
        <v>229</v>
      </c>
      <c r="H78" s="171" t="s">
        <v>232</v>
      </c>
      <c r="I78" s="129"/>
      <c r="J78" s="129"/>
      <c r="K78" s="129"/>
      <c r="L78" s="130"/>
      <c r="M78" s="129"/>
      <c r="N78" s="129" t="s">
        <v>234</v>
      </c>
      <c r="O78" s="143">
        <v>40269</v>
      </c>
      <c r="P78" s="165"/>
      <c r="Q78" s="129"/>
      <c r="R78" s="129"/>
      <c r="S78" s="129"/>
      <c r="T78" s="129"/>
      <c r="U78" s="129">
        <v>4.16</v>
      </c>
      <c r="V78" s="129"/>
      <c r="W78" s="129">
        <v>600</v>
      </c>
      <c r="X78" s="129">
        <v>12</v>
      </c>
      <c r="Y78" s="129"/>
      <c r="Z78" s="129"/>
      <c r="AA78" s="129"/>
      <c r="AB78" s="129"/>
      <c r="AC78" s="129"/>
      <c r="AD78" s="129"/>
      <c r="AE78" s="129"/>
      <c r="AF78" s="129"/>
      <c r="AG78" s="129"/>
      <c r="AH78" s="129"/>
      <c r="AI78" s="140"/>
      <c r="AJ78" s="140"/>
      <c r="AK78" s="140"/>
      <c r="AL78" s="129">
        <v>11.04</v>
      </c>
      <c r="AM78" s="129">
        <v>0.9</v>
      </c>
      <c r="AN78" s="129">
        <v>4.16</v>
      </c>
      <c r="AO78" s="129"/>
      <c r="AP78" s="129"/>
      <c r="AQ78" s="129"/>
      <c r="AR78" s="129"/>
      <c r="AS78" s="129">
        <v>1980</v>
      </c>
      <c r="AT78" s="129">
        <v>730</v>
      </c>
      <c r="AU78" s="129"/>
      <c r="AV78" s="129">
        <v>126</v>
      </c>
      <c r="AW78" s="129"/>
      <c r="AX78" s="129"/>
      <c r="AY78" s="129"/>
      <c r="AZ78" s="129"/>
      <c r="BA78" s="129"/>
      <c r="BB78" s="140"/>
      <c r="BC78" s="129" t="s">
        <v>210</v>
      </c>
      <c r="BD78" s="129"/>
      <c r="BE78" s="140"/>
      <c r="BF78" s="140"/>
      <c r="BG78" s="140"/>
      <c r="BH78" s="140"/>
      <c r="BI78" s="140"/>
      <c r="BJ78" s="140">
        <v>11.4</v>
      </c>
      <c r="BK78" s="140">
        <v>1.9</v>
      </c>
      <c r="BL78" s="140"/>
      <c r="BM78" s="140"/>
      <c r="BN78" s="140"/>
      <c r="BO78" s="140">
        <f>SUM(BI78:BN78)</f>
        <v>13.3</v>
      </c>
      <c r="BP78" s="140"/>
      <c r="BQ78" s="140"/>
      <c r="BR78" s="140"/>
      <c r="BS78" s="140"/>
      <c r="BT78" s="140"/>
      <c r="BU78" s="140"/>
      <c r="BV78" s="140"/>
      <c r="BW78" s="140"/>
      <c r="BX78" s="140"/>
      <c r="BY78" s="140"/>
      <c r="BZ78" s="140"/>
      <c r="CA78" s="140"/>
      <c r="CB78" s="140"/>
      <c r="CC78" s="140"/>
      <c r="CD78" s="140"/>
      <c r="CE78" s="140"/>
      <c r="CF78" s="140"/>
      <c r="CG78" s="140"/>
      <c r="CH78" s="140"/>
      <c r="CI78" s="140"/>
      <c r="CJ78" s="140"/>
      <c r="CK78" s="140"/>
      <c r="CL78" s="140"/>
      <c r="CM78" s="140"/>
      <c r="CN78" s="140"/>
    </row>
    <row r="79" spans="2:92" x14ac:dyDescent="0.25">
      <c r="B79" s="140" t="s">
        <v>218</v>
      </c>
      <c r="C79" s="140" t="s">
        <v>216</v>
      </c>
      <c r="D79" s="129">
        <v>1</v>
      </c>
      <c r="E79" s="140"/>
      <c r="F79" s="129"/>
      <c r="G79" s="171" t="s">
        <v>229</v>
      </c>
      <c r="H79" s="171" t="s">
        <v>232</v>
      </c>
      <c r="I79" s="129"/>
      <c r="J79" s="129"/>
      <c r="K79" s="129"/>
      <c r="L79" s="130"/>
      <c r="M79" s="129"/>
      <c r="N79" s="129" t="s">
        <v>234</v>
      </c>
      <c r="O79" s="143">
        <v>40269</v>
      </c>
      <c r="P79" s="165"/>
      <c r="Q79" s="129"/>
      <c r="R79" s="129"/>
      <c r="S79" s="129"/>
      <c r="T79" s="129"/>
      <c r="U79" s="129">
        <v>4.16</v>
      </c>
      <c r="V79" s="129"/>
      <c r="W79" s="129">
        <v>450</v>
      </c>
      <c r="X79" s="129">
        <v>16</v>
      </c>
      <c r="Y79" s="129"/>
      <c r="Z79" s="129"/>
      <c r="AA79" s="129"/>
      <c r="AB79" s="129"/>
      <c r="AC79" s="129"/>
      <c r="AD79" s="129"/>
      <c r="AE79" s="129"/>
      <c r="AF79" s="129"/>
      <c r="AG79" s="129"/>
      <c r="AH79" s="129"/>
      <c r="AI79" s="140"/>
      <c r="AJ79" s="140"/>
      <c r="AK79" s="140"/>
      <c r="AL79" s="129">
        <v>6.21</v>
      </c>
      <c r="AM79" s="129">
        <v>0.9</v>
      </c>
      <c r="AN79" s="129">
        <v>4.16</v>
      </c>
      <c r="AO79" s="129"/>
      <c r="AP79" s="129"/>
      <c r="AQ79" s="129"/>
      <c r="AR79" s="129"/>
      <c r="AS79" s="129">
        <v>2120</v>
      </c>
      <c r="AT79" s="129">
        <v>505</v>
      </c>
      <c r="AU79" s="129"/>
      <c r="AV79" s="129">
        <v>114</v>
      </c>
      <c r="AW79" s="129"/>
      <c r="AX79" s="129"/>
      <c r="AY79" s="129"/>
      <c r="AZ79" s="129"/>
      <c r="BA79" s="129"/>
      <c r="BB79" s="140"/>
      <c r="BC79" s="129" t="s">
        <v>210</v>
      </c>
      <c r="BD79" s="129"/>
      <c r="BE79" s="140"/>
      <c r="BF79" s="140"/>
      <c r="BG79" s="140"/>
      <c r="BH79" s="140"/>
      <c r="BI79" s="140"/>
      <c r="BJ79" s="140">
        <v>7.3</v>
      </c>
      <c r="BK79" s="140">
        <v>1.65</v>
      </c>
      <c r="BL79" s="140"/>
      <c r="BM79" s="140"/>
      <c r="BN79" s="140"/>
      <c r="BO79" s="140">
        <f t="shared" ref="BO79:BO89" si="20">SUM(BI79:BN79)</f>
        <v>8.9499999999999993</v>
      </c>
      <c r="BP79" s="140"/>
      <c r="BQ79" s="140"/>
      <c r="BR79" s="140"/>
      <c r="BS79" s="140"/>
      <c r="BT79" s="145"/>
      <c r="BU79" s="145"/>
      <c r="BV79" s="145"/>
      <c r="BW79" s="145"/>
      <c r="BX79" s="140"/>
      <c r="BY79" s="140"/>
      <c r="BZ79" s="140"/>
      <c r="CA79" s="140"/>
      <c r="CB79" s="140"/>
      <c r="CC79" s="140"/>
      <c r="CD79" s="140"/>
      <c r="CE79" s="140"/>
      <c r="CF79" s="140"/>
      <c r="CG79" s="140"/>
      <c r="CH79" s="140"/>
      <c r="CI79" s="140"/>
      <c r="CJ79" s="140"/>
      <c r="CK79" s="140"/>
      <c r="CL79" s="140"/>
      <c r="CM79" s="140"/>
      <c r="CN79" s="140"/>
    </row>
    <row r="80" spans="2:92" x14ac:dyDescent="0.25">
      <c r="B80" s="140" t="s">
        <v>219</v>
      </c>
      <c r="C80" s="140" t="s">
        <v>216</v>
      </c>
      <c r="D80" s="129">
        <v>1</v>
      </c>
      <c r="E80" s="140"/>
      <c r="F80" s="129"/>
      <c r="G80" s="171" t="s">
        <v>230</v>
      </c>
      <c r="H80" s="171" t="s">
        <v>233</v>
      </c>
      <c r="I80" s="129"/>
      <c r="J80" s="129"/>
      <c r="K80" s="129"/>
      <c r="L80" s="130"/>
      <c r="M80" s="129"/>
      <c r="N80" s="129" t="s">
        <v>234</v>
      </c>
      <c r="O80" s="143">
        <v>40299</v>
      </c>
      <c r="P80" s="165"/>
      <c r="Q80" s="129"/>
      <c r="R80" s="129"/>
      <c r="S80" s="129"/>
      <c r="T80" s="129"/>
      <c r="U80" s="129">
        <v>6</v>
      </c>
      <c r="V80" s="129"/>
      <c r="W80" s="129">
        <v>375</v>
      </c>
      <c r="X80" s="129">
        <v>16</v>
      </c>
      <c r="Y80" s="129"/>
      <c r="Z80" s="129"/>
      <c r="AA80" s="129"/>
      <c r="AB80" s="129"/>
      <c r="AC80" s="129"/>
      <c r="AD80" s="129"/>
      <c r="AE80" s="129"/>
      <c r="AF80" s="129"/>
      <c r="AG80" s="129"/>
      <c r="AH80" s="129"/>
      <c r="AI80" s="140"/>
      <c r="AJ80" s="140"/>
      <c r="AK80" s="140"/>
      <c r="AL80" s="129">
        <v>14</v>
      </c>
      <c r="AM80" s="129">
        <v>0.8</v>
      </c>
      <c r="AN80" s="129">
        <v>6</v>
      </c>
      <c r="AO80" s="129"/>
      <c r="AP80" s="129"/>
      <c r="AQ80" s="129"/>
      <c r="AR80" s="129"/>
      <c r="AS80" s="129">
        <v>3000</v>
      </c>
      <c r="AT80" s="129">
        <v>800</v>
      </c>
      <c r="AU80" s="129"/>
      <c r="AV80" s="129">
        <v>240</v>
      </c>
      <c r="AW80" s="129"/>
      <c r="AX80" s="129"/>
      <c r="AY80" s="129"/>
      <c r="AZ80" s="129"/>
      <c r="BA80" s="129"/>
      <c r="BB80" s="140"/>
      <c r="BC80" s="129" t="s">
        <v>182</v>
      </c>
      <c r="BD80" s="129"/>
      <c r="BE80" s="140"/>
      <c r="BF80" s="140"/>
      <c r="BG80" s="140"/>
      <c r="BH80" s="140"/>
      <c r="BI80" s="140"/>
      <c r="BJ80" s="140">
        <v>20.2</v>
      </c>
      <c r="BK80" s="140">
        <v>3.9</v>
      </c>
      <c r="BL80" s="140"/>
      <c r="BM80" s="140"/>
      <c r="BN80" s="140"/>
      <c r="BO80" s="140">
        <f t="shared" si="20"/>
        <v>24.099999999999998</v>
      </c>
      <c r="BP80" s="140"/>
      <c r="BQ80" s="140"/>
      <c r="BR80" s="140"/>
      <c r="BS80" s="140"/>
      <c r="BT80" s="145"/>
      <c r="BU80" s="145"/>
      <c r="BV80" s="145"/>
      <c r="BW80" s="145"/>
      <c r="BX80" s="140"/>
      <c r="BY80" s="140"/>
      <c r="BZ80" s="140"/>
      <c r="CA80" s="140"/>
      <c r="CB80" s="140"/>
      <c r="CC80" s="140"/>
      <c r="CD80" s="140"/>
      <c r="CE80" s="140"/>
      <c r="CF80" s="140"/>
      <c r="CG80" s="140"/>
      <c r="CH80" s="140"/>
      <c r="CI80" s="140"/>
      <c r="CJ80" s="140"/>
      <c r="CK80" s="140"/>
      <c r="CL80" s="140"/>
      <c r="CM80" s="140"/>
      <c r="CN80" s="140"/>
    </row>
    <row r="81" spans="2:92" x14ac:dyDescent="0.25">
      <c r="B81" s="140" t="s">
        <v>220</v>
      </c>
      <c r="C81" s="140" t="s">
        <v>216</v>
      </c>
      <c r="D81" s="129">
        <v>1</v>
      </c>
      <c r="E81" s="140"/>
      <c r="F81" s="129"/>
      <c r="G81" s="171" t="s">
        <v>231</v>
      </c>
      <c r="H81" s="171" t="s">
        <v>233</v>
      </c>
      <c r="I81" s="129"/>
      <c r="J81" s="129"/>
      <c r="K81" s="129"/>
      <c r="L81" s="130"/>
      <c r="M81" s="129"/>
      <c r="N81" s="129" t="s">
        <v>234</v>
      </c>
      <c r="O81" s="143">
        <v>40483</v>
      </c>
      <c r="P81" s="165"/>
      <c r="Q81" s="129"/>
      <c r="R81" s="129"/>
      <c r="S81" s="129"/>
      <c r="T81" s="129"/>
      <c r="U81" s="129">
        <v>11</v>
      </c>
      <c r="V81" s="129"/>
      <c r="W81" s="129">
        <v>214</v>
      </c>
      <c r="X81" s="129">
        <v>28</v>
      </c>
      <c r="Y81" s="129"/>
      <c r="Z81" s="129"/>
      <c r="AA81" s="129"/>
      <c r="AB81" s="129"/>
      <c r="AC81" s="129"/>
      <c r="AD81" s="129"/>
      <c r="AE81" s="129"/>
      <c r="AF81" s="129"/>
      <c r="AG81" s="129"/>
      <c r="AH81" s="129"/>
      <c r="AI81" s="140"/>
      <c r="AJ81" s="140"/>
      <c r="AK81" s="140"/>
      <c r="AL81" s="129">
        <v>110</v>
      </c>
      <c r="AM81" s="129">
        <v>0.95</v>
      </c>
      <c r="AN81" s="129">
        <v>11</v>
      </c>
      <c r="AO81" s="129"/>
      <c r="AP81" s="129"/>
      <c r="AQ81" s="129"/>
      <c r="AR81" s="129"/>
      <c r="AS81" s="129">
        <v>6090</v>
      </c>
      <c r="AT81" s="129">
        <v>1650</v>
      </c>
      <c r="AU81" s="129"/>
      <c r="AV81" s="129">
        <v>288</v>
      </c>
      <c r="AW81" s="129"/>
      <c r="AX81" s="129"/>
      <c r="AY81" s="129"/>
      <c r="AZ81" s="129"/>
      <c r="BA81" s="129"/>
      <c r="BB81" s="140"/>
      <c r="BC81" s="129" t="s">
        <v>21</v>
      </c>
      <c r="BD81" s="129"/>
      <c r="BE81" s="140"/>
      <c r="BF81" s="140"/>
      <c r="BG81" s="140"/>
      <c r="BH81" s="140"/>
      <c r="BI81" s="140"/>
      <c r="BJ81" s="140">
        <v>69</v>
      </c>
      <c r="BK81" s="140">
        <v>13.6</v>
      </c>
      <c r="BL81" s="140"/>
      <c r="BM81" s="140"/>
      <c r="BN81" s="140"/>
      <c r="BO81" s="140">
        <f t="shared" si="20"/>
        <v>82.6</v>
      </c>
      <c r="BP81" s="140"/>
      <c r="BQ81" s="140"/>
      <c r="BR81" s="140"/>
      <c r="BS81" s="140"/>
      <c r="BT81" s="145"/>
      <c r="BU81" s="145"/>
      <c r="BV81" s="145"/>
      <c r="BW81" s="145"/>
      <c r="BX81" s="140"/>
      <c r="BY81" s="140"/>
      <c r="BZ81" s="140"/>
      <c r="CA81" s="140"/>
      <c r="CB81" s="140"/>
      <c r="CC81" s="140"/>
      <c r="CD81" s="140"/>
      <c r="CE81" s="140"/>
      <c r="CF81" s="140"/>
      <c r="CG81" s="140"/>
      <c r="CH81" s="140"/>
      <c r="CI81" s="140"/>
      <c r="CJ81" s="140"/>
      <c r="CK81" s="140"/>
      <c r="CL81" s="140"/>
      <c r="CM81" s="140"/>
      <c r="CN81" s="140"/>
    </row>
    <row r="82" spans="2:92" x14ac:dyDescent="0.25">
      <c r="B82" s="140" t="s">
        <v>221</v>
      </c>
      <c r="C82" s="140" t="s">
        <v>216</v>
      </c>
      <c r="D82" s="129">
        <v>1</v>
      </c>
      <c r="E82" s="140"/>
      <c r="F82" s="129"/>
      <c r="G82" s="171" t="s">
        <v>230</v>
      </c>
      <c r="H82" s="171" t="s">
        <v>233</v>
      </c>
      <c r="I82" s="129"/>
      <c r="J82" s="129"/>
      <c r="K82" s="129"/>
      <c r="L82" s="130"/>
      <c r="M82" s="129"/>
      <c r="N82" s="129" t="s">
        <v>234</v>
      </c>
      <c r="O82" s="143">
        <v>40575</v>
      </c>
      <c r="P82" s="165"/>
      <c r="Q82" s="129"/>
      <c r="R82" s="129"/>
      <c r="S82" s="129"/>
      <c r="T82" s="129"/>
      <c r="U82" s="129">
        <v>6</v>
      </c>
      <c r="V82" s="129"/>
      <c r="W82" s="129">
        <v>428</v>
      </c>
      <c r="X82" s="129">
        <v>14</v>
      </c>
      <c r="Y82" s="129"/>
      <c r="Z82" s="129"/>
      <c r="AA82" s="129"/>
      <c r="AB82" s="129"/>
      <c r="AC82" s="129"/>
      <c r="AD82" s="129"/>
      <c r="AE82" s="129"/>
      <c r="AF82" s="129"/>
      <c r="AG82" s="129"/>
      <c r="AH82" s="129"/>
      <c r="AI82" s="140"/>
      <c r="AJ82" s="140"/>
      <c r="AK82" s="140"/>
      <c r="AL82" s="129">
        <v>6.4</v>
      </c>
      <c r="AM82" s="129">
        <v>0.8</v>
      </c>
      <c r="AN82" s="129">
        <v>6</v>
      </c>
      <c r="AO82" s="129"/>
      <c r="AP82" s="129"/>
      <c r="AQ82" s="129"/>
      <c r="AR82" s="129"/>
      <c r="AS82" s="129">
        <v>2200</v>
      </c>
      <c r="AT82" s="129">
        <v>870</v>
      </c>
      <c r="AU82" s="129"/>
      <c r="AV82" s="129">
        <v>162</v>
      </c>
      <c r="AW82" s="129"/>
      <c r="AX82" s="129"/>
      <c r="AY82" s="129"/>
      <c r="AZ82" s="129"/>
      <c r="BA82" s="129"/>
      <c r="BB82" s="140"/>
      <c r="BC82" s="129" t="s">
        <v>182</v>
      </c>
      <c r="BD82" s="129"/>
      <c r="BE82" s="140"/>
      <c r="BF82" s="140"/>
      <c r="BG82" s="140"/>
      <c r="BH82" s="140"/>
      <c r="BI82" s="140"/>
      <c r="BJ82" s="140"/>
      <c r="BK82" s="140"/>
      <c r="BL82" s="140"/>
      <c r="BM82" s="140"/>
      <c r="BN82" s="140"/>
      <c r="BO82" s="140">
        <f t="shared" si="20"/>
        <v>0</v>
      </c>
      <c r="BP82" s="140"/>
      <c r="BQ82" s="140"/>
      <c r="BR82" s="140"/>
      <c r="BS82" s="140"/>
      <c r="BT82" s="145"/>
      <c r="BU82" s="145"/>
      <c r="BV82" s="145"/>
      <c r="BW82" s="145"/>
      <c r="BX82" s="140"/>
      <c r="BY82" s="140"/>
      <c r="BZ82" s="140"/>
      <c r="CA82" s="140"/>
      <c r="CB82" s="140"/>
      <c r="CC82" s="140"/>
      <c r="CD82" s="140"/>
      <c r="CE82" s="140"/>
      <c r="CF82" s="140"/>
      <c r="CG82" s="140"/>
      <c r="CH82" s="140"/>
      <c r="CI82" s="140"/>
      <c r="CJ82" s="140"/>
      <c r="CK82" s="140"/>
      <c r="CL82" s="140"/>
      <c r="CM82" s="140"/>
      <c r="CN82" s="140"/>
    </row>
    <row r="83" spans="2:92" x14ac:dyDescent="0.25">
      <c r="B83" s="140" t="s">
        <v>222</v>
      </c>
      <c r="C83" s="140" t="s">
        <v>216</v>
      </c>
      <c r="D83" s="129">
        <v>1</v>
      </c>
      <c r="E83" s="140"/>
      <c r="F83" s="129"/>
      <c r="G83" s="171" t="s">
        <v>230</v>
      </c>
      <c r="H83" s="171" t="s">
        <v>233</v>
      </c>
      <c r="I83" s="129"/>
      <c r="J83" s="129"/>
      <c r="K83" s="129"/>
      <c r="L83" s="130"/>
      <c r="M83" s="129"/>
      <c r="N83" s="129" t="s">
        <v>234</v>
      </c>
      <c r="O83" s="143">
        <v>40664</v>
      </c>
      <c r="P83" s="165"/>
      <c r="Q83" s="129"/>
      <c r="R83" s="129"/>
      <c r="S83" s="129"/>
      <c r="T83" s="129"/>
      <c r="U83" s="129">
        <v>6.6</v>
      </c>
      <c r="V83" s="129"/>
      <c r="W83" s="129">
        <v>166.7</v>
      </c>
      <c r="X83" s="129">
        <v>36</v>
      </c>
      <c r="Y83" s="129"/>
      <c r="Z83" s="129"/>
      <c r="AA83" s="129"/>
      <c r="AB83" s="129"/>
      <c r="AC83" s="129"/>
      <c r="AD83" s="129"/>
      <c r="AE83" s="129"/>
      <c r="AF83" s="129"/>
      <c r="AG83" s="129"/>
      <c r="AH83" s="129"/>
      <c r="AI83" s="140"/>
      <c r="AJ83" s="140"/>
      <c r="AK83" s="140"/>
      <c r="AL83" s="129">
        <v>17.100000000000001</v>
      </c>
      <c r="AM83" s="129">
        <v>0.9</v>
      </c>
      <c r="AN83" s="129">
        <v>6.6</v>
      </c>
      <c r="AO83" s="129"/>
      <c r="AP83" s="129"/>
      <c r="AQ83" s="129"/>
      <c r="AR83" s="129"/>
      <c r="AS83" s="129">
        <v>5000</v>
      </c>
      <c r="AT83" s="129">
        <v>900</v>
      </c>
      <c r="AU83" s="129"/>
      <c r="AV83" s="129">
        <v>270</v>
      </c>
      <c r="AW83" s="129"/>
      <c r="AX83" s="129"/>
      <c r="AY83" s="129"/>
      <c r="AZ83" s="129"/>
      <c r="BA83" s="129"/>
      <c r="BB83" s="140"/>
      <c r="BC83" s="129" t="s">
        <v>21</v>
      </c>
      <c r="BD83" s="129"/>
      <c r="BE83" s="140"/>
      <c r="BF83" s="140"/>
      <c r="BG83" s="140"/>
      <c r="BH83" s="140"/>
      <c r="BI83" s="140"/>
      <c r="BJ83" s="140">
        <v>28.7</v>
      </c>
      <c r="BK83" s="140">
        <v>5.4</v>
      </c>
      <c r="BL83" s="140"/>
      <c r="BM83" s="140"/>
      <c r="BN83" s="140"/>
      <c r="BO83" s="140">
        <f t="shared" si="20"/>
        <v>34.1</v>
      </c>
      <c r="BP83" s="140"/>
      <c r="BQ83" s="140"/>
      <c r="BR83" s="140"/>
      <c r="BS83" s="140"/>
      <c r="BT83" s="145"/>
      <c r="BU83" s="145"/>
      <c r="BV83" s="145"/>
      <c r="BW83" s="145"/>
      <c r="BX83" s="140"/>
      <c r="BY83" s="140"/>
      <c r="BZ83" s="140"/>
      <c r="CA83" s="140"/>
      <c r="CB83" s="140"/>
      <c r="CC83" s="140"/>
      <c r="CD83" s="140"/>
      <c r="CE83" s="140"/>
      <c r="CF83" s="140"/>
      <c r="CG83" s="140"/>
      <c r="CH83" s="140"/>
      <c r="CI83" s="140"/>
      <c r="CJ83" s="140"/>
      <c r="CK83" s="140"/>
      <c r="CL83" s="140"/>
      <c r="CM83" s="140"/>
      <c r="CN83" s="140"/>
    </row>
    <row r="84" spans="2:92" x14ac:dyDescent="0.25">
      <c r="B84" s="140" t="s">
        <v>223</v>
      </c>
      <c r="C84" s="140" t="s">
        <v>216</v>
      </c>
      <c r="D84" s="129">
        <v>1</v>
      </c>
      <c r="E84" s="140"/>
      <c r="F84" s="129"/>
      <c r="G84" s="171" t="s">
        <v>230</v>
      </c>
      <c r="H84" s="171" t="s">
        <v>233</v>
      </c>
      <c r="I84" s="129"/>
      <c r="J84" s="129"/>
      <c r="K84" s="129"/>
      <c r="L84" s="130"/>
      <c r="M84" s="129"/>
      <c r="N84" s="129" t="s">
        <v>234</v>
      </c>
      <c r="O84" s="143">
        <v>40695</v>
      </c>
      <c r="P84" s="165"/>
      <c r="Q84" s="129"/>
      <c r="R84" s="129"/>
      <c r="S84" s="129"/>
      <c r="T84" s="129"/>
      <c r="U84" s="129">
        <v>11</v>
      </c>
      <c r="V84" s="129"/>
      <c r="W84" s="129">
        <v>750</v>
      </c>
      <c r="X84" s="129">
        <v>8</v>
      </c>
      <c r="Y84" s="129"/>
      <c r="Z84" s="129"/>
      <c r="AA84" s="129"/>
      <c r="AB84" s="129"/>
      <c r="AC84" s="129"/>
      <c r="AD84" s="129"/>
      <c r="AE84" s="129"/>
      <c r="AF84" s="129"/>
      <c r="AG84" s="129"/>
      <c r="AH84" s="129"/>
      <c r="AI84" s="140"/>
      <c r="AJ84" s="140"/>
      <c r="AK84" s="140"/>
      <c r="AL84" s="129">
        <v>22</v>
      </c>
      <c r="AM84" s="129">
        <v>0.8</v>
      </c>
      <c r="AN84" s="129">
        <v>11</v>
      </c>
      <c r="AO84" s="129"/>
      <c r="AP84" s="129"/>
      <c r="AQ84" s="129"/>
      <c r="AR84" s="129"/>
      <c r="AS84" s="129">
        <v>1930</v>
      </c>
      <c r="AT84" s="129">
        <v>1660</v>
      </c>
      <c r="AU84" s="129"/>
      <c r="AV84" s="129">
        <v>132</v>
      </c>
      <c r="AW84" s="129"/>
      <c r="AX84" s="129"/>
      <c r="AY84" s="129"/>
      <c r="AZ84" s="129"/>
      <c r="BA84" s="129"/>
      <c r="BB84" s="140"/>
      <c r="BC84" s="129" t="s">
        <v>21</v>
      </c>
      <c r="BD84" s="129"/>
      <c r="BE84" s="140"/>
      <c r="BF84" s="140"/>
      <c r="BG84" s="140"/>
      <c r="BH84" s="140"/>
      <c r="BI84" s="140"/>
      <c r="BJ84" s="140">
        <v>16</v>
      </c>
      <c r="BK84" s="140">
        <v>2.7</v>
      </c>
      <c r="BL84" s="140"/>
      <c r="BM84" s="140"/>
      <c r="BN84" s="140"/>
      <c r="BO84" s="140">
        <f t="shared" si="20"/>
        <v>18.7</v>
      </c>
      <c r="BP84" s="140"/>
      <c r="BQ84" s="140"/>
      <c r="BR84" s="140"/>
      <c r="BS84" s="140"/>
      <c r="BT84" s="145"/>
      <c r="BU84" s="145"/>
      <c r="BV84" s="145"/>
      <c r="BW84" s="145"/>
      <c r="BX84" s="140"/>
      <c r="BY84" s="140"/>
      <c r="BZ84" s="140"/>
      <c r="CA84" s="140"/>
      <c r="CB84" s="140"/>
      <c r="CC84" s="140"/>
      <c r="CD84" s="140"/>
      <c r="CE84" s="140"/>
      <c r="CF84" s="140"/>
      <c r="CG84" s="140"/>
      <c r="CH84" s="140"/>
      <c r="CI84" s="140"/>
      <c r="CJ84" s="140"/>
      <c r="CK84" s="140"/>
      <c r="CL84" s="140"/>
      <c r="CM84" s="140"/>
      <c r="CN84" s="140"/>
    </row>
    <row r="85" spans="2:92" x14ac:dyDescent="0.25">
      <c r="B85" s="140" t="s">
        <v>224</v>
      </c>
      <c r="C85" s="140" t="s">
        <v>216</v>
      </c>
      <c r="D85" s="129">
        <v>1</v>
      </c>
      <c r="E85" s="140"/>
      <c r="F85" s="129"/>
      <c r="G85" s="171" t="s">
        <v>230</v>
      </c>
      <c r="H85" s="171" t="s">
        <v>233</v>
      </c>
      <c r="I85" s="129"/>
      <c r="J85" s="129"/>
      <c r="K85" s="129"/>
      <c r="L85" s="130"/>
      <c r="M85" s="129"/>
      <c r="N85" s="129" t="s">
        <v>234</v>
      </c>
      <c r="O85" s="143">
        <v>40695</v>
      </c>
      <c r="P85" s="165"/>
      <c r="Q85" s="129"/>
      <c r="R85" s="129"/>
      <c r="S85" s="129"/>
      <c r="T85" s="129"/>
      <c r="U85" s="129">
        <v>6.3</v>
      </c>
      <c r="V85" s="129"/>
      <c r="W85" s="129">
        <v>250</v>
      </c>
      <c r="X85" s="129">
        <v>24</v>
      </c>
      <c r="Y85" s="129"/>
      <c r="Z85" s="129"/>
      <c r="AA85" s="129"/>
      <c r="AB85" s="129"/>
      <c r="AC85" s="129"/>
      <c r="AD85" s="129"/>
      <c r="AE85" s="129"/>
      <c r="AF85" s="129"/>
      <c r="AG85" s="129"/>
      <c r="AH85" s="129"/>
      <c r="AI85" s="140"/>
      <c r="AJ85" s="140"/>
      <c r="AK85" s="140"/>
      <c r="AL85" s="129">
        <v>15</v>
      </c>
      <c r="AM85" s="129">
        <v>0.8</v>
      </c>
      <c r="AN85" s="129">
        <v>6.3</v>
      </c>
      <c r="AO85" s="129"/>
      <c r="AP85" s="129"/>
      <c r="AQ85" s="129"/>
      <c r="AR85" s="129"/>
      <c r="AS85" s="129">
        <v>3850</v>
      </c>
      <c r="AT85" s="129">
        <v>1050</v>
      </c>
      <c r="AU85" s="129"/>
      <c r="AV85" s="129">
        <v>216</v>
      </c>
      <c r="AW85" s="129"/>
      <c r="AX85" s="129"/>
      <c r="AY85" s="129"/>
      <c r="AZ85" s="129"/>
      <c r="BA85" s="129"/>
      <c r="BB85" s="140"/>
      <c r="BC85" s="129" t="s">
        <v>182</v>
      </c>
      <c r="BD85" s="129"/>
      <c r="BE85" s="140"/>
      <c r="BF85" s="140"/>
      <c r="BG85" s="140"/>
      <c r="BH85" s="140"/>
      <c r="BI85" s="140"/>
      <c r="BJ85" s="140">
        <v>15.8</v>
      </c>
      <c r="BK85" s="140">
        <v>3.7</v>
      </c>
      <c r="BL85" s="140"/>
      <c r="BM85" s="140"/>
      <c r="BN85" s="140"/>
      <c r="BO85" s="140">
        <f t="shared" si="20"/>
        <v>19.5</v>
      </c>
      <c r="BP85" s="140"/>
      <c r="BQ85" s="140"/>
      <c r="BR85" s="140"/>
      <c r="BS85" s="140"/>
      <c r="BT85" s="145"/>
      <c r="BU85" s="145"/>
      <c r="BV85" s="145"/>
      <c r="BW85" s="145"/>
      <c r="BX85" s="140"/>
      <c r="BY85" s="140"/>
      <c r="BZ85" s="140"/>
      <c r="CA85" s="140"/>
      <c r="CB85" s="140"/>
      <c r="CC85" s="140"/>
      <c r="CD85" s="140"/>
      <c r="CE85" s="140"/>
      <c r="CF85" s="140"/>
      <c r="CG85" s="140"/>
      <c r="CH85" s="140"/>
      <c r="CI85" s="140"/>
      <c r="CJ85" s="140"/>
      <c r="CK85" s="140"/>
      <c r="CL85" s="140"/>
      <c r="CM85" s="140"/>
      <c r="CN85" s="140"/>
    </row>
    <row r="86" spans="2:92" x14ac:dyDescent="0.25">
      <c r="B86" s="140" t="s">
        <v>225</v>
      </c>
      <c r="C86" s="140" t="s">
        <v>216</v>
      </c>
      <c r="D86" s="129">
        <v>1</v>
      </c>
      <c r="E86" s="140"/>
      <c r="F86" s="129"/>
      <c r="G86" s="171" t="s">
        <v>231</v>
      </c>
      <c r="H86" s="171" t="s">
        <v>233</v>
      </c>
      <c r="I86" s="129"/>
      <c r="J86" s="129"/>
      <c r="K86" s="129"/>
      <c r="L86" s="130"/>
      <c r="M86" s="129"/>
      <c r="N86" s="129" t="s">
        <v>234</v>
      </c>
      <c r="O86" s="143">
        <v>40756</v>
      </c>
      <c r="P86" s="165"/>
      <c r="Q86" s="129"/>
      <c r="R86" s="129"/>
      <c r="S86" s="129"/>
      <c r="T86" s="129"/>
      <c r="U86" s="129">
        <v>11</v>
      </c>
      <c r="V86" s="129"/>
      <c r="W86" s="129">
        <v>250</v>
      </c>
      <c r="X86" s="129">
        <v>24</v>
      </c>
      <c r="Y86" s="129"/>
      <c r="Z86" s="129"/>
      <c r="AA86" s="129"/>
      <c r="AB86" s="129"/>
      <c r="AC86" s="129"/>
      <c r="AD86" s="129"/>
      <c r="AE86" s="129"/>
      <c r="AF86" s="129"/>
      <c r="AG86" s="129"/>
      <c r="AH86" s="129"/>
      <c r="AI86" s="140"/>
      <c r="AJ86" s="140"/>
      <c r="AK86" s="140"/>
      <c r="AL86" s="129">
        <v>19</v>
      </c>
      <c r="AM86" s="129">
        <v>0.97</v>
      </c>
      <c r="AN86" s="129">
        <v>11</v>
      </c>
      <c r="AO86" s="129"/>
      <c r="AP86" s="129"/>
      <c r="AQ86" s="129"/>
      <c r="AR86" s="129"/>
      <c r="AS86" s="129"/>
      <c r="AT86" s="129"/>
      <c r="AU86" s="129"/>
      <c r="AV86" s="129"/>
      <c r="AW86" s="129"/>
      <c r="AX86" s="129"/>
      <c r="AY86" s="129"/>
      <c r="AZ86" s="129"/>
      <c r="BA86" s="129"/>
      <c r="BB86" s="140"/>
      <c r="BC86" s="129"/>
      <c r="BD86" s="129"/>
      <c r="BE86" s="140"/>
      <c r="BF86" s="140"/>
      <c r="BG86" s="140"/>
      <c r="BH86" s="140"/>
      <c r="BI86" s="140"/>
      <c r="BJ86" s="140"/>
      <c r="BK86" s="140"/>
      <c r="BL86" s="140"/>
      <c r="BM86" s="140"/>
      <c r="BN86" s="140"/>
      <c r="BO86" s="140">
        <f t="shared" si="20"/>
        <v>0</v>
      </c>
      <c r="BP86" s="140"/>
      <c r="BQ86" s="140"/>
      <c r="BR86" s="140"/>
      <c r="BS86" s="140"/>
      <c r="BT86" s="145"/>
      <c r="BU86" s="145"/>
      <c r="BV86" s="145"/>
      <c r="BW86" s="145"/>
      <c r="BX86" s="140"/>
      <c r="BY86" s="140"/>
      <c r="BZ86" s="140"/>
      <c r="CA86" s="140"/>
      <c r="CB86" s="140"/>
      <c r="CC86" s="140"/>
      <c r="CD86" s="140"/>
      <c r="CE86" s="140"/>
      <c r="CF86" s="140"/>
      <c r="CG86" s="140"/>
      <c r="CH86" s="140"/>
      <c r="CI86" s="140"/>
      <c r="CJ86" s="140"/>
      <c r="CK86" s="140"/>
      <c r="CL86" s="140"/>
      <c r="CM86" s="140"/>
      <c r="CN86" s="140"/>
    </row>
    <row r="87" spans="2:92" x14ac:dyDescent="0.25">
      <c r="B87" s="140" t="s">
        <v>226</v>
      </c>
      <c r="C87" s="140" t="s">
        <v>216</v>
      </c>
      <c r="D87" s="129">
        <v>1</v>
      </c>
      <c r="E87" s="140"/>
      <c r="F87" s="129"/>
      <c r="G87" s="171" t="s">
        <v>230</v>
      </c>
      <c r="H87" s="171" t="s">
        <v>233</v>
      </c>
      <c r="I87" s="129"/>
      <c r="J87" s="129"/>
      <c r="K87" s="129"/>
      <c r="L87" s="130"/>
      <c r="M87" s="129"/>
      <c r="N87" s="129" t="s">
        <v>234</v>
      </c>
      <c r="O87" s="143">
        <v>40787</v>
      </c>
      <c r="P87" s="165"/>
      <c r="Q87" s="129"/>
      <c r="R87" s="129"/>
      <c r="S87" s="129"/>
      <c r="T87" s="129"/>
      <c r="U87" s="129">
        <v>10.9</v>
      </c>
      <c r="V87" s="129"/>
      <c r="W87" s="129">
        <v>600</v>
      </c>
      <c r="X87" s="129">
        <v>10</v>
      </c>
      <c r="Y87" s="129"/>
      <c r="Z87" s="129"/>
      <c r="AA87" s="129"/>
      <c r="AB87" s="129"/>
      <c r="AC87" s="129"/>
      <c r="AD87" s="129"/>
      <c r="AE87" s="129"/>
      <c r="AF87" s="129"/>
      <c r="AG87" s="129"/>
      <c r="AH87" s="129"/>
      <c r="AI87" s="140"/>
      <c r="AJ87" s="140"/>
      <c r="AK87" s="140"/>
      <c r="AL87" s="129">
        <v>45</v>
      </c>
      <c r="AM87" s="129">
        <v>0.8</v>
      </c>
      <c r="AN87" s="129">
        <v>10.9</v>
      </c>
      <c r="AO87" s="129"/>
      <c r="AP87" s="129"/>
      <c r="AQ87" s="129"/>
      <c r="AR87" s="129"/>
      <c r="AS87" s="129">
        <v>2500</v>
      </c>
      <c r="AT87" s="129">
        <v>1520</v>
      </c>
      <c r="AU87" s="129"/>
      <c r="AV87" s="129">
        <v>126</v>
      </c>
      <c r="AW87" s="129"/>
      <c r="AX87" s="129"/>
      <c r="AY87" s="129"/>
      <c r="AZ87" s="129"/>
      <c r="BA87" s="129"/>
      <c r="BB87" s="140"/>
      <c r="BC87" s="129" t="s">
        <v>21</v>
      </c>
      <c r="BD87" s="129"/>
      <c r="BE87" s="140"/>
      <c r="BF87" s="140"/>
      <c r="BG87" s="140"/>
      <c r="BH87" s="140"/>
      <c r="BI87" s="140"/>
      <c r="BJ87" s="140">
        <v>30.1</v>
      </c>
      <c r="BK87" s="140">
        <v>5.4</v>
      </c>
      <c r="BL87" s="140"/>
      <c r="BM87" s="140"/>
      <c r="BN87" s="140"/>
      <c r="BO87" s="140">
        <f t="shared" si="20"/>
        <v>35.5</v>
      </c>
      <c r="BP87" s="140"/>
      <c r="BQ87" s="140"/>
      <c r="BR87" s="140"/>
      <c r="BS87" s="140"/>
      <c r="BT87" s="145"/>
      <c r="BU87" s="145"/>
      <c r="BV87" s="145"/>
      <c r="BW87" s="145"/>
      <c r="BX87" s="140"/>
      <c r="BY87" s="140"/>
      <c r="BZ87" s="140"/>
      <c r="CA87" s="140"/>
      <c r="CB87" s="140"/>
      <c r="CC87" s="140"/>
      <c r="CD87" s="140"/>
      <c r="CE87" s="140"/>
      <c r="CF87" s="140"/>
      <c r="CG87" s="140"/>
      <c r="CH87" s="140"/>
      <c r="CI87" s="140"/>
      <c r="CJ87" s="140"/>
      <c r="CK87" s="140"/>
      <c r="CL87" s="140"/>
      <c r="CM87" s="140"/>
      <c r="CN87" s="140"/>
    </row>
    <row r="88" spans="2:92" x14ac:dyDescent="0.25">
      <c r="B88" s="140" t="s">
        <v>227</v>
      </c>
      <c r="C88" s="140" t="s">
        <v>216</v>
      </c>
      <c r="D88" s="129">
        <v>1</v>
      </c>
      <c r="E88" s="140"/>
      <c r="F88" s="129"/>
      <c r="G88" s="171" t="s">
        <v>231</v>
      </c>
      <c r="H88" s="171" t="s">
        <v>233</v>
      </c>
      <c r="I88" s="129"/>
      <c r="J88" s="129"/>
      <c r="K88" s="129"/>
      <c r="L88" s="130"/>
      <c r="M88" s="129"/>
      <c r="N88" s="129" t="s">
        <v>234</v>
      </c>
      <c r="O88" s="143">
        <v>40848</v>
      </c>
      <c r="P88" s="165"/>
      <c r="Q88" s="129"/>
      <c r="R88" s="129"/>
      <c r="S88" s="129"/>
      <c r="T88" s="129"/>
      <c r="U88" s="129">
        <v>11</v>
      </c>
      <c r="V88" s="129"/>
      <c r="W88" s="129">
        <v>93.75</v>
      </c>
      <c r="X88" s="129">
        <v>64</v>
      </c>
      <c r="Y88" s="129"/>
      <c r="Z88" s="129"/>
      <c r="AA88" s="129"/>
      <c r="AB88" s="129"/>
      <c r="AC88" s="129"/>
      <c r="AD88" s="129"/>
      <c r="AE88" s="129"/>
      <c r="AF88" s="129"/>
      <c r="AG88" s="129"/>
      <c r="AH88" s="129"/>
      <c r="AI88" s="140"/>
      <c r="AJ88" s="140"/>
      <c r="AK88" s="140"/>
      <c r="AL88" s="129">
        <v>70</v>
      </c>
      <c r="AM88" s="129">
        <v>0.8</v>
      </c>
      <c r="AN88" s="129">
        <v>11</v>
      </c>
      <c r="AO88" s="129"/>
      <c r="AP88" s="129"/>
      <c r="AQ88" s="129"/>
      <c r="AR88" s="129"/>
      <c r="AS88" s="129">
        <v>10287</v>
      </c>
      <c r="AT88" s="129">
        <v>1080</v>
      </c>
      <c r="AU88" s="129"/>
      <c r="AV88" s="129">
        <v>576</v>
      </c>
      <c r="AW88" s="129"/>
      <c r="AX88" s="129"/>
      <c r="AY88" s="129"/>
      <c r="AZ88" s="129"/>
      <c r="BA88" s="129"/>
      <c r="BB88" s="140"/>
      <c r="BC88" s="129" t="s">
        <v>21</v>
      </c>
      <c r="BD88" s="129"/>
      <c r="BE88" s="140"/>
      <c r="BF88" s="140"/>
      <c r="BG88" s="140"/>
      <c r="BH88" s="140"/>
      <c r="BI88" s="140"/>
      <c r="BJ88" s="140">
        <v>62</v>
      </c>
      <c r="BK88" s="140">
        <v>14.5</v>
      </c>
      <c r="BL88" s="140"/>
      <c r="BM88" s="140"/>
      <c r="BN88" s="140"/>
      <c r="BO88" s="140">
        <f t="shared" si="20"/>
        <v>76.5</v>
      </c>
      <c r="BP88" s="140"/>
      <c r="BQ88" s="140"/>
      <c r="BR88" s="140"/>
      <c r="BS88" s="140"/>
      <c r="BT88" s="145"/>
      <c r="BU88" s="145"/>
      <c r="BV88" s="145"/>
      <c r="BW88" s="145"/>
      <c r="BX88" s="140"/>
      <c r="BY88" s="140"/>
      <c r="BZ88" s="140"/>
      <c r="CA88" s="140"/>
      <c r="CB88" s="140"/>
      <c r="CC88" s="140"/>
      <c r="CD88" s="140"/>
      <c r="CE88" s="140"/>
      <c r="CF88" s="140"/>
      <c r="CG88" s="140"/>
      <c r="CH88" s="140"/>
      <c r="CI88" s="140"/>
      <c r="CJ88" s="140"/>
      <c r="CK88" s="140"/>
      <c r="CL88" s="140"/>
      <c r="CM88" s="140"/>
      <c r="CN88" s="140"/>
    </row>
    <row r="89" spans="2:92" x14ac:dyDescent="0.25">
      <c r="B89" s="140" t="s">
        <v>228</v>
      </c>
      <c r="C89" s="140" t="s">
        <v>216</v>
      </c>
      <c r="D89" s="129">
        <v>1</v>
      </c>
      <c r="E89" s="140"/>
      <c r="F89" s="129"/>
      <c r="G89" s="171" t="s">
        <v>230</v>
      </c>
      <c r="H89" s="171" t="s">
        <v>233</v>
      </c>
      <c r="I89" s="129"/>
      <c r="J89" s="129"/>
      <c r="K89" s="129"/>
      <c r="L89" s="130"/>
      <c r="M89" s="129"/>
      <c r="N89" s="129" t="s">
        <v>234</v>
      </c>
      <c r="O89" s="143">
        <v>41122</v>
      </c>
      <c r="P89" s="165"/>
      <c r="Q89" s="129"/>
      <c r="R89" s="129"/>
      <c r="S89" s="129"/>
      <c r="T89" s="129"/>
      <c r="U89" s="129">
        <v>13.8</v>
      </c>
      <c r="V89" s="129"/>
      <c r="W89" s="129">
        <v>375</v>
      </c>
      <c r="X89" s="129">
        <v>16</v>
      </c>
      <c r="Y89" s="129"/>
      <c r="Z89" s="129"/>
      <c r="AA89" s="129"/>
      <c r="AB89" s="129"/>
      <c r="AC89" s="129"/>
      <c r="AD89" s="129"/>
      <c r="AE89" s="129"/>
      <c r="AF89" s="129"/>
      <c r="AG89" s="129"/>
      <c r="AH89" s="129"/>
      <c r="AI89" s="140"/>
      <c r="AJ89" s="140"/>
      <c r="AK89" s="140"/>
      <c r="AL89" s="129">
        <v>87.5</v>
      </c>
      <c r="AM89" s="129">
        <v>0.8</v>
      </c>
      <c r="AN89" s="129">
        <v>13.8</v>
      </c>
      <c r="AO89" s="129"/>
      <c r="AP89" s="129"/>
      <c r="AQ89" s="129"/>
      <c r="AR89" s="129"/>
      <c r="AS89" s="129">
        <v>4838</v>
      </c>
      <c r="AT89" s="129">
        <v>1650</v>
      </c>
      <c r="AU89" s="129"/>
      <c r="AV89" s="129">
        <v>252</v>
      </c>
      <c r="AW89" s="129"/>
      <c r="AX89" s="129"/>
      <c r="AY89" s="129"/>
      <c r="AZ89" s="129"/>
      <c r="BA89" s="129"/>
      <c r="BB89" s="140"/>
      <c r="BC89" s="129" t="s">
        <v>21</v>
      </c>
      <c r="BD89" s="129"/>
      <c r="BE89" s="140"/>
      <c r="BF89" s="140"/>
      <c r="BG89" s="140"/>
      <c r="BH89" s="140"/>
      <c r="BI89" s="140"/>
      <c r="BJ89" s="140">
        <v>70.2</v>
      </c>
      <c r="BK89" s="140">
        <v>11.1</v>
      </c>
      <c r="BL89" s="140"/>
      <c r="BM89" s="140"/>
      <c r="BN89" s="140"/>
      <c r="BO89" s="140">
        <f t="shared" si="20"/>
        <v>81.3</v>
      </c>
      <c r="BP89" s="140"/>
      <c r="BQ89" s="140"/>
      <c r="BR89" s="140"/>
      <c r="BS89" s="140"/>
      <c r="BT89" s="145"/>
      <c r="BU89" s="145"/>
      <c r="BV89" s="145"/>
      <c r="BW89" s="145"/>
      <c r="BX89" s="140"/>
      <c r="BY89" s="140"/>
      <c r="BZ89" s="140"/>
      <c r="CA89" s="140"/>
      <c r="CB89" s="140"/>
      <c r="CC89" s="140"/>
      <c r="CD89" s="140"/>
      <c r="CE89" s="140"/>
      <c r="CF89" s="140"/>
      <c r="CG89" s="140"/>
      <c r="CH89" s="140"/>
      <c r="CI89" s="140"/>
      <c r="CJ89" s="140"/>
      <c r="CK89" s="140"/>
      <c r="CL89" s="140"/>
      <c r="CM89" s="140"/>
      <c r="CN89" s="140"/>
    </row>
    <row r="90" spans="2:92" x14ac:dyDescent="0.25">
      <c r="BT90" s="13"/>
      <c r="BU90" s="13"/>
      <c r="BV90" s="13"/>
      <c r="BW90" s="13"/>
      <c r="BX90" s="1"/>
      <c r="BY90" s="1"/>
      <c r="CA90" s="1"/>
      <c r="CB90" s="1"/>
      <c r="CG90" s="1"/>
      <c r="CJ90" s="1"/>
      <c r="CK90" s="1"/>
    </row>
    <row r="92" spans="2:92" x14ac:dyDescent="0.25">
      <c r="B92" s="96" t="s">
        <v>253</v>
      </c>
      <c r="C92" s="324"/>
    </row>
  </sheetData>
  <mergeCells count="12">
    <mergeCell ref="B1:R1"/>
    <mergeCell ref="B2:R2"/>
    <mergeCell ref="BI2:BO2"/>
    <mergeCell ref="AL2:BD2"/>
    <mergeCell ref="S2:AK2"/>
    <mergeCell ref="BE2:BH2"/>
    <mergeCell ref="S1:BO1"/>
    <mergeCell ref="CM2:CN2"/>
    <mergeCell ref="BP1:CN1"/>
    <mergeCell ref="BP2:BZ2"/>
    <mergeCell ref="CA2:CH2"/>
    <mergeCell ref="CI2:CL2"/>
  </mergeCells>
  <conditionalFormatting sqref="AL5">
    <cfRule type="cellIs" dxfId="36" priority="19" operator="greaterThan">
      <formula>$S$5</formula>
    </cfRule>
  </conditionalFormatting>
  <conditionalFormatting sqref="AV5">
    <cfRule type="cellIs" dxfId="35" priority="16" operator="notEqual">
      <formula>$AD$5</formula>
    </cfRule>
  </conditionalFormatting>
  <conditionalFormatting sqref="AX5">
    <cfRule type="cellIs" dxfId="34" priority="15" operator="notEqual">
      <formula>$AF$5</formula>
    </cfRule>
  </conditionalFormatting>
  <conditionalFormatting sqref="AL6">
    <cfRule type="cellIs" dxfId="33" priority="13" operator="greaterThan">
      <formula>$S$6</formula>
    </cfRule>
  </conditionalFormatting>
  <conditionalFormatting sqref="AL7">
    <cfRule type="cellIs" dxfId="32" priority="12" operator="greaterThan">
      <formula>$S$7</formula>
    </cfRule>
  </conditionalFormatting>
  <conditionalFormatting sqref="AL8">
    <cfRule type="cellIs" dxfId="31" priority="11" operator="greaterThan">
      <formula>$S$8</formula>
    </cfRule>
  </conditionalFormatting>
  <conditionalFormatting sqref="AL16">
    <cfRule type="cellIs" dxfId="30" priority="10" operator="greaterThan">
      <formula>$S$16</formula>
    </cfRule>
  </conditionalFormatting>
  <conditionalFormatting sqref="AL17">
    <cfRule type="cellIs" dxfId="29" priority="9" operator="greaterThan">
      <formula>$S$17</formula>
    </cfRule>
  </conditionalFormatting>
  <conditionalFormatting sqref="AL9">
    <cfRule type="cellIs" dxfId="28" priority="8" operator="greaterThan">
      <formula>$S$9</formula>
    </cfRule>
  </conditionalFormatting>
  <conditionalFormatting sqref="AL10">
    <cfRule type="cellIs" dxfId="27" priority="7" operator="greaterThan">
      <formula>$S$10</formula>
    </cfRule>
  </conditionalFormatting>
  <conditionalFormatting sqref="AL12">
    <cfRule type="cellIs" dxfId="26" priority="5" operator="greaterThan">
      <formula>$S$12</formula>
    </cfRule>
  </conditionalFormatting>
  <conditionalFormatting sqref="AL15">
    <cfRule type="cellIs" dxfId="25" priority="4" operator="greaterThan">
      <formula>$S$15</formula>
    </cfRule>
  </conditionalFormatting>
  <conditionalFormatting sqref="AL19">
    <cfRule type="cellIs" dxfId="24" priority="1" operator="greaterThan">
      <formula>$S$19</formula>
    </cfRule>
  </conditionalFormatting>
  <dataValidations count="9">
    <dataValidation type="list" allowBlank="1" showInputMessage="1" showErrorMessage="1" sqref="BB4">
      <formula1>"Multi-tur+$AE$4sn,Roebel bars"</formula1>
    </dataValidation>
    <dataValidation type="list" allowBlank="1" showInputMessage="1" showErrorMessage="1" sqref="AI4 BA4">
      <formula1>"External,Internal"</formula1>
    </dataValidation>
    <dataValidation type="list" allowBlank="1" showInputMessage="1" showErrorMessage="1" sqref="AJ4">
      <formula1>"Multi-turns,Roebel bars"</formula1>
    </dataValidation>
    <dataValidation type="list" allowBlank="1" showInputMessage="1" showErrorMessage="1" sqref="AK4 BD4">
      <formula1>"Lap,Wave"</formula1>
    </dataValidation>
    <dataValidation type="list" allowBlank="1" showInputMessage="1" showErrorMessage="1" sqref="N4">
      <formula1>"Belfort,Bilbao,Birr"</formula1>
    </dataValidation>
    <dataValidation type="list" allowBlank="1" showInputMessage="1" showErrorMessage="1" sqref="BE4">
      <formula1>"Shop,Generator pit,Erection bay"</formula1>
    </dataValidation>
    <dataValidation type="list" allowBlank="1" showInputMessage="1" showErrorMessage="1" sqref="E4">
      <formula1>"Gen,Gen-Mot,Bulb"</formula1>
    </dataValidation>
    <dataValidation type="list" allowBlank="1" showInputMessage="1" showErrorMessage="1" sqref="BC4">
      <formula1>"Micadur Compact,Resin Rich,VPI"</formula1>
    </dataValidation>
    <dataValidation type="list" allowBlank="1" showInputMessage="1" showErrorMessage="1" sqref="F4:F19">
      <formula1>"H,V"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6"/>
  <sheetViews>
    <sheetView tabSelected="1" zoomScale="80" zoomScaleNormal="80" workbookViewId="0">
      <selection activeCell="C2" sqref="C2"/>
    </sheetView>
  </sheetViews>
  <sheetFormatPr baseColWidth="10" defaultRowHeight="15" x14ac:dyDescent="0.25"/>
  <cols>
    <col min="1" max="1" width="9.28515625" customWidth="1"/>
    <col min="2" max="2" width="5.28515625" customWidth="1"/>
    <col min="3" max="3" width="6" customWidth="1"/>
    <col min="4" max="4" width="5" customWidth="1"/>
    <col min="5" max="5" width="7" customWidth="1"/>
    <col min="6" max="6" width="6.42578125" customWidth="1"/>
    <col min="7" max="7" width="5.85546875" customWidth="1"/>
    <col min="8" max="8" width="7.28515625" customWidth="1"/>
    <col min="9" max="9" width="4.28515625" customWidth="1"/>
    <col min="10" max="10" width="10.140625" customWidth="1"/>
    <col min="11" max="11" width="10.85546875" customWidth="1"/>
    <col min="12" max="12" width="10.28515625" customWidth="1"/>
    <col min="13" max="13" width="10" customWidth="1"/>
    <col min="14" max="14" width="11.5703125" bestFit="1" customWidth="1"/>
    <col min="15" max="15" width="13.7109375" customWidth="1"/>
    <col min="16" max="16" width="13.28515625" customWidth="1"/>
  </cols>
  <sheetData>
    <row r="1" spans="1:16" ht="18.75" x14ac:dyDescent="0.3">
      <c r="A1" s="325" t="s">
        <v>580</v>
      </c>
      <c r="J1" s="326" t="s">
        <v>483</v>
      </c>
    </row>
    <row r="2" spans="1:16" ht="15" customHeight="1" x14ac:dyDescent="0.3">
      <c r="A2" s="314"/>
    </row>
    <row r="3" spans="1:16" ht="15" customHeight="1" x14ac:dyDescent="0.3">
      <c r="A3" s="314"/>
      <c r="J3" t="s">
        <v>485</v>
      </c>
      <c r="K3" s="315" t="s">
        <v>470</v>
      </c>
      <c r="L3" s="335" t="s">
        <v>489</v>
      </c>
      <c r="M3" s="315" t="s">
        <v>471</v>
      </c>
    </row>
    <row r="4" spans="1:16" ht="15" customHeight="1" x14ac:dyDescent="0.3">
      <c r="A4" s="314"/>
      <c r="H4" s="424"/>
      <c r="J4" s="315" t="s">
        <v>438</v>
      </c>
      <c r="K4" s="315">
        <v>-2</v>
      </c>
      <c r="L4" s="327">
        <v>1</v>
      </c>
      <c r="M4" s="315">
        <v>2</v>
      </c>
    </row>
    <row r="5" spans="1:16" x14ac:dyDescent="0.25">
      <c r="H5" s="334"/>
      <c r="J5" s="315" t="s">
        <v>439</v>
      </c>
      <c r="K5" s="315">
        <v>-2</v>
      </c>
      <c r="L5" s="327">
        <v>1</v>
      </c>
      <c r="M5" s="315">
        <v>2</v>
      </c>
      <c r="N5" t="e">
        <f t="array" ref="N5:P7">LINEST(IF(yMC&gt;0,yMC),IF(xMC&gt;0,xMC)^{1,2},,1)</f>
        <v>#VALUE!</v>
      </c>
      <c r="O5" t="e">
        <v>#VALUE!</v>
      </c>
      <c r="P5" t="e">
        <v>#VALUE!</v>
      </c>
    </row>
    <row r="6" spans="1:16" x14ac:dyDescent="0.25">
      <c r="H6" s="334"/>
      <c r="J6" s="315" t="s">
        <v>466</v>
      </c>
      <c r="K6" s="315">
        <v>-2</v>
      </c>
      <c r="L6" s="327">
        <v>1</v>
      </c>
      <c r="M6" s="315">
        <v>2</v>
      </c>
      <c r="N6" t="e">
        <v>#VALUE!</v>
      </c>
      <c r="O6" t="e">
        <v>#VALUE!</v>
      </c>
      <c r="P6" t="e">
        <v>#VALUE!</v>
      </c>
    </row>
    <row r="7" spans="1:16" x14ac:dyDescent="0.25">
      <c r="H7" s="334"/>
      <c r="J7" s="315" t="s">
        <v>467</v>
      </c>
      <c r="K7" s="315">
        <v>-2</v>
      </c>
      <c r="L7" s="327">
        <v>1</v>
      </c>
      <c r="M7" s="315">
        <v>2</v>
      </c>
      <c r="N7" t="e">
        <v>#VALUE!</v>
      </c>
      <c r="O7" t="e">
        <v>#VALUE!</v>
      </c>
      <c r="P7" t="e">
        <v>#VALUE!</v>
      </c>
    </row>
    <row r="8" spans="1:16" x14ac:dyDescent="0.25">
      <c r="H8" s="334"/>
      <c r="J8" s="315" t="s">
        <v>468</v>
      </c>
      <c r="K8" s="315">
        <v>-2</v>
      </c>
      <c r="L8" s="327">
        <v>1</v>
      </c>
      <c r="M8" s="315">
        <v>2</v>
      </c>
    </row>
    <row r="9" spans="1:16" x14ac:dyDescent="0.25">
      <c r="J9" s="315" t="s">
        <v>484</v>
      </c>
      <c r="K9" s="315">
        <v>-2</v>
      </c>
      <c r="L9" s="327">
        <v>1</v>
      </c>
      <c r="M9" s="315">
        <v>2</v>
      </c>
      <c r="N9" t="s">
        <v>491</v>
      </c>
    </row>
    <row r="10" spans="1:16" x14ac:dyDescent="0.25">
      <c r="J10" s="315"/>
      <c r="K10" s="315"/>
      <c r="L10" s="327"/>
      <c r="M10" s="315"/>
    </row>
    <row r="11" spans="1:16" x14ac:dyDescent="0.25">
      <c r="J11" s="328" t="s">
        <v>486</v>
      </c>
    </row>
    <row r="12" spans="1:16" x14ac:dyDescent="0.25">
      <c r="J12" s="328"/>
    </row>
    <row r="26" spans="1:16" x14ac:dyDescent="0.25">
      <c r="L26" s="362" t="s">
        <v>492</v>
      </c>
      <c r="M26" s="362"/>
    </row>
    <row r="27" spans="1:16" x14ac:dyDescent="0.25">
      <c r="K27" s="321" t="s">
        <v>440</v>
      </c>
      <c r="L27" s="425">
        <f t="array" ref="L27">RSQ(IF(yMC&lt;&gt;0,LN(yMC)),IF(xMC&lt;&gt;0,LN(xMC)))</f>
        <v>0.65967613466928587</v>
      </c>
      <c r="M27" s="425"/>
    </row>
    <row r="28" spans="1:16" x14ac:dyDescent="0.25">
      <c r="B28" s="427"/>
      <c r="C28" s="427"/>
      <c r="D28" s="427"/>
      <c r="E28" s="427"/>
      <c r="F28" s="427"/>
      <c r="G28" s="427"/>
      <c r="H28" s="428"/>
      <c r="K28" s="321" t="s">
        <v>441</v>
      </c>
      <c r="L28" s="426" t="e">
        <f t="array" ref="L28">INDEX(LINEST(IF(yMC&lt;&gt;0,yMC),IF(xMC&lt;&gt;0,xMC^{1,2}),,1),3,1)</f>
        <v>#VALUE!</v>
      </c>
      <c r="M28" s="426"/>
      <c r="O28" s="321" t="s">
        <v>494</v>
      </c>
      <c r="P28">
        <f>INDEX(LINEST(yMC,xMC^{1,2},,1),3,1)</f>
        <v>0.68399082198108352</v>
      </c>
    </row>
    <row r="29" spans="1:16" x14ac:dyDescent="0.25">
      <c r="B29" s="429"/>
      <c r="C29" s="429"/>
      <c r="D29" s="330"/>
      <c r="E29" s="430"/>
      <c r="F29" s="430"/>
      <c r="G29" s="330"/>
      <c r="H29" s="430"/>
      <c r="K29" s="321" t="s">
        <v>493</v>
      </c>
      <c r="L29" s="361"/>
      <c r="M29" s="361"/>
    </row>
    <row r="30" spans="1:16" x14ac:dyDescent="0.25">
      <c r="B30" s="319" t="s">
        <v>212</v>
      </c>
      <c r="C30" s="319" t="s">
        <v>21</v>
      </c>
      <c r="D30" s="319" t="s">
        <v>478</v>
      </c>
      <c r="E30" s="319" t="s">
        <v>206</v>
      </c>
      <c r="F30" s="319" t="s">
        <v>193</v>
      </c>
      <c r="G30" s="319" t="s">
        <v>479</v>
      </c>
      <c r="H30" s="319"/>
    </row>
    <row r="31" spans="1:16" ht="108" customHeight="1" x14ac:dyDescent="0.25">
      <c r="A31" s="322" t="str">
        <f>Projects!B3</f>
        <v>Project</v>
      </c>
      <c r="B31" s="323" t="str">
        <f>Projects!AL3</f>
        <v>Power</v>
      </c>
      <c r="C31" s="323" t="str">
        <f>Projects!AN3</f>
        <v>Voltage</v>
      </c>
      <c r="D31" s="323" t="str">
        <f>Projects!X3</f>
        <v>Poles</v>
      </c>
      <c r="E31" s="323" t="str">
        <f>Projects!AS3</f>
        <v>Bore Ø</v>
      </c>
      <c r="F31" s="323" t="str">
        <f>Projects!AT3</f>
        <v>Iron length</v>
      </c>
      <c r="G31" s="323" t="str">
        <f>Projects!AV3</f>
        <v>Slots</v>
      </c>
      <c r="H31" s="323" t="str">
        <f>Projects!BQ3</f>
        <v>Magnetic core</v>
      </c>
      <c r="J31" s="329" t="s">
        <v>487</v>
      </c>
      <c r="K31" s="329" t="s">
        <v>488</v>
      </c>
    </row>
    <row r="32" spans="1:16" x14ac:dyDescent="0.25">
      <c r="A32" s="318" t="s">
        <v>495</v>
      </c>
      <c r="B32" s="318">
        <f>Projects!AL5</f>
        <v>145</v>
      </c>
      <c r="C32" s="318">
        <f>Projects!AN5</f>
        <v>10.5</v>
      </c>
      <c r="D32" s="318">
        <f>Projects!X5</f>
        <v>32</v>
      </c>
      <c r="E32" s="318">
        <f>Projects!AS5</f>
        <v>6193</v>
      </c>
      <c r="F32" s="318">
        <f>Projects!AT5</f>
        <v>3500</v>
      </c>
      <c r="G32" s="318">
        <f>Projects!AV5</f>
        <v>384</v>
      </c>
      <c r="H32" s="320">
        <f>Projects!BQ5</f>
        <v>465.52499999999998</v>
      </c>
      <c r="J32" s="317">
        <f>IF(H32&gt;0,B32^$L$4*C32^$L$5*D32^$L$6*E32^$L$7*F32^$L$8*G32^$L$9/1000000000,0)</f>
        <v>405515.65824000002</v>
      </c>
      <c r="K32" s="316">
        <f>IF(H32*B32*D32*E32*F32*G32&gt;0,H32,0)</f>
        <v>465.52499999999998</v>
      </c>
      <c r="L32" s="317"/>
      <c r="M32" s="317"/>
      <c r="O32" s="317"/>
      <c r="P32" s="317"/>
    </row>
    <row r="33" spans="1:16" x14ac:dyDescent="0.25">
      <c r="A33" s="318" t="s">
        <v>496</v>
      </c>
      <c r="B33" s="318">
        <f>Projects!AL6</f>
        <v>80</v>
      </c>
      <c r="C33" s="318">
        <f>Projects!AN6</f>
        <v>15</v>
      </c>
      <c r="D33" s="318">
        <f>Projects!X6</f>
        <v>40</v>
      </c>
      <c r="E33" s="318">
        <f>Projects!AS6</f>
        <v>7100</v>
      </c>
      <c r="F33" s="318">
        <f>Projects!AT6</f>
        <v>2170</v>
      </c>
      <c r="G33" s="318">
        <f>Projects!AV6</f>
        <v>420</v>
      </c>
      <c r="H33" s="320">
        <f>Projects!BQ6</f>
        <v>456.91199999999998</v>
      </c>
      <c r="J33" s="317">
        <f>IF(H33&gt;0,B33^$L$4*C33^$L$5*D33^$L$6*E33^$L$7*F33^$L$8*G33^$L$9/1000000000,0)</f>
        <v>310605.12</v>
      </c>
      <c r="K33" s="316">
        <f>IF(H33*B33*D33*E33*F33*G33&gt;0,H33,0)</f>
        <v>456.91199999999998</v>
      </c>
      <c r="L33" s="317"/>
      <c r="M33" s="317"/>
      <c r="O33" s="317"/>
      <c r="P33" s="317"/>
    </row>
    <row r="34" spans="1:16" x14ac:dyDescent="0.25">
      <c r="A34" s="318" t="s">
        <v>497</v>
      </c>
      <c r="B34" s="318">
        <f>Projects!AL7</f>
        <v>80</v>
      </c>
      <c r="C34" s="318">
        <f>Projects!AN7</f>
        <v>15</v>
      </c>
      <c r="D34" s="318">
        <f>Projects!X7</f>
        <v>40</v>
      </c>
      <c r="E34" s="318">
        <f>Projects!AS7</f>
        <v>7495</v>
      </c>
      <c r="F34" s="318">
        <f>Projects!AT7</f>
        <v>1980</v>
      </c>
      <c r="G34" s="318">
        <f>Projects!AV7</f>
        <v>420</v>
      </c>
      <c r="H34" s="320">
        <f>Projects!BQ7</f>
        <v>490.11799999999999</v>
      </c>
      <c r="J34" s="317">
        <f>IF(H34&gt;0,B34^$L$4*C34^$L$5*D34^$L$6*E34^$L$7*F34^$L$8*G34^$L$9/1000000000,0)</f>
        <v>299176.41600000003</v>
      </c>
      <c r="K34" s="316">
        <f>IF(H34*B34*D34*E34*F34*G34&gt;0,H34,0)</f>
        <v>490.11799999999999</v>
      </c>
      <c r="L34" s="317"/>
      <c r="M34" s="317"/>
      <c r="O34" s="317"/>
      <c r="P34" s="317"/>
    </row>
    <row r="35" spans="1:16" x14ac:dyDescent="0.25">
      <c r="A35" s="318" t="s">
        <v>498</v>
      </c>
      <c r="B35" s="318">
        <f>Projects!AL8</f>
        <v>25</v>
      </c>
      <c r="C35" s="318">
        <f>Projects!AN8</f>
        <v>12</v>
      </c>
      <c r="D35" s="318">
        <f>Projects!X8</f>
        <v>10</v>
      </c>
      <c r="E35" s="318">
        <f>Projects!AS8</f>
        <v>2300</v>
      </c>
      <c r="F35" s="318">
        <f>Projects!AT8</f>
        <v>1750</v>
      </c>
      <c r="G35" s="318">
        <f>Projects!AV8</f>
        <v>168</v>
      </c>
      <c r="H35" s="320">
        <f>Projects!BQ8</f>
        <v>138.834</v>
      </c>
      <c r="J35" s="317">
        <f>IF(H35&gt;0,B35^$L$4*C35^$L$5*D35^$L$6*E35^$L$7*F35^$L$8*G35^$L$9/1000000000,0)</f>
        <v>2028.6</v>
      </c>
      <c r="K35" s="316">
        <f>IF(H35*B35*D35*E35*F35*G35&gt;0,H35,0)</f>
        <v>138.834</v>
      </c>
      <c r="L35" s="317"/>
      <c r="M35" s="317"/>
      <c r="O35" s="317"/>
      <c r="P35" s="317"/>
    </row>
    <row r="36" spans="1:16" x14ac:dyDescent="0.25">
      <c r="A36" s="318" t="s">
        <v>499</v>
      </c>
      <c r="B36" s="318">
        <f>Projects!AL9</f>
        <v>68</v>
      </c>
      <c r="C36" s="318">
        <f>Projects!AN9</f>
        <v>10.5</v>
      </c>
      <c r="D36" s="318">
        <f>Projects!X9</f>
        <v>56</v>
      </c>
      <c r="E36" s="318">
        <f>Projects!AS9</f>
        <v>8474</v>
      </c>
      <c r="F36" s="318">
        <f>Projects!AT9</f>
        <v>1425</v>
      </c>
      <c r="G36" s="318">
        <f>Projects!AV9</f>
        <v>480</v>
      </c>
      <c r="H36" s="320">
        <f>Projects!BQ9</f>
        <v>304.77800000000002</v>
      </c>
      <c r="J36" s="317">
        <f>IF(H36&gt;0,B36^$L$4*C36^$L$5*D36^$L$6*E36^$L$7*F36^$L$8*G36^$L$9/1000000000,0)</f>
        <v>231755.900544</v>
      </c>
      <c r="K36" s="316">
        <f>IF(H36*B36*D36*E36*F36*G36&gt;0,H36,0)</f>
        <v>304.77800000000002</v>
      </c>
      <c r="L36" s="317"/>
      <c r="M36" s="317"/>
      <c r="O36" s="317"/>
      <c r="P36" s="317"/>
    </row>
    <row r="37" spans="1:16" x14ac:dyDescent="0.25">
      <c r="A37" s="318" t="s">
        <v>500</v>
      </c>
      <c r="B37" s="318">
        <f>Projects!AL10</f>
        <v>38</v>
      </c>
      <c r="C37" s="318">
        <f>Projects!AN10</f>
        <v>10.5</v>
      </c>
      <c r="D37" s="318">
        <f>Projects!X10</f>
        <v>76</v>
      </c>
      <c r="E37" s="318">
        <f>Projects!AS10</f>
        <v>9290</v>
      </c>
      <c r="F37" s="318">
        <f>Projects!AT10</f>
        <v>1050</v>
      </c>
      <c r="G37" s="318">
        <f>Projects!AV10</f>
        <v>348</v>
      </c>
      <c r="H37" s="320">
        <f>Projects!BQ10</f>
        <v>340.98599999999999</v>
      </c>
      <c r="J37" s="317">
        <f>IF(H37&gt;0,B37^$L$4*C37^$L$5*D37^$L$6*E37^$L$7*F37^$L$8*G37^$L$9/1000000000,0)</f>
        <v>102936.819384</v>
      </c>
      <c r="K37" s="316">
        <f>IF(H37*B37*D37*E37*F37*G37&gt;0,H37,0)</f>
        <v>340.98599999999999</v>
      </c>
      <c r="L37" s="317"/>
      <c r="M37" s="317"/>
      <c r="O37" s="317"/>
      <c r="P37" s="317"/>
    </row>
    <row r="38" spans="1:16" x14ac:dyDescent="0.25">
      <c r="A38" s="318" t="s">
        <v>501</v>
      </c>
      <c r="B38" s="318">
        <f>Projects!AL11</f>
        <v>39</v>
      </c>
      <c r="C38" s="318">
        <f>Projects!AN11</f>
        <v>10.3</v>
      </c>
      <c r="D38" s="318">
        <f>Projects!X11</f>
        <v>72</v>
      </c>
      <c r="E38" s="318">
        <f>Projects!AS11</f>
        <v>9600</v>
      </c>
      <c r="F38" s="318">
        <f>Projects!AT11</f>
        <v>920</v>
      </c>
      <c r="G38" s="318">
        <f>Projects!AV11</f>
        <v>405</v>
      </c>
      <c r="H38" s="320">
        <f>Projects!BQ11</f>
        <v>279.39100000000002</v>
      </c>
      <c r="J38" s="317">
        <f>IF(H38&gt;0,B38^$L$4*C38^$L$5*D38^$L$6*E38^$L$7*F38^$L$8*G38^$L$9/1000000000,0)</f>
        <v>103454.26790399999</v>
      </c>
      <c r="K38" s="316">
        <f>IF(H38*B38*D38*E38*F38*G38&gt;0,H38,0)</f>
        <v>279.39100000000002</v>
      </c>
      <c r="L38" s="317"/>
      <c r="M38" s="317"/>
      <c r="O38" s="317"/>
      <c r="P38" s="317"/>
    </row>
    <row r="39" spans="1:16" x14ac:dyDescent="0.25">
      <c r="A39" s="318" t="s">
        <v>502</v>
      </c>
      <c r="B39" s="318">
        <f>Projects!AL12</f>
        <v>107</v>
      </c>
      <c r="C39" s="318">
        <f>Projects!AN12</f>
        <v>10.3</v>
      </c>
      <c r="D39" s="318">
        <f>Projects!X12</f>
        <v>14</v>
      </c>
      <c r="E39" s="318">
        <f>Projects!AS12</f>
        <v>3508</v>
      </c>
      <c r="F39" s="318">
        <f>Projects!AT12</f>
        <v>2240</v>
      </c>
      <c r="G39" s="318">
        <f>Projects!AV12</f>
        <v>156</v>
      </c>
      <c r="H39" s="320">
        <f>Projects!BQ12</f>
        <v>245.14599999999999</v>
      </c>
      <c r="J39" s="317">
        <f>IF(H39&gt;0,B39^$L$4*C39^$L$5*D39^$L$6*E39^$L$7*F39^$L$8*G39^$L$9/1000000000,0)</f>
        <v>18913.906572288</v>
      </c>
      <c r="K39" s="316">
        <f>IF(H39*B39*D39*E39*F39*G39&gt;0,H39,0)</f>
        <v>245.14599999999999</v>
      </c>
      <c r="L39" s="317"/>
      <c r="M39" s="317"/>
      <c r="O39" s="317"/>
      <c r="P39" s="317"/>
    </row>
    <row r="40" spans="1:16" x14ac:dyDescent="0.25">
      <c r="A40" s="318" t="s">
        <v>503</v>
      </c>
      <c r="B40" s="318">
        <f>Projects!AL13</f>
        <v>25</v>
      </c>
      <c r="C40" s="318">
        <f>Projects!AN13</f>
        <v>5.65</v>
      </c>
      <c r="D40" s="318">
        <f>Projects!X13</f>
        <v>40</v>
      </c>
      <c r="E40" s="318">
        <f>Projects!AS13</f>
        <v>5200</v>
      </c>
      <c r="F40" s="318">
        <f>Projects!AT13</f>
        <v>890</v>
      </c>
      <c r="G40" s="318">
        <f>Projects!AV13</f>
        <v>264</v>
      </c>
      <c r="H40" s="320">
        <f>Projects!BQ13</f>
        <v>207.018</v>
      </c>
      <c r="J40" s="317">
        <f>IF(H40&gt;0,B40^$L$4*C40^$L$5*D40^$L$6*E40^$L$7*F40^$L$8*G40^$L$9/1000000000,0)</f>
        <v>6903.1247999999996</v>
      </c>
      <c r="K40" s="316">
        <f>IF(H40*B40*D40*E40*F40*G40&gt;0,H40,0)</f>
        <v>207.018</v>
      </c>
      <c r="L40" s="317"/>
      <c r="M40" s="317"/>
      <c r="O40" s="317"/>
      <c r="P40" s="317"/>
    </row>
    <row r="41" spans="1:16" x14ac:dyDescent="0.25">
      <c r="A41" s="318" t="s">
        <v>504</v>
      </c>
      <c r="B41" s="318">
        <f>Projects!AL14</f>
        <v>55</v>
      </c>
      <c r="C41" s="318">
        <f>Projects!AN14</f>
        <v>5.65</v>
      </c>
      <c r="D41" s="318">
        <f>Projects!X14</f>
        <v>40</v>
      </c>
      <c r="E41" s="318">
        <f>Projects!AS14</f>
        <v>5952</v>
      </c>
      <c r="F41" s="318">
        <f>Projects!AT14</f>
        <v>1530</v>
      </c>
      <c r="G41" s="318">
        <f>Projects!AV14</f>
        <v>420</v>
      </c>
      <c r="H41" s="320">
        <f>Projects!BQ14</f>
        <v>243.04900000000001</v>
      </c>
      <c r="J41" s="317">
        <f>IF(H41&gt;0,B41^$L$4*C41^$L$5*D41^$L$6*E41^$L$7*F41^$L$8*G41^$L$9/1000000000,0)</f>
        <v>47541.707135999997</v>
      </c>
      <c r="K41" s="316">
        <f>IF(H41*B41*D41*E41*F41*G41&gt;0,H41,0)</f>
        <v>243.04900000000001</v>
      </c>
      <c r="L41" s="317"/>
      <c r="M41" s="317"/>
      <c r="O41" s="317"/>
      <c r="P41" s="317"/>
    </row>
    <row r="42" spans="1:16" x14ac:dyDescent="0.25">
      <c r="A42" s="318" t="s">
        <v>505</v>
      </c>
      <c r="B42" s="318">
        <f>Projects!AL15</f>
        <v>42</v>
      </c>
      <c r="C42" s="318">
        <f>Projects!AN15</f>
        <v>10.3</v>
      </c>
      <c r="D42" s="318">
        <f>Projects!X15</f>
        <v>16</v>
      </c>
      <c r="E42" s="318">
        <f>Projects!AS15</f>
        <v>3638</v>
      </c>
      <c r="F42" s="318">
        <f>Projects!AT15</f>
        <v>1250</v>
      </c>
      <c r="G42" s="318">
        <f>Projects!AV15</f>
        <v>156</v>
      </c>
      <c r="H42" s="320">
        <f>Projects!BQ15</f>
        <v>170.38900000000001</v>
      </c>
      <c r="J42" s="317">
        <f>IF(H42&gt;0,B42^$L$4*C42^$L$5*D42^$L$6*E42^$L$7*F42^$L$8*G42^$L$9/1000000000,0)</f>
        <v>4910.2522559999998</v>
      </c>
      <c r="K42" s="316">
        <f>IF(H42*B42*D42*E42*F42*G42&gt;0,H42,0)</f>
        <v>170.38900000000001</v>
      </c>
      <c r="L42" s="317"/>
      <c r="M42" s="317"/>
      <c r="O42" s="317"/>
      <c r="P42" s="317"/>
    </row>
    <row r="43" spans="1:16" x14ac:dyDescent="0.25">
      <c r="A43" s="318" t="s">
        <v>506</v>
      </c>
      <c r="B43" s="318">
        <f>Projects!AL16</f>
        <v>11</v>
      </c>
      <c r="C43" s="318">
        <f>Projects!AN16</f>
        <v>3.5</v>
      </c>
      <c r="D43" s="318">
        <f>Projects!X16</f>
        <v>64</v>
      </c>
      <c r="E43" s="318">
        <f>Projects!AS16</f>
        <v>3853</v>
      </c>
      <c r="F43" s="318">
        <f>Projects!AT16</f>
        <v>935</v>
      </c>
      <c r="G43" s="318">
        <f>Projects!AV16</f>
        <v>240</v>
      </c>
      <c r="H43" s="320">
        <f>Projects!BQ16</f>
        <v>135.9</v>
      </c>
      <c r="J43" s="317">
        <f>IF(H43&gt;0,B43^$L$4*C43^$L$5*D43^$L$6*E43^$L$7*F43^$L$8*G43^$L$9/1000000000,0)</f>
        <v>2130.4069248000001</v>
      </c>
      <c r="K43" s="316">
        <f>IF(H43*B43*D43*E43*F43*G43&gt;0,H43,0)</f>
        <v>135.9</v>
      </c>
      <c r="L43" s="317"/>
      <c r="M43" s="317"/>
      <c r="O43" s="317"/>
      <c r="P43" s="317"/>
    </row>
    <row r="44" spans="1:16" x14ac:dyDescent="0.25">
      <c r="A44" s="318" t="s">
        <v>507</v>
      </c>
      <c r="B44" s="318">
        <f>Projects!AL17</f>
        <v>19</v>
      </c>
      <c r="C44" s="318">
        <f>Projects!AN17</f>
        <v>3</v>
      </c>
      <c r="D44" s="318">
        <f>Projects!X17</f>
        <v>80</v>
      </c>
      <c r="E44" s="318">
        <f>Projects!AS17</f>
        <v>5070</v>
      </c>
      <c r="F44" s="318">
        <f>Projects!AT17</f>
        <v>1190</v>
      </c>
      <c r="G44" s="318">
        <f>Projects!AV17</f>
        <v>336</v>
      </c>
      <c r="H44" s="320">
        <f>Projects!BQ17</f>
        <v>228.346</v>
      </c>
      <c r="J44" s="317">
        <f>IF(H44&gt;0,B44^$L$4*C44^$L$5*D44^$L$6*E44^$L$7*F44^$L$8*G44^$L$9/1000000000,0)</f>
        <v>9243.9809280000009</v>
      </c>
      <c r="K44" s="316">
        <f>IF(H44*B44*D44*E44*F44*G44&gt;0,H44,0)</f>
        <v>228.346</v>
      </c>
      <c r="L44" s="317"/>
      <c r="M44" s="317"/>
      <c r="O44" s="317"/>
      <c r="P44" s="317"/>
    </row>
    <row r="45" spans="1:16" x14ac:dyDescent="0.25">
      <c r="A45" s="318" t="s">
        <v>508</v>
      </c>
      <c r="B45" s="318">
        <f>Projects!AL18</f>
        <v>14.4</v>
      </c>
      <c r="C45" s="318">
        <f>Projects!AN18</f>
        <v>5.7</v>
      </c>
      <c r="D45" s="318">
        <f>Projects!X18</f>
        <v>56</v>
      </c>
      <c r="E45" s="318">
        <f>Projects!AS18</f>
        <v>6310</v>
      </c>
      <c r="F45" s="318">
        <f>Projects!AT18</f>
        <v>700</v>
      </c>
      <c r="G45" s="318">
        <f>Projects!AV18</f>
        <v>312</v>
      </c>
      <c r="H45" s="320">
        <f>Projects!BQ18</f>
        <v>119.60899999999999</v>
      </c>
      <c r="J45" s="317">
        <f>IF(H45&gt;0,B45^$L$4*C45^$L$5*D45^$L$6*E45^$L$7*F45^$L$8*G45^$L$9/1000000000,0)</f>
        <v>6334.4274739199991</v>
      </c>
      <c r="K45" s="316">
        <f>IF(H45*B45*D45*E45*F45*G45&gt;0,H45,0)</f>
        <v>119.60899999999999</v>
      </c>
      <c r="L45" s="317"/>
      <c r="M45" s="317"/>
      <c r="O45" s="317"/>
      <c r="P45" s="317"/>
    </row>
    <row r="46" spans="1:16" x14ac:dyDescent="0.25">
      <c r="A46" s="318" t="s">
        <v>509</v>
      </c>
      <c r="B46" s="318">
        <f>Projects!AL19</f>
        <v>45</v>
      </c>
      <c r="C46" s="318">
        <f>Projects!AN19</f>
        <v>10.3</v>
      </c>
      <c r="D46" s="318">
        <f>Projects!X19</f>
        <v>80</v>
      </c>
      <c r="E46" s="318">
        <f>Projects!AS19</f>
        <v>10300</v>
      </c>
      <c r="F46" s="318">
        <f>Projects!AT19</f>
        <v>1110</v>
      </c>
      <c r="G46" s="318">
        <f>Projects!AV19</f>
        <v>600</v>
      </c>
      <c r="H46" s="320">
        <f>Projects!BQ19</f>
        <v>358.92</v>
      </c>
      <c r="J46" s="317">
        <f>IF(H46&gt;0,B46^$L$4*C46^$L$5*D46^$L$6*E46^$L$7*F46^$L$8*G46^$L$9/1000000000,0)</f>
        <v>254361.38400000002</v>
      </c>
      <c r="K46" s="316">
        <f>IF(H46*B46*D46*E46*F46*G46&gt;0,H46,0)</f>
        <v>358.92</v>
      </c>
      <c r="L46" s="317"/>
      <c r="M46" s="317"/>
      <c r="O46" s="317"/>
      <c r="P46" s="317"/>
    </row>
    <row r="47" spans="1:16" ht="15" customHeight="1" x14ac:dyDescent="0.25">
      <c r="A47" s="318" t="s">
        <v>510</v>
      </c>
      <c r="B47" s="318">
        <f>Projects!AL20</f>
        <v>5.5</v>
      </c>
      <c r="C47" s="318">
        <f>Projects!AN20</f>
        <v>16</v>
      </c>
      <c r="D47" s="318">
        <f>Projects!X20</f>
        <v>10</v>
      </c>
      <c r="E47" s="318">
        <f>Projects!AS20</f>
        <v>1912</v>
      </c>
      <c r="F47" s="318">
        <f>Projects!AT20</f>
        <v>560</v>
      </c>
      <c r="G47" s="318">
        <f>Projects!AV20</f>
        <v>114</v>
      </c>
      <c r="H47" s="320">
        <f>Projects!BQ20</f>
        <v>0</v>
      </c>
      <c r="J47" s="317">
        <f>IF(H47&gt;0,B47^$L$4*C47^$L$5*D47^$L$6*E47^$L$7*F47^$L$8*G47^$L$9/1000000000,0)</f>
        <v>0</v>
      </c>
      <c r="K47" s="316">
        <f>IF(H47*B47*D47*E47*F47*G47&gt;0,H47,0)</f>
        <v>0</v>
      </c>
      <c r="L47" s="317"/>
      <c r="M47" s="317"/>
      <c r="O47" s="317"/>
      <c r="P47" s="317"/>
    </row>
    <row r="48" spans="1:16" ht="15" customHeight="1" x14ac:dyDescent="0.25">
      <c r="A48" s="318" t="s">
        <v>511</v>
      </c>
      <c r="B48" s="318">
        <f>Projects!AL21</f>
        <v>9</v>
      </c>
      <c r="C48" s="318">
        <f>Projects!AN21</f>
        <v>11</v>
      </c>
      <c r="D48" s="318">
        <f>Projects!X21</f>
        <v>12</v>
      </c>
      <c r="E48" s="318">
        <f>Projects!AS21</f>
        <v>2000</v>
      </c>
      <c r="F48" s="318">
        <f>Projects!AT21</f>
        <v>750</v>
      </c>
      <c r="G48" s="318">
        <f>Projects!AV21</f>
        <v>99</v>
      </c>
      <c r="H48" s="320">
        <f>Projects!BQ21</f>
        <v>0</v>
      </c>
      <c r="J48" s="317">
        <f>IF(H48&gt;0,B48^$L$4*C48^$L$5*D48^$L$6*E48^$L$7*F48^$L$8*G48^$L$9/1000000000,0)</f>
        <v>0</v>
      </c>
      <c r="K48" s="316">
        <f>IF(H48*B48*D48*E48*F48*G48&gt;0,H48,0)</f>
        <v>0</v>
      </c>
      <c r="L48" s="317"/>
      <c r="M48" s="317"/>
      <c r="O48" s="331"/>
    </row>
    <row r="49" spans="1:15" ht="15" customHeight="1" x14ac:dyDescent="0.25">
      <c r="A49" s="318" t="s">
        <v>512</v>
      </c>
      <c r="B49" s="318">
        <f>Projects!AL22</f>
        <v>22</v>
      </c>
      <c r="C49" s="318">
        <f>Projects!AN22</f>
        <v>16.8</v>
      </c>
      <c r="D49" s="318">
        <f>Projects!X22</f>
        <v>8</v>
      </c>
      <c r="E49" s="318">
        <f>Projects!AS22</f>
        <v>2000</v>
      </c>
      <c r="F49" s="318">
        <f>Projects!AT22</f>
        <v>1200</v>
      </c>
      <c r="G49" s="318">
        <f>Projects!AV22</f>
        <v>90</v>
      </c>
      <c r="H49" s="320">
        <f>Projects!BQ22</f>
        <v>0</v>
      </c>
      <c r="J49" s="317">
        <f>IF(H49&gt;0,B49^$L$4*C49^$L$5*D49^$L$6*E49^$L$7*F49^$L$8*G49^$L$9/1000000000,0)</f>
        <v>0</v>
      </c>
      <c r="K49" s="316">
        <f>IF(H49*B49*D49*E49*F49*G49&gt;0,H49,0)</f>
        <v>0</v>
      </c>
      <c r="L49" s="317"/>
      <c r="M49" s="317"/>
      <c r="O49" s="333"/>
    </row>
    <row r="50" spans="1:15" ht="15" customHeight="1" x14ac:dyDescent="0.25">
      <c r="A50" s="318" t="s">
        <v>513</v>
      </c>
      <c r="B50" s="318">
        <f>Projects!AL23</f>
        <v>18</v>
      </c>
      <c r="C50" s="318">
        <f>Projects!AN23</f>
        <v>6</v>
      </c>
      <c r="D50" s="318">
        <f>Projects!X23</f>
        <v>6</v>
      </c>
      <c r="E50" s="318">
        <f>Projects!AS23</f>
        <v>1610</v>
      </c>
      <c r="F50" s="318">
        <f>Projects!AT23</f>
        <v>950</v>
      </c>
      <c r="G50" s="318">
        <f>Projects!AV23</f>
        <v>108</v>
      </c>
      <c r="H50" s="320">
        <f>Projects!BQ23</f>
        <v>0</v>
      </c>
      <c r="J50" s="317">
        <f>IF(H50&gt;0,B50^$L$4*C50^$L$5*D50^$L$6*E50^$L$7*F50^$L$8*G50^$L$9/1000000000,0)</f>
        <v>0</v>
      </c>
      <c r="K50" s="316">
        <f>IF(H50*B50*D50*E50*F50*G50&gt;0,H50,0)</f>
        <v>0</v>
      </c>
      <c r="L50" s="317"/>
      <c r="M50" s="317"/>
      <c r="O50" s="331"/>
    </row>
    <row r="51" spans="1:15" ht="15" customHeight="1" x14ac:dyDescent="0.25">
      <c r="A51" s="318" t="s">
        <v>514</v>
      </c>
      <c r="B51" s="318">
        <f>Projects!AL24</f>
        <v>20</v>
      </c>
      <c r="C51" s="318">
        <f>Projects!AN24</f>
        <v>6</v>
      </c>
      <c r="D51" s="318">
        <f>Projects!X24</f>
        <v>12</v>
      </c>
      <c r="E51" s="318">
        <f>Projects!AS24</f>
        <v>2750</v>
      </c>
      <c r="F51" s="318">
        <f>Projects!AT24</f>
        <v>1050</v>
      </c>
      <c r="G51" s="318">
        <f>Projects!AV24</f>
        <v>144</v>
      </c>
      <c r="H51" s="320">
        <f>Projects!BQ24</f>
        <v>0</v>
      </c>
      <c r="J51" s="317">
        <f>IF(H51&gt;0,B51^$L$4*C51^$L$5*D51^$L$6*E51^$L$7*F51^$L$8*G51^$L$9/1000000000,0)</f>
        <v>0</v>
      </c>
      <c r="K51" s="316">
        <f>IF(H51*B51*D51*E51*F51*G51&gt;0,H51,0)</f>
        <v>0</v>
      </c>
      <c r="L51" s="317"/>
      <c r="M51" s="317"/>
      <c r="O51" s="332"/>
    </row>
    <row r="52" spans="1:15" ht="15" customHeight="1" x14ac:dyDescent="0.25">
      <c r="A52" s="318" t="s">
        <v>515</v>
      </c>
      <c r="B52" s="318">
        <f>Projects!AL25</f>
        <v>25</v>
      </c>
      <c r="C52" s="318">
        <f>Projects!AN25</f>
        <v>10.5</v>
      </c>
      <c r="D52" s="318">
        <f>Projects!X25</f>
        <v>12</v>
      </c>
      <c r="E52" s="318">
        <f>Projects!AS25</f>
        <v>3000</v>
      </c>
      <c r="F52" s="318">
        <f>Projects!AT25</f>
        <v>1100</v>
      </c>
      <c r="G52" s="318">
        <f>Projects!AV25</f>
        <v>180</v>
      </c>
      <c r="H52" s="320">
        <f>Projects!BQ25</f>
        <v>0</v>
      </c>
      <c r="J52" s="317">
        <f>IF(H52&gt;0,B52^$L$4*C52^$L$5*D52^$L$6*E52^$L$7*F52^$L$8*G52^$L$9/1000000000,0)</f>
        <v>0</v>
      </c>
      <c r="K52" s="316">
        <f>IF(H52*B52*D52*E52*F52*G52&gt;0,H52,0)</f>
        <v>0</v>
      </c>
      <c r="L52" s="317"/>
      <c r="M52" s="317"/>
      <c r="O52" s="331"/>
    </row>
    <row r="53" spans="1:15" ht="15" customHeight="1" x14ac:dyDescent="0.25">
      <c r="A53" s="318" t="s">
        <v>516</v>
      </c>
      <c r="B53" s="318">
        <f>Projects!AL26</f>
        <v>22</v>
      </c>
      <c r="C53" s="318">
        <f>Projects!AN26</f>
        <v>16.8</v>
      </c>
      <c r="D53" s="318">
        <f>Projects!X26</f>
        <v>8</v>
      </c>
      <c r="E53" s="318">
        <f>Projects!AS26</f>
        <v>2000</v>
      </c>
      <c r="F53" s="318">
        <f>Projects!AT26</f>
        <v>1200</v>
      </c>
      <c r="G53" s="318">
        <f>Projects!AV26</f>
        <v>90</v>
      </c>
      <c r="H53" s="320">
        <f>Projects!BQ26</f>
        <v>0</v>
      </c>
      <c r="J53" s="317">
        <f>IF(H53&gt;0,B53^$L$4*C53^$L$5*D53^$L$6*E53^$L$7*F53^$L$8*G53^$L$9/1000000000,0)</f>
        <v>0</v>
      </c>
      <c r="K53" s="316">
        <f>IF(H53*B53*D53*E53*F53*G53&gt;0,H53,0)</f>
        <v>0</v>
      </c>
      <c r="L53" s="317"/>
      <c r="M53" s="317"/>
    </row>
    <row r="54" spans="1:15" ht="15" customHeight="1" x14ac:dyDescent="0.25">
      <c r="A54" s="318" t="s">
        <v>517</v>
      </c>
      <c r="B54" s="318">
        <f>Projects!AL27</f>
        <v>9</v>
      </c>
      <c r="C54" s="318">
        <f>Projects!AN27</f>
        <v>10</v>
      </c>
      <c r="D54" s="318">
        <f>Projects!X27</f>
        <v>12</v>
      </c>
      <c r="E54" s="318">
        <f>Projects!AS27</f>
        <v>2200</v>
      </c>
      <c r="F54" s="318">
        <f>Projects!AT27</f>
        <v>1200</v>
      </c>
      <c r="G54" s="318">
        <f>Projects!AV27</f>
        <v>144</v>
      </c>
      <c r="H54" s="320">
        <f>Projects!BQ27</f>
        <v>0</v>
      </c>
      <c r="J54" s="317">
        <f>IF(H54&gt;0,B54^$L$4*C54^$L$5*D54^$L$6*E54^$L$7*F54^$L$8*G54^$L$9/1000000000,0)</f>
        <v>0</v>
      </c>
      <c r="K54" s="316">
        <f>IF(H54*B54*D54*E54*F54*G54&gt;0,H54,0)</f>
        <v>0</v>
      </c>
      <c r="L54" s="317"/>
      <c r="M54" s="317"/>
    </row>
    <row r="55" spans="1:15" ht="15" customHeight="1" x14ac:dyDescent="0.25">
      <c r="A55" s="318" t="s">
        <v>518</v>
      </c>
      <c r="B55" s="318">
        <f>Projects!AL28</f>
        <v>10</v>
      </c>
      <c r="C55" s="318">
        <f>Projects!AN28</f>
        <v>6.3</v>
      </c>
      <c r="D55" s="318">
        <f>Projects!X28</f>
        <v>28</v>
      </c>
      <c r="E55" s="318">
        <f>Projects!AS28</f>
        <v>4050</v>
      </c>
      <c r="F55" s="318">
        <f>Projects!AT28</f>
        <v>590</v>
      </c>
      <c r="G55" s="318">
        <f>Projects!AV28</f>
        <v>336</v>
      </c>
      <c r="H55" s="320">
        <f>Projects!BQ28</f>
        <v>0</v>
      </c>
      <c r="J55" s="317">
        <f>IF(H55&gt;0,B55^$L$4*C55^$L$5*D55^$L$6*E55^$L$7*F55^$L$8*G55^$L$9/1000000000,0)</f>
        <v>0</v>
      </c>
      <c r="K55" s="316">
        <f>IF(H55*B55*D55*E55*F55*G55&gt;0,H55,0)</f>
        <v>0</v>
      </c>
      <c r="L55" s="317"/>
      <c r="M55" s="317"/>
    </row>
    <row r="56" spans="1:15" ht="15" customHeight="1" x14ac:dyDescent="0.25">
      <c r="A56" s="318" t="s">
        <v>519</v>
      </c>
      <c r="B56" s="318">
        <f>Projects!AL29</f>
        <v>12.6</v>
      </c>
      <c r="C56" s="318">
        <f>Projects!AN29</f>
        <v>11</v>
      </c>
      <c r="D56" s="318">
        <f>Projects!X29</f>
        <v>72</v>
      </c>
      <c r="E56" s="318">
        <f>Projects!AS29</f>
        <v>6860</v>
      </c>
      <c r="F56" s="318">
        <f>Projects!AT29</f>
        <v>700</v>
      </c>
      <c r="G56" s="318">
        <f>Projects!AV29</f>
        <v>432</v>
      </c>
      <c r="H56" s="320">
        <f>Projects!BQ29</f>
        <v>0</v>
      </c>
      <c r="J56" s="317">
        <f>IF(H56&gt;0,B56^$L$4*C56^$L$5*D56^$L$6*E56^$L$7*F56^$L$8*G56^$L$9/1000000000,0)</f>
        <v>0</v>
      </c>
      <c r="K56" s="316">
        <f>IF(H56*B56*D56*E56*F56*G56&gt;0,H56,0)</f>
        <v>0</v>
      </c>
      <c r="L56" s="317"/>
      <c r="M56" s="317"/>
    </row>
    <row r="57" spans="1:15" ht="15" customHeight="1" x14ac:dyDescent="0.25">
      <c r="A57" s="318" t="s">
        <v>520</v>
      </c>
      <c r="B57" s="318">
        <f>Projects!AL30</f>
        <v>16.5</v>
      </c>
      <c r="C57" s="318">
        <f>Projects!AN30</f>
        <v>6.3</v>
      </c>
      <c r="D57" s="318">
        <f>Projects!X30</f>
        <v>52</v>
      </c>
      <c r="E57" s="318">
        <f>Projects!AS30</f>
        <v>6500</v>
      </c>
      <c r="F57" s="318">
        <f>Projects!AT30</f>
        <v>580</v>
      </c>
      <c r="G57" s="318">
        <f>Projects!AV30</f>
        <v>384</v>
      </c>
      <c r="H57" s="320">
        <f>Projects!BQ30</f>
        <v>0</v>
      </c>
      <c r="J57" s="317">
        <f>IF(H57&gt;0,B57^$L$4*C57^$L$5*D57^$L$6*E57^$L$7*F57^$L$8*G57^$L$9/1000000000,0)</f>
        <v>0</v>
      </c>
      <c r="K57" s="316">
        <f>IF(H57*B57*D57*E57*F57*G57&gt;0,H57,0)</f>
        <v>0</v>
      </c>
      <c r="L57" s="317"/>
      <c r="M57" s="317"/>
    </row>
    <row r="58" spans="1:15" ht="15" customHeight="1" x14ac:dyDescent="0.25">
      <c r="A58" s="318" t="s">
        <v>521</v>
      </c>
      <c r="B58" s="318">
        <f>Projects!AL31</f>
        <v>20</v>
      </c>
      <c r="C58" s="318">
        <f>Projects!AN31</f>
        <v>6</v>
      </c>
      <c r="D58" s="318">
        <f>Projects!X31</f>
        <v>12</v>
      </c>
      <c r="E58" s="318">
        <f>Projects!AS31</f>
        <v>2750</v>
      </c>
      <c r="F58" s="318">
        <f>Projects!AT31</f>
        <v>1050</v>
      </c>
      <c r="G58" s="318">
        <f>Projects!AV31</f>
        <v>144</v>
      </c>
      <c r="H58" s="320">
        <f>Projects!BQ31</f>
        <v>0</v>
      </c>
      <c r="J58" s="317">
        <f>IF(H58&gt;0,B58^$L$4*C58^$L$5*D58^$L$6*E58^$L$7*F58^$L$8*G58^$L$9/1000000000,0)</f>
        <v>0</v>
      </c>
      <c r="K58" s="316">
        <f>IF(H58*B58*D58*E58*F58*G58&gt;0,H58,0)</f>
        <v>0</v>
      </c>
      <c r="L58" s="317"/>
      <c r="M58" s="317"/>
    </row>
    <row r="59" spans="1:15" ht="15" customHeight="1" x14ac:dyDescent="0.25">
      <c r="A59" s="318" t="s">
        <v>522</v>
      </c>
      <c r="B59" s="318">
        <f>Projects!AL32</f>
        <v>22.5</v>
      </c>
      <c r="C59" s="318">
        <f>Projects!AN32</f>
        <v>5.5</v>
      </c>
      <c r="D59" s="318">
        <f>Projects!X32</f>
        <v>10</v>
      </c>
      <c r="E59" s="318">
        <f>Projects!AS32</f>
        <v>2498</v>
      </c>
      <c r="F59" s="318">
        <f>Projects!AT32</f>
        <v>1040</v>
      </c>
      <c r="G59" s="318">
        <f>Projects!AV32</f>
        <v>216</v>
      </c>
      <c r="H59" s="320">
        <f>Projects!BQ32</f>
        <v>0</v>
      </c>
      <c r="J59" s="317">
        <f>IF(H59&gt;0,B59^$L$4*C59^$L$5*D59^$L$6*E59^$L$7*F59^$L$8*G59^$L$9/1000000000,0)</f>
        <v>0</v>
      </c>
      <c r="K59" s="316">
        <f>IF(H59*B59*D59*E59*F59*G59&gt;0,H59,0)</f>
        <v>0</v>
      </c>
      <c r="L59" s="317"/>
      <c r="M59" s="317"/>
    </row>
    <row r="60" spans="1:15" x14ac:dyDescent="0.25">
      <c r="A60" s="318" t="s">
        <v>523</v>
      </c>
      <c r="B60" s="318">
        <f>Projects!AL33</f>
        <v>16.5</v>
      </c>
      <c r="C60" s="318">
        <f>Projects!AN33</f>
        <v>6.3</v>
      </c>
      <c r="D60" s="318">
        <f>Projects!X33</f>
        <v>52</v>
      </c>
      <c r="E60" s="318">
        <f>Projects!AS33</f>
        <v>6500</v>
      </c>
      <c r="F60" s="318">
        <f>Projects!AT33</f>
        <v>580</v>
      </c>
      <c r="G60" s="318">
        <f>Projects!AV33</f>
        <v>384</v>
      </c>
      <c r="H60" s="320">
        <f>Projects!BQ33</f>
        <v>121.18300000000001</v>
      </c>
      <c r="J60" s="317">
        <f>IF(H60&gt;0,B60^$L$4*C60^$L$5*D60^$L$6*E60^$L$7*F60^$L$8*G60^$L$9/1000000000,0)</f>
        <v>7825.2894720000004</v>
      </c>
      <c r="K60" s="316">
        <f>IF(H60*B60*D60*E60*F60*G60&gt;0,H60,0)</f>
        <v>121.18300000000001</v>
      </c>
      <c r="L60" s="317"/>
      <c r="M60" s="317"/>
    </row>
    <row r="61" spans="1:15" x14ac:dyDescent="0.25">
      <c r="A61" s="318" t="s">
        <v>524</v>
      </c>
      <c r="B61" s="318">
        <f>Projects!AL34</f>
        <v>32</v>
      </c>
      <c r="C61" s="318">
        <f>Projects!AN34</f>
        <v>10.5</v>
      </c>
      <c r="D61" s="318">
        <f>Projects!X34</f>
        <v>12</v>
      </c>
      <c r="E61" s="318">
        <f>Projects!AS34</f>
        <v>2700</v>
      </c>
      <c r="F61" s="318">
        <f>Projects!AT34</f>
        <v>1450</v>
      </c>
      <c r="G61" s="318">
        <f>Projects!AV34</f>
        <v>162</v>
      </c>
      <c r="H61" s="320">
        <f>Projects!BQ34</f>
        <v>134.21199999999999</v>
      </c>
      <c r="J61" s="317">
        <f>IF(H61&gt;0,B61^$L$4*C61^$L$5*D61^$L$6*E61^$L$7*F61^$L$8*G61^$L$9/1000000000,0)</f>
        <v>2557.2153600000001</v>
      </c>
      <c r="K61" s="316">
        <f>IF(H61*B61*D61*E61*F61*G61&gt;0,H61,0)</f>
        <v>134.21199999999999</v>
      </c>
      <c r="L61" s="317"/>
      <c r="M61" s="317"/>
    </row>
    <row r="62" spans="1:15" x14ac:dyDescent="0.25">
      <c r="A62" s="318" t="s">
        <v>525</v>
      </c>
      <c r="B62" s="318">
        <f>Projects!AL35</f>
        <v>32</v>
      </c>
      <c r="C62" s="318">
        <f>Projects!AN35</f>
        <v>10.5</v>
      </c>
      <c r="D62" s="318">
        <f>Projects!X35</f>
        <v>12</v>
      </c>
      <c r="E62" s="318">
        <f>Projects!AS35</f>
        <v>2700</v>
      </c>
      <c r="F62" s="318">
        <f>Projects!AT35</f>
        <v>1450</v>
      </c>
      <c r="G62" s="318">
        <f>Projects!AV35</f>
        <v>162</v>
      </c>
      <c r="H62" s="320">
        <f>Projects!BQ35</f>
        <v>134.21199999999999</v>
      </c>
      <c r="J62" s="317">
        <f>IF(H62&gt;0,B62^$L$4*C62^$L$5*D62^$L$6*E62^$L$7*F62^$L$8*G62^$L$9/1000000000,0)</f>
        <v>2557.2153600000001</v>
      </c>
      <c r="K62" s="316">
        <f>IF(H62*B62*D62*E62*F62*G62&gt;0,H62,0)</f>
        <v>134.21199999999999</v>
      </c>
      <c r="L62" s="317"/>
      <c r="M62" s="317"/>
    </row>
    <row r="63" spans="1:15" ht="15" customHeight="1" x14ac:dyDescent="0.25">
      <c r="A63" s="318" t="s">
        <v>526</v>
      </c>
      <c r="B63" s="318">
        <f>Projects!AL36</f>
        <v>22</v>
      </c>
      <c r="C63" s="318">
        <f>Projects!AN36</f>
        <v>10</v>
      </c>
      <c r="D63" s="318">
        <f>Projects!X36</f>
        <v>18</v>
      </c>
      <c r="E63" s="318">
        <f>Projects!AS36</f>
        <v>3304</v>
      </c>
      <c r="F63" s="318">
        <f>Projects!AT36</f>
        <v>1420</v>
      </c>
      <c r="G63" s="318">
        <f>Projects!AV36</f>
        <v>216</v>
      </c>
      <c r="H63" s="320">
        <f>Projects!BQ36</f>
        <v>0</v>
      </c>
      <c r="J63" s="317">
        <f>IF(H63&gt;0,B63^$L$4*C63^$L$5*D63^$L$6*E63^$L$7*F63^$L$8*G63^$L$9/1000000000,0)</f>
        <v>0</v>
      </c>
      <c r="K63" s="316">
        <f>IF(H63*B63*D63*E63*F63*G63&gt;0,H63,0)</f>
        <v>0</v>
      </c>
      <c r="L63" s="317"/>
      <c r="M63" s="317"/>
    </row>
    <row r="64" spans="1:15" ht="15" customHeight="1" x14ac:dyDescent="0.25">
      <c r="A64" s="318" t="s">
        <v>527</v>
      </c>
      <c r="B64" s="318">
        <f>Projects!AL37</f>
        <v>38</v>
      </c>
      <c r="C64" s="318">
        <f>Projects!AN37</f>
        <v>10</v>
      </c>
      <c r="D64" s="318">
        <f>Projects!X37</f>
        <v>10</v>
      </c>
      <c r="E64" s="318">
        <f>Projects!AS37</f>
        <v>2289</v>
      </c>
      <c r="F64" s="318">
        <f>Projects!AT37</f>
        <v>1800</v>
      </c>
      <c r="G64" s="318">
        <f>Projects!AV37</f>
        <v>120</v>
      </c>
      <c r="H64" s="320">
        <f>Projects!BQ37</f>
        <v>0</v>
      </c>
      <c r="J64" s="317">
        <f>IF(H64&gt;0,B64^$L$4*C64^$L$5*D64^$L$6*E64^$L$7*F64^$L$8*G64^$L$9/1000000000,0)</f>
        <v>0</v>
      </c>
      <c r="K64" s="316">
        <f>IF(H64*B64*D64*E64*F64*G64&gt;0,H64,0)</f>
        <v>0</v>
      </c>
      <c r="L64" s="317"/>
      <c r="M64" s="317"/>
    </row>
    <row r="65" spans="1:15" x14ac:dyDescent="0.25">
      <c r="A65" s="318" t="s">
        <v>528</v>
      </c>
      <c r="B65" s="318">
        <f>Projects!AL38</f>
        <v>12.5</v>
      </c>
      <c r="C65" s="318">
        <f>Projects!AN38</f>
        <v>6.3</v>
      </c>
      <c r="D65" s="318">
        <f>Projects!X38</f>
        <v>88</v>
      </c>
      <c r="E65" s="318">
        <f>Projects!AS38</f>
        <v>8000</v>
      </c>
      <c r="F65" s="318">
        <f>Projects!AT38</f>
        <v>600</v>
      </c>
      <c r="G65" s="318">
        <f>Projects!AV38</f>
        <v>624</v>
      </c>
      <c r="H65" s="320">
        <f>Projects!BQ38</f>
        <v>147.44900000000001</v>
      </c>
      <c r="J65" s="317">
        <f>IF(H65&gt;0,B65^$L$4*C65^$L$5*D65^$L$6*E65^$L$7*F65^$L$8*G65^$L$9/1000000000,0)</f>
        <v>20756.736000000001</v>
      </c>
      <c r="K65" s="316">
        <f>IF(H65*B65*D65*E65*F65*G65&gt;0,H65,0)</f>
        <v>147.44900000000001</v>
      </c>
      <c r="L65" s="317"/>
      <c r="M65" s="317"/>
    </row>
    <row r="66" spans="1:15" ht="15" customHeight="1" x14ac:dyDescent="0.25">
      <c r="A66" s="318" t="s">
        <v>529</v>
      </c>
      <c r="B66" s="318">
        <f>Projects!AL39</f>
        <v>42</v>
      </c>
      <c r="C66" s="318">
        <f>Projects!AN39</f>
        <v>10</v>
      </c>
      <c r="D66" s="318">
        <f>Projects!X39</f>
        <v>28</v>
      </c>
      <c r="E66" s="318">
        <f>Projects!AS39</f>
        <v>4200</v>
      </c>
      <c r="F66" s="318">
        <f>Projects!AT39</f>
        <v>1770</v>
      </c>
      <c r="G66" s="318">
        <f>Projects!AV39</f>
        <v>189</v>
      </c>
      <c r="H66" s="320">
        <f>Projects!BQ39</f>
        <v>0</v>
      </c>
      <c r="J66" s="317">
        <f>IF(H66&gt;0,B66^$L$4*C66^$L$5*D66^$L$6*E66^$L$7*F66^$L$8*G66^$L$9/1000000000,0)</f>
        <v>0</v>
      </c>
      <c r="K66" s="316">
        <f>IF(H66*B66*D66*E66*F66*G66&gt;0,H66,0)</f>
        <v>0</v>
      </c>
      <c r="L66" s="317"/>
      <c r="M66" s="317"/>
    </row>
    <row r="67" spans="1:15" ht="15" customHeight="1" x14ac:dyDescent="0.25">
      <c r="A67" s="318" t="s">
        <v>530</v>
      </c>
      <c r="B67" s="318">
        <f>Projects!AL40</f>
        <v>53</v>
      </c>
      <c r="C67" s="318">
        <f>Projects!AN40</f>
        <v>11</v>
      </c>
      <c r="D67" s="318">
        <f>Projects!X40</f>
        <v>8</v>
      </c>
      <c r="E67" s="318">
        <f>Projects!AS40</f>
        <v>2350</v>
      </c>
      <c r="F67" s="318">
        <f>Projects!AT40</f>
        <v>1800</v>
      </c>
      <c r="G67" s="318">
        <f>Projects!AV40</f>
        <v>99</v>
      </c>
      <c r="H67" s="320">
        <f>Projects!BQ40</f>
        <v>0</v>
      </c>
      <c r="J67" s="317">
        <f>IF(H67&gt;0,B67^$L$4*C67^$L$5*D67^$L$6*E67^$L$7*F67^$L$8*G67^$L$9/1000000000,0)</f>
        <v>0</v>
      </c>
      <c r="K67" s="316">
        <f>IF(H67*B67*D67*E67*F67*G67&gt;0,H67,0)</f>
        <v>0</v>
      </c>
      <c r="L67" s="317"/>
      <c r="M67" s="317"/>
    </row>
    <row r="68" spans="1:15" ht="15" customHeight="1" x14ac:dyDescent="0.25">
      <c r="A68" s="318" t="s">
        <v>531</v>
      </c>
      <c r="B68" s="318">
        <f>Projects!AL41</f>
        <v>48.93</v>
      </c>
      <c r="C68" s="318">
        <f>Projects!AN41</f>
        <v>10.5</v>
      </c>
      <c r="D68" s="318">
        <f>Projects!X41</f>
        <v>24</v>
      </c>
      <c r="E68" s="318">
        <f>Projects!AS41</f>
        <v>4844</v>
      </c>
      <c r="F68" s="318">
        <f>Projects!AT41</f>
        <v>1620</v>
      </c>
      <c r="G68" s="318">
        <f>Projects!AV41</f>
        <v>162</v>
      </c>
      <c r="H68" s="320">
        <f>Projects!BQ41</f>
        <v>0</v>
      </c>
      <c r="J68" s="317">
        <f>IF(H68&gt;0,B68^$L$4*C68^$L$5*D68^$L$6*E68^$L$7*F68^$L$8*G68^$L$9/1000000000,0)</f>
        <v>0</v>
      </c>
      <c r="K68" s="316">
        <f>IF(H68*B68*D68*E68*F68*G68&gt;0,H68,0)</f>
        <v>0</v>
      </c>
      <c r="L68" s="317"/>
      <c r="M68" s="317"/>
    </row>
    <row r="69" spans="1:15" ht="15" customHeight="1" x14ac:dyDescent="0.25">
      <c r="A69" s="318" t="s">
        <v>532</v>
      </c>
      <c r="B69" s="318">
        <f>Projects!AL42</f>
        <v>46</v>
      </c>
      <c r="C69" s="318">
        <f>Projects!AN42</f>
        <v>12</v>
      </c>
      <c r="D69" s="318">
        <f>Projects!X42</f>
        <v>12</v>
      </c>
      <c r="E69" s="318">
        <f>Projects!AS42</f>
        <v>3173</v>
      </c>
      <c r="F69" s="318">
        <f>Projects!AT42</f>
        <v>1300</v>
      </c>
      <c r="G69" s="318">
        <f>Projects!AV42</f>
        <v>162</v>
      </c>
      <c r="H69" s="320">
        <f>Projects!BQ42</f>
        <v>0</v>
      </c>
      <c r="J69" s="317">
        <f>IF(H69&gt;0,B69^$L$4*C69^$L$5*D69^$L$6*E69^$L$7*F69^$L$8*G69^$L$9/1000000000,0)</f>
        <v>0</v>
      </c>
      <c r="K69" s="316">
        <f>IF(H69*B69*D69*E69*F69*G69&gt;0,H69,0)</f>
        <v>0</v>
      </c>
      <c r="L69" s="317"/>
      <c r="M69" s="317"/>
    </row>
    <row r="70" spans="1:15" ht="15" customHeight="1" x14ac:dyDescent="0.25">
      <c r="A70" s="318" t="s">
        <v>533</v>
      </c>
      <c r="B70" s="318">
        <f>Projects!AL43</f>
        <v>35</v>
      </c>
      <c r="C70" s="318">
        <f>Projects!AN43</f>
        <v>10.5</v>
      </c>
      <c r="D70" s="318">
        <f>Projects!X43</f>
        <v>18</v>
      </c>
      <c r="E70" s="318">
        <f>Projects!AS43</f>
        <v>4506</v>
      </c>
      <c r="F70" s="318">
        <f>Projects!AT43</f>
        <v>1000</v>
      </c>
      <c r="G70" s="318">
        <f>Projects!AV43</f>
        <v>216</v>
      </c>
      <c r="H70" s="320">
        <f>Projects!BQ43</f>
        <v>0</v>
      </c>
      <c r="J70" s="317">
        <f>IF(H70&gt;0,B70^$L$4*C70^$L$5*D70^$L$6*E70^$L$7*F70^$L$8*G70^$L$9/1000000000,0)</f>
        <v>0</v>
      </c>
      <c r="K70" s="316">
        <f>IF(H70*B70*D70*E70*F70*G70&gt;0,H70,0)</f>
        <v>0</v>
      </c>
      <c r="L70" s="317"/>
      <c r="M70" s="317"/>
    </row>
    <row r="71" spans="1:15" ht="15" customHeight="1" x14ac:dyDescent="0.25">
      <c r="A71" s="318" t="s">
        <v>534</v>
      </c>
      <c r="B71" s="318">
        <f>Projects!AL44</f>
        <v>53</v>
      </c>
      <c r="C71" s="318">
        <f>Projects!AN44</f>
        <v>10</v>
      </c>
      <c r="D71" s="318">
        <f>Projects!X44</f>
        <v>12</v>
      </c>
      <c r="E71" s="318">
        <f>Projects!AS44</f>
        <v>2803</v>
      </c>
      <c r="F71" s="318">
        <f>Projects!AT44</f>
        <v>2600</v>
      </c>
      <c r="G71" s="318">
        <f>Projects!AV44</f>
        <v>162</v>
      </c>
      <c r="H71" s="320">
        <f>Projects!BQ44</f>
        <v>0</v>
      </c>
      <c r="J71" s="317">
        <f>IF(H71&gt;0,B71^$L$4*C71^$L$5*D71^$L$6*E71^$L$7*F71^$L$8*G71^$L$9/1000000000,0)</f>
        <v>0</v>
      </c>
      <c r="K71" s="316">
        <f>IF(H71*B71*D71*E71*F71*G71&gt;0,H71,0)</f>
        <v>0</v>
      </c>
      <c r="L71" s="317"/>
      <c r="M71" s="317"/>
    </row>
    <row r="72" spans="1:15" ht="15" customHeight="1" x14ac:dyDescent="0.25">
      <c r="A72" s="318" t="s">
        <v>535</v>
      </c>
      <c r="B72" s="318">
        <f>Projects!AL45</f>
        <v>60</v>
      </c>
      <c r="C72" s="318">
        <f>Projects!AN45</f>
        <v>10.5</v>
      </c>
      <c r="D72" s="318">
        <f>Projects!X45</f>
        <v>8</v>
      </c>
      <c r="E72" s="318">
        <f>Projects!AS45</f>
        <v>2200</v>
      </c>
      <c r="F72" s="318">
        <f>Projects!AT45</f>
        <v>3000</v>
      </c>
      <c r="G72" s="318">
        <f>Projects!AV45</f>
        <v>144</v>
      </c>
      <c r="H72" s="320">
        <f>Projects!BQ45</f>
        <v>0</v>
      </c>
      <c r="J72" s="317">
        <f>IF(H72&gt;0,B72^$L$4*C72^$L$5*D72^$L$6*E72^$L$7*F72^$L$8*G72^$L$9/1000000000,0)</f>
        <v>0</v>
      </c>
      <c r="K72" s="316">
        <f>IF(H72*B72*D72*E72*F72*G72&gt;0,H72,0)</f>
        <v>0</v>
      </c>
      <c r="L72" s="317"/>
      <c r="M72" s="317"/>
    </row>
    <row r="73" spans="1:15" ht="15" customHeight="1" x14ac:dyDescent="0.25">
      <c r="A73" s="318" t="s">
        <v>536</v>
      </c>
      <c r="B73" s="318">
        <f>Projects!AL46</f>
        <v>35</v>
      </c>
      <c r="C73" s="318">
        <f>Projects!AN46</f>
        <v>11</v>
      </c>
      <c r="D73" s="318">
        <f>Projects!X46</f>
        <v>40</v>
      </c>
      <c r="E73" s="318">
        <f>Projects!AS46</f>
        <v>6685</v>
      </c>
      <c r="F73" s="318">
        <f>Projects!AT46</f>
        <v>813</v>
      </c>
      <c r="G73" s="318">
        <f>Projects!AV46</f>
        <v>420</v>
      </c>
      <c r="H73" s="320">
        <f>Projects!BQ46</f>
        <v>0</v>
      </c>
      <c r="J73" s="317">
        <f>IF(H73&gt;0,B73^$L$4*C73^$L$5*D73^$L$6*E73^$L$7*F73^$L$8*G73^$L$9/1000000000,0)</f>
        <v>0</v>
      </c>
      <c r="K73" s="316">
        <f>IF(H73*B73*D73*E73*F73*G73&gt;0,H73,0)</f>
        <v>0</v>
      </c>
      <c r="L73" s="317"/>
      <c r="M73" s="317"/>
    </row>
    <row r="74" spans="1:15" ht="15" customHeight="1" x14ac:dyDescent="0.25">
      <c r="A74" s="318" t="s">
        <v>537</v>
      </c>
      <c r="B74" s="318">
        <f>Projects!AL47</f>
        <v>50</v>
      </c>
      <c r="C74" s="318">
        <f>Projects!AN47</f>
        <v>10.5</v>
      </c>
      <c r="D74" s="318">
        <f>Projects!X47</f>
        <v>24</v>
      </c>
      <c r="E74" s="318">
        <f>Projects!AS47</f>
        <v>5000</v>
      </c>
      <c r="F74" s="318">
        <f>Projects!AT47</f>
        <v>1620</v>
      </c>
      <c r="G74" s="318">
        <f>Projects!AV47</f>
        <v>306</v>
      </c>
      <c r="H74" s="320">
        <f>Projects!BQ47</f>
        <v>0</v>
      </c>
      <c r="J74" s="317">
        <f>IF(H74&gt;0,B74^$L$4*C74^$L$5*D74^$L$6*E74^$L$7*F74^$L$8*G74^$L$9/1000000000,0)</f>
        <v>0</v>
      </c>
      <c r="K74" s="316">
        <f>IF(H74*B74*D74*E74*F74*G74&gt;0,H74,0)</f>
        <v>0</v>
      </c>
      <c r="L74" s="317"/>
      <c r="M74" s="317"/>
    </row>
    <row r="75" spans="1:15" ht="15" customHeight="1" x14ac:dyDescent="0.25">
      <c r="A75" s="318" t="s">
        <v>538</v>
      </c>
      <c r="B75" s="318">
        <f>Projects!AL48</f>
        <v>52</v>
      </c>
      <c r="C75" s="318">
        <f>Projects!AN48</f>
        <v>10.5</v>
      </c>
      <c r="D75" s="318">
        <f>Projects!X48</f>
        <v>44</v>
      </c>
      <c r="E75" s="318">
        <f>Projects!AS48</f>
        <v>7096</v>
      </c>
      <c r="F75" s="318">
        <f>Projects!AT48</f>
        <v>1150</v>
      </c>
      <c r="G75" s="318">
        <f>Projects!AV48</f>
        <v>285</v>
      </c>
      <c r="H75" s="320">
        <f>Projects!BQ48</f>
        <v>0</v>
      </c>
      <c r="J75" s="317">
        <f>IF(H75&gt;0,B75^$L$4*C75^$L$5*D75^$L$6*E75^$L$7*F75^$L$8*G75^$L$9/1000000000,0)</f>
        <v>0</v>
      </c>
      <c r="K75" s="316">
        <f>IF(H75*B75*D75*E75*F75*G75&gt;0,H75,0)</f>
        <v>0</v>
      </c>
      <c r="L75" s="317"/>
      <c r="M75" s="317"/>
    </row>
    <row r="76" spans="1:15" ht="15" customHeight="1" x14ac:dyDescent="0.25">
      <c r="A76" s="318" t="s">
        <v>539</v>
      </c>
      <c r="B76" s="318">
        <f>Projects!AL49</f>
        <v>67</v>
      </c>
      <c r="C76" s="318">
        <f>Projects!AN49</f>
        <v>14</v>
      </c>
      <c r="D76" s="318">
        <f>Projects!X49</f>
        <v>12</v>
      </c>
      <c r="E76" s="318">
        <f>Projects!AS49</f>
        <v>3095</v>
      </c>
      <c r="F76" s="318">
        <f>Projects!AT49</f>
        <v>2500</v>
      </c>
      <c r="G76" s="318">
        <f>Projects!AV49</f>
        <v>216</v>
      </c>
      <c r="H76" s="320">
        <f>Projects!BQ49</f>
        <v>0</v>
      </c>
      <c r="J76" s="317">
        <f>IF(H76&gt;0,B76^$L$4*C76^$L$5*D76^$L$6*E76^$L$7*F76^$L$8*G76^$L$9/1000000000,0)</f>
        <v>0</v>
      </c>
      <c r="K76" s="316">
        <f>IF(H76*B76*D76*E76*F76*G76&gt;0,H76,0)</f>
        <v>0</v>
      </c>
      <c r="L76" s="317"/>
      <c r="M76" s="317"/>
    </row>
    <row r="77" spans="1:15" x14ac:dyDescent="0.25">
      <c r="A77" s="318" t="s">
        <v>540</v>
      </c>
      <c r="B77" s="318">
        <f>Projects!AL50</f>
        <v>40</v>
      </c>
      <c r="C77" s="318">
        <f>Projects!AN50</f>
        <v>10.5</v>
      </c>
      <c r="D77" s="318">
        <f>Projects!X50</f>
        <v>80</v>
      </c>
      <c r="E77" s="318">
        <f>Projects!AS50</f>
        <v>9400</v>
      </c>
      <c r="F77" s="318">
        <f>Projects!AT50</f>
        <v>1600</v>
      </c>
      <c r="G77" s="318">
        <f>Projects!AV50</f>
        <v>660</v>
      </c>
      <c r="H77" s="320">
        <f>Projects!BQ50</f>
        <v>276.55700000000002</v>
      </c>
      <c r="J77" s="317">
        <f>IF(H77&gt;0,B77^$L$4*C77^$L$5*D77^$L$6*E77^$L$7*F77^$L$8*G77^$L$9/1000000000,0)</f>
        <v>333527.03999999998</v>
      </c>
      <c r="K77" s="316">
        <f>IF(H77*B77*D77*E77*F77*G77&gt;0,H77,0)</f>
        <v>276.55700000000002</v>
      </c>
      <c r="L77" s="317"/>
      <c r="M77" s="317"/>
    </row>
    <row r="78" spans="1:15" ht="15" customHeight="1" x14ac:dyDescent="0.25">
      <c r="A78" s="318" t="s">
        <v>541</v>
      </c>
      <c r="B78" s="318">
        <f>Projects!AL51</f>
        <v>64</v>
      </c>
      <c r="C78" s="318">
        <f>Projects!AN51</f>
        <v>10.5</v>
      </c>
      <c r="D78" s="318">
        <f>Projects!X51</f>
        <v>12</v>
      </c>
      <c r="E78" s="318">
        <f>Projects!AS51</f>
        <v>3250</v>
      </c>
      <c r="F78" s="318">
        <f>Projects!AT51</f>
        <v>2200</v>
      </c>
      <c r="G78" s="318">
        <f>Projects!AV51</f>
        <v>180</v>
      </c>
      <c r="H78" s="320">
        <f>Projects!BQ51</f>
        <v>0</v>
      </c>
      <c r="J78" s="317">
        <f>IF(H78&gt;0,B78^$L$4*C78^$L$5*D78^$L$6*E78^$L$7*F78^$L$8*G78^$L$9/1000000000,0)</f>
        <v>0</v>
      </c>
      <c r="K78" s="316">
        <f>IF(H78*B78*D78*E78*F78*G78&gt;0,H78,0)</f>
        <v>0</v>
      </c>
      <c r="L78" s="317"/>
      <c r="M78" s="317"/>
      <c r="N78" s="330"/>
      <c r="O78" s="330"/>
    </row>
    <row r="79" spans="1:15" ht="15" customHeight="1" x14ac:dyDescent="0.25">
      <c r="A79" s="318" t="s">
        <v>542</v>
      </c>
      <c r="B79" s="318">
        <f>Projects!AL52</f>
        <v>70</v>
      </c>
      <c r="C79" s="318">
        <f>Projects!AN52</f>
        <v>10.5</v>
      </c>
      <c r="D79" s="318">
        <f>Projects!X52</f>
        <v>8</v>
      </c>
      <c r="E79" s="318">
        <f>Projects!AS52</f>
        <v>2450</v>
      </c>
      <c r="F79" s="318">
        <f>Projects!AT52</f>
        <v>2600</v>
      </c>
      <c r="G79" s="318">
        <f>Projects!AV52</f>
        <v>144</v>
      </c>
      <c r="H79" s="320">
        <f>Projects!BQ52</f>
        <v>0</v>
      </c>
      <c r="J79" s="317">
        <f>IF(H79&gt;0,B79^$L$4*C79^$L$5*D79^$L$6*E79^$L$7*F79^$L$8*G79^$L$9/1000000000,0)</f>
        <v>0</v>
      </c>
      <c r="K79" s="316">
        <f>IF(H79*B79*D79*E79*F79*G79&gt;0,H79,0)</f>
        <v>0</v>
      </c>
      <c r="L79" s="317"/>
      <c r="M79" s="317"/>
      <c r="N79" s="330"/>
      <c r="O79" s="330"/>
    </row>
    <row r="80" spans="1:15" x14ac:dyDescent="0.25">
      <c r="A80" s="318" t="s">
        <v>543</v>
      </c>
      <c r="B80" s="318">
        <f>Projects!AL53</f>
        <v>66.5</v>
      </c>
      <c r="C80" s="318">
        <f>Projects!AN53</f>
        <v>10.25</v>
      </c>
      <c r="D80" s="318">
        <f>Projects!X53</f>
        <v>16</v>
      </c>
      <c r="E80" s="318">
        <f>Projects!AS53</f>
        <v>3396</v>
      </c>
      <c r="F80" s="318">
        <f>Projects!AT53</f>
        <v>2000</v>
      </c>
      <c r="G80" s="318">
        <f>Projects!AV53</f>
        <v>204</v>
      </c>
      <c r="H80" s="320">
        <f>Projects!BQ53</f>
        <v>215.774</v>
      </c>
      <c r="J80" s="317">
        <f>IF(H80&gt;0,B80^$L$4*C80^$L$5*D80^$L$6*E80^$L$7*F80^$L$8*G80^$L$9/1000000000,0)</f>
        <v>15111.004607999999</v>
      </c>
      <c r="K80" s="316">
        <f>IF(H80*B80*D80*E80*F80*G80&gt;0,H80,0)</f>
        <v>215.774</v>
      </c>
      <c r="L80" s="317"/>
      <c r="M80" s="317"/>
      <c r="N80" s="330"/>
      <c r="O80" s="330"/>
    </row>
    <row r="81" spans="1:15" x14ac:dyDescent="0.25">
      <c r="A81" s="318" t="s">
        <v>544</v>
      </c>
      <c r="B81" s="318">
        <f>Projects!AL54</f>
        <v>52</v>
      </c>
      <c r="C81" s="318">
        <f>Projects!AN54</f>
        <v>10.5</v>
      </c>
      <c r="D81" s="318">
        <f>Projects!X54</f>
        <v>44</v>
      </c>
      <c r="E81" s="318">
        <f>Projects!AS54</f>
        <v>7096</v>
      </c>
      <c r="F81" s="318">
        <f>Projects!AT54</f>
        <v>1150</v>
      </c>
      <c r="G81" s="318">
        <f>Projects!AV54</f>
        <v>504</v>
      </c>
      <c r="H81" s="320">
        <f>Projects!BQ54</f>
        <v>200.93299999999999</v>
      </c>
      <c r="J81" s="317">
        <f>IF(H81&gt;0,B81^$L$4*C81^$L$5*D81^$L$6*E81^$L$7*F81^$L$8*G81^$L$9/1000000000,0)</f>
        <v>98806.906598400004</v>
      </c>
      <c r="K81" s="316">
        <f>IF(H81*B81*D81*E81*F81*G81&gt;0,H81,0)</f>
        <v>200.93299999999999</v>
      </c>
      <c r="L81" s="317"/>
      <c r="M81" s="317"/>
      <c r="N81" s="330"/>
      <c r="O81" s="330"/>
    </row>
    <row r="82" spans="1:15" ht="15" customHeight="1" x14ac:dyDescent="0.25">
      <c r="A82" s="318" t="s">
        <v>545</v>
      </c>
      <c r="B82" s="318">
        <f>Projects!AL55</f>
        <v>72</v>
      </c>
      <c r="C82" s="318">
        <f>Projects!AN55</f>
        <v>10.5</v>
      </c>
      <c r="D82" s="318">
        <f>Projects!X55</f>
        <v>10</v>
      </c>
      <c r="E82" s="318">
        <f>Projects!AS55</f>
        <v>2888</v>
      </c>
      <c r="F82" s="318">
        <f>Projects!AT55</f>
        <v>2450</v>
      </c>
      <c r="G82" s="318">
        <f>Projects!AV55</f>
        <v>150</v>
      </c>
      <c r="H82" s="320">
        <f>Projects!BQ55</f>
        <v>0</v>
      </c>
      <c r="J82" s="317">
        <f>IF(H82&gt;0,B82^$L$4*C82^$L$5*D82^$L$6*E82^$L$7*F82^$L$8*G82^$L$9/1000000000,0)</f>
        <v>0</v>
      </c>
      <c r="K82" s="316">
        <f>IF(H82*B82*D82*E82*F82*G82&gt;0,H82,0)</f>
        <v>0</v>
      </c>
      <c r="L82" s="317"/>
      <c r="M82" s="317"/>
    </row>
    <row r="83" spans="1:15" ht="15" customHeight="1" x14ac:dyDescent="0.25">
      <c r="A83" s="318" t="s">
        <v>546</v>
      </c>
      <c r="B83" s="318">
        <f>Projects!AL56</f>
        <v>60</v>
      </c>
      <c r="C83" s="318">
        <f>Projects!AN56</f>
        <v>10</v>
      </c>
      <c r="D83" s="318">
        <f>Projects!X56</f>
        <v>48</v>
      </c>
      <c r="E83" s="318">
        <f>Projects!AS56</f>
        <v>6925</v>
      </c>
      <c r="F83" s="318">
        <f>Projects!AT56</f>
        <v>1550</v>
      </c>
      <c r="G83" s="318">
        <f>Projects!AV56</f>
        <v>432</v>
      </c>
      <c r="H83" s="320">
        <f>Projects!BQ56</f>
        <v>0</v>
      </c>
      <c r="J83" s="317">
        <f>IF(H83&gt;0,B83^$L$4*C83^$L$5*D83^$L$6*E83^$L$7*F83^$L$8*G83^$L$9/1000000000,0)</f>
        <v>0</v>
      </c>
      <c r="K83" s="316">
        <f>IF(H83*B83*D83*E83*F83*G83&gt;0,H83,0)</f>
        <v>0</v>
      </c>
      <c r="L83" s="317"/>
      <c r="M83" s="317"/>
    </row>
    <row r="84" spans="1:15" ht="15" customHeight="1" x14ac:dyDescent="0.25">
      <c r="A84" s="318" t="s">
        <v>547</v>
      </c>
      <c r="B84" s="318">
        <f>Projects!AL57</f>
        <v>80</v>
      </c>
      <c r="C84" s="318">
        <f>Projects!AN57</f>
        <v>13</v>
      </c>
      <c r="D84" s="318">
        <f>Projects!X57</f>
        <v>12</v>
      </c>
      <c r="E84" s="318">
        <f>Projects!AS57</f>
        <v>3340</v>
      </c>
      <c r="F84" s="318">
        <f>Projects!AT57</f>
        <v>2640</v>
      </c>
      <c r="G84" s="318">
        <f>Projects!AV57</f>
        <v>198</v>
      </c>
      <c r="H84" s="320">
        <f>Projects!BQ57</f>
        <v>0</v>
      </c>
      <c r="J84" s="317">
        <f>IF(H84&gt;0,B84^$L$4*C84^$L$5*D84^$L$6*E84^$L$7*F84^$L$8*G84^$L$9/1000000000,0)</f>
        <v>0</v>
      </c>
      <c r="K84" s="316">
        <f>IF(H84*B84*D84*E84*F84*G84&gt;0,H84,0)</f>
        <v>0</v>
      </c>
      <c r="L84" s="317"/>
      <c r="M84" s="317"/>
    </row>
    <row r="85" spans="1:15" x14ac:dyDescent="0.25">
      <c r="A85" s="318" t="s">
        <v>548</v>
      </c>
      <c r="B85" s="318">
        <f>Projects!AL58</f>
        <v>35</v>
      </c>
      <c r="C85" s="318">
        <f>Projects!AN58</f>
        <v>9</v>
      </c>
      <c r="D85" s="318">
        <f>Projects!X58</f>
        <v>92</v>
      </c>
      <c r="E85" s="318">
        <f>Projects!AS58</f>
        <v>10000</v>
      </c>
      <c r="F85" s="318">
        <f>Projects!AT58</f>
        <v>1250</v>
      </c>
      <c r="G85" s="318">
        <f>Projects!AV58</f>
        <v>684</v>
      </c>
      <c r="H85" s="320">
        <f>Projects!BQ58</f>
        <v>258.84899999999999</v>
      </c>
      <c r="J85" s="317">
        <f>IF(H85&gt;0,B85^$L$4*C85^$L$5*D85^$L$6*E85^$L$7*F85^$L$8*G85^$L$9/1000000000,0)</f>
        <v>247779</v>
      </c>
      <c r="K85" s="316">
        <f>IF(H85*B85*D85*E85*F85*G85&gt;0,H85,0)</f>
        <v>258.84899999999999</v>
      </c>
      <c r="L85" s="317"/>
      <c r="M85" s="317"/>
    </row>
    <row r="86" spans="1:15" x14ac:dyDescent="0.25">
      <c r="A86" s="318" t="s">
        <v>549</v>
      </c>
      <c r="B86" s="318">
        <f>Projects!AL59</f>
        <v>50</v>
      </c>
      <c r="C86" s="318">
        <f>Projects!AN59</f>
        <v>10.5</v>
      </c>
      <c r="D86" s="318">
        <f>Projects!X59</f>
        <v>52</v>
      </c>
      <c r="E86" s="318">
        <f>Projects!AS59</f>
        <v>7700</v>
      </c>
      <c r="F86" s="318">
        <f>Projects!AT59</f>
        <v>1320</v>
      </c>
      <c r="G86" s="318">
        <f>Projects!AV59</f>
        <v>516</v>
      </c>
      <c r="H86" s="320">
        <f>Projects!BQ59</f>
        <v>266.76600000000002</v>
      </c>
      <c r="J86" s="317">
        <f>IF(H86&gt;0,B86^$L$4*C86^$L$5*D86^$L$6*E86^$L$7*F86^$L$8*G86^$L$9/1000000000,0)</f>
        <v>143178.2352</v>
      </c>
      <c r="K86" s="316">
        <f>IF(H86*B86*D86*E86*F86*G86&gt;0,H86,0)</f>
        <v>266.76600000000002</v>
      </c>
      <c r="L86" s="317"/>
      <c r="M86" s="317"/>
    </row>
    <row r="87" spans="1:15" x14ac:dyDescent="0.25">
      <c r="A87" s="318" t="s">
        <v>550</v>
      </c>
      <c r="B87" s="318">
        <f>Projects!AL60</f>
        <v>45</v>
      </c>
      <c r="C87" s="318">
        <f>Projects!AN60</f>
        <v>10.3</v>
      </c>
      <c r="D87" s="318">
        <f>Projects!X60</f>
        <v>88</v>
      </c>
      <c r="E87" s="318">
        <f>Projects!AS60</f>
        <v>10000</v>
      </c>
      <c r="F87" s="318">
        <f>Projects!AT60</f>
        <v>1350</v>
      </c>
      <c r="G87" s="318">
        <f>Projects!AV60</f>
        <v>600</v>
      </c>
      <c r="H87" s="320">
        <f>Projects!BQ60</f>
        <v>280.488</v>
      </c>
      <c r="J87" s="317">
        <f>IF(H87&gt;0,B87^$L$4*C87^$L$5*D87^$L$6*E87^$L$7*F87^$L$8*G87^$L$9/1000000000,0)</f>
        <v>330382.80000000005</v>
      </c>
      <c r="K87" s="316">
        <f>IF(H87*B87*D87*E87*F87*G87&gt;0,H87,0)</f>
        <v>280.488</v>
      </c>
      <c r="L87" s="317"/>
      <c r="M87" s="317"/>
    </row>
    <row r="88" spans="1:15" x14ac:dyDescent="0.25">
      <c r="A88" s="318" t="s">
        <v>551</v>
      </c>
      <c r="B88" s="318">
        <f>Projects!AL61</f>
        <v>120</v>
      </c>
      <c r="C88" s="318">
        <f>Projects!AN61</f>
        <v>13</v>
      </c>
      <c r="D88" s="318">
        <f>Projects!X61</f>
        <v>10</v>
      </c>
      <c r="E88" s="318">
        <f>Projects!AS61</f>
        <v>2850</v>
      </c>
      <c r="F88" s="318">
        <f>Projects!AT61</f>
        <v>3000</v>
      </c>
      <c r="G88" s="318">
        <f>Projects!AV61</f>
        <v>144</v>
      </c>
      <c r="H88" s="320">
        <f>Projects!BQ61</f>
        <v>253.28899999999999</v>
      </c>
      <c r="J88" s="317">
        <f>IF(H88&gt;0,B88^$L$4*C88^$L$5*D88^$L$6*E88^$L$7*F88^$L$8*G88^$L$9/1000000000,0)</f>
        <v>19206.72</v>
      </c>
      <c r="K88" s="316">
        <f>IF(H88*B88*D88*E88*F88*G88&gt;0,H88,0)</f>
        <v>253.28899999999999</v>
      </c>
      <c r="L88" s="317"/>
      <c r="M88" s="317"/>
    </row>
    <row r="89" spans="1:15" ht="15" customHeight="1" x14ac:dyDescent="0.25">
      <c r="A89" s="318" t="s">
        <v>552</v>
      </c>
      <c r="B89" s="318">
        <f>Projects!AL62</f>
        <v>80</v>
      </c>
      <c r="C89" s="318">
        <f>Projects!AN62</f>
        <v>12</v>
      </c>
      <c r="D89" s="318">
        <f>Projects!X62</f>
        <v>26</v>
      </c>
      <c r="E89" s="318">
        <f>Projects!AS62</f>
        <v>5790</v>
      </c>
      <c r="F89" s="318">
        <f>Projects!AT62</f>
        <v>1700</v>
      </c>
      <c r="G89" s="318">
        <f>Projects!AV62</f>
        <v>288</v>
      </c>
      <c r="H89" s="320">
        <f>Projects!BQ62</f>
        <v>0</v>
      </c>
      <c r="J89" s="317">
        <f>IF(H89&gt;0,B89^$L$4*C89^$L$5*D89^$L$6*E89^$L$7*F89^$L$8*G89^$L$9/1000000000,0)</f>
        <v>0</v>
      </c>
      <c r="K89" s="316">
        <f>IF(H89*B89*D89*E89*F89*G89&gt;0,H89,0)</f>
        <v>0</v>
      </c>
      <c r="L89" s="317"/>
      <c r="M89" s="317"/>
    </row>
    <row r="90" spans="1:15" ht="15" customHeight="1" x14ac:dyDescent="0.25">
      <c r="A90" s="318" t="s">
        <v>553</v>
      </c>
      <c r="B90" s="318">
        <f>Projects!AL63</f>
        <v>110</v>
      </c>
      <c r="C90" s="318">
        <f>Projects!AN63</f>
        <v>14</v>
      </c>
      <c r="D90" s="318">
        <f>Projects!X63</f>
        <v>14</v>
      </c>
      <c r="E90" s="318">
        <f>Projects!AS63</f>
        <v>3400</v>
      </c>
      <c r="F90" s="318">
        <f>Projects!AT63</f>
        <v>2850</v>
      </c>
      <c r="G90" s="318">
        <f>Projects!AV63</f>
        <v>192</v>
      </c>
      <c r="H90" s="320">
        <f>Projects!BQ63</f>
        <v>0</v>
      </c>
      <c r="J90" s="317">
        <f>IF(H90&gt;0,B90^$L$4*C90^$L$5*D90^$L$6*E90^$L$7*F90^$L$8*G90^$L$9/1000000000,0)</f>
        <v>0</v>
      </c>
      <c r="K90" s="316">
        <f>IF(H90*B90*D90*E90*F90*G90&gt;0,H90,0)</f>
        <v>0</v>
      </c>
      <c r="L90" s="317"/>
      <c r="M90" s="317"/>
    </row>
    <row r="91" spans="1:15" x14ac:dyDescent="0.25">
      <c r="A91" s="318" t="s">
        <v>554</v>
      </c>
      <c r="B91" s="318">
        <f>Projects!AL64</f>
        <v>115</v>
      </c>
      <c r="C91" s="318">
        <f>Projects!AN64</f>
        <v>12.5</v>
      </c>
      <c r="D91" s="318">
        <f>Projects!X64</f>
        <v>12</v>
      </c>
      <c r="E91" s="318">
        <f>Projects!AS64</f>
        <v>3270</v>
      </c>
      <c r="F91" s="318">
        <f>Projects!AT64</f>
        <v>2700</v>
      </c>
      <c r="G91" s="318">
        <f>Projects!AV64</f>
        <v>144</v>
      </c>
      <c r="H91" s="320">
        <f>Projects!BQ64</f>
        <v>319.84100000000001</v>
      </c>
      <c r="J91" s="317">
        <f>IF(H91&gt;0,B91^$L$4*C91^$L$5*D91^$L$6*E91^$L$7*F91^$L$8*G91^$L$9/1000000000,0)</f>
        <v>21931.236000000001</v>
      </c>
      <c r="K91" s="316">
        <f>IF(H91*B91*D91*E91*F91*G91&gt;0,H91,0)</f>
        <v>319.84100000000001</v>
      </c>
      <c r="L91" s="317"/>
      <c r="M91" s="317"/>
    </row>
    <row r="92" spans="1:15" x14ac:dyDescent="0.25">
      <c r="A92" s="318" t="s">
        <v>555</v>
      </c>
      <c r="B92" s="318">
        <f>Projects!AL65</f>
        <v>100</v>
      </c>
      <c r="C92" s="318">
        <f>Projects!AN65</f>
        <v>12.5</v>
      </c>
      <c r="D92" s="318">
        <f>Projects!X65</f>
        <v>12</v>
      </c>
      <c r="E92" s="318">
        <f>Projects!AS65</f>
        <v>3200</v>
      </c>
      <c r="F92" s="318">
        <f>Projects!AT65</f>
        <v>2500</v>
      </c>
      <c r="G92" s="318">
        <f>Projects!AV65</f>
        <v>162</v>
      </c>
      <c r="H92" s="320">
        <f>Projects!BQ65</f>
        <v>346.423</v>
      </c>
      <c r="J92" s="317">
        <f>IF(H92&gt;0,B92^$L$4*C92^$L$5*D92^$L$6*E92^$L$7*F92^$L$8*G92^$L$9/1000000000,0)</f>
        <v>19440</v>
      </c>
      <c r="K92" s="316">
        <f>IF(H92*B92*D92*E92*F92*G92&gt;0,H92,0)</f>
        <v>346.423</v>
      </c>
      <c r="L92" s="317"/>
      <c r="M92" s="317"/>
    </row>
    <row r="93" spans="1:15" ht="15" customHeight="1" x14ac:dyDescent="0.25">
      <c r="A93" s="318" t="s">
        <v>556</v>
      </c>
      <c r="B93" s="318">
        <f>Projects!AL66</f>
        <v>107</v>
      </c>
      <c r="C93" s="318">
        <f>Projects!AN66</f>
        <v>13.8</v>
      </c>
      <c r="D93" s="318">
        <f>Projects!X66</f>
        <v>12</v>
      </c>
      <c r="E93" s="318">
        <f>Projects!AS66</f>
        <v>3600</v>
      </c>
      <c r="F93" s="318">
        <f>Projects!AT66</f>
        <v>2100</v>
      </c>
      <c r="G93" s="318">
        <f>Projects!AV66</f>
        <v>0</v>
      </c>
      <c r="H93" s="320">
        <f>Projects!BQ66</f>
        <v>0</v>
      </c>
      <c r="J93" s="317">
        <f>IF(H93&gt;0,B93^$L$4*C93^$L$5*D93^$L$6*E93^$L$7*F93^$L$8*G93^$L$9/1000000000,0)</f>
        <v>0</v>
      </c>
      <c r="K93" s="316">
        <f>IF(H93*B93*D93*E93*F93*G93&gt;0,H93,0)</f>
        <v>0</v>
      </c>
      <c r="L93" s="317"/>
      <c r="M93" s="317"/>
    </row>
    <row r="94" spans="1:15" ht="15" customHeight="1" x14ac:dyDescent="0.25">
      <c r="A94" s="318" t="s">
        <v>557</v>
      </c>
      <c r="B94" s="318">
        <f>Projects!AL67</f>
        <v>115</v>
      </c>
      <c r="C94" s="318">
        <f>Projects!AN67</f>
        <v>13.8</v>
      </c>
      <c r="D94" s="318">
        <f>Projects!X67</f>
        <v>14</v>
      </c>
      <c r="E94" s="318">
        <f>Projects!AS67</f>
        <v>4310</v>
      </c>
      <c r="F94" s="318">
        <f>Projects!AT67</f>
        <v>2200</v>
      </c>
      <c r="G94" s="318">
        <f>Projects!AV67</f>
        <v>180</v>
      </c>
      <c r="H94" s="320">
        <f>Projects!BQ67</f>
        <v>0</v>
      </c>
      <c r="J94" s="317">
        <f>IF(H94&gt;0,B94^$L$4*C94^$L$5*D94^$L$6*E94^$L$7*F94^$L$8*G94^$L$9/1000000000,0)</f>
        <v>0</v>
      </c>
      <c r="K94" s="316">
        <f>IF(H94*B94*D94*E94*F94*G94&gt;0,H94,0)</f>
        <v>0</v>
      </c>
      <c r="L94" s="317"/>
      <c r="M94" s="317"/>
    </row>
    <row r="95" spans="1:15" ht="15" customHeight="1" x14ac:dyDescent="0.25">
      <c r="A95" s="318" t="s">
        <v>558</v>
      </c>
      <c r="B95" s="318">
        <f>Projects!AL68</f>
        <v>160</v>
      </c>
      <c r="C95" s="318">
        <f>Projects!AN68</f>
        <v>16</v>
      </c>
      <c r="D95" s="318">
        <f>Projects!X68</f>
        <v>20</v>
      </c>
      <c r="E95" s="318">
        <f>Projects!AS68</f>
        <v>5340</v>
      </c>
      <c r="F95" s="318">
        <f>Projects!AT68</f>
        <v>2090</v>
      </c>
      <c r="G95" s="318">
        <f>Projects!AV68</f>
        <v>210</v>
      </c>
      <c r="H95" s="320">
        <f>Projects!BQ68</f>
        <v>0</v>
      </c>
      <c r="J95" s="317">
        <f>IF(H95&gt;0,B95^$L$4*C95^$L$5*D95^$L$6*E95^$L$7*F95^$L$8*G95^$L$9/1000000000,0)</f>
        <v>0</v>
      </c>
      <c r="K95" s="316">
        <f>IF(H95*B95*D95*E95*F95*G95&gt;0,H95,0)</f>
        <v>0</v>
      </c>
      <c r="L95" s="317"/>
      <c r="M95" s="317"/>
    </row>
    <row r="96" spans="1:15" ht="15" customHeight="1" x14ac:dyDescent="0.25">
      <c r="A96" s="318" t="s">
        <v>559</v>
      </c>
      <c r="B96" s="318">
        <f>Projects!AL69</f>
        <v>220</v>
      </c>
      <c r="C96" s="318">
        <f>Projects!AN69</f>
        <v>15.75</v>
      </c>
      <c r="D96" s="318">
        <f>Projects!X69</f>
        <v>16</v>
      </c>
      <c r="E96" s="318">
        <f>Projects!AS69</f>
        <v>4662</v>
      </c>
      <c r="F96" s="318">
        <f>Projects!AT69</f>
        <v>3130</v>
      </c>
      <c r="G96" s="318">
        <f>Projects!AV69</f>
        <v>156</v>
      </c>
      <c r="H96" s="320">
        <f>Projects!BQ69</f>
        <v>0</v>
      </c>
      <c r="J96" s="317">
        <f>IF(H96&gt;0,B96^$L$4*C96^$L$5*D96^$L$6*E96^$L$7*F96^$L$8*G96^$L$9/1000000000,0)</f>
        <v>0</v>
      </c>
      <c r="K96" s="316">
        <f>IF(H96*B96*D96*E96*F96*G96&gt;0,H96,0)</f>
        <v>0</v>
      </c>
      <c r="L96" s="317"/>
      <c r="M96" s="317"/>
    </row>
    <row r="97" spans="1:13" ht="15" customHeight="1" x14ac:dyDescent="0.25">
      <c r="A97" s="318" t="s">
        <v>560</v>
      </c>
      <c r="B97" s="318">
        <f>Projects!AL70</f>
        <v>265</v>
      </c>
      <c r="C97" s="318">
        <f>Projects!AN70</f>
        <v>15.75</v>
      </c>
      <c r="D97" s="318">
        <f>Projects!X70</f>
        <v>16</v>
      </c>
      <c r="E97" s="318">
        <f>Projects!AS70</f>
        <v>5202</v>
      </c>
      <c r="F97" s="318">
        <f>Projects!AT70</f>
        <v>2550</v>
      </c>
      <c r="G97" s="318">
        <f>Projects!AV70</f>
        <v>300</v>
      </c>
      <c r="H97" s="320">
        <f>Projects!BQ70</f>
        <v>0</v>
      </c>
      <c r="J97" s="317">
        <f>IF(H97&gt;0,B97^$L$4*C97^$L$5*D97^$L$6*E97^$L$7*F97^$L$8*G97^$L$9/1000000000,0)</f>
        <v>0</v>
      </c>
      <c r="K97" s="316">
        <f>IF(H97*B97*D97*E97*F97*G97&gt;0,H97,0)</f>
        <v>0</v>
      </c>
      <c r="L97" s="317"/>
      <c r="M97" s="317"/>
    </row>
    <row r="98" spans="1:13" ht="15" customHeight="1" x14ac:dyDescent="0.25">
      <c r="A98" s="318" t="s">
        <v>561</v>
      </c>
      <c r="B98" s="318">
        <f>Projects!AL71</f>
        <v>9.6</v>
      </c>
      <c r="C98" s="318">
        <f>Projects!AN71</f>
        <v>5.3</v>
      </c>
      <c r="D98" s="318">
        <f>Projects!X71</f>
        <v>40</v>
      </c>
      <c r="E98" s="318">
        <f>Projects!AS71</f>
        <v>3500</v>
      </c>
      <c r="F98" s="318">
        <f>Projects!AT71</f>
        <v>900</v>
      </c>
      <c r="G98" s="318">
        <f>Projects!AV71</f>
        <v>288</v>
      </c>
      <c r="H98" s="320">
        <f>Projects!BQ71</f>
        <v>0</v>
      </c>
      <c r="J98" s="317">
        <f>IF(H98&gt;0,B98^$L$4*C98^$L$5*D98^$L$6*E98^$L$7*F98^$L$8*G98^$L$9/1000000000,0)</f>
        <v>0</v>
      </c>
      <c r="K98" s="316">
        <f>IF(H98*B98*D98*E98*F98*G98&gt;0,H98,0)</f>
        <v>0</v>
      </c>
      <c r="L98" s="317"/>
      <c r="M98" s="317"/>
    </row>
    <row r="99" spans="1:13" ht="15" customHeight="1" x14ac:dyDescent="0.25">
      <c r="A99" s="318" t="s">
        <v>562</v>
      </c>
      <c r="B99" s="318">
        <f>Projects!AL72</f>
        <v>13.75</v>
      </c>
      <c r="C99" s="318">
        <f>Projects!AN72</f>
        <v>6.3</v>
      </c>
      <c r="D99" s="318">
        <f>Projects!X72</f>
        <v>51.993067590987863</v>
      </c>
      <c r="E99" s="318">
        <f>Projects!AS72</f>
        <v>4680</v>
      </c>
      <c r="F99" s="318">
        <f>Projects!AT72</f>
        <v>1000</v>
      </c>
      <c r="G99" s="318">
        <f>Projects!AV72</f>
        <v>336</v>
      </c>
      <c r="H99" s="320">
        <f>Projects!BQ72</f>
        <v>0</v>
      </c>
      <c r="J99" s="317">
        <f>IF(H99&gt;0,B99^$L$4*C99^$L$5*D99^$L$6*E99^$L$7*F99^$L$8*G99^$L$9/1000000000,0)</f>
        <v>0</v>
      </c>
      <c r="K99" s="316">
        <f>IF(H99*B99*D99*E99*F99*G99&gt;0,H99,0)</f>
        <v>0</v>
      </c>
      <c r="L99" s="317"/>
      <c r="M99" s="317"/>
    </row>
    <row r="100" spans="1:13" ht="15" customHeight="1" x14ac:dyDescent="0.25">
      <c r="A100" s="318" t="s">
        <v>563</v>
      </c>
      <c r="B100" s="318">
        <f>Projects!AL73</f>
        <v>31</v>
      </c>
      <c r="C100" s="318">
        <f>Projects!AN73</f>
        <v>10.5</v>
      </c>
      <c r="D100" s="318">
        <f>Projects!X73</f>
        <v>8</v>
      </c>
      <c r="E100" s="318">
        <f>Projects!AS73</f>
        <v>2250</v>
      </c>
      <c r="F100" s="318">
        <f>Projects!AT73</f>
        <v>1180</v>
      </c>
      <c r="G100" s="318">
        <f>Projects!AV73</f>
        <v>132</v>
      </c>
      <c r="H100" s="320">
        <f>Projects!BQ73</f>
        <v>0</v>
      </c>
      <c r="J100" s="317">
        <f>IF(H100&gt;0,B100^$L$4*C100^$L$5*D100^$L$6*E100^$L$7*F100^$L$8*G100^$L$9/1000000000,0)</f>
        <v>0</v>
      </c>
      <c r="K100" s="316">
        <f>IF(H100*B100*D100*E100*F100*G100&gt;0,H100,0)</f>
        <v>0</v>
      </c>
      <c r="L100" s="317"/>
      <c r="M100" s="317"/>
    </row>
    <row r="101" spans="1:13" ht="15" customHeight="1" x14ac:dyDescent="0.25">
      <c r="A101" s="318" t="s">
        <v>564</v>
      </c>
      <c r="B101" s="318">
        <f>Projects!AL74</f>
        <v>42</v>
      </c>
      <c r="C101" s="318">
        <f>Projects!AN74</f>
        <v>10</v>
      </c>
      <c r="D101" s="318">
        <f>Projects!X74</f>
        <v>27.99813345776948</v>
      </c>
      <c r="E101" s="318">
        <f>Projects!AS74</f>
        <v>4200</v>
      </c>
      <c r="F101" s="318">
        <f>Projects!AT74</f>
        <v>1770</v>
      </c>
      <c r="G101" s="318">
        <f>Projects!AV74</f>
        <v>180</v>
      </c>
      <c r="H101" s="320">
        <f>Projects!BQ74</f>
        <v>0</v>
      </c>
      <c r="J101" s="317">
        <f>IF(H101&gt;0,B101^$L$4*C101^$L$5*D101^$L$6*E101^$L$7*F101^$L$8*G101^$L$9/1000000000,0)</f>
        <v>0</v>
      </c>
      <c r="K101" s="316">
        <f>IF(H101*B101*D101*E101*F101*G101&gt;0,H101,0)</f>
        <v>0</v>
      </c>
      <c r="L101" s="317"/>
      <c r="M101" s="317"/>
    </row>
    <row r="102" spans="1:13" ht="15" customHeight="1" x14ac:dyDescent="0.25">
      <c r="A102" s="318" t="s">
        <v>565</v>
      </c>
      <c r="B102" s="318">
        <f>Projects!AL75</f>
        <v>65</v>
      </c>
      <c r="C102" s="318">
        <f>Projects!AN75</f>
        <v>10.25</v>
      </c>
      <c r="D102" s="318">
        <f>Projects!X75</f>
        <v>8</v>
      </c>
      <c r="E102" s="318">
        <f>Projects!AS75</f>
        <v>2500</v>
      </c>
      <c r="F102" s="318">
        <f>Projects!AT75</f>
        <v>2000</v>
      </c>
      <c r="G102" s="318">
        <f>Projects!AV75</f>
        <v>132</v>
      </c>
      <c r="H102" s="320">
        <f>Projects!BQ75</f>
        <v>0</v>
      </c>
      <c r="J102" s="317">
        <f>IF(H102&gt;0,B102^$L$4*C102^$L$5*D102^$L$6*E102^$L$7*F102^$L$8*G102^$L$9/1000000000,0)</f>
        <v>0</v>
      </c>
      <c r="K102" s="316">
        <f>IF(H102*B102*D102*E102*F102*G102&gt;0,H102,0)</f>
        <v>0</v>
      </c>
      <c r="L102" s="317"/>
      <c r="M102" s="317"/>
    </row>
    <row r="103" spans="1:13" ht="15" customHeight="1" x14ac:dyDescent="0.25">
      <c r="A103" s="318" t="s">
        <v>566</v>
      </c>
      <c r="B103" s="318">
        <f>Projects!AL76</f>
        <v>70</v>
      </c>
      <c r="C103" s="318">
        <f>Projects!AN76</f>
        <v>10.5</v>
      </c>
      <c r="D103" s="318">
        <f>Projects!X76</f>
        <v>16</v>
      </c>
      <c r="E103" s="318">
        <f>Projects!AS76</f>
        <v>3400</v>
      </c>
      <c r="F103" s="318">
        <f>Projects!AT76</f>
        <v>2000</v>
      </c>
      <c r="G103" s="318">
        <f>Projects!AV76</f>
        <v>210</v>
      </c>
      <c r="H103" s="320">
        <f>Projects!BQ76</f>
        <v>0</v>
      </c>
      <c r="J103" s="317">
        <f>IF(H103&gt;0,B103^$L$4*C103^$L$5*D103^$L$6*E103^$L$7*F103^$L$8*G103^$L$9/1000000000,0)</f>
        <v>0</v>
      </c>
      <c r="K103" s="316">
        <f>IF(H103*B103*D103*E103*F103*G103&gt;0,H103,0)</f>
        <v>0</v>
      </c>
      <c r="L103" s="317"/>
      <c r="M103" s="317"/>
    </row>
    <row r="104" spans="1:13" x14ac:dyDescent="0.25">
      <c r="A104" s="318" t="s">
        <v>567</v>
      </c>
      <c r="B104" s="318">
        <f>Projects!AL77</f>
        <v>50</v>
      </c>
      <c r="C104" s="318">
        <f>Projects!AN77</f>
        <v>10.5</v>
      </c>
      <c r="D104" s="318">
        <f>Projects!X77</f>
        <v>52</v>
      </c>
      <c r="E104" s="318">
        <f>Projects!AS77</f>
        <v>7700</v>
      </c>
      <c r="F104" s="318">
        <f>Projects!AT77</f>
        <v>1320</v>
      </c>
      <c r="G104" s="318">
        <f>Projects!AV77</f>
        <v>516</v>
      </c>
      <c r="H104" s="320">
        <f>Projects!BQ77</f>
        <v>270</v>
      </c>
      <c r="J104" s="317">
        <f>IF(H104&gt;0,B104^$L$4*C104^$L$5*D104^$L$6*E104^$L$7*F104^$L$8*G104^$L$9/1000000000,0)</f>
        <v>143178.2352</v>
      </c>
      <c r="K104" s="316">
        <f>IF(H104*B104*D104*E104*F104*G104&gt;0,H104,0)</f>
        <v>270</v>
      </c>
      <c r="L104" s="317"/>
      <c r="M104" s="317"/>
    </row>
    <row r="105" spans="1:13" ht="15" customHeight="1" x14ac:dyDescent="0.25">
      <c r="A105" s="318" t="s">
        <v>568</v>
      </c>
      <c r="B105" s="318">
        <f>Projects!AL78</f>
        <v>11.04</v>
      </c>
      <c r="C105" s="318">
        <f>Projects!AN78</f>
        <v>4.16</v>
      </c>
      <c r="D105" s="318">
        <f>Projects!X78</f>
        <v>12</v>
      </c>
      <c r="E105" s="318">
        <f>Projects!AS78</f>
        <v>1980</v>
      </c>
      <c r="F105" s="318">
        <f>Projects!AT78</f>
        <v>730</v>
      </c>
      <c r="G105" s="318">
        <f>Projects!AV78</f>
        <v>126</v>
      </c>
      <c r="H105" s="320">
        <f>Projects!BQ78</f>
        <v>0</v>
      </c>
      <c r="J105" s="317">
        <f>IF(H105&gt;0,B105^$L$4*C105^$L$5*D105^$L$6*E105^$L$7*F105^$L$8*G105^$L$9/1000000000,0)</f>
        <v>0</v>
      </c>
      <c r="K105" s="316">
        <f>IF(H105*B105*D105*E105*F105*G105&gt;0,H105,0)</f>
        <v>0</v>
      </c>
      <c r="L105" s="317"/>
      <c r="M105" s="317"/>
    </row>
    <row r="106" spans="1:13" ht="15" customHeight="1" x14ac:dyDescent="0.25">
      <c r="A106" s="318" t="s">
        <v>569</v>
      </c>
      <c r="B106" s="318">
        <f>Projects!AL79</f>
        <v>6.21</v>
      </c>
      <c r="C106" s="318">
        <f>Projects!AN79</f>
        <v>4.16</v>
      </c>
      <c r="D106" s="318">
        <f>Projects!X79</f>
        <v>16</v>
      </c>
      <c r="E106" s="318">
        <f>Projects!AS79</f>
        <v>2120</v>
      </c>
      <c r="F106" s="318">
        <f>Projects!AT79</f>
        <v>505</v>
      </c>
      <c r="G106" s="318">
        <f>Projects!AV79</f>
        <v>114</v>
      </c>
      <c r="H106" s="320">
        <f>Projects!BQ79</f>
        <v>0</v>
      </c>
      <c r="J106" s="317">
        <f>IF(H106&gt;0,B106^$L$4*C106^$L$5*D106^$L$6*E106^$L$7*F106^$L$8*G106^$L$9/1000000000,0)</f>
        <v>0</v>
      </c>
      <c r="K106" s="316">
        <f>IF(H106*B106*D106*E106*F106*G106&gt;0,H106,0)</f>
        <v>0</v>
      </c>
      <c r="L106" s="317"/>
      <c r="M106" s="317"/>
    </row>
    <row r="107" spans="1:13" ht="15" customHeight="1" x14ac:dyDescent="0.25">
      <c r="A107" s="318" t="s">
        <v>570</v>
      </c>
      <c r="B107" s="318">
        <f>Projects!AL80</f>
        <v>14</v>
      </c>
      <c r="C107" s="318">
        <f>Projects!AN80</f>
        <v>6</v>
      </c>
      <c r="D107" s="318">
        <f>Projects!X80</f>
        <v>16</v>
      </c>
      <c r="E107" s="318">
        <f>Projects!AS80</f>
        <v>3000</v>
      </c>
      <c r="F107" s="318">
        <f>Projects!AT80</f>
        <v>800</v>
      </c>
      <c r="G107" s="318">
        <f>Projects!AV80</f>
        <v>240</v>
      </c>
      <c r="H107" s="320">
        <f>Projects!BQ80</f>
        <v>0</v>
      </c>
      <c r="J107" s="317">
        <f>IF(H107&gt;0,B107^$L$4*C107^$L$5*D107^$L$6*E107^$L$7*F107^$L$8*G107^$L$9/1000000000,0)</f>
        <v>0</v>
      </c>
      <c r="K107" s="316">
        <f>IF(H107*B107*D107*E107*F107*G107&gt;0,H107,0)</f>
        <v>0</v>
      </c>
      <c r="L107" s="317"/>
      <c r="M107" s="317"/>
    </row>
    <row r="108" spans="1:13" ht="15" customHeight="1" x14ac:dyDescent="0.25">
      <c r="A108" s="318" t="s">
        <v>571</v>
      </c>
      <c r="B108" s="318">
        <f>Projects!AL81</f>
        <v>110</v>
      </c>
      <c r="C108" s="318">
        <f>Projects!AN81</f>
        <v>11</v>
      </c>
      <c r="D108" s="318">
        <f>Projects!X81</f>
        <v>28</v>
      </c>
      <c r="E108" s="318">
        <f>Projects!AS81</f>
        <v>6090</v>
      </c>
      <c r="F108" s="318">
        <f>Projects!AT81</f>
        <v>1650</v>
      </c>
      <c r="G108" s="318">
        <f>Projects!AV81</f>
        <v>288</v>
      </c>
      <c r="H108" s="320">
        <f>Projects!BQ81</f>
        <v>0</v>
      </c>
      <c r="J108" s="317">
        <f>IF(H108&gt;0,B108^$L$4*C108^$L$5*D108^$L$6*E108^$L$7*F108^$L$8*G108^$L$9/1000000000,0)</f>
        <v>0</v>
      </c>
      <c r="K108" s="316">
        <f>IF(H108*B108*D108*E108*F108*G108&gt;0,H108,0)</f>
        <v>0</v>
      </c>
      <c r="L108" s="317"/>
      <c r="M108" s="317"/>
    </row>
    <row r="109" spans="1:13" ht="15" customHeight="1" x14ac:dyDescent="0.25">
      <c r="A109" s="318" t="s">
        <v>572</v>
      </c>
      <c r="B109" s="318">
        <f>Projects!AL82</f>
        <v>6.4</v>
      </c>
      <c r="C109" s="318">
        <f>Projects!AN82</f>
        <v>6</v>
      </c>
      <c r="D109" s="318">
        <f>Projects!X82</f>
        <v>14</v>
      </c>
      <c r="E109" s="318">
        <f>Projects!AS82</f>
        <v>2200</v>
      </c>
      <c r="F109" s="318">
        <f>Projects!AT82</f>
        <v>870</v>
      </c>
      <c r="G109" s="318">
        <f>Projects!AV82</f>
        <v>162</v>
      </c>
      <c r="H109" s="320">
        <f>Projects!BQ82</f>
        <v>0</v>
      </c>
      <c r="J109" s="317">
        <f>IF(H109&gt;0,B109^$L$4*C109^$L$5*D109^$L$6*E109^$L$7*F109^$L$8*G109^$L$9/1000000000,0)</f>
        <v>0</v>
      </c>
      <c r="K109" s="316">
        <f>IF(H109*B109*D109*E109*F109*G109&gt;0,H109,0)</f>
        <v>0</v>
      </c>
      <c r="L109" s="317"/>
      <c r="M109" s="317"/>
    </row>
    <row r="110" spans="1:13" ht="15" customHeight="1" x14ac:dyDescent="0.25">
      <c r="A110" s="318" t="s">
        <v>573</v>
      </c>
      <c r="B110" s="318">
        <f>Projects!AL83</f>
        <v>17.100000000000001</v>
      </c>
      <c r="C110" s="318">
        <f>Projects!AN83</f>
        <v>6.6</v>
      </c>
      <c r="D110" s="318">
        <f>Projects!X83</f>
        <v>36</v>
      </c>
      <c r="E110" s="318">
        <f>Projects!AS83</f>
        <v>5000</v>
      </c>
      <c r="F110" s="318">
        <f>Projects!AT83</f>
        <v>900</v>
      </c>
      <c r="G110" s="318">
        <f>Projects!AV83</f>
        <v>270</v>
      </c>
      <c r="H110" s="320">
        <f>Projects!BQ83</f>
        <v>0</v>
      </c>
      <c r="J110" s="317">
        <f>IF(H110&gt;0,B110^$L$4*C110^$L$5*D110^$L$6*E110^$L$7*F110^$L$8*G110^$L$9/1000000000,0)</f>
        <v>0</v>
      </c>
      <c r="K110" s="316">
        <f>IF(H110*B110*D110*E110*F110*G110&gt;0,H110,0)</f>
        <v>0</v>
      </c>
      <c r="L110" s="317"/>
      <c r="M110" s="317"/>
    </row>
    <row r="111" spans="1:13" ht="15" customHeight="1" x14ac:dyDescent="0.25">
      <c r="A111" s="318" t="s">
        <v>574</v>
      </c>
      <c r="B111" s="318">
        <f>Projects!AL84</f>
        <v>22</v>
      </c>
      <c r="C111" s="318">
        <f>Projects!AN84</f>
        <v>11</v>
      </c>
      <c r="D111" s="318">
        <f>Projects!X84</f>
        <v>8</v>
      </c>
      <c r="E111" s="318">
        <f>Projects!AS84</f>
        <v>1930</v>
      </c>
      <c r="F111" s="318">
        <f>Projects!AT84</f>
        <v>1660</v>
      </c>
      <c r="G111" s="318">
        <f>Projects!AV84</f>
        <v>132</v>
      </c>
      <c r="H111" s="320">
        <f>Projects!BQ84</f>
        <v>0</v>
      </c>
      <c r="J111" s="317">
        <f>IF(H111&gt;0,B111^$L$4*C111^$L$5*D111^$L$6*E111^$L$7*F111^$L$8*G111^$L$9/1000000000,0)</f>
        <v>0</v>
      </c>
      <c r="K111" s="316">
        <f>IF(H111*B111*D111*E111*F111*G111&gt;0,H111,0)</f>
        <v>0</v>
      </c>
      <c r="L111" s="317"/>
      <c r="M111" s="317"/>
    </row>
    <row r="112" spans="1:13" ht="15" customHeight="1" x14ac:dyDescent="0.25">
      <c r="A112" s="318" t="s">
        <v>575</v>
      </c>
      <c r="B112" s="318">
        <f>Projects!AL85</f>
        <v>15</v>
      </c>
      <c r="C112" s="318">
        <f>Projects!AN85</f>
        <v>6.3</v>
      </c>
      <c r="D112" s="318">
        <f>Projects!X85</f>
        <v>24</v>
      </c>
      <c r="E112" s="318">
        <f>Projects!AS85</f>
        <v>3850</v>
      </c>
      <c r="F112" s="318">
        <f>Projects!AT85</f>
        <v>1050</v>
      </c>
      <c r="G112" s="318">
        <f>Projects!AV85</f>
        <v>216</v>
      </c>
      <c r="H112" s="320">
        <f>Projects!BQ85</f>
        <v>0</v>
      </c>
      <c r="J112" s="317">
        <f>IF(H112&gt;0,B112^$L$4*C112^$L$5*D112^$L$6*E112^$L$7*F112^$L$8*G112^$L$9/1000000000,0)</f>
        <v>0</v>
      </c>
      <c r="K112" s="316">
        <f>IF(H112*B112*D112*E112*F112*G112&gt;0,H112,0)</f>
        <v>0</v>
      </c>
      <c r="L112" s="317"/>
      <c r="M112" s="317"/>
    </row>
    <row r="113" spans="1:13" ht="15" customHeight="1" x14ac:dyDescent="0.25">
      <c r="A113" s="318" t="s">
        <v>576</v>
      </c>
      <c r="B113" s="318">
        <f>Projects!AL86</f>
        <v>19</v>
      </c>
      <c r="C113" s="318">
        <f>Projects!AN86</f>
        <v>11</v>
      </c>
      <c r="D113" s="318">
        <f>Projects!X86</f>
        <v>24</v>
      </c>
      <c r="E113" s="318">
        <f>Projects!AS86</f>
        <v>0</v>
      </c>
      <c r="F113" s="318">
        <f>Projects!AT86</f>
        <v>0</v>
      </c>
      <c r="G113" s="318">
        <f>Projects!AV86</f>
        <v>0</v>
      </c>
      <c r="H113" s="320">
        <f>Projects!BQ86</f>
        <v>0</v>
      </c>
      <c r="J113" s="317">
        <f>IF(H113&gt;0,B113^$L$4*C113^$L$5*D113^$L$6*E113^$L$7*F113^$L$8*G113^$L$9/1000000000,0)</f>
        <v>0</v>
      </c>
      <c r="K113" s="316">
        <f>IF(H113*B113*D113*E113*F113*G113&gt;0,H113,0)</f>
        <v>0</v>
      </c>
      <c r="L113" s="317"/>
      <c r="M113" s="317"/>
    </row>
    <row r="114" spans="1:13" ht="15" customHeight="1" x14ac:dyDescent="0.25">
      <c r="A114" s="318" t="s">
        <v>577</v>
      </c>
      <c r="B114" s="318">
        <f>Projects!AL87</f>
        <v>45</v>
      </c>
      <c r="C114" s="318">
        <f>Projects!AN87</f>
        <v>10.9</v>
      </c>
      <c r="D114" s="318">
        <f>Projects!X87</f>
        <v>10</v>
      </c>
      <c r="E114" s="318">
        <f>Projects!AS87</f>
        <v>2500</v>
      </c>
      <c r="F114" s="318">
        <f>Projects!AT87</f>
        <v>1520</v>
      </c>
      <c r="G114" s="318">
        <f>Projects!AV87</f>
        <v>126</v>
      </c>
      <c r="H114" s="320">
        <f>Projects!BQ87</f>
        <v>0</v>
      </c>
      <c r="J114" s="317">
        <f>IF(H114&gt;0,B114^$L$4*C114^$L$5*D114^$L$6*E114^$L$7*F114^$L$8*G114^$L$9/1000000000,0)</f>
        <v>0</v>
      </c>
      <c r="K114" s="316">
        <f>IF(H114*B114*D114*E114*F114*G114&gt;0,H114,0)</f>
        <v>0</v>
      </c>
      <c r="L114" s="317"/>
      <c r="M114" s="317"/>
    </row>
    <row r="115" spans="1:13" ht="15" customHeight="1" x14ac:dyDescent="0.25">
      <c r="A115" s="318" t="s">
        <v>578</v>
      </c>
      <c r="B115" s="318">
        <f>Projects!AL88</f>
        <v>70</v>
      </c>
      <c r="C115" s="318">
        <f>Projects!AN88</f>
        <v>11</v>
      </c>
      <c r="D115" s="318">
        <f>Projects!X88</f>
        <v>64</v>
      </c>
      <c r="E115" s="318">
        <f>Projects!AS88</f>
        <v>10287</v>
      </c>
      <c r="F115" s="318">
        <f>Projects!AT88</f>
        <v>1080</v>
      </c>
      <c r="G115" s="318">
        <f>Projects!AV88</f>
        <v>576</v>
      </c>
      <c r="H115" s="320">
        <f>Projects!BQ88</f>
        <v>0</v>
      </c>
      <c r="J115" s="317">
        <f>IF(H115&gt;0,B115^$L$4*C115^$L$5*D115^$L$6*E115^$L$7*F115^$L$8*G115^$L$9/1000000000,0)</f>
        <v>0</v>
      </c>
      <c r="K115" s="316">
        <f>IF(H115*B115*D115*E115*F115*G115&gt;0,H115,0)</f>
        <v>0</v>
      </c>
      <c r="L115" s="317"/>
      <c r="M115" s="317"/>
    </row>
    <row r="116" spans="1:13" ht="15" customHeight="1" x14ac:dyDescent="0.25">
      <c r="A116" s="318" t="s">
        <v>579</v>
      </c>
      <c r="B116" s="318">
        <f>Projects!AL89</f>
        <v>87.5</v>
      </c>
      <c r="C116" s="318">
        <f>Projects!AN89</f>
        <v>13.8</v>
      </c>
      <c r="D116" s="318">
        <f>Projects!X89</f>
        <v>16</v>
      </c>
      <c r="E116" s="318">
        <f>Projects!AS89</f>
        <v>4838</v>
      </c>
      <c r="F116" s="318">
        <f>Projects!AT89</f>
        <v>1650</v>
      </c>
      <c r="G116" s="318">
        <f>Projects!AV89</f>
        <v>252</v>
      </c>
      <c r="H116" s="320">
        <f>Projects!BQ89</f>
        <v>0</v>
      </c>
      <c r="J116" s="317">
        <f>IF(H116&gt;0,B116^$L$4*C116^$L$5*D116^$L$6*E116^$L$7*F116^$L$8*G116^$L$9/1000000000,0)</f>
        <v>0</v>
      </c>
      <c r="K116" s="316">
        <f>IF(H116*B116*D116*E116*F116*G116&gt;0,H116,0)</f>
        <v>0</v>
      </c>
      <c r="L116" s="317"/>
      <c r="M116" s="317"/>
    </row>
  </sheetData>
  <autoFilter ref="A31:H116"/>
  <mergeCells count="4">
    <mergeCell ref="L29:M29"/>
    <mergeCell ref="L26:M26"/>
    <mergeCell ref="L27:M27"/>
    <mergeCell ref="L28:M28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2"/>
  <sheetViews>
    <sheetView zoomScale="80" zoomScaleNormal="80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AH6" sqref="AH6"/>
    </sheetView>
  </sheetViews>
  <sheetFormatPr baseColWidth="10" defaultRowHeight="15" x14ac:dyDescent="0.25"/>
  <cols>
    <col min="1" max="1" width="4.140625" style="1" customWidth="1"/>
    <col min="2" max="2" width="21.85546875" style="61" customWidth="1"/>
    <col min="3" max="3" width="6.28515625" style="6" customWidth="1"/>
    <col min="4" max="4" width="7" style="2" customWidth="1"/>
    <col min="5" max="5" width="8.42578125" style="2" customWidth="1"/>
    <col min="6" max="6" width="6.28515625" style="2" customWidth="1"/>
    <col min="7" max="7" width="7.5703125" style="2" customWidth="1"/>
    <col min="8" max="9" width="7.140625" style="2" customWidth="1"/>
    <col min="10" max="10" width="6.140625" style="9" customWidth="1"/>
    <col min="11" max="11" width="6.140625" style="6" customWidth="1"/>
    <col min="12" max="12" width="7.42578125" style="58" customWidth="1"/>
    <col min="13" max="13" width="10.140625" style="8" customWidth="1"/>
    <col min="14" max="14" width="8.140625" style="1" customWidth="1"/>
    <col min="15" max="15" width="9.28515625" style="8" customWidth="1"/>
    <col min="16" max="16" width="9.140625" style="8" customWidth="1"/>
    <col min="17" max="17" width="9.85546875" style="11" customWidth="1"/>
    <col min="18" max="18" width="8.140625" style="1" customWidth="1"/>
    <col min="19" max="19" width="9.28515625" style="1" customWidth="1"/>
    <col min="20" max="20" width="9.5703125" style="8" customWidth="1"/>
    <col min="21" max="21" width="9.5703125" style="5" customWidth="1"/>
    <col min="22" max="22" width="7.85546875" style="9" customWidth="1"/>
    <col min="23" max="23" width="13.42578125" style="9" customWidth="1"/>
    <col min="24" max="24" width="10.28515625" style="9" customWidth="1"/>
    <col min="25" max="27" width="13.42578125" style="9" customWidth="1"/>
    <col min="28" max="28" width="13.42578125" style="6" customWidth="1"/>
    <col min="29" max="29" width="9.5703125" style="8" customWidth="1"/>
    <col min="30" max="30" width="9.42578125" style="1" customWidth="1"/>
    <col min="31" max="31" width="9.28515625" style="1" customWidth="1"/>
    <col min="32" max="32" width="8.140625" style="8" customWidth="1"/>
    <col min="33" max="33" width="9.140625" style="5" customWidth="1"/>
    <col min="34" max="36" width="9.140625" style="8" customWidth="1"/>
    <col min="37" max="37" width="9.140625" style="5" customWidth="1"/>
    <col min="38" max="38" width="7.28515625" style="1" customWidth="1"/>
    <col min="39" max="39" width="11" style="8" customWidth="1"/>
    <col min="40" max="40" width="8.7109375" style="8" customWidth="1"/>
    <col min="41" max="41" width="9.42578125" style="5" customWidth="1"/>
    <col min="42" max="42" width="8.7109375" style="1" customWidth="1"/>
    <col min="43" max="43" width="9.28515625" style="5" customWidth="1"/>
    <col min="44" max="16384" width="11.42578125" style="1"/>
  </cols>
  <sheetData>
    <row r="1" spans="1:43" x14ac:dyDescent="0.25">
      <c r="B1" s="363" t="s">
        <v>10</v>
      </c>
      <c r="C1" s="364"/>
      <c r="D1" s="376"/>
      <c r="E1" s="377"/>
      <c r="F1" s="377"/>
      <c r="G1" s="377"/>
      <c r="H1" s="377"/>
      <c r="I1" s="377"/>
      <c r="J1" s="377"/>
      <c r="K1" s="378"/>
      <c r="L1" s="373" t="s">
        <v>211</v>
      </c>
      <c r="M1" s="374"/>
      <c r="N1" s="374"/>
      <c r="O1" s="374"/>
      <c r="P1" s="375"/>
      <c r="Q1" s="33" t="s">
        <v>196</v>
      </c>
      <c r="R1" s="34"/>
      <c r="S1" s="34"/>
      <c r="T1" s="34"/>
      <c r="U1" s="35"/>
      <c r="V1" s="76" t="s">
        <v>124</v>
      </c>
      <c r="W1" s="76"/>
      <c r="X1" s="76"/>
      <c r="Y1" s="76"/>
      <c r="Z1" s="76"/>
      <c r="AA1" s="98"/>
      <c r="AB1" s="75"/>
      <c r="AC1" s="34" t="s">
        <v>143</v>
      </c>
      <c r="AD1" s="34"/>
      <c r="AE1" s="34"/>
      <c r="AF1" s="34"/>
      <c r="AG1" s="35"/>
      <c r="AH1" s="83" t="str">
        <f>V1</f>
        <v>Work variables</v>
      </c>
      <c r="AI1" s="84"/>
      <c r="AJ1" s="84"/>
      <c r="AK1" s="85"/>
      <c r="AL1" s="365" t="s">
        <v>107</v>
      </c>
      <c r="AM1" s="366"/>
      <c r="AN1" s="366"/>
      <c r="AO1" s="367"/>
      <c r="AP1" s="23" t="s">
        <v>54</v>
      </c>
      <c r="AQ1" s="15"/>
    </row>
    <row r="2" spans="1:43" s="4" customFormat="1" x14ac:dyDescent="0.25">
      <c r="B2" s="365" t="s">
        <v>0</v>
      </c>
      <c r="C2" s="366"/>
      <c r="D2" s="365" t="s">
        <v>38</v>
      </c>
      <c r="E2" s="366"/>
      <c r="F2" s="366"/>
      <c r="G2" s="366"/>
      <c r="H2" s="366"/>
      <c r="I2" s="366"/>
      <c r="J2" s="366"/>
      <c r="K2" s="367"/>
      <c r="L2" s="376"/>
      <c r="M2" s="377"/>
      <c r="N2" s="377"/>
      <c r="O2" s="377"/>
      <c r="P2" s="378"/>
      <c r="Q2" s="369"/>
      <c r="R2" s="369"/>
      <c r="S2" s="369"/>
      <c r="T2" s="369"/>
      <c r="U2" s="370"/>
      <c r="V2" s="371" t="s">
        <v>49</v>
      </c>
      <c r="W2" s="372"/>
      <c r="X2" s="372" t="s">
        <v>93</v>
      </c>
      <c r="Y2" s="372"/>
      <c r="Z2" s="372"/>
      <c r="AA2" s="98"/>
      <c r="AB2" s="75" t="s">
        <v>112</v>
      </c>
      <c r="AC2" s="368"/>
      <c r="AD2" s="369"/>
      <c r="AE2" s="369"/>
      <c r="AF2" s="369"/>
      <c r="AG2" s="370"/>
      <c r="AH2" s="86"/>
      <c r="AI2" s="87"/>
      <c r="AJ2" s="88"/>
      <c r="AK2" s="89"/>
      <c r="AL2" s="368"/>
      <c r="AM2" s="369"/>
      <c r="AN2" s="369"/>
      <c r="AO2" s="370"/>
      <c r="AP2" s="24"/>
      <c r="AQ2" s="16"/>
    </row>
    <row r="3" spans="1:43" s="2" customFormat="1" ht="45" x14ac:dyDescent="0.25">
      <c r="B3" s="56" t="s">
        <v>1</v>
      </c>
      <c r="C3" s="6" t="s">
        <v>2</v>
      </c>
      <c r="D3" s="2" t="s">
        <v>114</v>
      </c>
      <c r="E3" s="2" t="s">
        <v>115</v>
      </c>
      <c r="F3" s="2" t="s">
        <v>116</v>
      </c>
      <c r="G3" s="2" t="s">
        <v>110</v>
      </c>
      <c r="H3" s="2" t="s">
        <v>111</v>
      </c>
      <c r="I3" s="2" t="s">
        <v>39</v>
      </c>
      <c r="J3" s="9" t="s">
        <v>266</v>
      </c>
      <c r="K3" s="6" t="s">
        <v>235</v>
      </c>
      <c r="L3" s="58" t="s">
        <v>106</v>
      </c>
      <c r="M3" s="9" t="s">
        <v>49</v>
      </c>
      <c r="N3" s="2" t="s">
        <v>90</v>
      </c>
      <c r="O3" s="9" t="s">
        <v>93</v>
      </c>
      <c r="P3" s="9" t="s">
        <v>55</v>
      </c>
      <c r="Q3" s="10" t="s">
        <v>49</v>
      </c>
      <c r="R3" s="2" t="str">
        <f>N3</f>
        <v>Bars or coils</v>
      </c>
      <c r="S3" s="2" t="s">
        <v>93</v>
      </c>
      <c r="T3" s="9" t="s">
        <v>56</v>
      </c>
      <c r="U3" s="26" t="s">
        <v>104</v>
      </c>
      <c r="V3" s="77" t="s">
        <v>113</v>
      </c>
      <c r="W3" s="77" t="s">
        <v>120</v>
      </c>
      <c r="X3" s="77" t="s">
        <v>121</v>
      </c>
      <c r="Y3" s="77" t="s">
        <v>248</v>
      </c>
      <c r="Z3" s="77" t="s">
        <v>249</v>
      </c>
      <c r="AA3" s="77" t="s">
        <v>268</v>
      </c>
      <c r="AB3" s="78" t="s">
        <v>123</v>
      </c>
      <c r="AC3" s="9" t="s">
        <v>100</v>
      </c>
      <c r="AD3" s="2" t="s">
        <v>52</v>
      </c>
      <c r="AE3" s="2" t="s">
        <v>58</v>
      </c>
      <c r="AF3" s="9" t="s">
        <v>57</v>
      </c>
      <c r="AG3" s="26" t="str">
        <f>U3</f>
        <v>Percent. / TOTAL COST</v>
      </c>
      <c r="AH3" s="77" t="s">
        <v>125</v>
      </c>
      <c r="AI3" s="77" t="s">
        <v>251</v>
      </c>
      <c r="AJ3" s="77" t="s">
        <v>252</v>
      </c>
      <c r="AK3" s="90"/>
      <c r="AL3" s="2" t="s">
        <v>109</v>
      </c>
      <c r="AM3" s="9" t="s">
        <v>53</v>
      </c>
      <c r="AN3" s="9" t="s">
        <v>94</v>
      </c>
      <c r="AO3" s="26" t="str">
        <f>U3</f>
        <v>Percent. / TOTAL COST</v>
      </c>
      <c r="AP3" s="2" t="s">
        <v>60</v>
      </c>
      <c r="AQ3" s="26" t="s">
        <v>59</v>
      </c>
    </row>
    <row r="4" spans="1:43" s="2" customFormat="1" ht="18.75" customHeight="1" x14ac:dyDescent="0.25">
      <c r="B4" s="57" t="s">
        <v>7</v>
      </c>
      <c r="C4" s="7" t="s">
        <v>7</v>
      </c>
      <c r="D4" s="2" t="s">
        <v>12</v>
      </c>
      <c r="E4" s="2" t="s">
        <v>14</v>
      </c>
      <c r="F4" s="3" t="s">
        <v>7</v>
      </c>
      <c r="G4" s="2" t="s">
        <v>26</v>
      </c>
      <c r="H4" s="2" t="s">
        <v>26</v>
      </c>
      <c r="I4" s="3" t="s">
        <v>7</v>
      </c>
      <c r="J4" s="65" t="s">
        <v>7</v>
      </c>
      <c r="K4" s="7"/>
      <c r="L4" s="59" t="s">
        <v>50</v>
      </c>
      <c r="M4" s="9" t="s">
        <v>50</v>
      </c>
      <c r="N4" s="2" t="s">
        <v>50</v>
      </c>
      <c r="O4" s="9" t="s">
        <v>50</v>
      </c>
      <c r="P4" s="9" t="s">
        <v>50</v>
      </c>
      <c r="Q4" s="10" t="s">
        <v>51</v>
      </c>
      <c r="R4" s="2" t="s">
        <v>51</v>
      </c>
      <c r="S4" s="2" t="s">
        <v>51</v>
      </c>
      <c r="T4" s="9" t="s">
        <v>51</v>
      </c>
      <c r="U4" s="6" t="s">
        <v>105</v>
      </c>
      <c r="V4" s="77" t="s">
        <v>117</v>
      </c>
      <c r="W4" s="77" t="s">
        <v>117</v>
      </c>
      <c r="X4" s="77" t="s">
        <v>119</v>
      </c>
      <c r="Y4" s="79" t="s">
        <v>122</v>
      </c>
      <c r="Z4" s="77" t="s">
        <v>250</v>
      </c>
      <c r="AA4" s="77"/>
      <c r="AB4" s="78" t="s">
        <v>122</v>
      </c>
      <c r="AC4" s="2" t="s">
        <v>99</v>
      </c>
      <c r="AD4" s="2" t="s">
        <v>51</v>
      </c>
      <c r="AE4" s="2" t="s">
        <v>51</v>
      </c>
      <c r="AF4" s="9" t="s">
        <v>51</v>
      </c>
      <c r="AG4" s="6" t="s">
        <v>105</v>
      </c>
      <c r="AH4" s="77"/>
      <c r="AI4" s="77"/>
      <c r="AJ4" s="77"/>
      <c r="AK4" s="78"/>
      <c r="AL4" s="2" t="s">
        <v>51</v>
      </c>
      <c r="AM4" s="9" t="s">
        <v>51</v>
      </c>
      <c r="AN4" s="9"/>
      <c r="AO4" s="6" t="s">
        <v>105</v>
      </c>
      <c r="AP4" s="2" t="s">
        <v>51</v>
      </c>
      <c r="AQ4" s="26" t="s">
        <v>98</v>
      </c>
    </row>
    <row r="5" spans="1:43" s="2" customFormat="1" ht="18.75" customHeight="1" x14ac:dyDescent="0.25">
      <c r="B5" s="60" t="s">
        <v>8</v>
      </c>
      <c r="C5" s="7"/>
      <c r="F5" s="3"/>
      <c r="J5" s="65"/>
      <c r="K5" s="7"/>
      <c r="L5" s="59"/>
      <c r="M5" s="9"/>
      <c r="O5" s="9"/>
      <c r="P5" s="9"/>
      <c r="Q5" s="10"/>
      <c r="T5" s="9"/>
      <c r="U5" s="6"/>
      <c r="V5" s="77"/>
      <c r="W5" s="77"/>
      <c r="X5" s="77"/>
      <c r="Y5" s="79"/>
      <c r="Z5" s="77"/>
      <c r="AA5" s="77"/>
      <c r="AB5" s="78"/>
      <c r="AF5" s="9"/>
      <c r="AG5" s="6"/>
      <c r="AH5" s="77"/>
      <c r="AI5" s="77"/>
      <c r="AJ5" s="77"/>
      <c r="AK5" s="78"/>
      <c r="AM5" s="9"/>
      <c r="AN5" s="9"/>
      <c r="AO5" s="6"/>
      <c r="AQ5" s="26"/>
    </row>
    <row r="6" spans="1:43" x14ac:dyDescent="0.25">
      <c r="A6" s="1" t="s">
        <v>128</v>
      </c>
      <c r="B6" s="61" t="s">
        <v>20</v>
      </c>
      <c r="C6" s="6">
        <v>1</v>
      </c>
      <c r="D6" s="2">
        <v>145</v>
      </c>
      <c r="E6" s="2">
        <v>10.5</v>
      </c>
      <c r="F6" s="2">
        <v>32</v>
      </c>
      <c r="G6" s="2">
        <v>6193</v>
      </c>
      <c r="H6" s="2">
        <v>3500</v>
      </c>
      <c r="I6" s="2" t="s">
        <v>186</v>
      </c>
      <c r="J6" s="9">
        <v>384</v>
      </c>
      <c r="K6" s="6" t="s">
        <v>21</v>
      </c>
      <c r="L6" s="66">
        <v>38.036999999999999</v>
      </c>
      <c r="M6" s="14">
        <v>117.58199999999999</v>
      </c>
      <c r="N6" s="28">
        <v>24.308</v>
      </c>
      <c r="O6" s="14">
        <v>6</v>
      </c>
      <c r="P6" s="14">
        <f t="shared" ref="P6:P16" si="0">SUM(M6:O6)</f>
        <v>147.88999999999999</v>
      </c>
      <c r="Q6" s="36">
        <v>465.52499999999998</v>
      </c>
      <c r="R6" s="13">
        <v>687.97799999999995</v>
      </c>
      <c r="S6" s="13">
        <v>183.21799999999999</v>
      </c>
      <c r="T6" s="18">
        <f t="shared" ref="T6:T16" si="1">SUM(Q6:S6)</f>
        <v>1336.721</v>
      </c>
      <c r="U6" s="25">
        <f t="shared" ref="U6:U18" si="2">T6/AP6*100</f>
        <v>53.362733358548809</v>
      </c>
      <c r="V6" s="80">
        <f t="shared" ref="V6:V18" si="3">G6*G6*H6*0.000000001</f>
        <v>134.23637150000002</v>
      </c>
      <c r="W6" s="80">
        <f t="shared" ref="W6:W18" si="4">((G6+700)*(G6+700)-G6*G6)*H6*0.000000001</f>
        <v>32.060700000000004</v>
      </c>
      <c r="X6" s="81">
        <f t="shared" ref="X6:X18" si="5">G6*(H6+800)*0.000001*D6/E6</f>
        <v>367.74623809523808</v>
      </c>
      <c r="Y6" s="81">
        <f t="shared" ref="Y6:Y18" si="6">SQRT(G6*(H6+800)*0.000001)*D6</f>
        <v>748.2604142275602</v>
      </c>
      <c r="Z6" s="81">
        <f t="shared" ref="Z6:Z18" si="7">SQRT(G6*H6*0.000001*F6)*D6/E6</f>
        <v>363.69577379042482</v>
      </c>
      <c r="AA6" s="81">
        <f>J6*(H6+800)*D6/100000</f>
        <v>2394.2399999999998</v>
      </c>
      <c r="AB6" s="82">
        <f t="shared" ref="AB6:AB18" si="8">G6*H6*D6*0.000001</f>
        <v>3142.9474999999998</v>
      </c>
      <c r="AC6" s="22">
        <f>[1]Trvx.site!$L$388-[1]Trvx.site!$G$5-[1]Trvx.site!$G$367-[1]Trvx.site!$G$106-[1]Trvx.site!$G$67</f>
        <v>12815.999999999998</v>
      </c>
      <c r="AD6" s="13">
        <v>206.75405595947333</v>
      </c>
      <c r="AE6" s="13">
        <v>448.99995258773907</v>
      </c>
      <c r="AF6" s="18">
        <f t="shared" ref="AF6:AF18" si="9">SUM(AD6:AE6)</f>
        <v>655.75400854721238</v>
      </c>
      <c r="AG6" s="25">
        <f>AF6/AP6*100</f>
        <v>26.178107703031849</v>
      </c>
      <c r="AH6" s="91">
        <f t="shared" ref="AH6:AH18" si="10">G6*H6*0.000001</f>
        <v>21.6755</v>
      </c>
      <c r="AI6" s="91">
        <f t="shared" ref="AI6:AI18" si="11">G6*0.001*SQRT(H6)</f>
        <v>366.38282096735924</v>
      </c>
      <c r="AJ6" s="91">
        <f t="shared" ref="AJ6:AJ18" si="12">AI6*H6*0.001</f>
        <v>1282.3398733857575</v>
      </c>
      <c r="AK6" s="92"/>
      <c r="AL6" s="13">
        <v>194.72200000000001</v>
      </c>
      <c r="AM6" s="14">
        <v>317.774</v>
      </c>
      <c r="AN6" s="18">
        <f>AL6+AM6</f>
        <v>512.49599999999998</v>
      </c>
      <c r="AO6" s="25">
        <f>AN6/AP6*100</f>
        <v>20.459158938419336</v>
      </c>
      <c r="AP6" s="17">
        <f t="shared" ref="AP6:AP18" si="13">T6+AF6+AN6</f>
        <v>2504.9710085472125</v>
      </c>
      <c r="AQ6" s="27">
        <f t="shared" ref="AQ6:AQ18" si="14">AP6/P6</f>
        <v>16.938068892739285</v>
      </c>
    </row>
    <row r="7" spans="1:43" x14ac:dyDescent="0.25">
      <c r="A7" s="1" t="s">
        <v>128</v>
      </c>
      <c r="B7" s="61" t="s">
        <v>101</v>
      </c>
      <c r="C7" s="6">
        <v>2</v>
      </c>
      <c r="D7" s="2">
        <v>80</v>
      </c>
      <c r="E7" s="2">
        <v>15</v>
      </c>
      <c r="F7" s="2">
        <v>40</v>
      </c>
      <c r="G7" s="2">
        <v>7100</v>
      </c>
      <c r="H7" s="2">
        <v>2170</v>
      </c>
      <c r="I7" s="2" t="s">
        <v>185</v>
      </c>
      <c r="J7" s="9">
        <v>420</v>
      </c>
      <c r="K7" s="6" t="s">
        <v>21</v>
      </c>
      <c r="L7" s="66"/>
      <c r="M7" s="14">
        <v>88.956999999999994</v>
      </c>
      <c r="N7" s="13">
        <v>18.774000000000001</v>
      </c>
      <c r="O7" s="14">
        <v>4.0730000000000004</v>
      </c>
      <c r="P7" s="14">
        <f t="shared" si="0"/>
        <v>111.804</v>
      </c>
      <c r="Q7" s="36">
        <v>456.91199999999998</v>
      </c>
      <c r="R7" s="13">
        <f>(1290.22-60)*(850/1774)+60</f>
        <v>649.45152198421647</v>
      </c>
      <c r="S7" s="13">
        <f>302.71/2</f>
        <v>151.35499999999999</v>
      </c>
      <c r="T7" s="18">
        <f t="shared" si="1"/>
        <v>1257.7185219842165</v>
      </c>
      <c r="U7" s="25">
        <f t="shared" si="2"/>
        <v>50.463046338706938</v>
      </c>
      <c r="V7" s="80">
        <f t="shared" si="3"/>
        <v>109.3897</v>
      </c>
      <c r="W7" s="80">
        <f t="shared" si="4"/>
        <v>22.633100000000002</v>
      </c>
      <c r="X7" s="81">
        <f t="shared" si="5"/>
        <v>112.464</v>
      </c>
      <c r="Y7" s="81">
        <f t="shared" si="6"/>
        <v>367.36466895987695</v>
      </c>
      <c r="Z7" s="81">
        <f t="shared" si="7"/>
        <v>132.39993286335996</v>
      </c>
      <c r="AA7" s="81">
        <f t="shared" ref="AA7:AA21" si="15">J7*(H7+800)*D7/100000</f>
        <v>997.92</v>
      </c>
      <c r="AB7" s="82">
        <f t="shared" si="8"/>
        <v>1232.56</v>
      </c>
      <c r="AC7" s="19">
        <f>34000/2</f>
        <v>17000</v>
      </c>
      <c r="AD7" s="13">
        <f>537.661/2</f>
        <v>268.83049999999997</v>
      </c>
      <c r="AE7" s="13">
        <f>671.655/2</f>
        <v>335.82749999999999</v>
      </c>
      <c r="AF7" s="18">
        <f t="shared" si="9"/>
        <v>604.6579999999999</v>
      </c>
      <c r="AG7" s="25">
        <f t="shared" ref="AG7:AG16" si="16">AF7/AP7*100</f>
        <v>24.260503554429466</v>
      </c>
      <c r="AH7" s="91">
        <f t="shared" si="10"/>
        <v>15.407</v>
      </c>
      <c r="AI7" s="91">
        <f t="shared" si="11"/>
        <v>330.74113744740009</v>
      </c>
      <c r="AJ7" s="91">
        <f t="shared" si="12"/>
        <v>717.70826826085829</v>
      </c>
      <c r="AK7" s="92"/>
      <c r="AL7" s="13">
        <v>236.46</v>
      </c>
      <c r="AM7" s="14">
        <v>393.51900000000001</v>
      </c>
      <c r="AN7" s="18">
        <f>AL7+AM7</f>
        <v>629.97900000000004</v>
      </c>
      <c r="AO7" s="25">
        <f t="shared" ref="AO7:AO16" si="17">AN7/AP7*100</f>
        <v>25.276450106863592</v>
      </c>
      <c r="AP7" s="17">
        <f t="shared" si="13"/>
        <v>2492.3555219842165</v>
      </c>
      <c r="AQ7" s="27">
        <f t="shared" si="14"/>
        <v>22.292185628279995</v>
      </c>
    </row>
    <row r="8" spans="1:43" x14ac:dyDescent="0.25">
      <c r="A8" s="1" t="s">
        <v>128</v>
      </c>
      <c r="B8" s="61" t="s">
        <v>102</v>
      </c>
      <c r="C8" s="6">
        <v>2</v>
      </c>
      <c r="D8" s="2">
        <v>80</v>
      </c>
      <c r="E8" s="2">
        <v>15</v>
      </c>
      <c r="F8" s="2">
        <v>40</v>
      </c>
      <c r="G8" s="2">
        <v>7495</v>
      </c>
      <c r="H8" s="2">
        <v>1980</v>
      </c>
      <c r="I8" s="2" t="s">
        <v>185</v>
      </c>
      <c r="J8" s="9">
        <v>420</v>
      </c>
      <c r="K8" s="6" t="s">
        <v>21</v>
      </c>
      <c r="L8" s="66"/>
      <c r="M8" s="14">
        <v>110.426</v>
      </c>
      <c r="N8" s="13">
        <v>17.788</v>
      </c>
      <c r="O8" s="14">
        <v>4.1100000000000003</v>
      </c>
      <c r="P8" s="14">
        <f t="shared" si="0"/>
        <v>132.32400000000001</v>
      </c>
      <c r="Q8" s="36">
        <v>490.11799999999999</v>
      </c>
      <c r="R8" s="13">
        <v>641.69179819616693</v>
      </c>
      <c r="S8" s="13">
        <f>300.19/2</f>
        <v>150.095</v>
      </c>
      <c r="T8" s="18">
        <f t="shared" si="1"/>
        <v>1281.9047981961669</v>
      </c>
      <c r="U8" s="25">
        <f t="shared" si="2"/>
        <v>50.853421031723464</v>
      </c>
      <c r="V8" s="80">
        <f t="shared" si="3"/>
        <v>111.2265495</v>
      </c>
      <c r="W8" s="80">
        <f t="shared" si="4"/>
        <v>21.74634</v>
      </c>
      <c r="X8" s="81">
        <f t="shared" si="5"/>
        <v>111.12586666666667</v>
      </c>
      <c r="Y8" s="81">
        <f t="shared" si="6"/>
        <v>365.17261671708076</v>
      </c>
      <c r="Z8" s="81">
        <f t="shared" si="7"/>
        <v>129.94127904557504</v>
      </c>
      <c r="AA8" s="81">
        <f t="shared" si="15"/>
        <v>934.08</v>
      </c>
      <c r="AB8" s="82">
        <f t="shared" si="8"/>
        <v>1187.2079999999999</v>
      </c>
      <c r="AC8" s="19">
        <f>31182/2</f>
        <v>15591</v>
      </c>
      <c r="AD8" s="13">
        <f>505.7/2</f>
        <v>252.85</v>
      </c>
      <c r="AE8" s="13">
        <f>712.1/2</f>
        <v>356.05</v>
      </c>
      <c r="AF8" s="18">
        <f t="shared" si="9"/>
        <v>608.9</v>
      </c>
      <c r="AG8" s="25">
        <f t="shared" si="16"/>
        <v>24.155185400498024</v>
      </c>
      <c r="AH8" s="91">
        <f t="shared" si="10"/>
        <v>14.8401</v>
      </c>
      <c r="AI8" s="91">
        <f t="shared" si="11"/>
        <v>333.50644596469198</v>
      </c>
      <c r="AJ8" s="91">
        <f t="shared" si="12"/>
        <v>660.34276301009015</v>
      </c>
      <c r="AK8" s="92"/>
      <c r="AL8" s="13">
        <v>236.46</v>
      </c>
      <c r="AM8" s="14">
        <v>393.51900000000001</v>
      </c>
      <c r="AN8" s="18">
        <f>AL8+AM8</f>
        <v>629.97900000000004</v>
      </c>
      <c r="AO8" s="25">
        <f t="shared" si="17"/>
        <v>24.991393567778527</v>
      </c>
      <c r="AP8" s="17">
        <f t="shared" si="13"/>
        <v>2520.7837981961666</v>
      </c>
      <c r="AQ8" s="27">
        <f t="shared" si="14"/>
        <v>19.050087649981609</v>
      </c>
    </row>
    <row r="9" spans="1:43" x14ac:dyDescent="0.25">
      <c r="A9" s="1" t="s">
        <v>128</v>
      </c>
      <c r="B9" s="61" t="s">
        <v>61</v>
      </c>
      <c r="C9" s="6">
        <v>3</v>
      </c>
      <c r="D9" s="2">
        <v>25</v>
      </c>
      <c r="E9" s="2">
        <v>12</v>
      </c>
      <c r="F9" s="2">
        <v>10</v>
      </c>
      <c r="G9" s="2">
        <v>2300</v>
      </c>
      <c r="H9" s="2">
        <v>1750</v>
      </c>
      <c r="I9" s="2" t="s">
        <v>186</v>
      </c>
      <c r="J9" s="9">
        <v>168</v>
      </c>
      <c r="K9" s="6" t="s">
        <v>21</v>
      </c>
      <c r="L9" s="66">
        <v>9.6999999999999993</v>
      </c>
      <c r="M9" s="14">
        <v>24.465</v>
      </c>
      <c r="N9" s="28">
        <v>5</v>
      </c>
      <c r="O9" s="37">
        <v>1.6</v>
      </c>
      <c r="P9" s="12">
        <f t="shared" si="0"/>
        <v>31.065000000000001</v>
      </c>
      <c r="Q9" s="13">
        <v>138.834</v>
      </c>
      <c r="R9" s="13">
        <v>270.15899999999999</v>
      </c>
      <c r="S9" s="13">
        <v>0</v>
      </c>
      <c r="T9" s="18">
        <f t="shared" si="1"/>
        <v>408.99299999999999</v>
      </c>
      <c r="U9" s="25">
        <f t="shared" si="2"/>
        <v>47.183968712686244</v>
      </c>
      <c r="V9" s="80">
        <f t="shared" si="3"/>
        <v>9.2575000000000003</v>
      </c>
      <c r="W9" s="80">
        <f t="shared" si="4"/>
        <v>6.4925000000000006</v>
      </c>
      <c r="X9" s="81">
        <f t="shared" si="5"/>
        <v>12.218749999999998</v>
      </c>
      <c r="Y9" s="81">
        <f t="shared" si="6"/>
        <v>60.544405191561665</v>
      </c>
      <c r="Z9" s="81">
        <f t="shared" si="7"/>
        <v>13.217268271301583</v>
      </c>
      <c r="AA9" s="81">
        <f t="shared" si="15"/>
        <v>107.1</v>
      </c>
      <c r="AB9" s="82">
        <f t="shared" si="8"/>
        <v>100.625</v>
      </c>
      <c r="AC9" s="19">
        <v>1038</v>
      </c>
      <c r="AD9" s="32">
        <v>118.26600000000001</v>
      </c>
      <c r="AE9" s="32">
        <v>140.63800000000001</v>
      </c>
      <c r="AF9" s="18">
        <f t="shared" si="9"/>
        <v>258.904</v>
      </c>
      <c r="AG9" s="25">
        <f t="shared" si="16"/>
        <v>29.8687709461759</v>
      </c>
      <c r="AH9" s="91">
        <f t="shared" si="10"/>
        <v>4.0249999999999995</v>
      </c>
      <c r="AI9" s="91">
        <f t="shared" si="11"/>
        <v>96.215903051418707</v>
      </c>
      <c r="AJ9" s="91">
        <f t="shared" si="12"/>
        <v>168.37783033998272</v>
      </c>
      <c r="AK9" s="92"/>
      <c r="AL9" s="13">
        <v>84.272000000000006</v>
      </c>
      <c r="AM9" s="14">
        <v>114.636</v>
      </c>
      <c r="AN9" s="18">
        <f>AL9+AM9</f>
        <v>198.90800000000002</v>
      </c>
      <c r="AO9" s="25">
        <f t="shared" si="17"/>
        <v>22.947260341137859</v>
      </c>
      <c r="AP9" s="17">
        <f t="shared" si="13"/>
        <v>866.80499999999995</v>
      </c>
      <c r="AQ9" s="27">
        <f t="shared" si="14"/>
        <v>27.902945436986961</v>
      </c>
    </row>
    <row r="10" spans="1:43" x14ac:dyDescent="0.25">
      <c r="A10" s="1" t="s">
        <v>128</v>
      </c>
      <c r="B10" s="61" t="s">
        <v>74</v>
      </c>
      <c r="C10" s="6">
        <v>1</v>
      </c>
      <c r="D10" s="2">
        <v>68</v>
      </c>
      <c r="E10" s="2">
        <v>10.5</v>
      </c>
      <c r="F10" s="2">
        <v>56</v>
      </c>
      <c r="G10" s="2">
        <v>8474</v>
      </c>
      <c r="H10" s="2">
        <v>1425</v>
      </c>
      <c r="I10" s="2" t="s">
        <v>185</v>
      </c>
      <c r="J10" s="9">
        <v>480</v>
      </c>
      <c r="K10" s="6" t="s">
        <v>21</v>
      </c>
      <c r="L10" s="66"/>
      <c r="M10" s="31">
        <v>61.975999999999999</v>
      </c>
      <c r="N10" s="30">
        <v>13.131</v>
      </c>
      <c r="O10" s="31">
        <v>4.6150000000000002</v>
      </c>
      <c r="P10" s="14">
        <f t="shared" si="0"/>
        <v>79.721999999999994</v>
      </c>
      <c r="Q10" s="36">
        <v>304.77800000000002</v>
      </c>
      <c r="R10" s="14">
        <v>391.32600000000002</v>
      </c>
      <c r="S10" s="13">
        <v>126.054</v>
      </c>
      <c r="T10" s="18">
        <f t="shared" si="1"/>
        <v>822.15800000000002</v>
      </c>
      <c r="U10" s="25">
        <f t="shared" si="2"/>
        <v>50.208919347727047</v>
      </c>
      <c r="V10" s="80">
        <f t="shared" si="3"/>
        <v>102.3273633</v>
      </c>
      <c r="W10" s="80">
        <f t="shared" si="4"/>
        <v>17.60388</v>
      </c>
      <c r="X10" s="81">
        <f t="shared" si="5"/>
        <v>122.10630476190475</v>
      </c>
      <c r="Y10" s="81">
        <f t="shared" si="6"/>
        <v>295.2692019158111</v>
      </c>
      <c r="Z10" s="81">
        <f t="shared" si="7"/>
        <v>168.40899693193072</v>
      </c>
      <c r="AA10" s="81">
        <f t="shared" si="15"/>
        <v>726.24</v>
      </c>
      <c r="AB10" s="82">
        <f t="shared" si="8"/>
        <v>821.13059999999996</v>
      </c>
      <c r="AC10" s="19">
        <v>8436</v>
      </c>
      <c r="AD10" s="13">
        <v>235.14699999999999</v>
      </c>
      <c r="AE10" s="13">
        <v>281.82499999999999</v>
      </c>
      <c r="AF10" s="18">
        <f t="shared" si="9"/>
        <v>516.97199999999998</v>
      </c>
      <c r="AG10" s="25">
        <f t="shared" si="16"/>
        <v>31.571310445234545</v>
      </c>
      <c r="AH10" s="91">
        <f t="shared" si="10"/>
        <v>12.07545</v>
      </c>
      <c r="AI10" s="91">
        <f t="shared" si="11"/>
        <v>319.88648502242165</v>
      </c>
      <c r="AJ10" s="91">
        <f t="shared" si="12"/>
        <v>455.83824115695086</v>
      </c>
      <c r="AK10" s="92"/>
      <c r="AL10" s="13">
        <v>137.48500000000001</v>
      </c>
      <c r="AM10" s="14">
        <v>160.85900000000001</v>
      </c>
      <c r="AN10" s="18">
        <f t="shared" ref="AN10:AN16" si="18">AL10+AM10</f>
        <v>298.34400000000005</v>
      </c>
      <c r="AO10" s="25">
        <f t="shared" si="17"/>
        <v>18.219770207038401</v>
      </c>
      <c r="AP10" s="17">
        <f t="shared" si="13"/>
        <v>1637.4740000000002</v>
      </c>
      <c r="AQ10" s="27">
        <f t="shared" si="14"/>
        <v>20.539800807807133</v>
      </c>
    </row>
    <row r="11" spans="1:43" x14ac:dyDescent="0.25">
      <c r="A11" s="1" t="s">
        <v>128</v>
      </c>
      <c r="B11" s="61" t="s">
        <v>86</v>
      </c>
      <c r="C11" s="6">
        <v>1</v>
      </c>
      <c r="D11" s="2">
        <v>38</v>
      </c>
      <c r="E11" s="2">
        <v>10.5</v>
      </c>
      <c r="F11" s="2">
        <v>76</v>
      </c>
      <c r="G11" s="2">
        <v>9290</v>
      </c>
      <c r="H11" s="2">
        <v>1050</v>
      </c>
      <c r="I11" s="2" t="s">
        <v>185</v>
      </c>
      <c r="J11" s="9">
        <v>348</v>
      </c>
      <c r="K11" s="6" t="s">
        <v>21</v>
      </c>
      <c r="L11" s="66"/>
      <c r="M11" s="31">
        <v>54.548999999999999</v>
      </c>
      <c r="N11" s="30">
        <v>7.827</v>
      </c>
      <c r="O11" s="31">
        <v>3.6160000000000001</v>
      </c>
      <c r="P11" s="14">
        <f t="shared" si="0"/>
        <v>65.992000000000004</v>
      </c>
      <c r="Q11" s="36">
        <v>340.98599999999999</v>
      </c>
      <c r="R11" s="13">
        <v>246.52099999999999</v>
      </c>
      <c r="S11" s="13">
        <v>142.61000000000001</v>
      </c>
      <c r="T11" s="18">
        <f t="shared" si="1"/>
        <v>730.11699999999996</v>
      </c>
      <c r="U11" s="25">
        <f t="shared" si="2"/>
        <v>43.833100694913469</v>
      </c>
      <c r="V11" s="80">
        <f t="shared" si="3"/>
        <v>90.619305000000011</v>
      </c>
      <c r="W11" s="80">
        <f t="shared" si="4"/>
        <v>14.170800000000002</v>
      </c>
      <c r="X11" s="81">
        <f t="shared" si="5"/>
        <v>62.198761904761902</v>
      </c>
      <c r="Y11" s="81">
        <f t="shared" si="6"/>
        <v>157.53509450278057</v>
      </c>
      <c r="Z11" s="81">
        <f t="shared" si="7"/>
        <v>98.537967543577068</v>
      </c>
      <c r="AA11" s="81">
        <f t="shared" si="15"/>
        <v>244.64400000000001</v>
      </c>
      <c r="AB11" s="82">
        <f t="shared" si="8"/>
        <v>370.67099999999999</v>
      </c>
      <c r="AC11" s="19">
        <v>8342</v>
      </c>
      <c r="AD11" s="13">
        <v>123.387</v>
      </c>
      <c r="AE11" s="13">
        <v>313.87799999999999</v>
      </c>
      <c r="AF11" s="18">
        <f t="shared" si="9"/>
        <v>437.26499999999999</v>
      </c>
      <c r="AG11" s="25">
        <f t="shared" si="16"/>
        <v>26.251519654194244</v>
      </c>
      <c r="AH11" s="91">
        <f t="shared" si="10"/>
        <v>9.7545000000000002</v>
      </c>
      <c r="AI11" s="91">
        <f t="shared" si="11"/>
        <v>301.0304054410451</v>
      </c>
      <c r="AJ11" s="91">
        <f t="shared" si="12"/>
        <v>316.08192571309741</v>
      </c>
      <c r="AK11" s="92"/>
      <c r="AL11" s="13">
        <v>118.685</v>
      </c>
      <c r="AM11" s="14">
        <v>379.608</v>
      </c>
      <c r="AN11" s="18">
        <f t="shared" si="18"/>
        <v>498.29300000000001</v>
      </c>
      <c r="AO11" s="25">
        <f t="shared" si="17"/>
        <v>29.915379650892277</v>
      </c>
      <c r="AP11" s="17">
        <f t="shared" si="13"/>
        <v>1665.6750000000002</v>
      </c>
      <c r="AQ11" s="27">
        <f t="shared" si="14"/>
        <v>25.240559461752941</v>
      </c>
    </row>
    <row r="12" spans="1:43" x14ac:dyDescent="0.25">
      <c r="A12" s="1" t="s">
        <v>128</v>
      </c>
      <c r="B12" s="61" t="s">
        <v>77</v>
      </c>
      <c r="C12" s="6">
        <v>1</v>
      </c>
      <c r="D12" s="2">
        <v>39</v>
      </c>
      <c r="E12" s="2">
        <v>10.3</v>
      </c>
      <c r="F12" s="2">
        <v>72</v>
      </c>
      <c r="G12" s="2">
        <v>9600</v>
      </c>
      <c r="H12" s="2">
        <v>920</v>
      </c>
      <c r="I12" s="2" t="s">
        <v>186</v>
      </c>
      <c r="J12" s="9">
        <v>405</v>
      </c>
      <c r="K12" s="6" t="s">
        <v>21</v>
      </c>
      <c r="L12" s="66">
        <v>16.5</v>
      </c>
      <c r="M12" s="14">
        <v>50.747999999999998</v>
      </c>
      <c r="N12" s="13">
        <v>10.118</v>
      </c>
      <c r="O12" s="14">
        <v>4.1239999999999997</v>
      </c>
      <c r="P12" s="14">
        <f t="shared" si="0"/>
        <v>64.989999999999995</v>
      </c>
      <c r="Q12" s="36">
        <v>279.39100000000002</v>
      </c>
      <c r="R12" s="13">
        <v>492.041</v>
      </c>
      <c r="S12" s="13">
        <v>134.94900000000001</v>
      </c>
      <c r="T12" s="18">
        <f t="shared" si="1"/>
        <v>906.38100000000009</v>
      </c>
      <c r="U12" s="25">
        <f t="shared" si="2"/>
        <v>52.448870826902947</v>
      </c>
      <c r="V12" s="80">
        <f t="shared" si="3"/>
        <v>84.787199999999999</v>
      </c>
      <c r="W12" s="80">
        <f t="shared" si="4"/>
        <v>12.815600000000002</v>
      </c>
      <c r="X12" s="81">
        <f t="shared" si="5"/>
        <v>62.521165048543693</v>
      </c>
      <c r="Y12" s="81">
        <f t="shared" si="6"/>
        <v>158.47634523801969</v>
      </c>
      <c r="Z12" s="81">
        <f t="shared" si="7"/>
        <v>95.482363512416455</v>
      </c>
      <c r="AA12" s="81">
        <f t="shared" si="15"/>
        <v>271.67399999999998</v>
      </c>
      <c r="AB12" s="82">
        <f t="shared" si="8"/>
        <v>344.44799999999998</v>
      </c>
      <c r="AC12" s="19">
        <v>11887</v>
      </c>
      <c r="AD12" s="13">
        <v>125.386</v>
      </c>
      <c r="AE12" s="13">
        <v>360.036</v>
      </c>
      <c r="AF12" s="18">
        <f t="shared" si="9"/>
        <v>485.42200000000003</v>
      </c>
      <c r="AG12" s="25">
        <f t="shared" si="16"/>
        <v>28.089551496045136</v>
      </c>
      <c r="AH12" s="91">
        <f t="shared" si="10"/>
        <v>8.831999999999999</v>
      </c>
      <c r="AI12" s="91">
        <f t="shared" si="11"/>
        <v>291.18241705157953</v>
      </c>
      <c r="AJ12" s="91">
        <f t="shared" si="12"/>
        <v>267.88782368745319</v>
      </c>
      <c r="AK12" s="92"/>
      <c r="AL12" s="13">
        <v>148.85499999999999</v>
      </c>
      <c r="AM12" s="14">
        <v>187.465</v>
      </c>
      <c r="AN12" s="18">
        <f t="shared" si="18"/>
        <v>336.32</v>
      </c>
      <c r="AO12" s="25">
        <f t="shared" si="17"/>
        <v>19.46157767705192</v>
      </c>
      <c r="AP12" s="17">
        <f t="shared" si="13"/>
        <v>1728.123</v>
      </c>
      <c r="AQ12" s="27">
        <f t="shared" si="14"/>
        <v>26.590598553623636</v>
      </c>
    </row>
    <row r="13" spans="1:43" x14ac:dyDescent="0.25">
      <c r="A13" s="1" t="s">
        <v>128</v>
      </c>
      <c r="B13" s="61" t="s">
        <v>78</v>
      </c>
      <c r="C13" s="6">
        <v>4</v>
      </c>
      <c r="D13" s="2">
        <v>107</v>
      </c>
      <c r="E13" s="2">
        <v>10.3</v>
      </c>
      <c r="F13" s="2">
        <v>14</v>
      </c>
      <c r="G13" s="2">
        <v>3508</v>
      </c>
      <c r="H13" s="2">
        <v>2240</v>
      </c>
      <c r="I13" s="2" t="s">
        <v>185</v>
      </c>
      <c r="J13" s="9">
        <v>156</v>
      </c>
      <c r="K13" s="6" t="s">
        <v>21</v>
      </c>
      <c r="L13" s="66"/>
      <c r="M13" s="14">
        <v>77.587000000000003</v>
      </c>
      <c r="N13" s="13">
        <v>11.125999999999999</v>
      </c>
      <c r="O13" s="14">
        <v>3.0390000000000001</v>
      </c>
      <c r="P13" s="14">
        <f t="shared" si="0"/>
        <v>91.75200000000001</v>
      </c>
      <c r="Q13" s="36">
        <v>245.14599999999999</v>
      </c>
      <c r="R13" s="13">
        <v>313.11419999999998</v>
      </c>
      <c r="S13" s="13">
        <v>76.855999999999995</v>
      </c>
      <c r="T13" s="18">
        <f t="shared" si="1"/>
        <v>635.11619999999994</v>
      </c>
      <c r="U13" s="25">
        <f t="shared" si="2"/>
        <v>45.638189718382684</v>
      </c>
      <c r="V13" s="80">
        <f t="shared" si="3"/>
        <v>27.565583360000002</v>
      </c>
      <c r="W13" s="80">
        <f t="shared" si="4"/>
        <v>12.098688000000001</v>
      </c>
      <c r="X13" s="81">
        <f t="shared" si="5"/>
        <v>110.78468349514561</v>
      </c>
      <c r="Y13" s="81">
        <f t="shared" si="6"/>
        <v>349.42209386356785</v>
      </c>
      <c r="Z13" s="81">
        <f t="shared" si="7"/>
        <v>108.95931702137692</v>
      </c>
      <c r="AA13" s="81">
        <f t="shared" si="15"/>
        <v>507.43680000000001</v>
      </c>
      <c r="AB13" s="82">
        <f t="shared" si="8"/>
        <v>840.79743999999994</v>
      </c>
      <c r="AC13" s="19">
        <v>7304</v>
      </c>
      <c r="AD13" s="13">
        <v>179.58</v>
      </c>
      <c r="AE13" s="13">
        <v>188.93299999999999</v>
      </c>
      <c r="AF13" s="18">
        <f t="shared" si="9"/>
        <v>368.51300000000003</v>
      </c>
      <c r="AG13" s="25">
        <f t="shared" si="16"/>
        <v>26.480612851144976</v>
      </c>
      <c r="AH13" s="91">
        <f t="shared" si="10"/>
        <v>7.85792</v>
      </c>
      <c r="AI13" s="91">
        <f t="shared" si="11"/>
        <v>166.02886303290762</v>
      </c>
      <c r="AJ13" s="91">
        <f t="shared" si="12"/>
        <v>371.90465319371305</v>
      </c>
      <c r="AK13" s="92"/>
      <c r="AL13" s="13">
        <v>188</v>
      </c>
      <c r="AM13" s="14">
        <v>200.00399999999999</v>
      </c>
      <c r="AN13" s="18">
        <f t="shared" si="18"/>
        <v>388.00400000000002</v>
      </c>
      <c r="AO13" s="25">
        <f t="shared" si="17"/>
        <v>27.881197430472344</v>
      </c>
      <c r="AP13" s="17">
        <f t="shared" si="13"/>
        <v>1391.6332</v>
      </c>
      <c r="AQ13" s="27">
        <f t="shared" si="14"/>
        <v>15.167333682099571</v>
      </c>
    </row>
    <row r="14" spans="1:43" x14ac:dyDescent="0.25">
      <c r="A14" s="1" t="s">
        <v>128</v>
      </c>
      <c r="B14" s="61" t="s">
        <v>79</v>
      </c>
      <c r="C14" s="6">
        <v>1</v>
      </c>
      <c r="D14" s="2">
        <v>25</v>
      </c>
      <c r="E14" s="2">
        <v>5.65</v>
      </c>
      <c r="F14" s="2">
        <v>40</v>
      </c>
      <c r="G14" s="2">
        <v>5200</v>
      </c>
      <c r="H14" s="2">
        <v>890</v>
      </c>
      <c r="I14" s="2" t="s">
        <v>186</v>
      </c>
      <c r="J14" s="9">
        <v>264</v>
      </c>
      <c r="K14" s="6" t="s">
        <v>21</v>
      </c>
      <c r="L14" s="66">
        <v>13.694000000000001</v>
      </c>
      <c r="M14" s="14">
        <v>28.393000000000001</v>
      </c>
      <c r="N14" s="13">
        <v>5.1050000000000004</v>
      </c>
      <c r="O14" s="14">
        <v>2.0579999999999998</v>
      </c>
      <c r="P14" s="14">
        <f t="shared" si="0"/>
        <v>35.556000000000004</v>
      </c>
      <c r="Q14" s="36">
        <v>207.018</v>
      </c>
      <c r="R14" s="13">
        <v>414.709</v>
      </c>
      <c r="S14" s="13">
        <v>74.003</v>
      </c>
      <c r="T14" s="18">
        <f t="shared" si="1"/>
        <v>695.73</v>
      </c>
      <c r="U14" s="25">
        <f t="shared" si="2"/>
        <v>57.475784299551833</v>
      </c>
      <c r="V14" s="80">
        <f t="shared" si="3"/>
        <v>24.0656</v>
      </c>
      <c r="W14" s="80">
        <f t="shared" si="4"/>
        <v>6.9153000000000002</v>
      </c>
      <c r="X14" s="81">
        <f t="shared" si="5"/>
        <v>38.884955752212392</v>
      </c>
      <c r="Y14" s="81">
        <f t="shared" si="6"/>
        <v>74.111402631443966</v>
      </c>
      <c r="Z14" s="81">
        <f t="shared" si="7"/>
        <v>60.203013634318395</v>
      </c>
      <c r="AA14" s="81">
        <f t="shared" si="15"/>
        <v>111.54</v>
      </c>
      <c r="AB14" s="82">
        <f t="shared" si="8"/>
        <v>115.69999999999999</v>
      </c>
      <c r="AC14" s="19">
        <v>4048</v>
      </c>
      <c r="AD14" s="30">
        <v>51.64</v>
      </c>
      <c r="AE14" s="13">
        <v>129.66999999999999</v>
      </c>
      <c r="AF14" s="18">
        <f t="shared" si="9"/>
        <v>181.31</v>
      </c>
      <c r="AG14" s="25">
        <f t="shared" si="16"/>
        <v>14.978417563353229</v>
      </c>
      <c r="AH14" s="91">
        <f t="shared" si="10"/>
        <v>4.6280000000000001</v>
      </c>
      <c r="AI14" s="91">
        <f t="shared" si="11"/>
        <v>155.13091245783352</v>
      </c>
      <c r="AJ14" s="91">
        <f t="shared" si="12"/>
        <v>138.06651208747184</v>
      </c>
      <c r="AK14" s="92"/>
      <c r="AL14" s="13">
        <v>159.35400000000001</v>
      </c>
      <c r="AM14" s="14">
        <v>174.08099999999999</v>
      </c>
      <c r="AN14" s="18">
        <f t="shared" si="18"/>
        <v>333.435</v>
      </c>
      <c r="AO14" s="25">
        <f t="shared" si="17"/>
        <v>27.545798137094945</v>
      </c>
      <c r="AP14" s="17">
        <f t="shared" si="13"/>
        <v>1210.4749999999999</v>
      </c>
      <c r="AQ14" s="27">
        <f t="shared" si="14"/>
        <v>34.044183822702209</v>
      </c>
    </row>
    <row r="15" spans="1:43" x14ac:dyDescent="0.25">
      <c r="A15" s="1" t="s">
        <v>128</v>
      </c>
      <c r="B15" s="61" t="s">
        <v>81</v>
      </c>
      <c r="C15" s="6">
        <v>1</v>
      </c>
      <c r="D15" s="2">
        <v>55</v>
      </c>
      <c r="E15" s="2">
        <v>5.65</v>
      </c>
      <c r="F15" s="2">
        <v>40</v>
      </c>
      <c r="G15" s="2">
        <v>5952</v>
      </c>
      <c r="H15" s="2">
        <v>1530</v>
      </c>
      <c r="I15" s="2" t="s">
        <v>186</v>
      </c>
      <c r="J15" s="9">
        <v>420</v>
      </c>
      <c r="K15" s="6" t="s">
        <v>21</v>
      </c>
      <c r="L15" s="66">
        <v>27.795999999999999</v>
      </c>
      <c r="M15" s="14">
        <v>53.262</v>
      </c>
      <c r="N15" s="13">
        <v>11.647</v>
      </c>
      <c r="O15" s="14">
        <v>4.2690000000000001</v>
      </c>
      <c r="P15" s="14">
        <f t="shared" si="0"/>
        <v>69.178000000000011</v>
      </c>
      <c r="Q15" s="36">
        <v>243.04900000000001</v>
      </c>
      <c r="R15" s="13">
        <v>447.59999999999997</v>
      </c>
      <c r="S15" s="13">
        <v>140.304</v>
      </c>
      <c r="T15" s="18">
        <f t="shared" si="1"/>
        <v>830.95299999999997</v>
      </c>
      <c r="U15" s="25">
        <f t="shared" si="2"/>
        <v>46.344593494211892</v>
      </c>
      <c r="V15" s="80">
        <f t="shared" si="3"/>
        <v>54.202245120000001</v>
      </c>
      <c r="W15" s="80">
        <f t="shared" si="4"/>
        <v>13.498884</v>
      </c>
      <c r="X15" s="81">
        <f t="shared" si="5"/>
        <v>134.99978761061945</v>
      </c>
      <c r="Y15" s="81">
        <f t="shared" si="6"/>
        <v>204.81988184744174</v>
      </c>
      <c r="Z15" s="81">
        <f t="shared" si="7"/>
        <v>185.78960612200905</v>
      </c>
      <c r="AA15" s="81">
        <f t="shared" si="15"/>
        <v>538.23</v>
      </c>
      <c r="AB15" s="82">
        <f t="shared" si="8"/>
        <v>500.86079999999998</v>
      </c>
      <c r="AC15" s="19">
        <v>9913</v>
      </c>
      <c r="AD15" s="13">
        <v>170.136</v>
      </c>
      <c r="AE15" s="13">
        <v>323.41000000000003</v>
      </c>
      <c r="AF15" s="18">
        <f t="shared" si="9"/>
        <v>493.54600000000005</v>
      </c>
      <c r="AG15" s="25">
        <f t="shared" si="16"/>
        <v>27.526453049323251</v>
      </c>
      <c r="AH15" s="91">
        <f t="shared" si="10"/>
        <v>9.10656</v>
      </c>
      <c r="AI15" s="91">
        <f t="shared" si="11"/>
        <v>232.81375629459697</v>
      </c>
      <c r="AJ15" s="91">
        <f t="shared" si="12"/>
        <v>356.20504713073336</v>
      </c>
      <c r="AK15" s="92"/>
      <c r="AL15" s="13">
        <v>159.75299999999999</v>
      </c>
      <c r="AM15" s="14">
        <v>308.73599999999999</v>
      </c>
      <c r="AN15" s="18">
        <f t="shared" si="18"/>
        <v>468.48899999999998</v>
      </c>
      <c r="AO15" s="25">
        <f t="shared" si="17"/>
        <v>26.128953456464849</v>
      </c>
      <c r="AP15" s="17">
        <f t="shared" si="13"/>
        <v>1792.9880000000001</v>
      </c>
      <c r="AQ15" s="27">
        <f t="shared" si="14"/>
        <v>25.918471190262796</v>
      </c>
    </row>
    <row r="16" spans="1:43" x14ac:dyDescent="0.25">
      <c r="A16" s="1" t="s">
        <v>128</v>
      </c>
      <c r="B16" s="61" t="s">
        <v>82</v>
      </c>
      <c r="C16" s="6">
        <v>1</v>
      </c>
      <c r="D16" s="2">
        <v>42</v>
      </c>
      <c r="E16" s="2">
        <v>10.3</v>
      </c>
      <c r="F16" s="2">
        <v>16</v>
      </c>
      <c r="G16" s="2">
        <v>3638</v>
      </c>
      <c r="H16" s="2">
        <v>1250</v>
      </c>
      <c r="I16" s="2" t="s">
        <v>186</v>
      </c>
      <c r="J16" s="9">
        <v>156</v>
      </c>
      <c r="K16" s="6" t="s">
        <v>21</v>
      </c>
      <c r="L16" s="66">
        <v>16.75</v>
      </c>
      <c r="M16" s="31">
        <v>46.639000000000003</v>
      </c>
      <c r="N16" s="30">
        <v>5.5579999999999998</v>
      </c>
      <c r="O16" s="31">
        <v>1.744</v>
      </c>
      <c r="P16" s="14">
        <f t="shared" si="0"/>
        <v>53.941000000000003</v>
      </c>
      <c r="Q16" s="36">
        <v>170.38900000000001</v>
      </c>
      <c r="R16" s="13">
        <v>154.39000000000001</v>
      </c>
      <c r="S16" s="13">
        <v>65.820999999999998</v>
      </c>
      <c r="T16" s="18">
        <f t="shared" si="1"/>
        <v>390.6</v>
      </c>
      <c r="U16" s="25">
        <f t="shared" si="2"/>
        <v>37.409851452433166</v>
      </c>
      <c r="V16" s="80">
        <f t="shared" si="3"/>
        <v>16.543805000000003</v>
      </c>
      <c r="W16" s="80">
        <f t="shared" si="4"/>
        <v>6.9790000000000001</v>
      </c>
      <c r="X16" s="81">
        <f t="shared" si="5"/>
        <v>30.410854368932032</v>
      </c>
      <c r="Y16" s="81">
        <f t="shared" si="6"/>
        <v>114.69845508985725</v>
      </c>
      <c r="Z16" s="81">
        <f t="shared" si="7"/>
        <v>34.782309153775415</v>
      </c>
      <c r="AA16" s="81">
        <f t="shared" si="15"/>
        <v>134.316</v>
      </c>
      <c r="AB16" s="82">
        <f t="shared" si="8"/>
        <v>190.995</v>
      </c>
      <c r="AC16" s="19">
        <v>7398</v>
      </c>
      <c r="AD16" s="13">
        <v>81.551000000000002</v>
      </c>
      <c r="AE16" s="13">
        <v>194.67</v>
      </c>
      <c r="AF16" s="18">
        <f t="shared" si="9"/>
        <v>276.221</v>
      </c>
      <c r="AG16" s="25">
        <f t="shared" si="16"/>
        <v>26.455162770206204</v>
      </c>
      <c r="AH16" s="91">
        <f t="shared" si="10"/>
        <v>4.5474999999999994</v>
      </c>
      <c r="AI16" s="91">
        <f t="shared" si="11"/>
        <v>128.62272349783299</v>
      </c>
      <c r="AJ16" s="91">
        <f t="shared" si="12"/>
        <v>160.77840437229125</v>
      </c>
      <c r="AK16" s="92"/>
      <c r="AL16" s="13">
        <v>170.59200000000001</v>
      </c>
      <c r="AM16" s="14">
        <v>206.697</v>
      </c>
      <c r="AN16" s="18">
        <f t="shared" si="18"/>
        <v>377.28899999999999</v>
      </c>
      <c r="AO16" s="25">
        <f t="shared" si="17"/>
        <v>36.134985777360619</v>
      </c>
      <c r="AP16" s="17">
        <f t="shared" si="13"/>
        <v>1044.1100000000001</v>
      </c>
      <c r="AQ16" s="27">
        <f t="shared" si="14"/>
        <v>19.356519159822771</v>
      </c>
    </row>
    <row r="17" spans="1:43" x14ac:dyDescent="0.25">
      <c r="A17" s="1" t="s">
        <v>127</v>
      </c>
      <c r="B17" s="61" t="s">
        <v>62</v>
      </c>
      <c r="C17" s="6">
        <v>5</v>
      </c>
      <c r="D17" s="2">
        <v>11</v>
      </c>
      <c r="E17" s="2">
        <v>3.5</v>
      </c>
      <c r="F17" s="2">
        <v>64</v>
      </c>
      <c r="G17" s="2">
        <v>3853</v>
      </c>
      <c r="H17" s="2">
        <v>935</v>
      </c>
      <c r="I17" s="2" t="s">
        <v>185</v>
      </c>
      <c r="J17" s="9">
        <v>240</v>
      </c>
      <c r="K17" s="6" t="s">
        <v>182</v>
      </c>
      <c r="L17" s="66"/>
      <c r="M17" s="14">
        <v>13.475</v>
      </c>
      <c r="N17" s="13">
        <v>3.4</v>
      </c>
      <c r="O17" s="14">
        <v>1.4</v>
      </c>
      <c r="P17" s="14">
        <f>SUM(M17:O17)</f>
        <v>18.274999999999999</v>
      </c>
      <c r="Q17" s="36">
        <v>135.9</v>
      </c>
      <c r="R17" s="13">
        <v>227.4</v>
      </c>
      <c r="S17" s="13">
        <v>64.108999999999995</v>
      </c>
      <c r="T17" s="18">
        <f>SUM(Q17:S17)</f>
        <v>427.40899999999999</v>
      </c>
      <c r="U17" s="25">
        <f t="shared" si="2"/>
        <v>41.221905750614454</v>
      </c>
      <c r="V17" s="80">
        <f t="shared" si="3"/>
        <v>13.880644415000001</v>
      </c>
      <c r="W17" s="80">
        <f t="shared" si="4"/>
        <v>5.5017270000000007</v>
      </c>
      <c r="X17" s="81">
        <f t="shared" si="5"/>
        <v>21.00985857142857</v>
      </c>
      <c r="Y17" s="81">
        <f t="shared" si="6"/>
        <v>28.440807917497704</v>
      </c>
      <c r="Z17" s="81">
        <f t="shared" si="7"/>
        <v>47.722142997196784</v>
      </c>
      <c r="AA17" s="81">
        <f t="shared" si="15"/>
        <v>45.804000000000002</v>
      </c>
      <c r="AB17" s="82">
        <f t="shared" si="8"/>
        <v>39.628104999999998</v>
      </c>
      <c r="AC17" s="19">
        <f>26869/5</f>
        <v>5373.8</v>
      </c>
      <c r="AD17" s="21">
        <f>535.111/5</f>
        <v>107.0222</v>
      </c>
      <c r="AE17" s="21">
        <f>888.485/5</f>
        <v>177.697</v>
      </c>
      <c r="AF17" s="18">
        <f t="shared" si="9"/>
        <v>284.7192</v>
      </c>
      <c r="AG17" s="25">
        <f>AF17/AP17*100</f>
        <v>27.460039512013896</v>
      </c>
      <c r="AH17" s="91">
        <f t="shared" si="10"/>
        <v>3.6025549999999997</v>
      </c>
      <c r="AI17" s="91">
        <f t="shared" si="11"/>
        <v>117.81614666504758</v>
      </c>
      <c r="AJ17" s="91">
        <f t="shared" si="12"/>
        <v>110.1580971318195</v>
      </c>
      <c r="AK17" s="92"/>
      <c r="AL17" s="13">
        <v>138.73099999999999</v>
      </c>
      <c r="AM17" s="14">
        <v>185.99</v>
      </c>
      <c r="AN17" s="18">
        <f>AL17+AM17</f>
        <v>324.721</v>
      </c>
      <c r="AO17" s="25">
        <f>AN17/AP17*100</f>
        <v>31.318054737371643</v>
      </c>
      <c r="AP17" s="17">
        <f t="shared" si="13"/>
        <v>1036.8492000000001</v>
      </c>
      <c r="AQ17" s="27">
        <f t="shared" si="14"/>
        <v>56.735934336525318</v>
      </c>
    </row>
    <row r="18" spans="1:43" x14ac:dyDescent="0.25">
      <c r="A18" s="1" t="s">
        <v>127</v>
      </c>
      <c r="B18" s="61" t="s">
        <v>63</v>
      </c>
      <c r="C18" s="6">
        <v>1</v>
      </c>
      <c r="D18" s="2">
        <v>19</v>
      </c>
      <c r="E18" s="2">
        <v>3</v>
      </c>
      <c r="F18" s="2">
        <v>80</v>
      </c>
      <c r="G18" s="2">
        <v>5070</v>
      </c>
      <c r="H18" s="2">
        <v>1190</v>
      </c>
      <c r="I18" s="2" t="s">
        <v>186</v>
      </c>
      <c r="J18" s="9">
        <v>336</v>
      </c>
      <c r="K18" s="6" t="s">
        <v>21</v>
      </c>
      <c r="L18" s="66">
        <v>56.4</v>
      </c>
      <c r="M18" s="14">
        <v>24.64</v>
      </c>
      <c r="N18" s="13">
        <v>5.351</v>
      </c>
      <c r="O18" s="14">
        <v>1.67</v>
      </c>
      <c r="P18" s="12">
        <f>SUM(M18:O18)</f>
        <v>31.661000000000001</v>
      </c>
      <c r="Q18" s="13">
        <v>228.346</v>
      </c>
      <c r="R18" s="13">
        <v>221.364</v>
      </c>
      <c r="S18" s="13">
        <v>86.409000000000006</v>
      </c>
      <c r="T18" s="18">
        <f>SUM(Q18:S18)</f>
        <v>536.11900000000003</v>
      </c>
      <c r="U18" s="25">
        <f t="shared" si="2"/>
        <v>39.239149050784391</v>
      </c>
      <c r="V18" s="80">
        <f t="shared" si="3"/>
        <v>30.588831000000003</v>
      </c>
      <c r="W18" s="80">
        <f t="shared" si="4"/>
        <v>9.0297200000000011</v>
      </c>
      <c r="X18" s="81">
        <f t="shared" si="5"/>
        <v>63.898899999999998</v>
      </c>
      <c r="Y18" s="81">
        <f t="shared" si="6"/>
        <v>60.350951110980844</v>
      </c>
      <c r="Z18" s="81">
        <f t="shared" si="7"/>
        <v>139.14089741457516</v>
      </c>
      <c r="AA18" s="81">
        <f t="shared" si="15"/>
        <v>127.0416</v>
      </c>
      <c r="AB18" s="82">
        <f t="shared" si="8"/>
        <v>114.6327</v>
      </c>
      <c r="AC18" s="19">
        <v>5620</v>
      </c>
      <c r="AD18" s="13">
        <v>166.58</v>
      </c>
      <c r="AE18" s="13">
        <v>139.55000000000001</v>
      </c>
      <c r="AF18" s="18">
        <f t="shared" si="9"/>
        <v>306.13</v>
      </c>
      <c r="AG18" s="25">
        <f>AF18/AP18*100</f>
        <v>22.405996987453577</v>
      </c>
      <c r="AH18" s="91">
        <f t="shared" si="10"/>
        <v>6.0332999999999997</v>
      </c>
      <c r="AI18" s="91">
        <f t="shared" si="11"/>
        <v>174.89662947009586</v>
      </c>
      <c r="AJ18" s="91">
        <f t="shared" si="12"/>
        <v>208.12698906941407</v>
      </c>
      <c r="AK18" s="92"/>
      <c r="AL18" s="13">
        <v>224.78200000000001</v>
      </c>
      <c r="AM18" s="14">
        <v>299.255</v>
      </c>
      <c r="AN18" s="18">
        <f>AL18+AM18</f>
        <v>524.03700000000003</v>
      </c>
      <c r="AO18" s="25">
        <f>AN18/AP18*100</f>
        <v>38.354853961762032</v>
      </c>
      <c r="AP18" s="17">
        <f t="shared" si="13"/>
        <v>1366.2860000000001</v>
      </c>
      <c r="AQ18" s="27">
        <f t="shared" si="14"/>
        <v>43.153595906635921</v>
      </c>
    </row>
    <row r="19" spans="1:43" x14ac:dyDescent="0.25">
      <c r="A19" s="1" t="s">
        <v>128</v>
      </c>
      <c r="B19" s="61" t="s">
        <v>80</v>
      </c>
      <c r="C19" s="6">
        <v>2</v>
      </c>
      <c r="D19" s="2">
        <v>14.4</v>
      </c>
      <c r="E19" s="2">
        <v>5.7</v>
      </c>
      <c r="F19" s="2">
        <v>56</v>
      </c>
      <c r="G19" s="2">
        <v>6310</v>
      </c>
      <c r="H19" s="2">
        <v>700</v>
      </c>
      <c r="I19" s="2" t="s">
        <v>186</v>
      </c>
      <c r="J19" s="9">
        <v>312</v>
      </c>
      <c r="K19" s="6" t="s">
        <v>21</v>
      </c>
      <c r="L19" s="66">
        <v>12.34</v>
      </c>
      <c r="M19" s="14">
        <v>19.748000000000001</v>
      </c>
      <c r="N19" s="13">
        <v>4.7229999999999999</v>
      </c>
      <c r="O19" s="14">
        <v>2.5870000000000002</v>
      </c>
      <c r="P19" s="14">
        <f>SUM(M19:O19)</f>
        <v>27.058</v>
      </c>
      <c r="Q19" s="36">
        <v>119.61</v>
      </c>
      <c r="R19" s="13">
        <v>192</v>
      </c>
      <c r="S19" s="13">
        <v>36.548999999999999</v>
      </c>
      <c r="T19" s="18">
        <f>SUM(Q19:S19)</f>
        <v>348.15899999999999</v>
      </c>
      <c r="U19" s="25">
        <f>T19/AP19*100</f>
        <v>46.620611897288669</v>
      </c>
      <c r="V19" s="80">
        <f t="shared" ref="V19:V21" si="19">G19*G19*H19*0.000000001</f>
        <v>27.871270000000003</v>
      </c>
      <c r="W19" s="80">
        <f t="shared" ref="W19:W21" si="20">((G19+700)*(G19+700)-G19*G19)*H19*0.000000001</f>
        <v>6.5268000000000006</v>
      </c>
      <c r="X19" s="81">
        <f>G19*(H19+800)*0.000001*D19/E19</f>
        <v>23.911578947368419</v>
      </c>
      <c r="Y19" s="81">
        <f>SQRT(G19*(H19+800)*0.000001)*D19</f>
        <v>44.301945781195663</v>
      </c>
      <c r="Z19" s="81">
        <f>SQRT(G19*H19*0.000001*F19)*D19/E19</f>
        <v>39.732450367279959</v>
      </c>
      <c r="AA19" s="81">
        <f t="shared" si="15"/>
        <v>67.391999999999996</v>
      </c>
      <c r="AB19" s="82">
        <f>G19*H19*D19*0.000001</f>
        <v>63.604799999999997</v>
      </c>
      <c r="AC19" s="29"/>
      <c r="AD19" s="29"/>
      <c r="AE19" s="29"/>
      <c r="AF19" s="18">
        <f>SUM(AD19:AE19)</f>
        <v>0</v>
      </c>
      <c r="AG19" s="25">
        <f>AF19/AP19*100</f>
        <v>0</v>
      </c>
      <c r="AH19" s="91">
        <f>G19*H19*0.000001</f>
        <v>4.4169999999999998</v>
      </c>
      <c r="AI19" s="91">
        <f>G19*0.001*SQRT(H19)</f>
        <v>166.94690772817569</v>
      </c>
      <c r="AJ19" s="91">
        <f>AI19*H19*0.001</f>
        <v>116.86283540972298</v>
      </c>
      <c r="AK19" s="92"/>
      <c r="AL19" s="13">
        <v>148.63300000000001</v>
      </c>
      <c r="AM19" s="14">
        <v>250</v>
      </c>
      <c r="AN19" s="18">
        <f>AL19+AM19</f>
        <v>398.63300000000004</v>
      </c>
      <c r="AO19" s="25">
        <f>AN19/AP19*100</f>
        <v>53.379388102711331</v>
      </c>
      <c r="AP19" s="17">
        <f>T19+AF19+AN19</f>
        <v>746.79200000000003</v>
      </c>
      <c r="AQ19" s="27">
        <f>AP19/P19</f>
        <v>27.599674772710475</v>
      </c>
    </row>
    <row r="20" spans="1:43" x14ac:dyDescent="0.25">
      <c r="A20" s="1" t="s">
        <v>128</v>
      </c>
      <c r="B20" s="61" t="s">
        <v>76</v>
      </c>
      <c r="C20" s="6">
        <v>1</v>
      </c>
      <c r="D20" s="2">
        <v>45</v>
      </c>
      <c r="E20" s="2">
        <v>10.3</v>
      </c>
      <c r="F20" s="2">
        <v>80</v>
      </c>
      <c r="G20" s="2">
        <v>10300</v>
      </c>
      <c r="H20" s="2">
        <v>1110</v>
      </c>
      <c r="I20" s="2" t="s">
        <v>186</v>
      </c>
      <c r="J20" s="9">
        <v>600</v>
      </c>
      <c r="K20" s="6" t="s">
        <v>21</v>
      </c>
      <c r="L20" s="66">
        <v>24.635999999999999</v>
      </c>
      <c r="M20" s="31">
        <v>83.293999999999997</v>
      </c>
      <c r="N20" s="30">
        <v>10.042999999999999</v>
      </c>
      <c r="O20" s="31">
        <v>4.6520000000000001</v>
      </c>
      <c r="P20" s="14">
        <f>SUM(M20:O20)</f>
        <v>97.98899999999999</v>
      </c>
      <c r="Q20" s="36">
        <v>358.92</v>
      </c>
      <c r="R20" s="13">
        <v>578.57000000000005</v>
      </c>
      <c r="S20" s="13">
        <v>134.11799999999999</v>
      </c>
      <c r="T20" s="18">
        <f>SUM(Q20:S20)</f>
        <v>1071.6079999999999</v>
      </c>
      <c r="U20" s="25">
        <f>T20/AP20*100</f>
        <v>54.906473699554795</v>
      </c>
      <c r="V20" s="80">
        <f t="shared" si="19"/>
        <v>117.7599</v>
      </c>
      <c r="W20" s="80">
        <f t="shared" si="20"/>
        <v>16.5501</v>
      </c>
      <c r="X20" s="81">
        <f>G20*(H20+800)*0.000001*D20/E20</f>
        <v>85.949999999999989</v>
      </c>
      <c r="Y20" s="81">
        <f>SQRT(G20*(H20+800)*0.000001)*D20</f>
        <v>199.59415071589646</v>
      </c>
      <c r="Z20" s="81">
        <f>SQRT(G20*H20*0.000001*F20)*D20/E20</f>
        <v>132.12968034164189</v>
      </c>
      <c r="AA20" s="81">
        <f t="shared" si="15"/>
        <v>515.70000000000005</v>
      </c>
      <c r="AB20" s="82">
        <f>G20*H20*D20*0.000001</f>
        <v>514.48500000000001</v>
      </c>
      <c r="AC20" s="20"/>
      <c r="AD20" s="13"/>
      <c r="AE20" s="13"/>
      <c r="AF20" s="18">
        <v>594.08900000000006</v>
      </c>
      <c r="AG20" s="25">
        <f>AF20/AP20*100</f>
        <v>30.439612296375923</v>
      </c>
      <c r="AH20" s="91">
        <f>G20*H20*0.000001</f>
        <v>11.433</v>
      </c>
      <c r="AI20" s="91">
        <f>G20*0.001*SQRT(H20)</f>
        <v>343.1616237285283</v>
      </c>
      <c r="AJ20" s="91">
        <f>AI20*H20*0.001</f>
        <v>380.90940233866644</v>
      </c>
      <c r="AK20" s="91"/>
      <c r="AL20" s="36">
        <v>150</v>
      </c>
      <c r="AM20" s="14">
        <v>136</v>
      </c>
      <c r="AN20" s="18">
        <f>AL20+AM20</f>
        <v>286</v>
      </c>
      <c r="AO20" s="25">
        <f>AN20/AP20*100</f>
        <v>14.653914004069279</v>
      </c>
      <c r="AP20" s="17">
        <f>T20+AF20+AN20</f>
        <v>1951.6970000000001</v>
      </c>
      <c r="AQ20" s="27">
        <f>AP20/P20</f>
        <v>19.917511149210629</v>
      </c>
    </row>
    <row r="21" spans="1:43" x14ac:dyDescent="0.25">
      <c r="A21" s="1" t="s">
        <v>128</v>
      </c>
      <c r="B21" s="61" t="s">
        <v>490</v>
      </c>
      <c r="C21" s="6">
        <v>4</v>
      </c>
      <c r="D21" s="2">
        <v>28</v>
      </c>
      <c r="E21" s="2">
        <v>11</v>
      </c>
      <c r="F21" s="2">
        <v>28</v>
      </c>
      <c r="G21" s="2">
        <v>5363</v>
      </c>
      <c r="H21" s="2">
        <v>710</v>
      </c>
      <c r="I21" s="2" t="s">
        <v>185</v>
      </c>
      <c r="J21" s="9">
        <v>324</v>
      </c>
      <c r="K21" s="6" t="s">
        <v>21</v>
      </c>
      <c r="M21" s="31">
        <v>28.6</v>
      </c>
      <c r="N21" s="30">
        <v>7.75</v>
      </c>
      <c r="O21" s="31">
        <v>2.27</v>
      </c>
      <c r="P21" s="14">
        <f>SUM(M21:O21)</f>
        <v>38.620000000000005</v>
      </c>
      <c r="Q21" s="36">
        <v>173.5</v>
      </c>
      <c r="R21" s="13">
        <v>259.5</v>
      </c>
      <c r="S21" s="13">
        <v>36.700000000000003</v>
      </c>
      <c r="T21" s="18">
        <f>SUM(Q21:S21)</f>
        <v>469.7</v>
      </c>
      <c r="U21" s="25"/>
      <c r="V21" s="80">
        <f t="shared" si="19"/>
        <v>20.42085599</v>
      </c>
      <c r="W21" s="80">
        <f t="shared" si="20"/>
        <v>5.6787220000000005</v>
      </c>
      <c r="X21" s="81">
        <f>G21*(H21+800)*0.000001*D21/E21</f>
        <v>20.613421818181816</v>
      </c>
      <c r="Y21" s="81">
        <f>SQRT(G21*(H21+800)*0.000001)*D21</f>
        <v>79.680197790919166</v>
      </c>
      <c r="Z21" s="81">
        <f>SQRT(G21*H21*0.000001*F21)*D21/E21</f>
        <v>26.283151275897943</v>
      </c>
      <c r="AA21" s="81">
        <f t="shared" si="15"/>
        <v>136.9872</v>
      </c>
      <c r="AB21" s="82">
        <f>G21*H21*D21*0.000001</f>
        <v>106.61644</v>
      </c>
      <c r="AC21" s="20"/>
      <c r="AD21" s="13"/>
      <c r="AE21" s="13"/>
      <c r="AF21" s="18"/>
      <c r="AG21" s="25"/>
      <c r="AH21" s="21">
        <f>G21*H21*0.000001</f>
        <v>3.8077299999999998</v>
      </c>
      <c r="AI21" s="21">
        <f>G21*0.001*SQRT(H21)</f>
        <v>142.90156048833057</v>
      </c>
      <c r="AJ21" s="21">
        <f>AI21*H21*0.001</f>
        <v>101.46010794671471</v>
      </c>
      <c r="AK21" s="51"/>
      <c r="AL21" s="13"/>
      <c r="AM21" s="14"/>
      <c r="AN21" s="18"/>
      <c r="AO21" s="25"/>
      <c r="AP21" s="17"/>
      <c r="AQ21" s="27"/>
    </row>
    <row r="22" spans="1:43" x14ac:dyDescent="0.25">
      <c r="U22" s="25"/>
      <c r="V22" s="38"/>
      <c r="W22" s="38"/>
      <c r="X22" s="29"/>
      <c r="Y22" s="29"/>
      <c r="Z22" s="29"/>
      <c r="AA22" s="29"/>
      <c r="AB22" s="50"/>
      <c r="AG22" s="25"/>
      <c r="AH22" s="21"/>
      <c r="AI22" s="21"/>
      <c r="AJ22" s="21"/>
      <c r="AN22" s="18"/>
      <c r="AO22" s="25"/>
      <c r="AP22" s="17"/>
      <c r="AQ22" s="27"/>
    </row>
  </sheetData>
  <mergeCells count="12">
    <mergeCell ref="B1:C1"/>
    <mergeCell ref="AL1:AO1"/>
    <mergeCell ref="AC2:AG2"/>
    <mergeCell ref="AL2:AO2"/>
    <mergeCell ref="B2:C2"/>
    <mergeCell ref="Q2:U2"/>
    <mergeCell ref="V2:W2"/>
    <mergeCell ref="X2:Z2"/>
    <mergeCell ref="L1:P1"/>
    <mergeCell ref="L2:P2"/>
    <mergeCell ref="D1:K1"/>
    <mergeCell ref="D2:K2"/>
  </mergeCells>
  <conditionalFormatting sqref="D6">
    <cfRule type="cellIs" dxfId="23" priority="13" operator="greaterThan">
      <formula>#REF!</formula>
    </cfRule>
  </conditionalFormatting>
  <conditionalFormatting sqref="J6:L6">
    <cfRule type="cellIs" dxfId="22" priority="12" operator="notEqual">
      <formula>#REF!</formula>
    </cfRule>
  </conditionalFormatting>
  <conditionalFormatting sqref="D7">
    <cfRule type="cellIs" dxfId="21" priority="10" operator="greaterThan">
      <formula>#REF!</formula>
    </cfRule>
  </conditionalFormatting>
  <conditionalFormatting sqref="D8">
    <cfRule type="cellIs" dxfId="20" priority="9" operator="greaterThan">
      <formula>#REF!</formula>
    </cfRule>
  </conditionalFormatting>
  <conditionalFormatting sqref="D9">
    <cfRule type="cellIs" dxfId="19" priority="8" operator="greaterThan">
      <formula>#REF!</formula>
    </cfRule>
  </conditionalFormatting>
  <conditionalFormatting sqref="D17">
    <cfRule type="cellIs" dxfId="18" priority="7" operator="greaterThan">
      <formula>#REF!</formula>
    </cfRule>
  </conditionalFormatting>
  <conditionalFormatting sqref="D18">
    <cfRule type="cellIs" dxfId="17" priority="6" operator="greaterThan">
      <formula>#REF!</formula>
    </cfRule>
  </conditionalFormatting>
  <conditionalFormatting sqref="D10">
    <cfRule type="cellIs" dxfId="16" priority="5" operator="greaterThan">
      <formula>#REF!</formula>
    </cfRule>
  </conditionalFormatting>
  <conditionalFormatting sqref="D11">
    <cfRule type="cellIs" dxfId="15" priority="4" operator="greaterThan">
      <formula>#REF!</formula>
    </cfRule>
  </conditionalFormatting>
  <conditionalFormatting sqref="D13">
    <cfRule type="cellIs" dxfId="14" priority="3" operator="greaterThan">
      <formula>#REF!</formula>
    </cfRule>
  </conditionalFormatting>
  <conditionalFormatting sqref="D16">
    <cfRule type="cellIs" dxfId="13" priority="2" operator="greaterThan">
      <formula>#REF!</formula>
    </cfRule>
  </conditionalFormatting>
  <conditionalFormatting sqref="D20:D21">
    <cfRule type="cellIs" dxfId="12" priority="1" operator="greaterThan">
      <formula>#REF!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177"/>
  <sheetViews>
    <sheetView zoomScale="90" zoomScaleNormal="90" workbookViewId="0">
      <pane xSplit="2" topLeftCell="Q1" activePane="topRight" state="frozenSplit"/>
      <selection pane="topRight" activeCell="BC24" sqref="BC24"/>
    </sheetView>
  </sheetViews>
  <sheetFormatPr baseColWidth="10" defaultRowHeight="12.75" x14ac:dyDescent="0.2"/>
  <cols>
    <col min="1" max="1" width="4.140625" style="39" customWidth="1"/>
    <col min="2" max="2" width="19.42578125" style="39" customWidth="1"/>
    <col min="3" max="3" width="12.85546875" style="39" customWidth="1"/>
    <col min="4" max="4" width="7.140625" style="39" customWidth="1"/>
    <col min="5" max="9" width="11.42578125" style="39"/>
    <col min="10" max="10" width="12" style="39" customWidth="1"/>
    <col min="11" max="11" width="7" style="39" customWidth="1"/>
    <col min="12" max="17" width="11.42578125" style="39"/>
    <col min="18" max="18" width="8.5703125" style="39" customWidth="1"/>
    <col min="19" max="24" width="11.42578125" style="39"/>
    <col min="25" max="25" width="8.42578125" style="39" customWidth="1"/>
    <col min="26" max="30" width="11.42578125" style="39"/>
    <col min="31" max="31" width="9.140625" style="39" customWidth="1"/>
    <col min="32" max="32" width="7.85546875" style="39" customWidth="1"/>
    <col min="33" max="37" width="11.42578125" style="39"/>
    <col min="38" max="38" width="5.140625" style="39" customWidth="1"/>
    <col min="39" max="39" width="8.7109375" style="39" customWidth="1"/>
    <col min="40" max="40" width="11.42578125" style="39"/>
    <col min="41" max="41" width="8" style="39" customWidth="1"/>
    <col min="42" max="42" width="7.7109375" style="39" customWidth="1"/>
    <col min="43" max="43" width="7.140625" style="39" customWidth="1"/>
    <col min="44" max="44" width="6" style="39" customWidth="1"/>
    <col min="45" max="45" width="6.85546875" style="39" customWidth="1"/>
    <col min="46" max="46" width="6" style="39" customWidth="1"/>
    <col min="47" max="16384" width="11.42578125" style="39"/>
  </cols>
  <sheetData>
    <row r="1" spans="1:48" x14ac:dyDescent="0.2">
      <c r="A1" s="49" t="s">
        <v>240</v>
      </c>
    </row>
    <row r="2" spans="1:48" x14ac:dyDescent="0.2">
      <c r="AC2" s="39" t="s">
        <v>445</v>
      </c>
    </row>
    <row r="3" spans="1:48" x14ac:dyDescent="0.2">
      <c r="B3" s="41" t="s">
        <v>49</v>
      </c>
      <c r="C3" s="44" t="str">
        <f>'Analysis - Belfort (old)'!V3</f>
        <v>"D².L"</v>
      </c>
      <c r="D3" s="40" t="s">
        <v>51</v>
      </c>
      <c r="J3" s="40" t="str">
        <f>'Analysis - Belfort (old)'!AH3</f>
        <v>"D.L"</v>
      </c>
      <c r="K3" s="40" t="s">
        <v>51</v>
      </c>
      <c r="R3" s="272" t="s">
        <v>424</v>
      </c>
      <c r="S3" s="40" t="s">
        <v>206</v>
      </c>
      <c r="T3" s="40" t="s">
        <v>193</v>
      </c>
      <c r="U3" s="40" t="s">
        <v>443</v>
      </c>
      <c r="V3" s="40" t="s">
        <v>51</v>
      </c>
      <c r="AM3" s="40" t="s">
        <v>470</v>
      </c>
      <c r="AN3" s="272" t="s">
        <v>424</v>
      </c>
      <c r="AO3" s="40" t="s">
        <v>471</v>
      </c>
      <c r="AP3" s="40" t="s">
        <v>206</v>
      </c>
      <c r="AQ3" s="40" t="s">
        <v>193</v>
      </c>
      <c r="AR3" s="40" t="s">
        <v>185</v>
      </c>
      <c r="AS3" s="40" t="s">
        <v>12</v>
      </c>
      <c r="AT3" s="40" t="s">
        <v>21</v>
      </c>
      <c r="AU3" s="39" t="s">
        <v>469</v>
      </c>
      <c r="AV3" s="40" t="s">
        <v>472</v>
      </c>
    </row>
    <row r="4" spans="1:48" x14ac:dyDescent="0.2">
      <c r="A4" s="48"/>
      <c r="B4" s="39" t="str">
        <f>'Analysis - Belfort (old)'!B6</f>
        <v>BORT-LES-ORGUES G2</v>
      </c>
      <c r="C4" s="42">
        <f>'Analysis - Belfort (old)'!V6</f>
        <v>134.23637150000002</v>
      </c>
      <c r="D4" s="42">
        <f>'Analysis - Belfort (old)'!Q6</f>
        <v>465.52499999999998</v>
      </c>
      <c r="J4" s="42">
        <f>'Analysis - Belfort (old)'!AH6</f>
        <v>21.6755</v>
      </c>
      <c r="K4" s="42">
        <f>D4</f>
        <v>465.52499999999998</v>
      </c>
      <c r="Q4" s="201" t="s">
        <v>438</v>
      </c>
      <c r="R4" s="270">
        <v>1.0391497451424561</v>
      </c>
      <c r="S4" s="39">
        <v>6193</v>
      </c>
      <c r="T4" s="39">
        <v>3500</v>
      </c>
      <c r="U4" s="42">
        <f t="shared" ref="U4:U18" si="0">S4^$R$4*T4^$R$5/1000000</f>
        <v>22.167395301317587</v>
      </c>
      <c r="V4" s="43">
        <f t="shared" ref="V4:V18" si="1">D4</f>
        <v>465.52499999999998</v>
      </c>
      <c r="AC4" s="39" t="s">
        <v>442</v>
      </c>
      <c r="AL4" s="201" t="s">
        <v>438</v>
      </c>
      <c r="AM4" s="39">
        <v>-1</v>
      </c>
      <c r="AN4" s="270">
        <v>-0.44916269571897932</v>
      </c>
      <c r="AO4" s="39">
        <v>2</v>
      </c>
      <c r="AP4" s="39">
        <v>6193</v>
      </c>
      <c r="AQ4" s="39">
        <v>3500</v>
      </c>
      <c r="AR4" s="39">
        <v>32</v>
      </c>
      <c r="AS4" s="39">
        <v>145</v>
      </c>
      <c r="AT4" s="39">
        <v>10.5</v>
      </c>
      <c r="AU4" s="43">
        <f t="shared" ref="AU4:AU19" si="2">AP4^$AN$4*AQ4^$AN$5*AR4^$AN$6*AS4^$AN$7*AT4^$AN$8/10</f>
        <v>244.61581332359506</v>
      </c>
      <c r="AV4" s="42">
        <f t="shared" ref="AV4:AV19" si="3">D4</f>
        <v>465.52499999999998</v>
      </c>
    </row>
    <row r="5" spans="1:48" x14ac:dyDescent="0.2">
      <c r="A5" s="48"/>
      <c r="B5" s="39" t="str">
        <f>'Analysis - Belfort (old)'!B7</f>
        <v>GENISSIAT 2 - 4 (ALS)</v>
      </c>
      <c r="C5" s="42">
        <f>'Analysis - Belfort (old)'!V7</f>
        <v>109.3897</v>
      </c>
      <c r="D5" s="42">
        <f>'Analysis - Belfort (old)'!Q7</f>
        <v>456.91199999999998</v>
      </c>
      <c r="J5" s="42">
        <f>'Analysis - Belfort (old)'!AH7</f>
        <v>15.407</v>
      </c>
      <c r="K5" s="42">
        <f t="shared" ref="K5:K14" si="4">D5</f>
        <v>456.91199999999998</v>
      </c>
      <c r="Q5" s="201" t="s">
        <v>439</v>
      </c>
      <c r="R5" s="270">
        <v>0.96086237126835039</v>
      </c>
      <c r="S5" s="39">
        <v>7100</v>
      </c>
      <c r="T5" s="39">
        <v>2170</v>
      </c>
      <c r="U5" s="42">
        <f t="shared" si="0"/>
        <v>16.140342380758497</v>
      </c>
      <c r="V5" s="43">
        <f t="shared" si="1"/>
        <v>456.91199999999998</v>
      </c>
      <c r="AC5" s="39">
        <f t="array" ref="AC5:AE7">LINEST(V4:V18,U4:U18^{1,2},TRUE,TRUE)</f>
        <v>-0.70396743987539157</v>
      </c>
      <c r="AD5" s="39">
        <v>37.991520362915118</v>
      </c>
      <c r="AE5" s="39">
        <v>-5.3007932270033677</v>
      </c>
      <c r="AL5" s="201" t="s">
        <v>439</v>
      </c>
      <c r="AM5" s="39">
        <v>-1</v>
      </c>
      <c r="AN5" s="270">
        <v>0.53280672371573978</v>
      </c>
      <c r="AO5" s="39">
        <v>2</v>
      </c>
      <c r="AP5" s="39">
        <v>7100</v>
      </c>
      <c r="AQ5" s="39">
        <v>2170</v>
      </c>
      <c r="AR5" s="39">
        <v>40</v>
      </c>
      <c r="AS5" s="39">
        <v>80</v>
      </c>
      <c r="AT5" s="39">
        <v>15</v>
      </c>
      <c r="AU5" s="43">
        <f t="shared" si="2"/>
        <v>201.36474720475638</v>
      </c>
      <c r="AV5" s="42">
        <f t="shared" si="3"/>
        <v>456.91199999999998</v>
      </c>
    </row>
    <row r="6" spans="1:48" x14ac:dyDescent="0.2">
      <c r="A6" s="48"/>
      <c r="B6" s="39" t="str">
        <f>'Analysis - Belfort (old)'!B8</f>
        <v>GENISSIAT 1 - 6 (SW)</v>
      </c>
      <c r="C6" s="42">
        <f>'Analysis - Belfort (old)'!V8</f>
        <v>111.2265495</v>
      </c>
      <c r="D6" s="42">
        <f>'Analysis - Belfort (old)'!Q8</f>
        <v>490.11799999999999</v>
      </c>
      <c r="J6" s="42">
        <f>'Analysis - Belfort (old)'!AH8</f>
        <v>14.8401</v>
      </c>
      <c r="K6" s="42">
        <f t="shared" si="4"/>
        <v>490.11799999999999</v>
      </c>
      <c r="S6" s="39">
        <v>7495</v>
      </c>
      <c r="T6" s="39">
        <v>1980</v>
      </c>
      <c r="U6" s="42">
        <f t="shared" si="0"/>
        <v>15.635417820674546</v>
      </c>
      <c r="V6" s="43">
        <f t="shared" si="1"/>
        <v>490.11799999999999</v>
      </c>
      <c r="AC6" s="39">
        <v>0.34036034926593445</v>
      </c>
      <c r="AD6" s="39">
        <v>8.2664914802169651</v>
      </c>
      <c r="AE6" s="39">
        <v>42.700495355004271</v>
      </c>
      <c r="AL6" s="201" t="s">
        <v>466</v>
      </c>
      <c r="AM6" s="39">
        <v>-0.5</v>
      </c>
      <c r="AN6" s="270">
        <v>0.99111350925347763</v>
      </c>
      <c r="AO6" s="39">
        <v>1</v>
      </c>
      <c r="AP6" s="39">
        <v>7495</v>
      </c>
      <c r="AQ6" s="39">
        <v>1980</v>
      </c>
      <c r="AR6" s="39">
        <v>40</v>
      </c>
      <c r="AS6" s="39">
        <v>80</v>
      </c>
      <c r="AT6" s="39">
        <v>15</v>
      </c>
      <c r="AU6" s="43">
        <f t="shared" si="2"/>
        <v>187.16272030714228</v>
      </c>
      <c r="AV6" s="42">
        <f t="shared" si="3"/>
        <v>490.11799999999999</v>
      </c>
    </row>
    <row r="7" spans="1:48" x14ac:dyDescent="0.2">
      <c r="A7" s="48"/>
      <c r="B7" s="48" t="str">
        <f>'Analysis - Belfort (old)'!B9</f>
        <v>PEYRAT LE CHÂTEAU</v>
      </c>
      <c r="C7" s="42">
        <f>'Analysis - Belfort (old)'!V9</f>
        <v>9.2575000000000003</v>
      </c>
      <c r="D7" s="42">
        <f>'Analysis - Belfort (old)'!Q9</f>
        <v>138.834</v>
      </c>
      <c r="J7" s="42">
        <f>'Analysis - Belfort (old)'!AH9</f>
        <v>4.0249999999999995</v>
      </c>
      <c r="K7" s="42">
        <f t="shared" si="4"/>
        <v>138.834</v>
      </c>
      <c r="R7" s="272" t="s">
        <v>444</v>
      </c>
      <c r="S7" s="39">
        <v>2300</v>
      </c>
      <c r="T7" s="39">
        <v>1750</v>
      </c>
      <c r="U7" s="42">
        <f t="shared" si="0"/>
        <v>4.0686642562517026</v>
      </c>
      <c r="V7" s="43">
        <f t="shared" si="1"/>
        <v>138.834</v>
      </c>
      <c r="AC7" s="39">
        <v>0.91073812945435484</v>
      </c>
      <c r="AD7" s="39">
        <v>39.468634946364283</v>
      </c>
      <c r="AE7" s="39" t="e">
        <v>#N/A</v>
      </c>
      <c r="AL7" s="201" t="s">
        <v>467</v>
      </c>
      <c r="AM7" s="39">
        <v>-0.5</v>
      </c>
      <c r="AN7" s="270">
        <v>0.5167796225897977</v>
      </c>
      <c r="AO7" s="39">
        <v>1</v>
      </c>
      <c r="AP7" s="39">
        <v>2300</v>
      </c>
      <c r="AQ7" s="39">
        <v>1750</v>
      </c>
      <c r="AR7" s="39">
        <v>10</v>
      </c>
      <c r="AS7" s="39">
        <v>25</v>
      </c>
      <c r="AT7" s="39">
        <v>12</v>
      </c>
      <c r="AU7" s="43">
        <f t="shared" si="2"/>
        <v>36.299035473152522</v>
      </c>
      <c r="AV7" s="42">
        <f t="shared" si="3"/>
        <v>138.834</v>
      </c>
    </row>
    <row r="8" spans="1:48" x14ac:dyDescent="0.2">
      <c r="A8" s="48"/>
      <c r="B8" s="48" t="str">
        <f>'Analysis - Belfort (old)'!B10</f>
        <v>BOLLENE G4</v>
      </c>
      <c r="C8" s="72">
        <f>'Analysis - Belfort (old)'!V10</f>
        <v>102.3273633</v>
      </c>
      <c r="D8" s="72">
        <f>'Analysis - Belfort (old)'!Q10</f>
        <v>304.77800000000002</v>
      </c>
      <c r="J8" s="72">
        <f>'Analysis - Belfort (old)'!AH10</f>
        <v>12.07545</v>
      </c>
      <c r="K8" s="72">
        <f t="shared" si="4"/>
        <v>304.77800000000002</v>
      </c>
      <c r="Q8" s="39" t="s">
        <v>440</v>
      </c>
      <c r="R8" s="270">
        <f>RSQ(LN(V4:V18),LN(U4:U18))</f>
        <v>0.90511299972527737</v>
      </c>
      <c r="S8" s="39">
        <v>8474</v>
      </c>
      <c r="T8" s="39">
        <v>1425</v>
      </c>
      <c r="U8" s="42">
        <f t="shared" si="0"/>
        <v>12.949534316402843</v>
      </c>
      <c r="V8" s="43">
        <f t="shared" si="1"/>
        <v>304.77800000000002</v>
      </c>
      <c r="AL8" s="201" t="s">
        <v>468</v>
      </c>
      <c r="AM8" s="39">
        <v>-1</v>
      </c>
      <c r="AN8" s="270">
        <v>0.58229785562523972</v>
      </c>
      <c r="AO8" s="39">
        <v>1</v>
      </c>
      <c r="AP8" s="39">
        <v>8474</v>
      </c>
      <c r="AQ8" s="39">
        <v>1425</v>
      </c>
      <c r="AR8" s="39">
        <v>56</v>
      </c>
      <c r="AS8" s="39">
        <v>68</v>
      </c>
      <c r="AT8" s="39">
        <v>10.5</v>
      </c>
      <c r="AU8" s="43">
        <f t="shared" si="2"/>
        <v>154.99416084319469</v>
      </c>
      <c r="AV8" s="42">
        <f t="shared" si="3"/>
        <v>304.77800000000002</v>
      </c>
    </row>
    <row r="9" spans="1:48" x14ac:dyDescent="0.2">
      <c r="A9" s="48"/>
      <c r="B9" s="39" t="str">
        <f>'Analysis - Belfort (old)'!B11</f>
        <v>BEAUCHASTEL G1256</v>
      </c>
      <c r="C9" s="42">
        <f>'Analysis - Belfort (old)'!V11</f>
        <v>90.619305000000011</v>
      </c>
      <c r="D9" s="42">
        <f>'Analysis - Belfort (old)'!Q11</f>
        <v>340.98599999999999</v>
      </c>
      <c r="J9" s="42">
        <f>'Analysis - Belfort (old)'!AH11</f>
        <v>9.7545000000000002</v>
      </c>
      <c r="K9" s="42">
        <f t="shared" si="4"/>
        <v>340.98599999999999</v>
      </c>
      <c r="Q9" s="39" t="s">
        <v>441</v>
      </c>
      <c r="R9" s="271">
        <f>AC7</f>
        <v>0.91073812945435484</v>
      </c>
      <c r="S9" s="39">
        <v>9290</v>
      </c>
      <c r="T9" s="39">
        <v>1050</v>
      </c>
      <c r="U9" s="42">
        <f t="shared" si="0"/>
        <v>10.624527669065921</v>
      </c>
      <c r="V9" s="43">
        <f t="shared" si="1"/>
        <v>340.98599999999999</v>
      </c>
      <c r="AP9" s="39">
        <v>9290</v>
      </c>
      <c r="AQ9" s="39">
        <v>1050</v>
      </c>
      <c r="AR9" s="39">
        <v>76</v>
      </c>
      <c r="AS9" s="39">
        <v>38</v>
      </c>
      <c r="AT9" s="39">
        <v>10.5</v>
      </c>
      <c r="AU9" s="43">
        <f t="shared" si="2"/>
        <v>126.63723132966508</v>
      </c>
      <c r="AV9" s="42">
        <f t="shared" si="3"/>
        <v>340.98599999999999</v>
      </c>
    </row>
    <row r="10" spans="1:48" x14ac:dyDescent="0.2">
      <c r="A10" s="48"/>
      <c r="B10" s="39" t="str">
        <f>'Analysis - Belfort (old)'!B12</f>
        <v>VOGELGRÜN G3</v>
      </c>
      <c r="C10" s="42">
        <f>'Analysis - Belfort (old)'!V12</f>
        <v>84.787199999999999</v>
      </c>
      <c r="D10" s="42">
        <f>'Analysis - Belfort (old)'!Q12</f>
        <v>279.39100000000002</v>
      </c>
      <c r="J10" s="42">
        <f>'Analysis - Belfort (old)'!AH12</f>
        <v>8.831999999999999</v>
      </c>
      <c r="K10" s="42">
        <f t="shared" si="4"/>
        <v>279.39100000000002</v>
      </c>
      <c r="S10" s="39">
        <v>9600</v>
      </c>
      <c r="T10" s="39">
        <v>920</v>
      </c>
      <c r="U10" s="42">
        <f t="shared" si="0"/>
        <v>9.6820726399568766</v>
      </c>
      <c r="V10" s="43">
        <f t="shared" si="1"/>
        <v>279.39100000000002</v>
      </c>
      <c r="AP10" s="39">
        <v>9600</v>
      </c>
      <c r="AQ10" s="39">
        <v>920</v>
      </c>
      <c r="AR10" s="39">
        <v>72</v>
      </c>
      <c r="AS10" s="39">
        <v>39</v>
      </c>
      <c r="AT10" s="39">
        <v>10.3</v>
      </c>
      <c r="AU10" s="43">
        <f t="shared" si="2"/>
        <v>110.47612672081689</v>
      </c>
      <c r="AV10" s="42">
        <f t="shared" si="3"/>
        <v>279.39100000000002</v>
      </c>
    </row>
    <row r="11" spans="1:48" x14ac:dyDescent="0.2">
      <c r="A11" s="48"/>
      <c r="B11" s="39" t="str">
        <f>'Analysis - Belfort (old)'!B13</f>
        <v>LA BATHIE G1345</v>
      </c>
      <c r="C11" s="42">
        <f>'Analysis - Belfort (old)'!V13</f>
        <v>27.565583360000002</v>
      </c>
      <c r="D11" s="42">
        <f>'Analysis - Belfort (old)'!Q13</f>
        <v>245.14599999999999</v>
      </c>
      <c r="J11" s="42">
        <f>'Analysis - Belfort (old)'!AH13</f>
        <v>7.85792</v>
      </c>
      <c r="K11" s="42">
        <f t="shared" si="4"/>
        <v>245.14599999999999</v>
      </c>
      <c r="S11" s="39">
        <v>3508</v>
      </c>
      <c r="T11" s="39">
        <v>2240</v>
      </c>
      <c r="U11" s="42">
        <f t="shared" si="0"/>
        <v>7.9978824949888878</v>
      </c>
      <c r="V11" s="43">
        <f t="shared" si="1"/>
        <v>245.14599999999999</v>
      </c>
      <c r="AP11" s="39">
        <v>3508</v>
      </c>
      <c r="AQ11" s="39">
        <v>2240</v>
      </c>
      <c r="AR11" s="39">
        <v>14</v>
      </c>
      <c r="AS11" s="39">
        <v>107</v>
      </c>
      <c r="AT11" s="39">
        <v>10.3</v>
      </c>
      <c r="AU11" s="43">
        <f t="shared" si="2"/>
        <v>92.722740053304022</v>
      </c>
      <c r="AV11" s="42">
        <f t="shared" si="3"/>
        <v>245.14599999999999</v>
      </c>
    </row>
    <row r="12" spans="1:48" x14ac:dyDescent="0.2">
      <c r="A12" s="48"/>
      <c r="B12" s="39" t="str">
        <f>'Analysis - Belfort (old)'!B14</f>
        <v>SAUT-MORTIER G2</v>
      </c>
      <c r="C12" s="42">
        <f>'Analysis - Belfort (old)'!V14</f>
        <v>24.0656</v>
      </c>
      <c r="D12" s="42">
        <f>'Analysis - Belfort (old)'!Q14</f>
        <v>207.018</v>
      </c>
      <c r="J12" s="42">
        <f>'Analysis - Belfort (old)'!AH14</f>
        <v>4.6280000000000001</v>
      </c>
      <c r="K12" s="42">
        <f t="shared" si="4"/>
        <v>207.018</v>
      </c>
      <c r="S12" s="39">
        <v>5200</v>
      </c>
      <c r="T12" s="39">
        <v>890</v>
      </c>
      <c r="U12" s="42">
        <f t="shared" si="0"/>
        <v>4.9595446336287425</v>
      </c>
      <c r="V12" s="43">
        <f t="shared" si="1"/>
        <v>207.018</v>
      </c>
      <c r="AN12" s="272" t="s">
        <v>444</v>
      </c>
      <c r="AP12" s="39">
        <v>5200</v>
      </c>
      <c r="AQ12" s="39">
        <v>890</v>
      </c>
      <c r="AR12" s="39">
        <v>40</v>
      </c>
      <c r="AS12" s="39">
        <v>25</v>
      </c>
      <c r="AT12" s="39">
        <v>5.65</v>
      </c>
      <c r="AU12" s="43">
        <f t="shared" si="2"/>
        <v>44.723023452558451</v>
      </c>
      <c r="AV12" s="42">
        <f t="shared" si="3"/>
        <v>207.018</v>
      </c>
    </row>
    <row r="13" spans="1:48" x14ac:dyDescent="0.2">
      <c r="A13" s="48"/>
      <c r="B13" s="39" t="str">
        <f>'Analysis - Belfort (old)'!B15</f>
        <v>MANOSQUE</v>
      </c>
      <c r="C13" s="42">
        <f>'Analysis - Belfort (old)'!V15</f>
        <v>54.202245120000001</v>
      </c>
      <c r="D13" s="42">
        <f>'Analysis - Belfort (old)'!Q15</f>
        <v>243.04900000000001</v>
      </c>
      <c r="J13" s="42">
        <f>'Analysis - Belfort (old)'!AH15</f>
        <v>9.10656</v>
      </c>
      <c r="K13" s="42">
        <f t="shared" si="4"/>
        <v>243.04900000000001</v>
      </c>
      <c r="S13" s="39">
        <v>5952</v>
      </c>
      <c r="T13" s="39">
        <v>1530</v>
      </c>
      <c r="U13" s="42">
        <f t="shared" si="0"/>
        <v>9.6048408683435618</v>
      </c>
      <c r="V13" s="43">
        <f t="shared" si="1"/>
        <v>243.04900000000001</v>
      </c>
      <c r="AM13" s="201" t="s">
        <v>440</v>
      </c>
      <c r="AN13" s="270">
        <f>RSQ(LN(AV4:AV18),LN(AU4:AU18))</f>
        <v>0.92905920698577327</v>
      </c>
      <c r="AP13" s="39">
        <v>5952</v>
      </c>
      <c r="AQ13" s="39">
        <v>1530</v>
      </c>
      <c r="AR13" s="39">
        <v>40</v>
      </c>
      <c r="AS13" s="39">
        <v>55</v>
      </c>
      <c r="AT13" s="39">
        <v>5.65</v>
      </c>
      <c r="AU13" s="43">
        <f t="shared" si="2"/>
        <v>84.432705548158907</v>
      </c>
      <c r="AV13" s="42">
        <f t="shared" si="3"/>
        <v>243.04900000000001</v>
      </c>
    </row>
    <row r="14" spans="1:48" x14ac:dyDescent="0.2">
      <c r="A14" s="48"/>
      <c r="B14" s="39" t="str">
        <f>'Analysis - Belfort (old)'!B16</f>
        <v>RANDENS G4</v>
      </c>
      <c r="C14" s="42">
        <f>'Analysis - Belfort (old)'!V16</f>
        <v>16.543805000000003</v>
      </c>
      <c r="D14" s="42">
        <f>'Analysis - Belfort (old)'!Q16</f>
        <v>170.38900000000001</v>
      </c>
      <c r="J14" s="42">
        <f>'Analysis - Belfort (old)'!AH16</f>
        <v>4.5474999999999994</v>
      </c>
      <c r="K14" s="42">
        <f t="shared" si="4"/>
        <v>170.38900000000001</v>
      </c>
      <c r="S14" s="39">
        <v>3638</v>
      </c>
      <c r="T14" s="39">
        <v>1250</v>
      </c>
      <c r="U14" s="42">
        <f t="shared" si="0"/>
        <v>4.7421344215131036</v>
      </c>
      <c r="V14" s="43">
        <f t="shared" si="1"/>
        <v>170.38900000000001</v>
      </c>
      <c r="AM14" s="201" t="s">
        <v>441</v>
      </c>
      <c r="AN14" s="271">
        <f>AZ7</f>
        <v>0</v>
      </c>
      <c r="AP14" s="39">
        <v>3638</v>
      </c>
      <c r="AQ14" s="39">
        <v>1250</v>
      </c>
      <c r="AR14" s="39">
        <v>16</v>
      </c>
      <c r="AS14" s="39">
        <v>42</v>
      </c>
      <c r="AT14" s="39">
        <v>10.3</v>
      </c>
      <c r="AU14" s="43">
        <f t="shared" si="2"/>
        <v>47.065477797560035</v>
      </c>
      <c r="AV14" s="42">
        <f t="shared" si="3"/>
        <v>170.38900000000001</v>
      </c>
    </row>
    <row r="15" spans="1:48" x14ac:dyDescent="0.2">
      <c r="A15" s="48"/>
      <c r="B15" s="39" t="str">
        <f>'Analysis - Belfort (old)'!B17</f>
        <v>LA RANCE</v>
      </c>
      <c r="C15" s="42">
        <f>'Analysis - Belfort (old)'!V17</f>
        <v>13.880644415000001</v>
      </c>
      <c r="D15" s="42">
        <f>'Analysis - Belfort (old)'!Q17</f>
        <v>135.9</v>
      </c>
      <c r="J15" s="42">
        <f>'Analysis - Belfort (old)'!AH17</f>
        <v>3.6025549999999997</v>
      </c>
      <c r="K15" s="42">
        <f t="shared" ref="K15:K16" si="5">D15</f>
        <v>135.9</v>
      </c>
      <c r="S15" s="39">
        <v>3853</v>
      </c>
      <c r="T15" s="39">
        <v>935</v>
      </c>
      <c r="U15" s="42">
        <f t="shared" si="0"/>
        <v>3.8082303982811392</v>
      </c>
      <c r="V15" s="43">
        <f t="shared" si="1"/>
        <v>135.9</v>
      </c>
      <c r="AP15" s="39">
        <v>3853</v>
      </c>
      <c r="AQ15" s="39">
        <v>935</v>
      </c>
      <c r="AR15" s="39">
        <v>64</v>
      </c>
      <c r="AS15" s="39">
        <v>11</v>
      </c>
      <c r="AT15" s="39">
        <v>3.5</v>
      </c>
      <c r="AU15" s="43">
        <f t="shared" si="2"/>
        <v>41.435329681649151</v>
      </c>
      <c r="AV15" s="42">
        <f t="shared" si="3"/>
        <v>135.9</v>
      </c>
    </row>
    <row r="16" spans="1:48" x14ac:dyDescent="0.2">
      <c r="A16" s="48"/>
      <c r="B16" s="39" t="str">
        <f>'Analysis - Belfort (old)'!B18</f>
        <v>VAUGRIS</v>
      </c>
      <c r="C16" s="42">
        <f>'Analysis - Belfort (old)'!V18</f>
        <v>30.588831000000003</v>
      </c>
      <c r="D16" s="42">
        <f>'Analysis - Belfort (old)'!Q18</f>
        <v>228.346</v>
      </c>
      <c r="J16" s="42">
        <f>'Analysis - Belfort (old)'!AH18</f>
        <v>6.0332999999999997</v>
      </c>
      <c r="K16" s="42">
        <f t="shared" si="5"/>
        <v>228.346</v>
      </c>
      <c r="S16" s="39">
        <v>5070</v>
      </c>
      <c r="T16" s="39">
        <v>1190</v>
      </c>
      <c r="U16" s="42">
        <f t="shared" si="0"/>
        <v>6.3860957075223945</v>
      </c>
      <c r="V16" s="43">
        <f t="shared" si="1"/>
        <v>228.346</v>
      </c>
      <c r="AM16" s="39" t="s">
        <v>425</v>
      </c>
      <c r="AN16" s="39">
        <v>0.92905920698278399</v>
      </c>
      <c r="AP16" s="39">
        <v>5070</v>
      </c>
      <c r="AQ16" s="39">
        <v>1190</v>
      </c>
      <c r="AR16" s="39">
        <v>80</v>
      </c>
      <c r="AS16" s="39">
        <v>19</v>
      </c>
      <c r="AT16" s="39">
        <v>3</v>
      </c>
      <c r="AU16" s="43">
        <f t="shared" si="2"/>
        <v>63.002737427627835</v>
      </c>
      <c r="AV16" s="42">
        <f t="shared" si="3"/>
        <v>228.346</v>
      </c>
    </row>
    <row r="17" spans="1:57" x14ac:dyDescent="0.2">
      <c r="A17" s="48"/>
      <c r="B17" s="39" t="str">
        <f>'Analysis - Belfort (old)'!B19</f>
        <v>ST HILAIRE</v>
      </c>
      <c r="C17" s="42">
        <f>'Analysis - Belfort (old)'!V19</f>
        <v>27.871270000000003</v>
      </c>
      <c r="D17" s="42">
        <f>'Analysis - Belfort (old)'!Q19</f>
        <v>119.61</v>
      </c>
      <c r="J17" s="42">
        <f>'Analysis - Belfort (old)'!AH19</f>
        <v>4.4169999999999998</v>
      </c>
      <c r="K17" s="42">
        <f t="shared" ref="K17:K18" si="6">D17</f>
        <v>119.61</v>
      </c>
      <c r="S17" s="39">
        <v>6310</v>
      </c>
      <c r="T17" s="39">
        <v>700</v>
      </c>
      <c r="U17" s="42">
        <f t="shared" si="0"/>
        <v>4.8144556389465665</v>
      </c>
      <c r="V17" s="43">
        <f t="shared" si="1"/>
        <v>119.61</v>
      </c>
      <c r="AP17" s="39">
        <v>6310</v>
      </c>
      <c r="AQ17" s="39">
        <v>700</v>
      </c>
      <c r="AR17" s="39">
        <v>56</v>
      </c>
      <c r="AS17" s="39">
        <v>14.4</v>
      </c>
      <c r="AT17" s="39">
        <v>5.7</v>
      </c>
      <c r="AU17" s="43">
        <f t="shared" si="2"/>
        <v>38.0602068169202</v>
      </c>
      <c r="AV17" s="42">
        <f t="shared" si="3"/>
        <v>119.61</v>
      </c>
    </row>
    <row r="18" spans="1:57" x14ac:dyDescent="0.2">
      <c r="A18" s="48"/>
      <c r="B18" s="39" t="str">
        <f>'Analysis - Belfort (old)'!B20</f>
        <v>MARCKOLSHEIM G2</v>
      </c>
      <c r="C18" s="42">
        <f>'Analysis - Belfort (old)'!V20</f>
        <v>117.7599</v>
      </c>
      <c r="D18" s="42">
        <f>'Analysis - Belfort (old)'!Q20</f>
        <v>358.92</v>
      </c>
      <c r="J18" s="42">
        <f>'Analysis - Belfort (old)'!AH20</f>
        <v>11.433</v>
      </c>
      <c r="K18" s="42">
        <f t="shared" si="6"/>
        <v>358.92</v>
      </c>
      <c r="S18" s="39">
        <v>10300</v>
      </c>
      <c r="T18" s="39">
        <v>1110</v>
      </c>
      <c r="U18" s="42">
        <f t="shared" si="0"/>
        <v>12.475990575817885</v>
      </c>
      <c r="V18" s="43">
        <f t="shared" si="1"/>
        <v>358.92</v>
      </c>
      <c r="AP18" s="39">
        <v>10300</v>
      </c>
      <c r="AQ18" s="39">
        <v>1110</v>
      </c>
      <c r="AR18" s="39">
        <v>80</v>
      </c>
      <c r="AS18" s="39">
        <v>45</v>
      </c>
      <c r="AT18" s="39">
        <v>10.3</v>
      </c>
      <c r="AU18" s="43">
        <f t="shared" si="2"/>
        <v>141.40001386935404</v>
      </c>
      <c r="AV18" s="42">
        <f t="shared" si="3"/>
        <v>358.92</v>
      </c>
    </row>
    <row r="19" spans="1:57" x14ac:dyDescent="0.2">
      <c r="B19" s="251" t="str">
        <f>'Analysis - Belfort (old)'!B21</f>
        <v>ARAPUNI</v>
      </c>
      <c r="D19" s="337">
        <f>'Analysis - Belfort (old)'!Q21</f>
        <v>173.5</v>
      </c>
      <c r="AP19" s="251">
        <v>5363</v>
      </c>
      <c r="AQ19" s="251">
        <v>710</v>
      </c>
      <c r="AR19" s="251">
        <v>28</v>
      </c>
      <c r="AS19" s="251">
        <v>28</v>
      </c>
      <c r="AT19" s="251">
        <v>11</v>
      </c>
      <c r="AU19" s="336">
        <f t="shared" si="2"/>
        <v>42.915990779707215</v>
      </c>
      <c r="AV19" s="337">
        <f t="shared" si="3"/>
        <v>173.5</v>
      </c>
    </row>
    <row r="21" spans="1:57" x14ac:dyDescent="0.2">
      <c r="B21" s="41" t="s">
        <v>93</v>
      </c>
      <c r="C21" s="40" t="str">
        <f>'Analysis - Belfort (old)'!X3</f>
        <v>"D.(L+800).S/V"</v>
      </c>
      <c r="D21" s="40" t="s">
        <v>51</v>
      </c>
      <c r="J21" s="48" t="str">
        <f>'Analysis - Belfort (old)'!Z3</f>
        <v>"√(D.L.2p).S/V"</v>
      </c>
      <c r="K21" s="40" t="str">
        <f>D21</f>
        <v>k€</v>
      </c>
      <c r="Q21" s="39" t="str">
        <f>'Analysis - Belfort (old)'!Y3</f>
        <v>"√(D.(L+800)).S"</v>
      </c>
      <c r="R21" s="40" t="s">
        <v>51</v>
      </c>
      <c r="X21" s="48" t="str">
        <f>'Analysis - Belfort (old)'!AA3</f>
        <v>"Ne.(L+800).S"</v>
      </c>
      <c r="Y21" s="40" t="s">
        <v>51</v>
      </c>
      <c r="AE21" s="45" t="str">
        <f>'Analysis - Belfort (old)'!AH3</f>
        <v>"D.L"</v>
      </c>
      <c r="AF21" s="40" t="s">
        <v>51</v>
      </c>
      <c r="AM21" s="40" t="s">
        <v>470</v>
      </c>
      <c r="AN21" s="272" t="s">
        <v>424</v>
      </c>
      <c r="AO21" s="40" t="s">
        <v>471</v>
      </c>
      <c r="AP21" s="40"/>
      <c r="AQ21" s="40"/>
      <c r="AU21" s="312" t="str">
        <f>AU3</f>
        <v>D*.L*.N*.MVA*.V*</v>
      </c>
      <c r="AV21" s="40" t="s">
        <v>473</v>
      </c>
      <c r="BC21" s="39" t="s">
        <v>445</v>
      </c>
    </row>
    <row r="22" spans="1:57" x14ac:dyDescent="0.2">
      <c r="B22" s="39" t="str">
        <f t="shared" ref="B22:B36" si="7">B4</f>
        <v>BORT-LES-ORGUES G2</v>
      </c>
      <c r="C22" s="43">
        <f>'Analysis - Belfort (old)'!X6</f>
        <v>367.74623809523808</v>
      </c>
      <c r="D22" s="42">
        <f>'Analysis - Belfort (old)'!R6+'Analysis - Belfort (old)'!S6</f>
        <v>871.19599999999991</v>
      </c>
      <c r="J22" s="43">
        <f>'Analysis - Belfort (old)'!Z6</f>
        <v>363.69577379042482</v>
      </c>
      <c r="K22" s="42">
        <f>D22</f>
        <v>871.19599999999991</v>
      </c>
      <c r="Q22" s="43">
        <f>'Analysis - Belfort (old)'!Y6</f>
        <v>748.2604142275602</v>
      </c>
      <c r="R22" s="42">
        <f>K22</f>
        <v>871.19599999999991</v>
      </c>
      <c r="X22" s="43">
        <f>'Analysis - Belfort (old)'!AA6</f>
        <v>2394.2399999999998</v>
      </c>
      <c r="Y22" s="42">
        <f>D22</f>
        <v>871.19599999999991</v>
      </c>
      <c r="AE22" s="42">
        <f>'Analysis - Belfort (old)'!AH6</f>
        <v>21.6755</v>
      </c>
      <c r="AF22" s="42">
        <f>D22</f>
        <v>871.19599999999991</v>
      </c>
      <c r="AL22" s="201" t="s">
        <v>438</v>
      </c>
      <c r="AM22" s="39">
        <v>-2</v>
      </c>
      <c r="AN22" s="270">
        <v>2</v>
      </c>
      <c r="AO22" s="39">
        <v>2</v>
      </c>
      <c r="AU22" s="43">
        <f>AP4^$AN$22*AQ4^$AN$23*AR4^$AN$24*AS4^$AN$25*AT4^$AN$26/100000000</f>
        <v>2718.2652963600381</v>
      </c>
      <c r="AV22" s="42">
        <f t="shared" ref="AV22:AV36" si="8">D22</f>
        <v>871.19599999999991</v>
      </c>
    </row>
    <row r="23" spans="1:57" x14ac:dyDescent="0.2">
      <c r="B23" s="39" t="str">
        <f t="shared" si="7"/>
        <v>GENISSIAT 2 - 4 (ALS)</v>
      </c>
      <c r="C23" s="43">
        <f>'Analysis - Belfort (old)'!X7</f>
        <v>112.464</v>
      </c>
      <c r="D23" s="42">
        <f>'Analysis - Belfort (old)'!R7+'Analysis - Belfort (old)'!S7</f>
        <v>800.80652198421649</v>
      </c>
      <c r="J23" s="43">
        <f>'Analysis - Belfort (old)'!Z7</f>
        <v>132.39993286335996</v>
      </c>
      <c r="K23" s="42">
        <f t="shared" ref="K23:K32" si="9">D23</f>
        <v>800.80652198421649</v>
      </c>
      <c r="Q23" s="43">
        <f>'Analysis - Belfort (old)'!Y7</f>
        <v>367.36466895987695</v>
      </c>
      <c r="R23" s="42">
        <f t="shared" ref="R23:R32" si="10">K23</f>
        <v>800.80652198421649</v>
      </c>
      <c r="X23" s="43">
        <f>'Analysis - Belfort (old)'!AA7</f>
        <v>997.92</v>
      </c>
      <c r="Y23" s="42">
        <f t="shared" ref="Y23:Y34" si="11">D23</f>
        <v>800.80652198421649</v>
      </c>
      <c r="AE23" s="42">
        <f>'Analysis - Belfort (old)'!AH7</f>
        <v>15.407</v>
      </c>
      <c r="AF23" s="42">
        <f t="shared" ref="AF23:AF34" si="12">D23</f>
        <v>800.80652198421649</v>
      </c>
      <c r="AL23" s="201" t="s">
        <v>439</v>
      </c>
      <c r="AM23" s="39">
        <v>-2</v>
      </c>
      <c r="AN23" s="270">
        <v>1.4279137725905859</v>
      </c>
      <c r="AO23" s="39">
        <v>2</v>
      </c>
      <c r="AU23" s="43">
        <f t="shared" ref="AU23:AU36" si="13">AP5^$AN$22*AQ5^$AN$23*AR5^$AN$24*AS5^$AN$25*AT5^$AN$26/100000000</f>
        <v>1746.3461060072709</v>
      </c>
      <c r="AV23" s="42">
        <f t="shared" si="8"/>
        <v>800.80652198421649</v>
      </c>
      <c r="BC23" s="39" t="s">
        <v>442</v>
      </c>
    </row>
    <row r="24" spans="1:57" x14ac:dyDescent="0.2">
      <c r="B24" s="39" t="str">
        <f t="shared" si="7"/>
        <v>GENISSIAT 1 - 6 (SW)</v>
      </c>
      <c r="C24" s="43">
        <f>'Analysis - Belfort (old)'!X8</f>
        <v>111.12586666666667</v>
      </c>
      <c r="D24" s="42">
        <f>'Analysis - Belfort (old)'!R8+'Analysis - Belfort (old)'!S8</f>
        <v>791.78679819616696</v>
      </c>
      <c r="J24" s="43">
        <f>'Analysis - Belfort (old)'!Z8</f>
        <v>129.94127904557504</v>
      </c>
      <c r="K24" s="42">
        <f t="shared" si="9"/>
        <v>791.78679819616696</v>
      </c>
      <c r="Q24" s="43">
        <f>'Analysis - Belfort (old)'!Y8</f>
        <v>365.17261671708076</v>
      </c>
      <c r="R24" s="42">
        <f t="shared" si="10"/>
        <v>791.78679819616696</v>
      </c>
      <c r="X24" s="43">
        <f>'Analysis - Belfort (old)'!AA8</f>
        <v>934.08</v>
      </c>
      <c r="Y24" s="42">
        <f t="shared" si="11"/>
        <v>791.78679819616696</v>
      </c>
      <c r="AE24" s="42">
        <f>'Analysis - Belfort (old)'!AH8</f>
        <v>14.8401</v>
      </c>
      <c r="AF24" s="42">
        <f t="shared" si="12"/>
        <v>791.78679819616696</v>
      </c>
      <c r="AL24" s="201" t="s">
        <v>466</v>
      </c>
      <c r="AM24" s="39">
        <v>-2</v>
      </c>
      <c r="AN24" s="270">
        <v>-0.38957657638331172</v>
      </c>
      <c r="AO24" s="39">
        <v>2</v>
      </c>
      <c r="AU24" s="43">
        <f t="shared" si="13"/>
        <v>1707.3938792696765</v>
      </c>
      <c r="AV24" s="42">
        <f t="shared" si="8"/>
        <v>791.78679819616696</v>
      </c>
      <c r="BC24" s="39">
        <f t="array" ref="BC24:BE27">LINEST(AV22:AV36,AU22:AU36^{1,2},TRUE,TRUE)</f>
        <v>-7.9345326806571612E-5</v>
      </c>
      <c r="BD24" s="39">
        <v>0.49711228191114282</v>
      </c>
      <c r="BE24" s="39">
        <v>125.93350451150842</v>
      </c>
    </row>
    <row r="25" spans="1:57" x14ac:dyDescent="0.2">
      <c r="B25" s="39" t="str">
        <f t="shared" si="7"/>
        <v>PEYRAT LE CHÂTEAU</v>
      </c>
      <c r="C25" s="43">
        <f>'Analysis - Belfort (old)'!X9</f>
        <v>12.218749999999998</v>
      </c>
      <c r="D25" s="42">
        <f>'Analysis - Belfort (old)'!R9+'Analysis - Belfort (old)'!S9</f>
        <v>270.15899999999999</v>
      </c>
      <c r="J25" s="43">
        <f>'Analysis - Belfort (old)'!Z9</f>
        <v>13.217268271301583</v>
      </c>
      <c r="K25" s="42">
        <f t="shared" si="9"/>
        <v>270.15899999999999</v>
      </c>
      <c r="Q25" s="43">
        <f>'Analysis - Belfort (old)'!Y9</f>
        <v>60.544405191561665</v>
      </c>
      <c r="R25" s="42">
        <f t="shared" si="10"/>
        <v>270.15899999999999</v>
      </c>
      <c r="X25" s="43">
        <f>'Analysis - Belfort (old)'!AA9</f>
        <v>107.1</v>
      </c>
      <c r="Y25" s="42">
        <f t="shared" si="11"/>
        <v>270.15899999999999</v>
      </c>
      <c r="AE25" s="42">
        <f>'Analysis - Belfort (old)'!AH9</f>
        <v>4.0249999999999995</v>
      </c>
      <c r="AF25" s="42">
        <f t="shared" si="12"/>
        <v>270.15899999999999</v>
      </c>
      <c r="AL25" s="201" t="s">
        <v>467</v>
      </c>
      <c r="AM25" s="39">
        <v>-2</v>
      </c>
      <c r="AN25" s="270">
        <v>-0.20122078297051507</v>
      </c>
      <c r="AO25" s="39">
        <v>2</v>
      </c>
      <c r="AU25" s="43">
        <f t="shared" si="13"/>
        <v>304.64081479970758</v>
      </c>
      <c r="AV25" s="42">
        <f t="shared" si="8"/>
        <v>270.15899999999999</v>
      </c>
      <c r="BC25" s="39">
        <v>4.806446626037984E-5</v>
      </c>
      <c r="BD25" s="39">
        <v>0.1339892197983405</v>
      </c>
      <c r="BE25" s="39">
        <v>73.751378984581279</v>
      </c>
    </row>
    <row r="26" spans="1:57" x14ac:dyDescent="0.2">
      <c r="B26" s="39" t="str">
        <f t="shared" si="7"/>
        <v>BOLLENE G4</v>
      </c>
      <c r="C26" s="43">
        <f>'Analysis - Belfort (old)'!X10</f>
        <v>122.10630476190475</v>
      </c>
      <c r="D26" s="42">
        <f>'Analysis - Belfort (old)'!R10+'Analysis - Belfort (old)'!S10</f>
        <v>517.38</v>
      </c>
      <c r="J26" s="43">
        <f>'Analysis - Belfort (old)'!Z10</f>
        <v>168.40899693193072</v>
      </c>
      <c r="K26" s="42">
        <f t="shared" si="9"/>
        <v>517.38</v>
      </c>
      <c r="Q26" s="43">
        <f>'Analysis - Belfort (old)'!Y10</f>
        <v>295.2692019158111</v>
      </c>
      <c r="R26" s="42">
        <f t="shared" si="10"/>
        <v>517.38</v>
      </c>
      <c r="X26" s="43">
        <f>'Analysis - Belfort (old)'!AA10</f>
        <v>726.24</v>
      </c>
      <c r="Y26" s="42">
        <f t="shared" si="11"/>
        <v>517.38</v>
      </c>
      <c r="AE26" s="42">
        <f>'Analysis - Belfort (old)'!AH10</f>
        <v>12.07545</v>
      </c>
      <c r="AF26" s="42">
        <f t="shared" si="12"/>
        <v>517.38</v>
      </c>
      <c r="AL26" s="201" t="s">
        <v>468</v>
      </c>
      <c r="AM26" s="39">
        <v>-2</v>
      </c>
      <c r="AN26" s="270">
        <v>-0.18493197483367613</v>
      </c>
      <c r="AO26" s="39">
        <v>2</v>
      </c>
      <c r="AU26" s="43">
        <f t="shared" si="13"/>
        <v>1321.0220353012589</v>
      </c>
      <c r="AV26" s="42">
        <f t="shared" si="8"/>
        <v>517.38</v>
      </c>
      <c r="BC26" s="39">
        <v>0.82679134822076827</v>
      </c>
      <c r="BD26" s="39">
        <v>99.980841985653754</v>
      </c>
      <c r="BE26" s="39" t="e">
        <v>#N/A</v>
      </c>
    </row>
    <row r="27" spans="1:57" x14ac:dyDescent="0.2">
      <c r="B27" s="39" t="str">
        <f t="shared" si="7"/>
        <v>BEAUCHASTEL G1256</v>
      </c>
      <c r="C27" s="43">
        <f>'Analysis - Belfort (old)'!X11</f>
        <v>62.198761904761902</v>
      </c>
      <c r="D27" s="42">
        <f>'Analysis - Belfort (old)'!R11+'Analysis - Belfort (old)'!S11</f>
        <v>389.13099999999997</v>
      </c>
      <c r="J27" s="43">
        <f>'Analysis - Belfort (old)'!Z11</f>
        <v>98.537967543577068</v>
      </c>
      <c r="K27" s="42">
        <f t="shared" si="9"/>
        <v>389.13099999999997</v>
      </c>
      <c r="Q27" s="43">
        <f>'Analysis - Belfort (old)'!Y11</f>
        <v>157.53509450278057</v>
      </c>
      <c r="R27" s="42">
        <f t="shared" si="10"/>
        <v>389.13099999999997</v>
      </c>
      <c r="X27" s="43">
        <f>'Analysis - Belfort (old)'!AA11</f>
        <v>244.64400000000001</v>
      </c>
      <c r="Y27" s="42">
        <f t="shared" si="11"/>
        <v>389.13099999999997</v>
      </c>
      <c r="AE27" s="42">
        <f>'Analysis - Belfort (old)'!AH11</f>
        <v>9.7545000000000002</v>
      </c>
      <c r="AF27" s="42">
        <f t="shared" si="12"/>
        <v>389.13099999999997</v>
      </c>
      <c r="AU27" s="43">
        <f t="shared" si="13"/>
        <v>1024.6427503634491</v>
      </c>
      <c r="AV27" s="42">
        <f t="shared" si="8"/>
        <v>389.13099999999997</v>
      </c>
      <c r="BC27" s="39">
        <v>28.640301961633426</v>
      </c>
      <c r="BD27" s="39">
        <v>12</v>
      </c>
      <c r="BE27" s="39" t="e">
        <v>#N/A</v>
      </c>
    </row>
    <row r="28" spans="1:57" x14ac:dyDescent="0.2">
      <c r="B28" s="39" t="str">
        <f t="shared" si="7"/>
        <v>VOGELGRÜN G3</v>
      </c>
      <c r="C28" s="43">
        <f>'Analysis - Belfort (old)'!X12</f>
        <v>62.521165048543693</v>
      </c>
      <c r="D28" s="42">
        <f>'Analysis - Belfort (old)'!R12+'Analysis - Belfort (old)'!S12</f>
        <v>626.99</v>
      </c>
      <c r="J28" s="43">
        <f>'Analysis - Belfort (old)'!Z12</f>
        <v>95.482363512416455</v>
      </c>
      <c r="K28" s="42">
        <f t="shared" si="9"/>
        <v>626.99</v>
      </c>
      <c r="Q28" s="43">
        <f>'Analysis - Belfort (old)'!Y12</f>
        <v>158.47634523801969</v>
      </c>
      <c r="R28" s="42">
        <f t="shared" si="10"/>
        <v>626.99</v>
      </c>
      <c r="X28" s="43">
        <f>'Analysis - Belfort (old)'!AA12</f>
        <v>271.67399999999998</v>
      </c>
      <c r="Y28" s="42">
        <f t="shared" si="11"/>
        <v>626.99</v>
      </c>
      <c r="AE28" s="42">
        <f>'Analysis - Belfort (old)'!AH12</f>
        <v>8.831999999999999</v>
      </c>
      <c r="AF28" s="42">
        <f t="shared" si="12"/>
        <v>626.99</v>
      </c>
      <c r="AN28" s="272" t="s">
        <v>444</v>
      </c>
      <c r="AU28" s="43">
        <f t="shared" si="13"/>
        <v>923.72231326096755</v>
      </c>
      <c r="AV28" s="42">
        <f t="shared" si="8"/>
        <v>626.99</v>
      </c>
    </row>
    <row r="29" spans="1:57" x14ac:dyDescent="0.2">
      <c r="B29" s="39" t="str">
        <f t="shared" si="7"/>
        <v>LA BATHIE G1345</v>
      </c>
      <c r="C29" s="43">
        <f>'Analysis - Belfort (old)'!X13</f>
        <v>110.78468349514561</v>
      </c>
      <c r="D29" s="42">
        <f>'Analysis - Belfort (old)'!R13+'Analysis - Belfort (old)'!S13</f>
        <v>389.97019999999998</v>
      </c>
      <c r="J29" s="43">
        <f>'Analysis - Belfort (old)'!Z13</f>
        <v>108.95931702137692</v>
      </c>
      <c r="K29" s="42">
        <f t="shared" si="9"/>
        <v>389.97019999999998</v>
      </c>
      <c r="Q29" s="43">
        <f>'Analysis - Belfort (old)'!Y13</f>
        <v>349.42209386356785</v>
      </c>
      <c r="R29" s="42">
        <f t="shared" si="10"/>
        <v>389.97019999999998</v>
      </c>
      <c r="X29" s="43">
        <f>'Analysis - Belfort (old)'!AA13</f>
        <v>507.43680000000001</v>
      </c>
      <c r="Y29" s="42">
        <f t="shared" si="11"/>
        <v>389.97019999999998</v>
      </c>
      <c r="AE29" s="42">
        <f>'Analysis - Belfort (old)'!AH13</f>
        <v>7.85792</v>
      </c>
      <c r="AF29" s="42">
        <f t="shared" si="12"/>
        <v>389.97019999999998</v>
      </c>
      <c r="AM29" s="201" t="s">
        <v>440</v>
      </c>
      <c r="AN29" s="48">
        <f>RSQ(LN(AV22:AV36),LN(AU22:AU36))</f>
        <v>0.77124843417921185</v>
      </c>
      <c r="AU29" s="43">
        <f t="shared" si="13"/>
        <v>678.92162069603876</v>
      </c>
      <c r="AV29" s="42">
        <f t="shared" si="8"/>
        <v>389.97019999999998</v>
      </c>
    </row>
    <row r="30" spans="1:57" x14ac:dyDescent="0.2">
      <c r="B30" s="39" t="str">
        <f t="shared" si="7"/>
        <v>SAUT-MORTIER G2</v>
      </c>
      <c r="C30" s="43">
        <f>'Analysis - Belfort (old)'!X14</f>
        <v>38.884955752212392</v>
      </c>
      <c r="D30" s="42">
        <f>'Analysis - Belfort (old)'!R14+'Analysis - Belfort (old)'!S14</f>
        <v>488.71199999999999</v>
      </c>
      <c r="J30" s="43">
        <f>'Analysis - Belfort (old)'!Z14</f>
        <v>60.203013634318395</v>
      </c>
      <c r="K30" s="42">
        <f t="shared" si="9"/>
        <v>488.71199999999999</v>
      </c>
      <c r="Q30" s="43">
        <f>'Analysis - Belfort (old)'!Y14</f>
        <v>74.111402631443966</v>
      </c>
      <c r="R30" s="42">
        <f t="shared" si="10"/>
        <v>488.71199999999999</v>
      </c>
      <c r="X30" s="43">
        <f>'Analysis - Belfort (old)'!AA14</f>
        <v>111.54</v>
      </c>
      <c r="Y30" s="42">
        <f t="shared" si="11"/>
        <v>488.71199999999999</v>
      </c>
      <c r="AE30" s="42">
        <f>'Analysis - Belfort (old)'!AH14</f>
        <v>4.6280000000000001</v>
      </c>
      <c r="AF30" s="42">
        <f t="shared" si="12"/>
        <v>488.71199999999999</v>
      </c>
      <c r="AM30" s="201" t="s">
        <v>441</v>
      </c>
      <c r="AN30" s="313">
        <f>BC26</f>
        <v>0.82679134822076827</v>
      </c>
      <c r="AU30" s="43">
        <f t="shared" si="13"/>
        <v>397.1767924679188</v>
      </c>
      <c r="AV30" s="42">
        <f t="shared" si="8"/>
        <v>488.71199999999999</v>
      </c>
    </row>
    <row r="31" spans="1:57" x14ac:dyDescent="0.2">
      <c r="B31" s="39" t="str">
        <f t="shared" si="7"/>
        <v>MANOSQUE</v>
      </c>
      <c r="C31" s="43">
        <f>'Analysis - Belfort (old)'!X15</f>
        <v>134.99978761061945</v>
      </c>
      <c r="D31" s="42">
        <f>'Analysis - Belfort (old)'!R15+'Analysis - Belfort (old)'!S15</f>
        <v>587.904</v>
      </c>
      <c r="J31" s="43">
        <f>'Analysis - Belfort (old)'!Z15</f>
        <v>185.78960612200905</v>
      </c>
      <c r="K31" s="42">
        <f t="shared" si="9"/>
        <v>587.904</v>
      </c>
      <c r="Q31" s="43">
        <f>'Analysis - Belfort (old)'!Y15</f>
        <v>204.81988184744174</v>
      </c>
      <c r="R31" s="42">
        <f t="shared" si="10"/>
        <v>587.904</v>
      </c>
      <c r="X31" s="43">
        <f>'Analysis - Belfort (old)'!AA15</f>
        <v>538.23</v>
      </c>
      <c r="Y31" s="42">
        <f t="shared" si="11"/>
        <v>587.904</v>
      </c>
      <c r="AE31" s="42">
        <f>'Analysis - Belfort (old)'!AH15</f>
        <v>9.10656</v>
      </c>
      <c r="AF31" s="42">
        <f t="shared" si="12"/>
        <v>587.904</v>
      </c>
      <c r="AU31" s="43">
        <f t="shared" si="13"/>
        <v>962.47754571371968</v>
      </c>
      <c r="AV31" s="42">
        <f t="shared" si="8"/>
        <v>587.904</v>
      </c>
    </row>
    <row r="32" spans="1:57" x14ac:dyDescent="0.2">
      <c r="B32" s="39" t="str">
        <f t="shared" si="7"/>
        <v>RANDENS G4</v>
      </c>
      <c r="C32" s="43">
        <f>'Analysis - Belfort (old)'!X16</f>
        <v>30.410854368932032</v>
      </c>
      <c r="D32" s="42">
        <f>'Analysis - Belfort (old)'!R16+'Analysis - Belfort (old)'!S16</f>
        <v>220.21100000000001</v>
      </c>
      <c r="J32" s="43">
        <f>'Analysis - Belfort (old)'!Z16</f>
        <v>34.782309153775415</v>
      </c>
      <c r="K32" s="42">
        <f t="shared" si="9"/>
        <v>220.21100000000001</v>
      </c>
      <c r="Q32" s="43">
        <f>'Analysis - Belfort (old)'!Y16</f>
        <v>114.69845508985725</v>
      </c>
      <c r="R32" s="42">
        <f t="shared" si="10"/>
        <v>220.21100000000001</v>
      </c>
      <c r="X32" s="43">
        <f>'Analysis - Belfort (old)'!AA16</f>
        <v>134.316</v>
      </c>
      <c r="Y32" s="42">
        <f t="shared" si="11"/>
        <v>220.21100000000001</v>
      </c>
      <c r="AE32" s="42">
        <f>'Analysis - Belfort (old)'!AH16</f>
        <v>4.5474999999999994</v>
      </c>
      <c r="AF32" s="42">
        <f t="shared" si="12"/>
        <v>220.21100000000001</v>
      </c>
      <c r="AM32" s="39" t="str">
        <f>AM16</f>
        <v>maxi obtenu</v>
      </c>
      <c r="AN32" s="39">
        <v>0.82679134822150091</v>
      </c>
      <c r="AU32" s="43">
        <f t="shared" si="13"/>
        <v>363.75705721889665</v>
      </c>
      <c r="AV32" s="42">
        <f t="shared" si="8"/>
        <v>220.21100000000001</v>
      </c>
    </row>
    <row r="33" spans="2:48" x14ac:dyDescent="0.2">
      <c r="B33" s="39" t="str">
        <f t="shared" si="7"/>
        <v>LA RANCE</v>
      </c>
      <c r="C33" s="43">
        <f>'Analysis - Belfort (old)'!X17</f>
        <v>21.00985857142857</v>
      </c>
      <c r="D33" s="42">
        <f>'Analysis - Belfort (old)'!R17+'Analysis - Belfort (old)'!S17</f>
        <v>291.50900000000001</v>
      </c>
      <c r="J33" s="43">
        <f>'Analysis - Belfort (old)'!Z17</f>
        <v>47.722142997196784</v>
      </c>
      <c r="K33" s="42">
        <f t="shared" ref="K33:K34" si="14">D33</f>
        <v>291.50900000000001</v>
      </c>
      <c r="Q33" s="43">
        <f>'Analysis - Belfort (old)'!Y17</f>
        <v>28.440807917497704</v>
      </c>
      <c r="R33" s="42">
        <f t="shared" ref="R33:R34" si="15">K33</f>
        <v>291.50900000000001</v>
      </c>
      <c r="X33" s="43">
        <f>'Analysis - Belfort (old)'!AA17</f>
        <v>45.804000000000002</v>
      </c>
      <c r="Y33" s="42">
        <f t="shared" si="11"/>
        <v>291.50900000000001</v>
      </c>
      <c r="AE33" s="42">
        <f>'Analysis - Belfort (old)'!AH17</f>
        <v>3.6025549999999997</v>
      </c>
      <c r="AF33" s="42">
        <f t="shared" si="12"/>
        <v>291.50900000000001</v>
      </c>
      <c r="AU33" s="43">
        <f t="shared" si="13"/>
        <v>251.10189659674842</v>
      </c>
      <c r="AV33" s="42">
        <f t="shared" si="8"/>
        <v>291.50900000000001</v>
      </c>
    </row>
    <row r="34" spans="2:48" x14ac:dyDescent="0.2">
      <c r="B34" s="39" t="str">
        <f t="shared" si="7"/>
        <v>VAUGRIS</v>
      </c>
      <c r="C34" s="43">
        <f>'Analysis - Belfort (old)'!X18</f>
        <v>63.898899999999998</v>
      </c>
      <c r="D34" s="42">
        <f>'Analysis - Belfort (old)'!R18+'Analysis - Belfort (old)'!S18</f>
        <v>307.77300000000002</v>
      </c>
      <c r="J34" s="43">
        <f>'Analysis - Belfort (old)'!Z18</f>
        <v>139.14089741457516</v>
      </c>
      <c r="K34" s="42">
        <f t="shared" si="14"/>
        <v>307.77300000000002</v>
      </c>
      <c r="Q34" s="43">
        <f>'Analysis - Belfort (old)'!Y18</f>
        <v>60.350951110980844</v>
      </c>
      <c r="R34" s="42">
        <f t="shared" si="15"/>
        <v>307.77300000000002</v>
      </c>
      <c r="X34" s="43">
        <f>'Analysis - Belfort (old)'!AA18</f>
        <v>127.0416</v>
      </c>
      <c r="Y34" s="42">
        <f t="shared" si="11"/>
        <v>307.77300000000002</v>
      </c>
      <c r="AE34" s="42">
        <f>'Analysis - Belfort (old)'!AH18</f>
        <v>6.0332999999999997</v>
      </c>
      <c r="AF34" s="42">
        <f t="shared" si="12"/>
        <v>307.77300000000002</v>
      </c>
      <c r="AU34" s="43">
        <f t="shared" si="13"/>
        <v>518.42474738913052</v>
      </c>
      <c r="AV34" s="42">
        <f t="shared" si="8"/>
        <v>307.77300000000002</v>
      </c>
    </row>
    <row r="35" spans="2:48" x14ac:dyDescent="0.2">
      <c r="B35" s="39" t="str">
        <f t="shared" si="7"/>
        <v>ST HILAIRE</v>
      </c>
      <c r="C35" s="43">
        <f>'Analysis - Belfort (old)'!X19</f>
        <v>23.911578947368419</v>
      </c>
      <c r="D35" s="42">
        <f>'Analysis - Belfort (old)'!R19+'Analysis - Belfort (old)'!S19</f>
        <v>228.54900000000001</v>
      </c>
      <c r="J35" s="43">
        <f>'Analysis - Belfort (old)'!Z19</f>
        <v>39.732450367279959</v>
      </c>
      <c r="K35" s="42">
        <f t="shared" ref="K35:K36" si="16">D35</f>
        <v>228.54900000000001</v>
      </c>
      <c r="Q35" s="43">
        <f>'Analysis - Belfort (old)'!Y19</f>
        <v>44.301945781195663</v>
      </c>
      <c r="R35" s="42">
        <f t="shared" ref="R35:R36" si="17">K35</f>
        <v>228.54900000000001</v>
      </c>
      <c r="X35" s="43">
        <f>'Analysis - Belfort (old)'!AA19</f>
        <v>67.391999999999996</v>
      </c>
      <c r="Y35" s="42">
        <f t="shared" ref="Y35:Y36" si="18">D35</f>
        <v>228.54900000000001</v>
      </c>
      <c r="AE35" s="42">
        <f>'Analysis - Belfort (old)'!AH19</f>
        <v>4.4169999999999998</v>
      </c>
      <c r="AF35" s="42">
        <f t="shared" ref="AF35:AF36" si="19">D35</f>
        <v>228.54900000000001</v>
      </c>
      <c r="AU35" s="43">
        <f t="shared" si="13"/>
        <v>406.15167660191435</v>
      </c>
      <c r="AV35" s="42">
        <f t="shared" si="8"/>
        <v>228.54900000000001</v>
      </c>
    </row>
    <row r="36" spans="2:48" x14ac:dyDescent="0.2">
      <c r="B36" s="39" t="str">
        <f t="shared" si="7"/>
        <v>MARCKOLSHEIM G2</v>
      </c>
      <c r="C36" s="43">
        <f>'Analysis - Belfort (old)'!X20</f>
        <v>85.949999999999989</v>
      </c>
      <c r="D36" s="42">
        <f>'Analysis - Belfort (old)'!R20+'Analysis - Belfort (old)'!S20</f>
        <v>712.6880000000001</v>
      </c>
      <c r="J36" s="43">
        <f>'Analysis - Belfort (old)'!Z20</f>
        <v>132.12968034164189</v>
      </c>
      <c r="K36" s="42">
        <f t="shared" si="16"/>
        <v>712.6880000000001</v>
      </c>
      <c r="Q36" s="43">
        <f>'Analysis - Belfort (old)'!Y20</f>
        <v>199.59415071589646</v>
      </c>
      <c r="R36" s="42">
        <f t="shared" si="17"/>
        <v>712.6880000000001</v>
      </c>
      <c r="X36" s="43">
        <f>'Analysis - Belfort (old)'!AA20</f>
        <v>515.70000000000005</v>
      </c>
      <c r="Y36" s="42">
        <f t="shared" si="18"/>
        <v>712.6880000000001</v>
      </c>
      <c r="AE36" s="42">
        <f>'Analysis - Belfort (old)'!AH20</f>
        <v>11.433</v>
      </c>
      <c r="AF36" s="42">
        <f t="shared" si="19"/>
        <v>712.6880000000001</v>
      </c>
      <c r="AU36" s="43">
        <f t="shared" si="13"/>
        <v>1296.4837762742231</v>
      </c>
      <c r="AV36" s="42">
        <f t="shared" si="8"/>
        <v>712.6880000000001</v>
      </c>
    </row>
    <row r="37" spans="2:48" x14ac:dyDescent="0.2">
      <c r="B37" s="251" t="str">
        <f>B19</f>
        <v>ARAPUNI</v>
      </c>
      <c r="D37" s="251">
        <v>296.2</v>
      </c>
      <c r="AU37" s="336">
        <f t="shared" ref="AU37" si="20">AP19^$AN$22*AQ19^$AN$23*AR19^$AN$24*AS19^$AN$25*AT19^$AN$26/100000000</f>
        <v>303.81045138295423</v>
      </c>
      <c r="AV37" s="337">
        <f t="shared" ref="AV37" si="21">D37</f>
        <v>296.2</v>
      </c>
    </row>
    <row r="39" spans="2:48" x14ac:dyDescent="0.2">
      <c r="B39" s="41" t="s">
        <v>112</v>
      </c>
      <c r="C39" s="40" t="str">
        <f>C58</f>
        <v>"D.L"</v>
      </c>
      <c r="D39" s="40" t="s">
        <v>51</v>
      </c>
      <c r="J39" s="40" t="str">
        <f>'Analysis - Belfort (old)'!AB3</f>
        <v>"D.L.S"</v>
      </c>
      <c r="K39" s="40" t="s">
        <v>51</v>
      </c>
      <c r="Q39" s="44" t="s">
        <v>258</v>
      </c>
      <c r="R39" s="40" t="s">
        <v>51</v>
      </c>
    </row>
    <row r="40" spans="2:48" x14ac:dyDescent="0.2">
      <c r="B40" s="39" t="str">
        <f t="shared" ref="B40:B52" si="22">B22</f>
        <v>BORT-LES-ORGUES G2</v>
      </c>
      <c r="C40" s="42">
        <f>C59</f>
        <v>21.6755</v>
      </c>
      <c r="D40" s="42">
        <f>K40</f>
        <v>1336.721</v>
      </c>
      <c r="J40" s="43">
        <f>'Analysis - Belfort (old)'!AB6</f>
        <v>3142.9474999999998</v>
      </c>
      <c r="K40" s="42">
        <f t="shared" ref="K40:K52" si="23">D4+D22</f>
        <v>1336.721</v>
      </c>
      <c r="Q40" s="43">
        <f>C4+AE22</f>
        <v>155.91187150000002</v>
      </c>
      <c r="R40" s="42">
        <f t="shared" ref="R40:R52" si="24">D4+D22</f>
        <v>1336.721</v>
      </c>
    </row>
    <row r="41" spans="2:48" x14ac:dyDescent="0.2">
      <c r="B41" s="39" t="str">
        <f t="shared" si="22"/>
        <v>GENISSIAT 2 - 4 (ALS)</v>
      </c>
      <c r="C41" s="42">
        <f t="shared" ref="C41:C52" si="25">C60</f>
        <v>15.407</v>
      </c>
      <c r="D41" s="42">
        <f t="shared" ref="D41:D50" si="26">K41</f>
        <v>1257.7185219842165</v>
      </c>
      <c r="J41" s="43">
        <f>'Analysis - Belfort (old)'!AB7</f>
        <v>1232.56</v>
      </c>
      <c r="K41" s="42">
        <f t="shared" si="23"/>
        <v>1257.7185219842165</v>
      </c>
      <c r="Q41" s="43">
        <f t="shared" ref="Q41:Q52" si="27">C5+AE23</f>
        <v>124.7967</v>
      </c>
      <c r="R41" s="42">
        <f t="shared" si="24"/>
        <v>1257.7185219842165</v>
      </c>
    </row>
    <row r="42" spans="2:48" x14ac:dyDescent="0.2">
      <c r="B42" s="39" t="str">
        <f t="shared" si="22"/>
        <v>GENISSIAT 1 - 6 (SW)</v>
      </c>
      <c r="C42" s="42">
        <f t="shared" si="25"/>
        <v>14.8401</v>
      </c>
      <c r="D42" s="42">
        <f t="shared" si="26"/>
        <v>1281.9047981961669</v>
      </c>
      <c r="J42" s="43">
        <f>'Analysis - Belfort (old)'!AB8</f>
        <v>1187.2079999999999</v>
      </c>
      <c r="K42" s="42">
        <f t="shared" si="23"/>
        <v>1281.9047981961669</v>
      </c>
      <c r="Q42" s="43">
        <f t="shared" si="27"/>
        <v>126.06664950000001</v>
      </c>
      <c r="R42" s="42">
        <f t="shared" si="24"/>
        <v>1281.9047981961669</v>
      </c>
    </row>
    <row r="43" spans="2:48" x14ac:dyDescent="0.2">
      <c r="B43" s="39" t="str">
        <f t="shared" si="22"/>
        <v>PEYRAT LE CHÂTEAU</v>
      </c>
      <c r="C43" s="42">
        <f t="shared" si="25"/>
        <v>4.0249999999999995</v>
      </c>
      <c r="D43" s="42">
        <f t="shared" si="26"/>
        <v>408.99299999999999</v>
      </c>
      <c r="J43" s="43">
        <f>'Analysis - Belfort (old)'!AB9</f>
        <v>100.625</v>
      </c>
      <c r="K43" s="42">
        <f t="shared" si="23"/>
        <v>408.99299999999999</v>
      </c>
      <c r="Q43" s="43">
        <f t="shared" si="27"/>
        <v>13.282499999999999</v>
      </c>
      <c r="R43" s="42">
        <f t="shared" si="24"/>
        <v>408.99299999999999</v>
      </c>
    </row>
    <row r="44" spans="2:48" x14ac:dyDescent="0.2">
      <c r="B44" s="46" t="str">
        <f t="shared" si="22"/>
        <v>BOLLENE G4</v>
      </c>
      <c r="C44" s="54">
        <f t="shared" si="25"/>
        <v>12.07545</v>
      </c>
      <c r="D44" s="54">
        <f t="shared" si="26"/>
        <v>822.15800000000002</v>
      </c>
      <c r="J44" s="71">
        <f>'Analysis - Belfort (old)'!AB10</f>
        <v>821.13059999999996</v>
      </c>
      <c r="K44" s="72">
        <f t="shared" si="23"/>
        <v>822.15800000000002</v>
      </c>
      <c r="Q44" s="43">
        <f t="shared" si="27"/>
        <v>114.40281330000001</v>
      </c>
      <c r="R44" s="42">
        <f t="shared" si="24"/>
        <v>822.15800000000002</v>
      </c>
    </row>
    <row r="45" spans="2:48" x14ac:dyDescent="0.2">
      <c r="B45" s="39" t="str">
        <f t="shared" si="22"/>
        <v>BEAUCHASTEL G1256</v>
      </c>
      <c r="C45" s="42">
        <f t="shared" si="25"/>
        <v>9.7545000000000002</v>
      </c>
      <c r="D45" s="42">
        <f t="shared" si="26"/>
        <v>730.11699999999996</v>
      </c>
      <c r="J45" s="43">
        <f>'Analysis - Belfort (old)'!AB11</f>
        <v>370.67099999999999</v>
      </c>
      <c r="K45" s="42">
        <f t="shared" si="23"/>
        <v>730.11699999999996</v>
      </c>
      <c r="Q45" s="43">
        <f t="shared" si="27"/>
        <v>100.373805</v>
      </c>
      <c r="R45" s="42">
        <f t="shared" si="24"/>
        <v>730.11699999999996</v>
      </c>
    </row>
    <row r="46" spans="2:48" x14ac:dyDescent="0.2">
      <c r="B46" s="39" t="str">
        <f t="shared" si="22"/>
        <v>VOGELGRÜN G3</v>
      </c>
      <c r="C46" s="42">
        <f t="shared" si="25"/>
        <v>8.831999999999999</v>
      </c>
      <c r="D46" s="42">
        <f t="shared" si="26"/>
        <v>906.38100000000009</v>
      </c>
      <c r="J46" s="43">
        <f>'Analysis - Belfort (old)'!AB12</f>
        <v>344.44799999999998</v>
      </c>
      <c r="K46" s="42">
        <f t="shared" si="23"/>
        <v>906.38100000000009</v>
      </c>
      <c r="Q46" s="43">
        <f t="shared" si="27"/>
        <v>93.619199999999992</v>
      </c>
      <c r="R46" s="42">
        <f t="shared" si="24"/>
        <v>906.38100000000009</v>
      </c>
    </row>
    <row r="47" spans="2:48" x14ac:dyDescent="0.2">
      <c r="B47" s="39" t="str">
        <f t="shared" si="22"/>
        <v>LA BATHIE G1345</v>
      </c>
      <c r="C47" s="42">
        <f t="shared" si="25"/>
        <v>7.85792</v>
      </c>
      <c r="D47" s="42">
        <f t="shared" si="26"/>
        <v>635.11619999999994</v>
      </c>
      <c r="J47" s="43">
        <f>'Analysis - Belfort (old)'!AB13</f>
        <v>840.79743999999994</v>
      </c>
      <c r="K47" s="42">
        <f t="shared" si="23"/>
        <v>635.11619999999994</v>
      </c>
      <c r="Q47" s="43">
        <f t="shared" si="27"/>
        <v>35.423503359999998</v>
      </c>
      <c r="R47" s="42">
        <f t="shared" si="24"/>
        <v>635.11619999999994</v>
      </c>
    </row>
    <row r="48" spans="2:48" x14ac:dyDescent="0.2">
      <c r="B48" s="39" t="str">
        <f t="shared" si="22"/>
        <v>SAUT-MORTIER G2</v>
      </c>
      <c r="C48" s="42">
        <f t="shared" si="25"/>
        <v>4.6280000000000001</v>
      </c>
      <c r="D48" s="42">
        <f t="shared" si="26"/>
        <v>695.73</v>
      </c>
      <c r="J48" s="43">
        <f>'Analysis - Belfort (old)'!AB14</f>
        <v>115.69999999999999</v>
      </c>
      <c r="K48" s="42">
        <f t="shared" si="23"/>
        <v>695.73</v>
      </c>
      <c r="Q48" s="43">
        <f t="shared" si="27"/>
        <v>28.6936</v>
      </c>
      <c r="R48" s="42">
        <f t="shared" si="24"/>
        <v>695.73</v>
      </c>
    </row>
    <row r="49" spans="1:18" x14ac:dyDescent="0.2">
      <c r="B49" s="39" t="str">
        <f t="shared" si="22"/>
        <v>MANOSQUE</v>
      </c>
      <c r="C49" s="42">
        <f t="shared" si="25"/>
        <v>9.10656</v>
      </c>
      <c r="D49" s="42">
        <f t="shared" si="26"/>
        <v>830.95299999999997</v>
      </c>
      <c r="J49" s="43">
        <f>'Analysis - Belfort (old)'!AB15</f>
        <v>500.86079999999998</v>
      </c>
      <c r="K49" s="42">
        <f t="shared" si="23"/>
        <v>830.95299999999997</v>
      </c>
      <c r="Q49" s="43">
        <f t="shared" si="27"/>
        <v>63.308805120000002</v>
      </c>
      <c r="R49" s="42">
        <f t="shared" si="24"/>
        <v>830.95299999999997</v>
      </c>
    </row>
    <row r="50" spans="1:18" x14ac:dyDescent="0.2">
      <c r="B50" s="39" t="str">
        <f t="shared" si="22"/>
        <v>RANDENS G4</v>
      </c>
      <c r="C50" s="42">
        <f t="shared" si="25"/>
        <v>4.5474999999999994</v>
      </c>
      <c r="D50" s="42">
        <f t="shared" si="26"/>
        <v>390.6</v>
      </c>
      <c r="J50" s="43">
        <f>'Analysis - Belfort (old)'!AB16</f>
        <v>190.995</v>
      </c>
      <c r="K50" s="42">
        <f t="shared" si="23"/>
        <v>390.6</v>
      </c>
      <c r="Q50" s="43">
        <f t="shared" si="27"/>
        <v>21.091305000000002</v>
      </c>
      <c r="R50" s="42">
        <f t="shared" si="24"/>
        <v>390.6</v>
      </c>
    </row>
    <row r="51" spans="1:18" x14ac:dyDescent="0.2">
      <c r="B51" s="39" t="str">
        <f t="shared" si="22"/>
        <v>LA RANCE</v>
      </c>
      <c r="C51" s="42">
        <f t="shared" si="25"/>
        <v>3.6025549999999997</v>
      </c>
      <c r="D51" s="42">
        <f t="shared" ref="D51:D52" si="28">K51</f>
        <v>427.40899999999999</v>
      </c>
      <c r="J51" s="43">
        <f>'Analysis - Belfort (old)'!AB17</f>
        <v>39.628104999999998</v>
      </c>
      <c r="K51" s="42">
        <f t="shared" si="23"/>
        <v>427.40899999999999</v>
      </c>
      <c r="Q51" s="43">
        <f t="shared" si="27"/>
        <v>17.483199415000001</v>
      </c>
      <c r="R51" s="42">
        <f t="shared" si="24"/>
        <v>427.40899999999999</v>
      </c>
    </row>
    <row r="52" spans="1:18" x14ac:dyDescent="0.2">
      <c r="B52" s="39" t="str">
        <f t="shared" si="22"/>
        <v>VAUGRIS</v>
      </c>
      <c r="C52" s="42">
        <f t="shared" si="25"/>
        <v>6.0332999999999997</v>
      </c>
      <c r="D52" s="42">
        <f t="shared" si="28"/>
        <v>536.11900000000003</v>
      </c>
      <c r="J52" s="43">
        <f>'Analysis - Belfort (old)'!AB18</f>
        <v>114.6327</v>
      </c>
      <c r="K52" s="42">
        <f t="shared" si="23"/>
        <v>536.11900000000003</v>
      </c>
      <c r="Q52" s="43">
        <f t="shared" si="27"/>
        <v>36.622131000000003</v>
      </c>
      <c r="R52" s="42">
        <f t="shared" si="24"/>
        <v>536.11900000000003</v>
      </c>
    </row>
    <row r="53" spans="1:18" x14ac:dyDescent="0.2">
      <c r="C53" s="42"/>
      <c r="D53" s="42"/>
      <c r="J53" s="43"/>
      <c r="K53" s="42"/>
      <c r="Q53" s="43"/>
      <c r="R53" s="42"/>
    </row>
    <row r="54" spans="1:18" x14ac:dyDescent="0.2">
      <c r="C54" s="42"/>
      <c r="D54" s="42"/>
      <c r="J54" s="43"/>
      <c r="K54" s="42"/>
      <c r="Q54" s="43"/>
      <c r="R54" s="42"/>
    </row>
    <row r="57" spans="1:18" x14ac:dyDescent="0.2">
      <c r="A57" s="49" t="s">
        <v>144</v>
      </c>
    </row>
    <row r="58" spans="1:18" x14ac:dyDescent="0.2">
      <c r="B58" s="41" t="str">
        <f t="shared" ref="B58:B71" si="29">B3</f>
        <v>Magnetic core</v>
      </c>
      <c r="C58" s="103" t="str">
        <f>'Analysis - Belfort (old)'!AH3</f>
        <v>"D.L"</v>
      </c>
      <c r="D58" s="40" t="s">
        <v>51</v>
      </c>
      <c r="J58" s="44" t="str">
        <f>'Analysis - Belfort (old)'!AJ3</f>
        <v>"D.L.√L"</v>
      </c>
      <c r="K58" s="40" t="s">
        <v>51</v>
      </c>
    </row>
    <row r="59" spans="1:18" x14ac:dyDescent="0.2">
      <c r="B59" s="39" t="str">
        <f t="shared" si="29"/>
        <v>BORT-LES-ORGUES G2</v>
      </c>
      <c r="C59" s="42">
        <f>'Analysis - Belfort (old)'!AH6</f>
        <v>21.6755</v>
      </c>
      <c r="D59" s="42">
        <f>'Analysis - Belfort (old)'!AD6</f>
        <v>206.75405595947333</v>
      </c>
      <c r="J59" s="43">
        <f>'Analysis - Belfort (old)'!AJ6</f>
        <v>1282.3398733857575</v>
      </c>
      <c r="K59" s="42">
        <f>D59</f>
        <v>206.75405595947333</v>
      </c>
    </row>
    <row r="60" spans="1:18" x14ac:dyDescent="0.2">
      <c r="B60" s="39" t="str">
        <f t="shared" si="29"/>
        <v>GENISSIAT 2 - 4 (ALS)</v>
      </c>
      <c r="C60" s="42">
        <f>'Analysis - Belfort (old)'!AH7</f>
        <v>15.407</v>
      </c>
      <c r="D60" s="42">
        <f>'Analysis - Belfort (old)'!AD7</f>
        <v>268.83049999999997</v>
      </c>
      <c r="J60" s="43">
        <f>'Analysis - Belfort (old)'!AJ7</f>
        <v>717.70826826085829</v>
      </c>
      <c r="K60" s="42">
        <f t="shared" ref="K60:K69" si="30">D60</f>
        <v>268.83049999999997</v>
      </c>
    </row>
    <row r="61" spans="1:18" x14ac:dyDescent="0.2">
      <c r="B61" s="39" t="str">
        <f t="shared" si="29"/>
        <v>GENISSIAT 1 - 6 (SW)</v>
      </c>
      <c r="C61" s="42">
        <f>'Analysis - Belfort (old)'!AH8</f>
        <v>14.8401</v>
      </c>
      <c r="D61" s="42">
        <f>'Analysis - Belfort (old)'!AD8</f>
        <v>252.85</v>
      </c>
      <c r="J61" s="43">
        <f>'Analysis - Belfort (old)'!AJ8</f>
        <v>660.34276301009015</v>
      </c>
      <c r="K61" s="42">
        <f t="shared" si="30"/>
        <v>252.85</v>
      </c>
    </row>
    <row r="62" spans="1:18" x14ac:dyDescent="0.2">
      <c r="B62" s="39" t="str">
        <f t="shared" si="29"/>
        <v>PEYRAT LE CHÂTEAU</v>
      </c>
      <c r="C62" s="42">
        <f>'Analysis - Belfort (old)'!AH9</f>
        <v>4.0249999999999995</v>
      </c>
      <c r="D62" s="42">
        <f>'Analysis - Belfort (old)'!AD9</f>
        <v>118.26600000000001</v>
      </c>
      <c r="J62" s="43">
        <f>'Analysis - Belfort (old)'!AJ9</f>
        <v>168.37783033998272</v>
      </c>
      <c r="K62" s="42">
        <f t="shared" si="30"/>
        <v>118.26600000000001</v>
      </c>
    </row>
    <row r="63" spans="1:18" x14ac:dyDescent="0.2">
      <c r="B63" s="39" t="str">
        <f t="shared" si="29"/>
        <v>BOLLENE G4</v>
      </c>
      <c r="C63" s="42">
        <f>'Analysis - Belfort (old)'!AH10</f>
        <v>12.07545</v>
      </c>
      <c r="D63" s="42">
        <f>'Analysis - Belfort (old)'!AD10</f>
        <v>235.14699999999999</v>
      </c>
      <c r="J63" s="43">
        <f>'Analysis - Belfort (old)'!AJ10</f>
        <v>455.83824115695086</v>
      </c>
      <c r="K63" s="42">
        <f t="shared" si="30"/>
        <v>235.14699999999999</v>
      </c>
    </row>
    <row r="64" spans="1:18" x14ac:dyDescent="0.2">
      <c r="B64" s="39" t="str">
        <f t="shared" si="29"/>
        <v>BEAUCHASTEL G1256</v>
      </c>
      <c r="C64" s="42">
        <f>'Analysis - Belfort (old)'!AH11</f>
        <v>9.7545000000000002</v>
      </c>
      <c r="D64" s="42">
        <f>'Analysis - Belfort (old)'!AD11</f>
        <v>123.387</v>
      </c>
      <c r="J64" s="43">
        <f>'Analysis - Belfort (old)'!AJ11</f>
        <v>316.08192571309741</v>
      </c>
      <c r="K64" s="42">
        <f t="shared" si="30"/>
        <v>123.387</v>
      </c>
    </row>
    <row r="65" spans="2:18" x14ac:dyDescent="0.2">
      <c r="B65" s="39" t="str">
        <f t="shared" si="29"/>
        <v>VOGELGRÜN G3</v>
      </c>
      <c r="C65" s="42">
        <f>'Analysis - Belfort (old)'!AH12</f>
        <v>8.831999999999999</v>
      </c>
      <c r="D65" s="42">
        <f>'Analysis - Belfort (old)'!AD12</f>
        <v>125.386</v>
      </c>
      <c r="J65" s="43">
        <f>'Analysis - Belfort (old)'!AJ12</f>
        <v>267.88782368745319</v>
      </c>
      <c r="K65" s="42">
        <f t="shared" si="30"/>
        <v>125.386</v>
      </c>
    </row>
    <row r="66" spans="2:18" x14ac:dyDescent="0.2">
      <c r="B66" s="39" t="str">
        <f t="shared" si="29"/>
        <v>LA BATHIE G1345</v>
      </c>
      <c r="C66" s="42">
        <f>'Analysis - Belfort (old)'!AH13</f>
        <v>7.85792</v>
      </c>
      <c r="D66" s="42">
        <f>'Analysis - Belfort (old)'!AD13</f>
        <v>179.58</v>
      </c>
      <c r="J66" s="43">
        <f>'Analysis - Belfort (old)'!AJ13</f>
        <v>371.90465319371305</v>
      </c>
      <c r="K66" s="42">
        <f t="shared" si="30"/>
        <v>179.58</v>
      </c>
    </row>
    <row r="67" spans="2:18" x14ac:dyDescent="0.2">
      <c r="B67" s="39" t="str">
        <f t="shared" si="29"/>
        <v>SAUT-MORTIER G2</v>
      </c>
      <c r="C67" s="42">
        <f>'Analysis - Belfort (old)'!AH14</f>
        <v>4.6280000000000001</v>
      </c>
      <c r="D67" s="42">
        <f>'Analysis - Belfort (old)'!AD14</f>
        <v>51.64</v>
      </c>
      <c r="J67" s="43">
        <f>'Analysis - Belfort (old)'!AJ14</f>
        <v>138.06651208747184</v>
      </c>
      <c r="K67" s="42">
        <f t="shared" si="30"/>
        <v>51.64</v>
      </c>
    </row>
    <row r="68" spans="2:18" x14ac:dyDescent="0.2">
      <c r="B68" s="39" t="str">
        <f t="shared" si="29"/>
        <v>MANOSQUE</v>
      </c>
      <c r="C68" s="42">
        <f>'Analysis - Belfort (old)'!AH15</f>
        <v>9.10656</v>
      </c>
      <c r="D68" s="42">
        <f>'Analysis - Belfort (old)'!AD15</f>
        <v>170.136</v>
      </c>
      <c r="J68" s="43">
        <f>'Analysis - Belfort (old)'!AJ15</f>
        <v>356.20504713073336</v>
      </c>
      <c r="K68" s="42">
        <f t="shared" si="30"/>
        <v>170.136</v>
      </c>
    </row>
    <row r="69" spans="2:18" x14ac:dyDescent="0.2">
      <c r="B69" s="39" t="str">
        <f t="shared" si="29"/>
        <v>RANDENS G4</v>
      </c>
      <c r="C69" s="42">
        <f>'Analysis - Belfort (old)'!AH16</f>
        <v>4.5474999999999994</v>
      </c>
      <c r="D69" s="42">
        <f>'Analysis - Belfort (old)'!AD16</f>
        <v>81.551000000000002</v>
      </c>
      <c r="J69" s="43">
        <f>'Analysis - Belfort (old)'!AJ16</f>
        <v>160.77840437229125</v>
      </c>
      <c r="K69" s="42">
        <f t="shared" si="30"/>
        <v>81.551000000000002</v>
      </c>
    </row>
    <row r="70" spans="2:18" x14ac:dyDescent="0.2">
      <c r="B70" s="39" t="str">
        <f t="shared" si="29"/>
        <v>LA RANCE</v>
      </c>
      <c r="C70" s="42">
        <f>'Analysis - Belfort (old)'!AH17</f>
        <v>3.6025549999999997</v>
      </c>
      <c r="D70" s="42">
        <f>'Analysis - Belfort (old)'!AD17</f>
        <v>107.0222</v>
      </c>
      <c r="J70" s="43">
        <f>'Analysis - Belfort (old)'!AJ17</f>
        <v>110.1580971318195</v>
      </c>
      <c r="K70" s="42">
        <f t="shared" ref="K70:K71" si="31">D70</f>
        <v>107.0222</v>
      </c>
    </row>
    <row r="71" spans="2:18" x14ac:dyDescent="0.2">
      <c r="B71" s="39" t="str">
        <f t="shared" si="29"/>
        <v>VAUGRIS</v>
      </c>
      <c r="C71" s="42">
        <f>'Analysis - Belfort (old)'!AH18</f>
        <v>6.0332999999999997</v>
      </c>
      <c r="D71" s="42">
        <f>'Analysis - Belfort (old)'!AD18</f>
        <v>166.58</v>
      </c>
      <c r="J71" s="43">
        <f>'Analysis - Belfort (old)'!AJ18</f>
        <v>208.12698906941407</v>
      </c>
      <c r="K71" s="42">
        <f t="shared" si="31"/>
        <v>166.58</v>
      </c>
    </row>
    <row r="74" spans="2:18" x14ac:dyDescent="0.2">
      <c r="B74" s="41" t="str">
        <f>B21</f>
        <v>Winding</v>
      </c>
      <c r="C74" s="40" t="str">
        <f t="shared" ref="C74:C79" si="32">C58</f>
        <v>"D.L"</v>
      </c>
      <c r="D74" s="40" t="s">
        <v>51</v>
      </c>
      <c r="J74" s="44" t="str">
        <f>'Analysis - Belfort (old)'!AI3</f>
        <v>"D.√L"</v>
      </c>
      <c r="K74" s="40" t="s">
        <v>51</v>
      </c>
      <c r="R74" s="40"/>
    </row>
    <row r="75" spans="2:18" x14ac:dyDescent="0.2">
      <c r="B75" s="39" t="str">
        <f t="shared" ref="B75:B85" si="33">B59</f>
        <v>BORT-LES-ORGUES G2</v>
      </c>
      <c r="C75" s="42">
        <f t="shared" si="32"/>
        <v>21.6755</v>
      </c>
      <c r="D75" s="39">
        <f>'Analysis - Belfort (old)'!AE6</f>
        <v>448.99995258773907</v>
      </c>
      <c r="J75" s="43">
        <f>'Analysis - Belfort (old)'!AI6</f>
        <v>366.38282096735924</v>
      </c>
      <c r="K75" s="39">
        <f>D75</f>
        <v>448.99995258773907</v>
      </c>
      <c r="Q75" s="43"/>
      <c r="R75" s="42"/>
    </row>
    <row r="76" spans="2:18" x14ac:dyDescent="0.2">
      <c r="B76" s="39" t="str">
        <f t="shared" si="33"/>
        <v>GENISSIAT 2 - 4 (ALS)</v>
      </c>
      <c r="C76" s="42">
        <f t="shared" si="32"/>
        <v>15.407</v>
      </c>
      <c r="D76" s="39">
        <f>'Analysis - Belfort (old)'!AE7</f>
        <v>335.82749999999999</v>
      </c>
      <c r="J76" s="43">
        <f>'Analysis - Belfort (old)'!AI7</f>
        <v>330.74113744740009</v>
      </c>
      <c r="K76" s="39">
        <f t="shared" ref="K76:K85" si="34">D76</f>
        <v>335.82749999999999</v>
      </c>
      <c r="Q76" s="43"/>
      <c r="R76" s="42"/>
    </row>
    <row r="77" spans="2:18" x14ac:dyDescent="0.2">
      <c r="B77" s="39" t="str">
        <f t="shared" si="33"/>
        <v>GENISSIAT 1 - 6 (SW)</v>
      </c>
      <c r="C77" s="42">
        <f t="shared" si="32"/>
        <v>14.8401</v>
      </c>
      <c r="D77" s="39">
        <f>'Analysis - Belfort (old)'!AE8</f>
        <v>356.05</v>
      </c>
      <c r="J77" s="43">
        <f>'Analysis - Belfort (old)'!AI8</f>
        <v>333.50644596469198</v>
      </c>
      <c r="K77" s="39">
        <f t="shared" si="34"/>
        <v>356.05</v>
      </c>
      <c r="Q77" s="43"/>
      <c r="R77" s="42"/>
    </row>
    <row r="78" spans="2:18" x14ac:dyDescent="0.2">
      <c r="B78" s="39" t="str">
        <f t="shared" si="33"/>
        <v>PEYRAT LE CHÂTEAU</v>
      </c>
      <c r="C78" s="42">
        <f t="shared" si="32"/>
        <v>4.0249999999999995</v>
      </c>
      <c r="D78" s="39">
        <f>'Analysis - Belfort (old)'!AE9</f>
        <v>140.63800000000001</v>
      </c>
      <c r="J78" s="43">
        <f>'Analysis - Belfort (old)'!AI9</f>
        <v>96.215903051418707</v>
      </c>
      <c r="K78" s="39">
        <f t="shared" si="34"/>
        <v>140.63800000000001</v>
      </c>
      <c r="Q78" s="43"/>
      <c r="R78" s="42"/>
    </row>
    <row r="79" spans="2:18" x14ac:dyDescent="0.2">
      <c r="B79" s="46" t="str">
        <f t="shared" si="33"/>
        <v>BOLLENE G4</v>
      </c>
      <c r="C79" s="54">
        <f t="shared" si="32"/>
        <v>12.07545</v>
      </c>
      <c r="D79" s="46">
        <f>'Analysis - Belfort (old)'!AE10</f>
        <v>281.82499999999999</v>
      </c>
      <c r="J79" s="53">
        <f>'Analysis - Belfort (old)'!AI10</f>
        <v>319.88648502242165</v>
      </c>
      <c r="K79" s="46">
        <f t="shared" si="34"/>
        <v>281.82499999999999</v>
      </c>
      <c r="Q79" s="43"/>
      <c r="R79" s="42"/>
    </row>
    <row r="80" spans="2:18" x14ac:dyDescent="0.2">
      <c r="B80" s="39" t="str">
        <f t="shared" si="33"/>
        <v>BEAUCHASTEL G1256</v>
      </c>
      <c r="C80" s="42">
        <f t="shared" ref="C80:C85" si="35">C64</f>
        <v>9.7545000000000002</v>
      </c>
      <c r="D80" s="39">
        <f>'Analysis - Belfort (old)'!AE11</f>
        <v>313.87799999999999</v>
      </c>
      <c r="J80" s="43">
        <f>'Analysis - Belfort (old)'!AI11</f>
        <v>301.0304054410451</v>
      </c>
      <c r="K80" s="39">
        <f t="shared" si="34"/>
        <v>313.87799999999999</v>
      </c>
      <c r="Q80" s="43"/>
      <c r="R80" s="42"/>
    </row>
    <row r="81" spans="2:18" x14ac:dyDescent="0.2">
      <c r="B81" s="39" t="str">
        <f t="shared" si="33"/>
        <v>VOGELGRÜN G3</v>
      </c>
      <c r="C81" s="42">
        <f t="shared" si="35"/>
        <v>8.831999999999999</v>
      </c>
      <c r="D81" s="39">
        <f>'Analysis - Belfort (old)'!AE12</f>
        <v>360.036</v>
      </c>
      <c r="J81" s="43">
        <f>'Analysis - Belfort (old)'!AI12</f>
        <v>291.18241705157953</v>
      </c>
      <c r="K81" s="39">
        <f t="shared" si="34"/>
        <v>360.036</v>
      </c>
      <c r="Q81" s="43"/>
      <c r="R81" s="42"/>
    </row>
    <row r="82" spans="2:18" x14ac:dyDescent="0.2">
      <c r="B82" s="39" t="str">
        <f t="shared" si="33"/>
        <v>LA BATHIE G1345</v>
      </c>
      <c r="C82" s="42">
        <f t="shared" si="35"/>
        <v>7.85792</v>
      </c>
      <c r="D82" s="39">
        <f>'Analysis - Belfort (old)'!AE13</f>
        <v>188.93299999999999</v>
      </c>
      <c r="J82" s="43">
        <f>'Analysis - Belfort (old)'!AI13</f>
        <v>166.02886303290762</v>
      </c>
      <c r="K82" s="39">
        <f t="shared" si="34"/>
        <v>188.93299999999999</v>
      </c>
      <c r="Q82" s="43"/>
      <c r="R82" s="42"/>
    </row>
    <row r="83" spans="2:18" x14ac:dyDescent="0.2">
      <c r="B83" s="39" t="str">
        <f t="shared" si="33"/>
        <v>SAUT-MORTIER G2</v>
      </c>
      <c r="C83" s="42">
        <f t="shared" si="35"/>
        <v>4.6280000000000001</v>
      </c>
      <c r="D83" s="39">
        <f>'Analysis - Belfort (old)'!AE14</f>
        <v>129.66999999999999</v>
      </c>
      <c r="J83" s="43">
        <f>'Analysis - Belfort (old)'!AI14</f>
        <v>155.13091245783352</v>
      </c>
      <c r="K83" s="39">
        <f t="shared" si="34"/>
        <v>129.66999999999999</v>
      </c>
      <c r="Q83" s="43"/>
      <c r="R83" s="42"/>
    </row>
    <row r="84" spans="2:18" x14ac:dyDescent="0.2">
      <c r="B84" s="39" t="str">
        <f t="shared" si="33"/>
        <v>MANOSQUE</v>
      </c>
      <c r="C84" s="42">
        <f t="shared" si="35"/>
        <v>9.10656</v>
      </c>
      <c r="D84" s="39">
        <f>'Analysis - Belfort (old)'!AE15</f>
        <v>323.41000000000003</v>
      </c>
      <c r="J84" s="43">
        <f>'Analysis - Belfort (old)'!AI15</f>
        <v>232.81375629459697</v>
      </c>
      <c r="K84" s="39">
        <f t="shared" si="34"/>
        <v>323.41000000000003</v>
      </c>
      <c r="Q84" s="43"/>
      <c r="R84" s="42"/>
    </row>
    <row r="85" spans="2:18" x14ac:dyDescent="0.2">
      <c r="B85" s="39" t="str">
        <f t="shared" si="33"/>
        <v>RANDENS G4</v>
      </c>
      <c r="C85" s="42">
        <f t="shared" si="35"/>
        <v>4.5474999999999994</v>
      </c>
      <c r="D85" s="39">
        <f>'Analysis - Belfort (old)'!AE16</f>
        <v>194.67</v>
      </c>
      <c r="J85" s="43">
        <f>'Analysis - Belfort (old)'!AI16</f>
        <v>128.62272349783299</v>
      </c>
      <c r="K85" s="39">
        <f t="shared" si="34"/>
        <v>194.67</v>
      </c>
      <c r="Q85" s="43"/>
      <c r="R85" s="42"/>
    </row>
    <row r="86" spans="2:18" x14ac:dyDescent="0.2">
      <c r="B86" s="39" t="str">
        <f t="shared" ref="B86:C86" si="36">B70</f>
        <v>LA RANCE</v>
      </c>
      <c r="C86" s="42">
        <f t="shared" si="36"/>
        <v>3.6025549999999997</v>
      </c>
      <c r="D86" s="39">
        <f>'Analysis - Belfort (old)'!AE17</f>
        <v>177.697</v>
      </c>
      <c r="J86" s="43">
        <f>'Analysis - Belfort (old)'!AI17</f>
        <v>117.81614666504758</v>
      </c>
      <c r="K86" s="39">
        <f t="shared" ref="K86:K87" si="37">D86</f>
        <v>177.697</v>
      </c>
    </row>
    <row r="87" spans="2:18" x14ac:dyDescent="0.2">
      <c r="B87" s="39" t="str">
        <f t="shared" ref="B87:C87" si="38">B71</f>
        <v>VAUGRIS</v>
      </c>
      <c r="C87" s="42">
        <f t="shared" si="38"/>
        <v>6.0332999999999997</v>
      </c>
      <c r="D87" s="39">
        <f>'Analysis - Belfort (old)'!AE18</f>
        <v>139.55000000000001</v>
      </c>
      <c r="J87" s="43">
        <f>'Analysis - Belfort (old)'!AI18</f>
        <v>174.89662947009586</v>
      </c>
      <c r="K87" s="39">
        <f t="shared" si="37"/>
        <v>139.55000000000001</v>
      </c>
    </row>
    <row r="90" spans="2:18" x14ac:dyDescent="0.2">
      <c r="B90" s="41" t="str">
        <f t="shared" ref="B90:B103" si="39">B39</f>
        <v>Complete stator</v>
      </c>
      <c r="C90" s="40" t="str">
        <f t="shared" ref="C90:C95" si="40">C58</f>
        <v>"D.L"</v>
      </c>
      <c r="D90" s="40" t="s">
        <v>51</v>
      </c>
      <c r="J90" s="44" t="s">
        <v>258</v>
      </c>
      <c r="K90" s="40" t="s">
        <v>51</v>
      </c>
    </row>
    <row r="91" spans="2:18" x14ac:dyDescent="0.2">
      <c r="B91" s="39" t="str">
        <f t="shared" si="39"/>
        <v>BORT-LES-ORGUES G2</v>
      </c>
      <c r="C91" s="42">
        <f t="shared" si="40"/>
        <v>21.6755</v>
      </c>
      <c r="D91" s="42">
        <f t="shared" ref="D91:D101" si="41">D59+D75</f>
        <v>655.75400854721238</v>
      </c>
      <c r="J91" s="43">
        <f>J59+J75</f>
        <v>1648.7226943531168</v>
      </c>
      <c r="K91" s="42">
        <f>D91</f>
        <v>655.75400854721238</v>
      </c>
    </row>
    <row r="92" spans="2:18" x14ac:dyDescent="0.2">
      <c r="B92" s="39" t="str">
        <f t="shared" si="39"/>
        <v>GENISSIAT 2 - 4 (ALS)</v>
      </c>
      <c r="C92" s="42">
        <f t="shared" si="40"/>
        <v>15.407</v>
      </c>
      <c r="D92" s="42">
        <f t="shared" si="41"/>
        <v>604.6579999999999</v>
      </c>
      <c r="J92" s="43">
        <f t="shared" ref="J92:J103" si="42">J60+J76</f>
        <v>1048.4494057082584</v>
      </c>
      <c r="K92" s="42">
        <f t="shared" ref="K92:K101" si="43">D92</f>
        <v>604.6579999999999</v>
      </c>
    </row>
    <row r="93" spans="2:18" x14ac:dyDescent="0.2">
      <c r="B93" s="39" t="str">
        <f t="shared" si="39"/>
        <v>GENISSIAT 1 - 6 (SW)</v>
      </c>
      <c r="C93" s="42">
        <f t="shared" si="40"/>
        <v>14.8401</v>
      </c>
      <c r="D93" s="42">
        <f t="shared" si="41"/>
        <v>608.9</v>
      </c>
      <c r="J93" s="43">
        <f t="shared" si="42"/>
        <v>993.84920897478219</v>
      </c>
      <c r="K93" s="42">
        <f t="shared" si="43"/>
        <v>608.9</v>
      </c>
    </row>
    <row r="94" spans="2:18" x14ac:dyDescent="0.2">
      <c r="B94" s="39" t="str">
        <f t="shared" si="39"/>
        <v>PEYRAT LE CHÂTEAU</v>
      </c>
      <c r="C94" s="42">
        <f t="shared" si="40"/>
        <v>4.0249999999999995</v>
      </c>
      <c r="D94" s="42">
        <f t="shared" si="41"/>
        <v>258.904</v>
      </c>
      <c r="J94" s="43">
        <f t="shared" si="42"/>
        <v>264.59373339140143</v>
      </c>
      <c r="K94" s="42">
        <f t="shared" si="43"/>
        <v>258.904</v>
      </c>
    </row>
    <row r="95" spans="2:18" x14ac:dyDescent="0.2">
      <c r="B95" s="48" t="str">
        <f t="shared" si="39"/>
        <v>BOLLENE G4</v>
      </c>
      <c r="C95" s="72">
        <f t="shared" si="40"/>
        <v>12.07545</v>
      </c>
      <c r="D95" s="72">
        <f t="shared" si="41"/>
        <v>516.97199999999998</v>
      </c>
      <c r="J95" s="71">
        <f t="shared" si="42"/>
        <v>775.72472617937251</v>
      </c>
      <c r="K95" s="72">
        <f t="shared" si="43"/>
        <v>516.97199999999998</v>
      </c>
    </row>
    <row r="96" spans="2:18" x14ac:dyDescent="0.2">
      <c r="B96" s="39" t="str">
        <f t="shared" si="39"/>
        <v>BEAUCHASTEL G1256</v>
      </c>
      <c r="C96" s="42">
        <f t="shared" ref="C96:C101" si="44">C64</f>
        <v>9.7545000000000002</v>
      </c>
      <c r="D96" s="42">
        <f t="shared" si="41"/>
        <v>437.26499999999999</v>
      </c>
      <c r="J96" s="43">
        <f t="shared" si="42"/>
        <v>617.11233115414257</v>
      </c>
      <c r="K96" s="42">
        <f t="shared" si="43"/>
        <v>437.26499999999999</v>
      </c>
    </row>
    <row r="97" spans="1:11" x14ac:dyDescent="0.2">
      <c r="B97" s="39" t="str">
        <f t="shared" si="39"/>
        <v>VOGELGRÜN G3</v>
      </c>
      <c r="C97" s="42">
        <f t="shared" si="44"/>
        <v>8.831999999999999</v>
      </c>
      <c r="D97" s="42">
        <f t="shared" si="41"/>
        <v>485.42200000000003</v>
      </c>
      <c r="J97" s="43">
        <f t="shared" si="42"/>
        <v>559.07024073903267</v>
      </c>
      <c r="K97" s="42">
        <f t="shared" si="43"/>
        <v>485.42200000000003</v>
      </c>
    </row>
    <row r="98" spans="1:11" x14ac:dyDescent="0.2">
      <c r="B98" s="39" t="str">
        <f t="shared" si="39"/>
        <v>LA BATHIE G1345</v>
      </c>
      <c r="C98" s="42">
        <f t="shared" si="44"/>
        <v>7.85792</v>
      </c>
      <c r="D98" s="42">
        <f t="shared" si="41"/>
        <v>368.51300000000003</v>
      </c>
      <c r="J98" s="43">
        <f t="shared" si="42"/>
        <v>537.93351622662067</v>
      </c>
      <c r="K98" s="42">
        <f t="shared" si="43"/>
        <v>368.51300000000003</v>
      </c>
    </row>
    <row r="99" spans="1:11" x14ac:dyDescent="0.2">
      <c r="B99" s="39" t="str">
        <f t="shared" si="39"/>
        <v>SAUT-MORTIER G2</v>
      </c>
      <c r="C99" s="42">
        <f t="shared" si="44"/>
        <v>4.6280000000000001</v>
      </c>
      <c r="D99" s="42">
        <f t="shared" si="41"/>
        <v>181.31</v>
      </c>
      <c r="J99" s="43">
        <f t="shared" si="42"/>
        <v>293.19742454530535</v>
      </c>
      <c r="K99" s="42">
        <f t="shared" si="43"/>
        <v>181.31</v>
      </c>
    </row>
    <row r="100" spans="1:11" x14ac:dyDescent="0.2">
      <c r="B100" s="39" t="str">
        <f t="shared" si="39"/>
        <v>MANOSQUE</v>
      </c>
      <c r="C100" s="42">
        <f t="shared" si="44"/>
        <v>9.10656</v>
      </c>
      <c r="D100" s="42">
        <f t="shared" si="41"/>
        <v>493.54600000000005</v>
      </c>
      <c r="J100" s="43">
        <f t="shared" si="42"/>
        <v>589.01880342533036</v>
      </c>
      <c r="K100" s="42">
        <f t="shared" si="43"/>
        <v>493.54600000000005</v>
      </c>
    </row>
    <row r="101" spans="1:11" x14ac:dyDescent="0.2">
      <c r="B101" s="39" t="str">
        <f t="shared" si="39"/>
        <v>RANDENS G4</v>
      </c>
      <c r="C101" s="42">
        <f t="shared" si="44"/>
        <v>4.5474999999999994</v>
      </c>
      <c r="D101" s="42">
        <f t="shared" si="41"/>
        <v>276.221</v>
      </c>
      <c r="J101" s="43">
        <f t="shared" si="42"/>
        <v>289.40112787012424</v>
      </c>
      <c r="K101" s="42">
        <f t="shared" si="43"/>
        <v>276.221</v>
      </c>
    </row>
    <row r="102" spans="1:11" x14ac:dyDescent="0.2">
      <c r="B102" s="39" t="str">
        <f t="shared" si="39"/>
        <v>LA RANCE</v>
      </c>
      <c r="C102" s="42">
        <f t="shared" ref="C102:C103" si="45">C70</f>
        <v>3.6025549999999997</v>
      </c>
      <c r="D102" s="42">
        <f t="shared" ref="D102:D103" si="46">D70+D86</f>
        <v>284.7192</v>
      </c>
      <c r="J102" s="43">
        <f t="shared" si="42"/>
        <v>227.97424379686709</v>
      </c>
      <c r="K102" s="42">
        <f t="shared" ref="K102:K103" si="47">D102</f>
        <v>284.7192</v>
      </c>
    </row>
    <row r="103" spans="1:11" x14ac:dyDescent="0.2">
      <c r="B103" s="39" t="str">
        <f t="shared" si="39"/>
        <v>VAUGRIS</v>
      </c>
      <c r="C103" s="42">
        <f t="shared" si="45"/>
        <v>6.0332999999999997</v>
      </c>
      <c r="D103" s="42">
        <f t="shared" si="46"/>
        <v>306.13</v>
      </c>
      <c r="J103" s="43">
        <f t="shared" si="42"/>
        <v>383.02361853950993</v>
      </c>
      <c r="K103" s="42">
        <f t="shared" si="47"/>
        <v>306.13</v>
      </c>
    </row>
    <row r="106" spans="1:11" x14ac:dyDescent="0.2">
      <c r="A106" s="49" t="s">
        <v>145</v>
      </c>
    </row>
    <row r="107" spans="1:11" x14ac:dyDescent="0.2">
      <c r="B107" s="41" t="str">
        <f>B58</f>
        <v>Magnetic core</v>
      </c>
      <c r="C107" s="40" t="str">
        <f>C58</f>
        <v>"D.L"</v>
      </c>
      <c r="D107" s="40" t="s">
        <v>51</v>
      </c>
    </row>
    <row r="108" spans="1:11" x14ac:dyDescent="0.2">
      <c r="B108" s="39" t="str">
        <f t="shared" ref="B108:B118" si="48">B91</f>
        <v>BORT-LES-ORGUES G2</v>
      </c>
      <c r="C108" s="52">
        <f>C59</f>
        <v>21.6755</v>
      </c>
      <c r="D108" s="42">
        <f t="shared" ref="D108:D120" si="49">D4+D59</f>
        <v>672.27905595947334</v>
      </c>
    </row>
    <row r="109" spans="1:11" x14ac:dyDescent="0.2">
      <c r="B109" s="39" t="str">
        <f t="shared" si="48"/>
        <v>GENISSIAT 2 - 4 (ALS)</v>
      </c>
      <c r="C109" s="52">
        <f>C60</f>
        <v>15.407</v>
      </c>
      <c r="D109" s="42">
        <f t="shared" si="49"/>
        <v>725.74249999999995</v>
      </c>
    </row>
    <row r="110" spans="1:11" x14ac:dyDescent="0.2">
      <c r="B110" s="39" t="str">
        <f t="shared" si="48"/>
        <v>GENISSIAT 1 - 6 (SW)</v>
      </c>
      <c r="C110" s="52">
        <f>C61</f>
        <v>14.8401</v>
      </c>
      <c r="D110" s="42">
        <f t="shared" si="49"/>
        <v>742.96799999999996</v>
      </c>
    </row>
    <row r="111" spans="1:11" x14ac:dyDescent="0.2">
      <c r="B111" s="39" t="str">
        <f t="shared" si="48"/>
        <v>PEYRAT LE CHÂTEAU</v>
      </c>
      <c r="C111" s="52">
        <f>C62</f>
        <v>4.0249999999999995</v>
      </c>
      <c r="D111" s="42">
        <f t="shared" si="49"/>
        <v>257.10000000000002</v>
      </c>
    </row>
    <row r="112" spans="1:11" x14ac:dyDescent="0.2">
      <c r="B112" s="48" t="str">
        <f t="shared" si="48"/>
        <v>BOLLENE G4</v>
      </c>
      <c r="C112" s="104">
        <f>C63</f>
        <v>12.07545</v>
      </c>
      <c r="D112" s="72">
        <f t="shared" si="49"/>
        <v>539.92499999999995</v>
      </c>
    </row>
    <row r="113" spans="2:4" x14ac:dyDescent="0.2">
      <c r="B113" s="39" t="str">
        <f t="shared" si="48"/>
        <v>BEAUCHASTEL G1256</v>
      </c>
      <c r="C113" s="52">
        <f t="shared" ref="C113:C118" si="50">C64</f>
        <v>9.7545000000000002</v>
      </c>
      <c r="D113" s="42">
        <f t="shared" si="49"/>
        <v>464.37299999999999</v>
      </c>
    </row>
    <row r="114" spans="2:4" x14ac:dyDescent="0.2">
      <c r="B114" s="39" t="str">
        <f t="shared" si="48"/>
        <v>VOGELGRÜN G3</v>
      </c>
      <c r="C114" s="52">
        <f t="shared" si="50"/>
        <v>8.831999999999999</v>
      </c>
      <c r="D114" s="42">
        <f t="shared" si="49"/>
        <v>404.77700000000004</v>
      </c>
    </row>
    <row r="115" spans="2:4" x14ac:dyDescent="0.2">
      <c r="B115" s="39" t="str">
        <f t="shared" si="48"/>
        <v>LA BATHIE G1345</v>
      </c>
      <c r="C115" s="52">
        <f t="shared" si="50"/>
        <v>7.85792</v>
      </c>
      <c r="D115" s="42">
        <f t="shared" si="49"/>
        <v>424.726</v>
      </c>
    </row>
    <row r="116" spans="2:4" x14ac:dyDescent="0.2">
      <c r="B116" s="39" t="str">
        <f t="shared" si="48"/>
        <v>SAUT-MORTIER G2</v>
      </c>
      <c r="C116" s="52">
        <f t="shared" si="50"/>
        <v>4.6280000000000001</v>
      </c>
      <c r="D116" s="42">
        <f t="shared" si="49"/>
        <v>258.65800000000002</v>
      </c>
    </row>
    <row r="117" spans="2:4" x14ac:dyDescent="0.2">
      <c r="B117" s="39" t="str">
        <f t="shared" si="48"/>
        <v>MANOSQUE</v>
      </c>
      <c r="C117" s="52">
        <f t="shared" si="50"/>
        <v>9.10656</v>
      </c>
      <c r="D117" s="42">
        <f t="shared" si="49"/>
        <v>413.185</v>
      </c>
    </row>
    <row r="118" spans="2:4" x14ac:dyDescent="0.2">
      <c r="B118" s="39" t="str">
        <f t="shared" si="48"/>
        <v>RANDENS G4</v>
      </c>
      <c r="C118" s="52">
        <f t="shared" si="50"/>
        <v>4.5474999999999994</v>
      </c>
      <c r="D118" s="42">
        <f t="shared" si="49"/>
        <v>251.94</v>
      </c>
    </row>
    <row r="119" spans="2:4" x14ac:dyDescent="0.2">
      <c r="B119" s="39" t="str">
        <f t="shared" ref="B119:B120" si="51">B102</f>
        <v>LA RANCE</v>
      </c>
      <c r="C119" s="52">
        <f t="shared" ref="C119:C120" si="52">C70</f>
        <v>3.6025549999999997</v>
      </c>
      <c r="D119" s="42">
        <f t="shared" si="49"/>
        <v>242.9222</v>
      </c>
    </row>
    <row r="120" spans="2:4" x14ac:dyDescent="0.2">
      <c r="B120" s="39" t="str">
        <f t="shared" si="51"/>
        <v>VAUGRIS</v>
      </c>
      <c r="C120" s="52">
        <f t="shared" si="52"/>
        <v>6.0332999999999997</v>
      </c>
      <c r="D120" s="42">
        <f t="shared" si="49"/>
        <v>394.92600000000004</v>
      </c>
    </row>
    <row r="125" spans="2:4" x14ac:dyDescent="0.2">
      <c r="B125" s="41" t="str">
        <f>B74</f>
        <v>Winding</v>
      </c>
      <c r="C125" s="40" t="str">
        <f t="shared" ref="C125:C130" si="53">C107</f>
        <v>"D.L"</v>
      </c>
      <c r="D125" s="40" t="s">
        <v>51</v>
      </c>
    </row>
    <row r="126" spans="2:4" x14ac:dyDescent="0.2">
      <c r="B126" s="39" t="str">
        <f t="shared" ref="B126:B136" si="54">B108</f>
        <v>BORT-LES-ORGUES G2</v>
      </c>
      <c r="C126" s="42">
        <f t="shared" si="53"/>
        <v>21.6755</v>
      </c>
      <c r="D126" s="42">
        <f t="shared" ref="D126:D138" si="55">D22+D75</f>
        <v>1320.1959525877389</v>
      </c>
    </row>
    <row r="127" spans="2:4" x14ac:dyDescent="0.2">
      <c r="B127" s="39" t="str">
        <f t="shared" si="54"/>
        <v>GENISSIAT 2 - 4 (ALS)</v>
      </c>
      <c r="C127" s="42">
        <f t="shared" si="53"/>
        <v>15.407</v>
      </c>
      <c r="D127" s="42">
        <f t="shared" si="55"/>
        <v>1136.6340219842164</v>
      </c>
    </row>
    <row r="128" spans="2:4" x14ac:dyDescent="0.2">
      <c r="B128" s="39" t="str">
        <f t="shared" si="54"/>
        <v>GENISSIAT 1 - 6 (SW)</v>
      </c>
      <c r="C128" s="42">
        <f t="shared" si="53"/>
        <v>14.8401</v>
      </c>
      <c r="D128" s="42">
        <f t="shared" si="55"/>
        <v>1147.8367981961669</v>
      </c>
    </row>
    <row r="129" spans="2:4" x14ac:dyDescent="0.2">
      <c r="B129" s="39" t="str">
        <f t="shared" si="54"/>
        <v>PEYRAT LE CHÂTEAU</v>
      </c>
      <c r="C129" s="42">
        <f t="shared" si="53"/>
        <v>4.0249999999999995</v>
      </c>
      <c r="D129" s="42">
        <f t="shared" si="55"/>
        <v>410.79700000000003</v>
      </c>
    </row>
    <row r="130" spans="2:4" x14ac:dyDescent="0.2">
      <c r="B130" s="48" t="str">
        <f t="shared" si="54"/>
        <v>BOLLENE G4</v>
      </c>
      <c r="C130" s="72">
        <f t="shared" si="53"/>
        <v>12.07545</v>
      </c>
      <c r="D130" s="72">
        <f t="shared" si="55"/>
        <v>799.20499999999993</v>
      </c>
    </row>
    <row r="131" spans="2:4" x14ac:dyDescent="0.2">
      <c r="B131" s="39" t="str">
        <f t="shared" si="54"/>
        <v>BEAUCHASTEL G1256</v>
      </c>
      <c r="C131" s="42">
        <f t="shared" ref="C131:C136" si="56">C113</f>
        <v>9.7545000000000002</v>
      </c>
      <c r="D131" s="42">
        <f t="shared" si="55"/>
        <v>703.00900000000001</v>
      </c>
    </row>
    <row r="132" spans="2:4" x14ac:dyDescent="0.2">
      <c r="B132" s="39" t="str">
        <f t="shared" si="54"/>
        <v>VOGELGRÜN G3</v>
      </c>
      <c r="C132" s="42">
        <f t="shared" si="56"/>
        <v>8.831999999999999</v>
      </c>
      <c r="D132" s="42">
        <f t="shared" si="55"/>
        <v>987.02600000000007</v>
      </c>
    </row>
    <row r="133" spans="2:4" x14ac:dyDescent="0.2">
      <c r="B133" s="39" t="str">
        <f t="shared" si="54"/>
        <v>LA BATHIE G1345</v>
      </c>
      <c r="C133" s="42">
        <f t="shared" si="56"/>
        <v>7.85792</v>
      </c>
      <c r="D133" s="42">
        <f t="shared" si="55"/>
        <v>578.90319999999997</v>
      </c>
    </row>
    <row r="134" spans="2:4" x14ac:dyDescent="0.2">
      <c r="B134" s="39" t="str">
        <f t="shared" si="54"/>
        <v>SAUT-MORTIER G2</v>
      </c>
      <c r="C134" s="42">
        <f t="shared" si="56"/>
        <v>4.6280000000000001</v>
      </c>
      <c r="D134" s="42">
        <f t="shared" si="55"/>
        <v>618.38199999999995</v>
      </c>
    </row>
    <row r="135" spans="2:4" x14ac:dyDescent="0.2">
      <c r="B135" s="39" t="str">
        <f t="shared" si="54"/>
        <v>MANOSQUE</v>
      </c>
      <c r="C135" s="42">
        <f t="shared" si="56"/>
        <v>9.10656</v>
      </c>
      <c r="D135" s="42">
        <f t="shared" si="55"/>
        <v>911.31400000000008</v>
      </c>
    </row>
    <row r="136" spans="2:4" x14ac:dyDescent="0.2">
      <c r="B136" s="39" t="str">
        <f t="shared" si="54"/>
        <v>RANDENS G4</v>
      </c>
      <c r="C136" s="42">
        <f t="shared" si="56"/>
        <v>4.5474999999999994</v>
      </c>
      <c r="D136" s="42">
        <f t="shared" si="55"/>
        <v>414.88099999999997</v>
      </c>
    </row>
    <row r="137" spans="2:4" x14ac:dyDescent="0.2">
      <c r="B137" s="39" t="str">
        <f t="shared" ref="B137:C137" si="57">B119</f>
        <v>LA RANCE</v>
      </c>
      <c r="C137" s="42">
        <f t="shared" si="57"/>
        <v>3.6025549999999997</v>
      </c>
      <c r="D137" s="42">
        <f t="shared" si="55"/>
        <v>469.20600000000002</v>
      </c>
    </row>
    <row r="138" spans="2:4" x14ac:dyDescent="0.2">
      <c r="B138" s="39" t="str">
        <f t="shared" ref="B138:C138" si="58">B120</f>
        <v>VAUGRIS</v>
      </c>
      <c r="C138" s="42">
        <f t="shared" si="58"/>
        <v>6.0332999999999997</v>
      </c>
      <c r="D138" s="42">
        <f t="shared" si="55"/>
        <v>447.32300000000004</v>
      </c>
    </row>
    <row r="143" spans="2:4" x14ac:dyDescent="0.2">
      <c r="B143" s="41" t="str">
        <f t="shared" ref="B143:B156" si="59">B90</f>
        <v>Complete stator</v>
      </c>
      <c r="C143" s="40" t="str">
        <f t="shared" ref="C143:C148" si="60">C125</f>
        <v>"D.L"</v>
      </c>
      <c r="D143" s="40" t="s">
        <v>51</v>
      </c>
    </row>
    <row r="144" spans="2:4" x14ac:dyDescent="0.2">
      <c r="B144" s="39" t="str">
        <f t="shared" si="59"/>
        <v>BORT-LES-ORGUES G2</v>
      </c>
      <c r="C144" s="42">
        <f t="shared" si="60"/>
        <v>21.6755</v>
      </c>
      <c r="D144" s="42">
        <f t="shared" ref="D144:D156" si="61">K40+D91</f>
        <v>1992.4750085472124</v>
      </c>
    </row>
    <row r="145" spans="2:4" x14ac:dyDescent="0.2">
      <c r="B145" s="39" t="str">
        <f t="shared" si="59"/>
        <v>GENISSIAT 2 - 4 (ALS)</v>
      </c>
      <c r="C145" s="42">
        <f t="shared" si="60"/>
        <v>15.407</v>
      </c>
      <c r="D145" s="42">
        <f t="shared" si="61"/>
        <v>1862.3765219842164</v>
      </c>
    </row>
    <row r="146" spans="2:4" x14ac:dyDescent="0.2">
      <c r="B146" s="39" t="str">
        <f t="shared" si="59"/>
        <v>GENISSIAT 1 - 6 (SW)</v>
      </c>
      <c r="C146" s="42">
        <f t="shared" si="60"/>
        <v>14.8401</v>
      </c>
      <c r="D146" s="42">
        <f t="shared" si="61"/>
        <v>1890.8047981961668</v>
      </c>
    </row>
    <row r="147" spans="2:4" x14ac:dyDescent="0.2">
      <c r="B147" s="39" t="str">
        <f t="shared" si="59"/>
        <v>PEYRAT LE CHÂTEAU</v>
      </c>
      <c r="C147" s="42">
        <f t="shared" si="60"/>
        <v>4.0249999999999995</v>
      </c>
      <c r="D147" s="42">
        <f t="shared" si="61"/>
        <v>667.89699999999993</v>
      </c>
    </row>
    <row r="148" spans="2:4" x14ac:dyDescent="0.2">
      <c r="B148" s="48" t="str">
        <f t="shared" si="59"/>
        <v>BOLLENE G4</v>
      </c>
      <c r="C148" s="72">
        <f t="shared" si="60"/>
        <v>12.07545</v>
      </c>
      <c r="D148" s="72">
        <f t="shared" si="61"/>
        <v>1339.13</v>
      </c>
    </row>
    <row r="149" spans="2:4" x14ac:dyDescent="0.2">
      <c r="B149" s="39" t="str">
        <f t="shared" si="59"/>
        <v>BEAUCHASTEL G1256</v>
      </c>
      <c r="C149" s="42">
        <f t="shared" ref="C149:C156" si="62">C131</f>
        <v>9.7545000000000002</v>
      </c>
      <c r="D149" s="42">
        <f t="shared" si="61"/>
        <v>1167.3820000000001</v>
      </c>
    </row>
    <row r="150" spans="2:4" x14ac:dyDescent="0.2">
      <c r="B150" s="39" t="str">
        <f t="shared" si="59"/>
        <v>VOGELGRÜN G3</v>
      </c>
      <c r="C150" s="42">
        <f t="shared" si="62"/>
        <v>8.831999999999999</v>
      </c>
      <c r="D150" s="42">
        <f t="shared" si="61"/>
        <v>1391.8030000000001</v>
      </c>
    </row>
    <row r="151" spans="2:4" x14ac:dyDescent="0.2">
      <c r="B151" s="39" t="str">
        <f t="shared" si="59"/>
        <v>LA BATHIE G1345</v>
      </c>
      <c r="C151" s="42">
        <f t="shared" si="62"/>
        <v>7.85792</v>
      </c>
      <c r="D151" s="42">
        <f t="shared" si="61"/>
        <v>1003.6292</v>
      </c>
    </row>
    <row r="152" spans="2:4" x14ac:dyDescent="0.2">
      <c r="B152" s="39" t="str">
        <f t="shared" si="59"/>
        <v>SAUT-MORTIER G2</v>
      </c>
      <c r="C152" s="42">
        <f t="shared" si="62"/>
        <v>4.6280000000000001</v>
      </c>
      <c r="D152" s="42">
        <f t="shared" si="61"/>
        <v>877.04</v>
      </c>
    </row>
    <row r="153" spans="2:4" x14ac:dyDescent="0.2">
      <c r="B153" s="39" t="str">
        <f t="shared" si="59"/>
        <v>MANOSQUE</v>
      </c>
      <c r="C153" s="42">
        <f t="shared" si="62"/>
        <v>9.10656</v>
      </c>
      <c r="D153" s="42">
        <f t="shared" si="61"/>
        <v>1324.499</v>
      </c>
    </row>
    <row r="154" spans="2:4" x14ac:dyDescent="0.2">
      <c r="B154" s="39" t="str">
        <f t="shared" si="59"/>
        <v>RANDENS G4</v>
      </c>
      <c r="C154" s="42">
        <f t="shared" si="62"/>
        <v>4.5474999999999994</v>
      </c>
      <c r="D154" s="42">
        <f t="shared" si="61"/>
        <v>666.82100000000003</v>
      </c>
    </row>
    <row r="155" spans="2:4" x14ac:dyDescent="0.2">
      <c r="B155" s="39" t="str">
        <f t="shared" si="59"/>
        <v>LA RANCE</v>
      </c>
      <c r="C155" s="42">
        <f t="shared" si="62"/>
        <v>3.6025549999999997</v>
      </c>
      <c r="D155" s="42">
        <f t="shared" si="61"/>
        <v>712.12819999999999</v>
      </c>
    </row>
    <row r="156" spans="2:4" x14ac:dyDescent="0.2">
      <c r="B156" s="39" t="str">
        <f t="shared" si="59"/>
        <v>VAUGRIS</v>
      </c>
      <c r="C156" s="42">
        <f t="shared" si="62"/>
        <v>6.0332999999999997</v>
      </c>
      <c r="D156" s="42">
        <f t="shared" si="61"/>
        <v>842.24900000000002</v>
      </c>
    </row>
    <row r="161" spans="1:5" x14ac:dyDescent="0.2">
      <c r="A161" s="49" t="s">
        <v>126</v>
      </c>
    </row>
    <row r="162" spans="1:5" x14ac:dyDescent="0.2">
      <c r="A162" s="55"/>
      <c r="B162" s="41" t="str">
        <f>B143</f>
        <v>Complete stator</v>
      </c>
      <c r="C162" s="40" t="str">
        <f>C143</f>
        <v>"D.L"</v>
      </c>
      <c r="D162" s="40" t="s">
        <v>51</v>
      </c>
      <c r="E162" s="40" t="s">
        <v>106</v>
      </c>
    </row>
    <row r="163" spans="1:5" x14ac:dyDescent="0.2">
      <c r="A163" s="69" t="s">
        <v>128</v>
      </c>
      <c r="B163" s="39" t="str">
        <f t="shared" ref="B163:C172" si="63">B144</f>
        <v>BORT-LES-ORGUES G2</v>
      </c>
      <c r="C163" s="42">
        <f>C144</f>
        <v>21.6755</v>
      </c>
      <c r="D163" s="42">
        <f>D144+'Analysis - Belfort (old)'!AN6</f>
        <v>2504.9710085472125</v>
      </c>
      <c r="E163" s="40" t="str">
        <f>'Analysis - Belfort (old)'!I6</f>
        <v>Y</v>
      </c>
    </row>
    <row r="164" spans="1:5" x14ac:dyDescent="0.2">
      <c r="A164" s="69" t="s">
        <v>128</v>
      </c>
      <c r="B164" s="39" t="str">
        <f t="shared" si="63"/>
        <v>GENISSIAT 2 - 4 (ALS)</v>
      </c>
      <c r="C164" s="42">
        <f t="shared" si="63"/>
        <v>15.407</v>
      </c>
      <c r="D164" s="42">
        <f>D145+'Analysis - Belfort (old)'!AN7</f>
        <v>2492.3555219842165</v>
      </c>
      <c r="E164" s="40" t="str">
        <f>'Analysis - Belfort (old)'!I7</f>
        <v>N</v>
      </c>
    </row>
    <row r="165" spans="1:5" x14ac:dyDescent="0.2">
      <c r="A165" s="69" t="s">
        <v>128</v>
      </c>
      <c r="B165" s="39" t="str">
        <f t="shared" si="63"/>
        <v>GENISSIAT 1 - 6 (SW)</v>
      </c>
      <c r="C165" s="42">
        <f t="shared" si="63"/>
        <v>14.8401</v>
      </c>
      <c r="D165" s="42">
        <f>D146+'Analysis - Belfort (old)'!AN8</f>
        <v>2520.7837981961666</v>
      </c>
      <c r="E165" s="40" t="str">
        <f>'Analysis - Belfort (old)'!I8</f>
        <v>N</v>
      </c>
    </row>
    <row r="166" spans="1:5" x14ac:dyDescent="0.2">
      <c r="A166" s="69" t="s">
        <v>128</v>
      </c>
      <c r="B166" s="39" t="str">
        <f t="shared" si="63"/>
        <v>PEYRAT LE CHÂTEAU</v>
      </c>
      <c r="C166" s="42">
        <f t="shared" si="63"/>
        <v>4.0249999999999995</v>
      </c>
      <c r="D166" s="42">
        <f>D147+'Analysis - Belfort (old)'!AN9</f>
        <v>866.80499999999995</v>
      </c>
      <c r="E166" s="40" t="str">
        <f>'Analysis - Belfort (old)'!I9</f>
        <v>Y</v>
      </c>
    </row>
    <row r="167" spans="1:5" x14ac:dyDescent="0.2">
      <c r="A167" s="69" t="s">
        <v>128</v>
      </c>
      <c r="B167" s="48" t="str">
        <f t="shared" si="63"/>
        <v>BOLLENE G4</v>
      </c>
      <c r="C167" s="72">
        <f t="shared" si="63"/>
        <v>12.07545</v>
      </c>
      <c r="D167" s="72">
        <f>D148+'Analysis - Belfort (old)'!AN10</f>
        <v>1637.4740000000002</v>
      </c>
      <c r="E167" s="40" t="str">
        <f>'Analysis - Belfort (old)'!I10</f>
        <v>N</v>
      </c>
    </row>
    <row r="168" spans="1:5" x14ac:dyDescent="0.2">
      <c r="A168" s="69" t="s">
        <v>128</v>
      </c>
      <c r="B168" s="39" t="str">
        <f t="shared" si="63"/>
        <v>BEAUCHASTEL G1256</v>
      </c>
      <c r="C168" s="42">
        <f t="shared" si="63"/>
        <v>9.7545000000000002</v>
      </c>
      <c r="D168" s="42">
        <f>D149+'Analysis - Belfort (old)'!AN11</f>
        <v>1665.6750000000002</v>
      </c>
      <c r="E168" s="40" t="str">
        <f>'Analysis - Belfort (old)'!I11</f>
        <v>N</v>
      </c>
    </row>
    <row r="169" spans="1:5" x14ac:dyDescent="0.2">
      <c r="A169" s="69" t="s">
        <v>128</v>
      </c>
      <c r="B169" s="39" t="str">
        <f t="shared" si="63"/>
        <v>VOGELGRÜN G3</v>
      </c>
      <c r="C169" s="42">
        <f t="shared" si="63"/>
        <v>8.831999999999999</v>
      </c>
      <c r="D169" s="42">
        <f>D150+'Analysis - Belfort (old)'!AN12</f>
        <v>1728.123</v>
      </c>
      <c r="E169" s="40" t="str">
        <f>'Analysis - Belfort (old)'!I12</f>
        <v>Y</v>
      </c>
    </row>
    <row r="170" spans="1:5" x14ac:dyDescent="0.2">
      <c r="A170" s="69" t="s">
        <v>128</v>
      </c>
      <c r="B170" s="39" t="str">
        <f t="shared" si="63"/>
        <v>LA BATHIE G1345</v>
      </c>
      <c r="C170" s="42">
        <f t="shared" si="63"/>
        <v>7.85792</v>
      </c>
      <c r="D170" s="42">
        <f>D151+'Analysis - Belfort (old)'!AN13</f>
        <v>1391.6332</v>
      </c>
      <c r="E170" s="40" t="str">
        <f>'Analysis - Belfort (old)'!I13</f>
        <v>N</v>
      </c>
    </row>
    <row r="171" spans="1:5" x14ac:dyDescent="0.2">
      <c r="A171" s="69" t="s">
        <v>128</v>
      </c>
      <c r="B171" s="39" t="str">
        <f t="shared" si="63"/>
        <v>SAUT-MORTIER G2</v>
      </c>
      <c r="C171" s="42">
        <f t="shared" si="63"/>
        <v>4.6280000000000001</v>
      </c>
      <c r="D171" s="42">
        <f>D152+'Analysis - Belfort (old)'!AN14</f>
        <v>1210.4749999999999</v>
      </c>
      <c r="E171" s="40" t="str">
        <f>'Analysis - Belfort (old)'!I14</f>
        <v>Y</v>
      </c>
    </row>
    <row r="172" spans="1:5" x14ac:dyDescent="0.2">
      <c r="A172" s="69" t="s">
        <v>128</v>
      </c>
      <c r="B172" s="39" t="str">
        <f t="shared" si="63"/>
        <v>MANOSQUE</v>
      </c>
      <c r="C172" s="42">
        <f t="shared" si="63"/>
        <v>9.10656</v>
      </c>
      <c r="D172" s="42">
        <f>D153+'Analysis - Belfort (old)'!AN15</f>
        <v>1792.9880000000001</v>
      </c>
      <c r="E172" s="40" t="str">
        <f>'Analysis - Belfort (old)'!I15</f>
        <v>Y</v>
      </c>
    </row>
    <row r="173" spans="1:5" x14ac:dyDescent="0.2">
      <c r="A173" s="69" t="s">
        <v>128</v>
      </c>
      <c r="B173" s="39" t="str">
        <f>B154</f>
        <v>RANDENS G4</v>
      </c>
      <c r="C173" s="42">
        <f t="shared" ref="C173:C175" si="64">C154</f>
        <v>4.5474999999999994</v>
      </c>
      <c r="D173" s="42">
        <f>D154+'Analysis - Belfort (old)'!AN16</f>
        <v>1044.1100000000001</v>
      </c>
      <c r="E173" s="40" t="str">
        <f>'Analysis - Belfort (old)'!I16</f>
        <v>Y</v>
      </c>
    </row>
    <row r="174" spans="1:5" x14ac:dyDescent="0.2">
      <c r="A174" s="70" t="s">
        <v>127</v>
      </c>
      <c r="B174" s="39" t="str">
        <f t="shared" ref="B174:B175" si="65">B155</f>
        <v>LA RANCE</v>
      </c>
      <c r="C174" s="42">
        <f t="shared" si="64"/>
        <v>3.6025549999999997</v>
      </c>
      <c r="D174" s="42">
        <f>D155+'Analysis - Belfort (old)'!AN17</f>
        <v>1036.8492000000001</v>
      </c>
      <c r="E174" s="40" t="str">
        <f>'Analysis - Belfort (old)'!I17</f>
        <v>N</v>
      </c>
    </row>
    <row r="175" spans="1:5" x14ac:dyDescent="0.2">
      <c r="A175" s="70" t="s">
        <v>127</v>
      </c>
      <c r="B175" s="39" t="str">
        <f t="shared" si="65"/>
        <v>VAUGRIS</v>
      </c>
      <c r="C175" s="42">
        <f t="shared" si="64"/>
        <v>6.0332999999999997</v>
      </c>
      <c r="D175" s="42">
        <f>D156+'Analysis - Belfort (old)'!AN18</f>
        <v>1366.2860000000001</v>
      </c>
      <c r="E175" s="40" t="str">
        <f>'Analysis - Belfort (old)'!I18</f>
        <v>Y</v>
      </c>
    </row>
    <row r="177" spans="2:2" x14ac:dyDescent="0.2">
      <c r="B177" s="97"/>
    </row>
  </sheetData>
  <pageMargins left="0.7" right="0.7" top="0.75" bottom="0.75" header="0.3" footer="0.3"/>
  <pageSetup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0"/>
  <sheetViews>
    <sheetView zoomScale="80" zoomScaleNormal="80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E23" sqref="E23"/>
    </sheetView>
  </sheetViews>
  <sheetFormatPr baseColWidth="10" defaultRowHeight="15" x14ac:dyDescent="0.25"/>
  <cols>
    <col min="1" max="1" width="4.140625" style="1" customWidth="1"/>
    <col min="2" max="2" width="21.85546875" style="61" customWidth="1"/>
    <col min="3" max="3" width="5.5703125" style="5" customWidth="1"/>
    <col min="4" max="4" width="6.28515625" style="6" customWidth="1"/>
    <col min="5" max="5" width="7" style="2" customWidth="1"/>
    <col min="6" max="6" width="8.42578125" style="2" customWidth="1"/>
    <col min="7" max="7" width="6.28515625" style="2" customWidth="1"/>
    <col min="8" max="8" width="7.5703125" style="2" customWidth="1"/>
    <col min="9" max="10" width="7.140625" style="2" customWidth="1"/>
    <col min="11" max="11" width="6.140625" style="9" customWidth="1"/>
    <col min="12" max="12" width="4.5703125" style="9" customWidth="1"/>
    <col min="13" max="13" width="6.5703125" style="9" customWidth="1"/>
    <col min="14" max="14" width="6.140625" style="6" customWidth="1"/>
    <col min="15" max="15" width="7.42578125" style="58" customWidth="1"/>
    <col min="16" max="16" width="10.140625" style="8" customWidth="1"/>
    <col min="17" max="17" width="8.140625" style="1" customWidth="1"/>
    <col min="18" max="18" width="9.28515625" style="8" customWidth="1"/>
    <col min="19" max="19" width="9.140625" style="8" customWidth="1"/>
    <col min="20" max="20" width="9.140625" style="11" customWidth="1"/>
    <col min="21" max="21" width="5" style="8" customWidth="1"/>
    <col min="22" max="22" width="9.85546875" style="8" customWidth="1"/>
    <col min="23" max="23" width="5.28515625" style="8" customWidth="1"/>
    <col min="24" max="24" width="8.140625" style="1" customWidth="1"/>
    <col min="25" max="25" width="6" style="1" customWidth="1"/>
    <col min="26" max="26" width="9.28515625" style="1" customWidth="1"/>
    <col min="27" max="27" width="6.5703125" style="1" customWidth="1"/>
    <col min="28" max="28" width="9.85546875" style="1" customWidth="1"/>
    <col min="29" max="29" width="9.5703125" style="8" customWidth="1"/>
    <col min="30" max="30" width="9.5703125" style="5" customWidth="1"/>
    <col min="31" max="31" width="7.85546875" style="9" customWidth="1"/>
    <col min="32" max="32" width="13.42578125" style="9" customWidth="1"/>
    <col min="33" max="33" width="10.28515625" style="9" customWidth="1"/>
    <col min="34" max="35" width="13.42578125" style="9" customWidth="1"/>
    <col min="36" max="36" width="13.42578125" style="6" customWidth="1"/>
    <col min="37" max="37" width="9.5703125" style="8" customWidth="1"/>
    <col min="38" max="38" width="7.5703125" style="8" customWidth="1"/>
    <col min="39" max="39" width="9.42578125" style="1" customWidth="1"/>
    <col min="40" max="40" width="9.28515625" style="1" customWidth="1"/>
    <col min="41" max="41" width="8.140625" style="8" customWidth="1"/>
    <col min="42" max="42" width="9.140625" style="5" customWidth="1"/>
    <col min="43" max="45" width="9.140625" style="8" customWidth="1"/>
    <col min="46" max="46" width="9.140625" style="5" customWidth="1"/>
    <col min="47" max="47" width="7.28515625" style="1" customWidth="1"/>
    <col min="48" max="48" width="11" style="8" customWidth="1"/>
    <col min="49" max="49" width="8.7109375" style="8" customWidth="1"/>
    <col min="50" max="50" width="9.42578125" style="5" customWidth="1"/>
    <col min="51" max="51" width="8.7109375" style="1" customWidth="1"/>
    <col min="52" max="52" width="9.28515625" style="5" customWidth="1"/>
    <col min="53" max="16384" width="11.42578125" style="1"/>
  </cols>
  <sheetData>
    <row r="1" spans="2:52" x14ac:dyDescent="0.25">
      <c r="B1" s="363" t="s">
        <v>10</v>
      </c>
      <c r="C1" s="364"/>
      <c r="D1" s="364"/>
      <c r="E1" s="376"/>
      <c r="F1" s="377"/>
      <c r="G1" s="377"/>
      <c r="H1" s="377"/>
      <c r="I1" s="377"/>
      <c r="J1" s="377"/>
      <c r="K1" s="377"/>
      <c r="L1" s="377"/>
      <c r="M1" s="377"/>
      <c r="N1" s="378"/>
      <c r="O1" s="373" t="s">
        <v>236</v>
      </c>
      <c r="P1" s="374"/>
      <c r="Q1" s="374"/>
      <c r="R1" s="374"/>
      <c r="S1" s="375"/>
      <c r="T1" s="373" t="s">
        <v>241</v>
      </c>
      <c r="U1" s="374"/>
      <c r="V1" s="374"/>
      <c r="W1" s="374"/>
      <c r="X1" s="374"/>
      <c r="Y1" s="374"/>
      <c r="Z1" s="374"/>
      <c r="AA1" s="374"/>
      <c r="AB1" s="374"/>
      <c r="AC1" s="374"/>
      <c r="AD1" s="375"/>
      <c r="AE1" s="74" t="s">
        <v>124</v>
      </c>
      <c r="AF1" s="74"/>
      <c r="AG1" s="74"/>
      <c r="AH1" s="74"/>
      <c r="AI1" s="74"/>
      <c r="AJ1" s="75"/>
      <c r="AK1" s="34" t="s">
        <v>143</v>
      </c>
      <c r="AL1" s="34"/>
      <c r="AM1" s="34"/>
      <c r="AN1" s="34"/>
      <c r="AO1" s="34"/>
      <c r="AP1" s="35"/>
      <c r="AQ1" s="83" t="str">
        <f>AE1</f>
        <v>Work variables</v>
      </c>
      <c r="AR1" s="84"/>
      <c r="AS1" s="84"/>
      <c r="AT1" s="85"/>
      <c r="AU1" s="365" t="s">
        <v>107</v>
      </c>
      <c r="AV1" s="366"/>
      <c r="AW1" s="366"/>
      <c r="AX1" s="367"/>
      <c r="AY1" s="23" t="s">
        <v>54</v>
      </c>
      <c r="AZ1" s="15"/>
    </row>
    <row r="2" spans="2:52" s="4" customFormat="1" x14ac:dyDescent="0.25">
      <c r="B2" s="365" t="s">
        <v>0</v>
      </c>
      <c r="C2" s="366"/>
      <c r="D2" s="366"/>
      <c r="E2" s="365" t="s">
        <v>38</v>
      </c>
      <c r="F2" s="366"/>
      <c r="G2" s="366"/>
      <c r="H2" s="366"/>
      <c r="I2" s="366"/>
      <c r="J2" s="366"/>
      <c r="K2" s="366"/>
      <c r="L2" s="366"/>
      <c r="M2" s="366"/>
      <c r="N2" s="367"/>
      <c r="O2" s="376"/>
      <c r="P2" s="377"/>
      <c r="Q2" s="377"/>
      <c r="R2" s="377"/>
      <c r="S2" s="378"/>
      <c r="T2" s="95"/>
      <c r="U2" s="181"/>
      <c r="V2" s="369"/>
      <c r="W2" s="369"/>
      <c r="X2" s="369"/>
      <c r="Y2" s="369"/>
      <c r="Z2" s="369"/>
      <c r="AA2" s="369"/>
      <c r="AB2" s="369"/>
      <c r="AC2" s="369"/>
      <c r="AD2" s="370"/>
      <c r="AE2" s="371" t="s">
        <v>49</v>
      </c>
      <c r="AF2" s="372"/>
      <c r="AG2" s="372" t="s">
        <v>93</v>
      </c>
      <c r="AH2" s="372"/>
      <c r="AI2" s="372"/>
      <c r="AJ2" s="75" t="s">
        <v>112</v>
      </c>
      <c r="AK2" s="368"/>
      <c r="AL2" s="369"/>
      <c r="AM2" s="369"/>
      <c r="AN2" s="369"/>
      <c r="AO2" s="369"/>
      <c r="AP2" s="370"/>
      <c r="AQ2" s="86"/>
      <c r="AR2" s="87"/>
      <c r="AS2" s="88"/>
      <c r="AT2" s="89"/>
      <c r="AU2" s="368"/>
      <c r="AV2" s="369"/>
      <c r="AW2" s="369"/>
      <c r="AX2" s="370"/>
      <c r="AY2" s="24"/>
      <c r="AZ2" s="16"/>
    </row>
    <row r="3" spans="2:52" s="2" customFormat="1" ht="45" x14ac:dyDescent="0.25">
      <c r="B3" s="56" t="s">
        <v>1</v>
      </c>
      <c r="C3" s="6" t="s">
        <v>264</v>
      </c>
      <c r="D3" s="6" t="s">
        <v>2</v>
      </c>
      <c r="E3" s="2" t="s">
        <v>114</v>
      </c>
      <c r="F3" s="2" t="s">
        <v>115</v>
      </c>
      <c r="G3" s="2" t="s">
        <v>116</v>
      </c>
      <c r="H3" s="2" t="s">
        <v>110</v>
      </c>
      <c r="I3" s="2" t="s">
        <v>111</v>
      </c>
      <c r="J3" s="2" t="s">
        <v>39</v>
      </c>
      <c r="K3" s="9" t="s">
        <v>30</v>
      </c>
      <c r="L3" s="9" t="s">
        <v>294</v>
      </c>
      <c r="M3" s="9" t="s">
        <v>295</v>
      </c>
      <c r="N3" s="6" t="s">
        <v>235</v>
      </c>
      <c r="O3" s="58" t="s">
        <v>106</v>
      </c>
      <c r="P3" s="9" t="s">
        <v>49</v>
      </c>
      <c r="Q3" s="2" t="s">
        <v>90</v>
      </c>
      <c r="R3" s="9" t="s">
        <v>93</v>
      </c>
      <c r="S3" s="9" t="s">
        <v>55</v>
      </c>
      <c r="T3" s="380" t="s">
        <v>106</v>
      </c>
      <c r="U3" s="379"/>
      <c r="V3" s="379" t="s">
        <v>49</v>
      </c>
      <c r="W3" s="379"/>
      <c r="X3" s="379" t="str">
        <f>Q3</f>
        <v>Bars or coils</v>
      </c>
      <c r="Y3" s="379"/>
      <c r="Z3" s="379" t="s">
        <v>291</v>
      </c>
      <c r="AA3" s="379"/>
      <c r="AB3" s="9" t="s">
        <v>93</v>
      </c>
      <c r="AC3" s="9" t="s">
        <v>56</v>
      </c>
      <c r="AD3" s="26" t="s">
        <v>104</v>
      </c>
      <c r="AE3" s="77" t="s">
        <v>113</v>
      </c>
      <c r="AF3" s="77" t="s">
        <v>120</v>
      </c>
      <c r="AG3" s="77" t="s">
        <v>121</v>
      </c>
      <c r="AH3" s="77" t="s">
        <v>248</v>
      </c>
      <c r="AI3" s="77" t="s">
        <v>249</v>
      </c>
      <c r="AJ3" s="78" t="s">
        <v>123</v>
      </c>
      <c r="AK3" s="9" t="s">
        <v>100</v>
      </c>
      <c r="AL3" s="9" t="s">
        <v>106</v>
      </c>
      <c r="AM3" s="2" t="s">
        <v>52</v>
      </c>
      <c r="AN3" s="2" t="s">
        <v>58</v>
      </c>
      <c r="AO3" s="9" t="s">
        <v>57</v>
      </c>
      <c r="AP3" s="26" t="str">
        <f>AD3</f>
        <v>Percent. / TOTAL COST</v>
      </c>
      <c r="AQ3" s="77" t="s">
        <v>125</v>
      </c>
      <c r="AR3" s="77" t="s">
        <v>251</v>
      </c>
      <c r="AS3" s="77" t="s">
        <v>252</v>
      </c>
      <c r="AT3" s="90"/>
      <c r="AU3" s="2" t="s">
        <v>109</v>
      </c>
      <c r="AV3" s="9" t="s">
        <v>53</v>
      </c>
      <c r="AW3" s="9" t="s">
        <v>94</v>
      </c>
      <c r="AX3" s="26" t="str">
        <f>AD3</f>
        <v>Percent. / TOTAL COST</v>
      </c>
      <c r="AY3" s="2" t="s">
        <v>60</v>
      </c>
      <c r="AZ3" s="26" t="s">
        <v>59</v>
      </c>
    </row>
    <row r="4" spans="2:52" s="2" customFormat="1" ht="18.75" customHeight="1" x14ac:dyDescent="0.25">
      <c r="B4" s="57" t="s">
        <v>7</v>
      </c>
      <c r="C4" s="7"/>
      <c r="D4" s="7" t="s">
        <v>7</v>
      </c>
      <c r="E4" s="2" t="s">
        <v>12</v>
      </c>
      <c r="F4" s="2" t="s">
        <v>14</v>
      </c>
      <c r="G4" s="3" t="s">
        <v>7</v>
      </c>
      <c r="H4" s="2" t="s">
        <v>26</v>
      </c>
      <c r="I4" s="2" t="s">
        <v>26</v>
      </c>
      <c r="J4" s="3" t="s">
        <v>7</v>
      </c>
      <c r="K4" s="65" t="s">
        <v>7</v>
      </c>
      <c r="L4" s="65" t="s">
        <v>7</v>
      </c>
      <c r="M4" s="65" t="s">
        <v>43</v>
      </c>
      <c r="N4" s="7"/>
      <c r="O4" s="59" t="s">
        <v>50</v>
      </c>
      <c r="P4" s="9" t="s">
        <v>50</v>
      </c>
      <c r="Q4" s="2" t="s">
        <v>50</v>
      </c>
      <c r="R4" s="9" t="s">
        <v>50</v>
      </c>
      <c r="S4" s="9" t="s">
        <v>50</v>
      </c>
      <c r="T4" s="10" t="s">
        <v>51</v>
      </c>
      <c r="U4" s="9" t="s">
        <v>98</v>
      </c>
      <c r="V4" s="9" t="s">
        <v>51</v>
      </c>
      <c r="W4" s="9" t="s">
        <v>98</v>
      </c>
      <c r="X4" s="2" t="s">
        <v>51</v>
      </c>
      <c r="Y4" s="2" t="s">
        <v>98</v>
      </c>
      <c r="Z4" s="2" t="s">
        <v>51</v>
      </c>
      <c r="AA4" s="2" t="s">
        <v>98</v>
      </c>
      <c r="AB4" s="2" t="s">
        <v>98</v>
      </c>
      <c r="AC4" s="9" t="s">
        <v>51</v>
      </c>
      <c r="AD4" s="6" t="s">
        <v>105</v>
      </c>
      <c r="AE4" s="77" t="s">
        <v>117</v>
      </c>
      <c r="AF4" s="77" t="s">
        <v>117</v>
      </c>
      <c r="AG4" s="77" t="s">
        <v>119</v>
      </c>
      <c r="AH4" s="79" t="s">
        <v>122</v>
      </c>
      <c r="AI4" s="77" t="s">
        <v>250</v>
      </c>
      <c r="AJ4" s="78" t="s">
        <v>122</v>
      </c>
      <c r="AK4" s="2" t="s">
        <v>99</v>
      </c>
      <c r="AL4" s="2" t="s">
        <v>51</v>
      </c>
      <c r="AM4" s="2" t="s">
        <v>51</v>
      </c>
      <c r="AN4" s="2" t="s">
        <v>51</v>
      </c>
      <c r="AO4" s="9" t="s">
        <v>51</v>
      </c>
      <c r="AP4" s="6" t="s">
        <v>105</v>
      </c>
      <c r="AQ4" s="77"/>
      <c r="AR4" s="77"/>
      <c r="AS4" s="77"/>
      <c r="AT4" s="78"/>
      <c r="AU4" s="2" t="s">
        <v>51</v>
      </c>
      <c r="AV4" s="9" t="s">
        <v>51</v>
      </c>
      <c r="AW4" s="9"/>
      <c r="AX4" s="6" t="s">
        <v>105</v>
      </c>
      <c r="AY4" s="2" t="s">
        <v>51</v>
      </c>
      <c r="AZ4" s="26" t="s">
        <v>98</v>
      </c>
    </row>
    <row r="5" spans="2:52" s="2" customFormat="1" ht="18.75" customHeight="1" x14ac:dyDescent="0.25">
      <c r="B5" s="60" t="s">
        <v>8</v>
      </c>
      <c r="C5" s="99"/>
      <c r="D5" s="7"/>
      <c r="G5" s="3"/>
      <c r="K5" s="65"/>
      <c r="L5" s="65"/>
      <c r="M5" s="65"/>
      <c r="N5" s="7"/>
      <c r="O5" s="59"/>
      <c r="P5" s="9"/>
      <c r="R5" s="9"/>
      <c r="S5" s="9"/>
      <c r="T5" s="10"/>
      <c r="U5" s="9"/>
      <c r="V5" s="9"/>
      <c r="W5" s="9"/>
      <c r="AC5" s="9"/>
      <c r="AD5" s="6"/>
      <c r="AE5" s="77"/>
      <c r="AF5" s="77"/>
      <c r="AG5" s="77"/>
      <c r="AH5" s="79"/>
      <c r="AI5" s="77"/>
      <c r="AJ5" s="78"/>
      <c r="AO5" s="9"/>
      <c r="AP5" s="6"/>
      <c r="AQ5" s="77"/>
      <c r="AR5" s="77"/>
      <c r="AS5" s="77"/>
      <c r="AT5" s="78"/>
      <c r="AV5" s="9"/>
      <c r="AW5" s="9"/>
      <c r="AX5" s="6"/>
      <c r="AZ5" s="26"/>
    </row>
    <row r="6" spans="2:52" x14ac:dyDescent="0.25">
      <c r="B6" s="61" t="s">
        <v>20</v>
      </c>
      <c r="C6" s="56" t="s">
        <v>128</v>
      </c>
      <c r="D6" s="6">
        <v>1</v>
      </c>
      <c r="E6" s="2">
        <v>145</v>
      </c>
      <c r="F6" s="2">
        <v>10.5</v>
      </c>
      <c r="G6" s="2">
        <v>32</v>
      </c>
      <c r="H6" s="2">
        <v>6193</v>
      </c>
      <c r="I6" s="2">
        <v>3500</v>
      </c>
      <c r="J6" s="2" t="s">
        <v>186</v>
      </c>
      <c r="K6" s="9">
        <v>384</v>
      </c>
      <c r="L6" s="9">
        <v>4</v>
      </c>
      <c r="M6" s="29">
        <f>E6*1000/SQRT(3)/F6/L6*2</f>
        <v>3986.4661444045591</v>
      </c>
      <c r="N6" s="6" t="s">
        <v>21</v>
      </c>
      <c r="O6" s="66">
        <v>38.036999999999999</v>
      </c>
      <c r="P6" s="14">
        <v>117.58199999999999</v>
      </c>
      <c r="Q6" s="28">
        <v>24.308</v>
      </c>
      <c r="R6" s="14">
        <v>6</v>
      </c>
      <c r="S6" s="14">
        <f>SUM(O6:R6)</f>
        <v>185.92699999999999</v>
      </c>
      <c r="T6" s="36">
        <v>167.75868</v>
      </c>
      <c r="U6" s="182">
        <f>T6/O6</f>
        <v>4.4104077608644214</v>
      </c>
      <c r="V6" s="14">
        <v>465.52499999999998</v>
      </c>
      <c r="W6" s="182">
        <f>V6/P6</f>
        <v>3.9591519110067868</v>
      </c>
      <c r="X6" s="13">
        <v>687.97799999999995</v>
      </c>
      <c r="Y6" s="102">
        <f>X6/Q6</f>
        <v>28.3025341451374</v>
      </c>
      <c r="Z6" s="13">
        <v>183.21799999999999</v>
      </c>
      <c r="AA6" s="102">
        <f>Z6/R6</f>
        <v>30.536333333333332</v>
      </c>
      <c r="AB6" s="102">
        <f>(X6+Z6)/(Q6+R6)</f>
        <v>28.744753860366899</v>
      </c>
      <c r="AC6" s="18">
        <f>T6+V6+X6+Z6</f>
        <v>1504.4796800000001</v>
      </c>
      <c r="AD6" s="25">
        <f t="shared" ref="AD6:AD18" si="0">AC6/AY6*100</f>
        <v>54.676531340580226</v>
      </c>
      <c r="AE6" s="80">
        <f t="shared" ref="AE6:AE18" si="1">H6*H6*I6*0.000000001</f>
        <v>134.23637150000002</v>
      </c>
      <c r="AF6" s="80">
        <f t="shared" ref="AF6:AF18" si="2">((H6+700)*(H6+700)-H6*H6)*I6*0.000000001</f>
        <v>32.060700000000004</v>
      </c>
      <c r="AG6" s="81">
        <f t="shared" ref="AG6:AG18" si="3">H6*(I6+800)*0.000001*E6/F6</f>
        <v>367.74623809523808</v>
      </c>
      <c r="AH6" s="81">
        <f t="shared" ref="AH6:AH18" si="4">SQRT(H6*(I6+800)*0.000001)*E6</f>
        <v>748.2604142275602</v>
      </c>
      <c r="AI6" s="81">
        <f t="shared" ref="AI6:AI18" si="5">SQRT(H6*I6*0.000001*G6)*E6/F6</f>
        <v>363.69577379042482</v>
      </c>
      <c r="AJ6" s="82">
        <f t="shared" ref="AJ6:AJ18" si="6">H6*I6*E6*0.000001</f>
        <v>3142.9474999999998</v>
      </c>
      <c r="AK6" s="22">
        <f>[1]Trvx.site!$L$388-[1]Trvx.site!$G$5-[1]Trvx.site!$G$367-[1]Trvx.site!$G$106-[1]Trvx.site!$G$67</f>
        <v>12815.999999999998</v>
      </c>
      <c r="AL6" s="13">
        <v>78.870757041760953</v>
      </c>
      <c r="AM6" s="13">
        <v>206.75405595947333</v>
      </c>
      <c r="AN6" s="13">
        <v>448.99995258773907</v>
      </c>
      <c r="AO6" s="18">
        <f>SUM(AL6:AN6)</f>
        <v>734.62476558897333</v>
      </c>
      <c r="AP6" s="25">
        <f>AO6/AY6*100</f>
        <v>26.698090079416627</v>
      </c>
      <c r="AQ6" s="91">
        <f t="shared" ref="AQ6:AQ18" si="7">H6*I6*0.000001</f>
        <v>21.6755</v>
      </c>
      <c r="AR6" s="91">
        <f t="shared" ref="AR6:AR18" si="8">H6*0.001*SQRT(I6)</f>
        <v>366.38282096735924</v>
      </c>
      <c r="AS6" s="91">
        <f t="shared" ref="AS6:AS18" si="9">AR6*I6*0.001</f>
        <v>1282.3398733857575</v>
      </c>
      <c r="AT6" s="92"/>
      <c r="AU6" s="13">
        <v>194.72200000000001</v>
      </c>
      <c r="AV6" s="14">
        <v>317.774</v>
      </c>
      <c r="AW6" s="18">
        <f>AU6+AV6</f>
        <v>512.49599999999998</v>
      </c>
      <c r="AX6" s="25">
        <f>AW6/AY6*100</f>
        <v>18.625378580003154</v>
      </c>
      <c r="AY6" s="17">
        <f t="shared" ref="AY6:AY18" si="10">AC6+AO6+AW6</f>
        <v>2751.6004455889733</v>
      </c>
      <c r="AZ6" s="27">
        <f t="shared" ref="AZ6:AZ18" si="11">AY6/S6</f>
        <v>14.799359133364026</v>
      </c>
    </row>
    <row r="7" spans="2:52" x14ac:dyDescent="0.25">
      <c r="B7" s="61" t="s">
        <v>101</v>
      </c>
      <c r="C7" s="56" t="s">
        <v>128</v>
      </c>
      <c r="D7" s="6">
        <v>2</v>
      </c>
      <c r="E7" s="2">
        <v>80</v>
      </c>
      <c r="F7" s="2">
        <v>15</v>
      </c>
      <c r="G7" s="2">
        <v>40</v>
      </c>
      <c r="H7" s="2">
        <v>7100</v>
      </c>
      <c r="I7" s="2">
        <v>2170</v>
      </c>
      <c r="J7" s="2" t="s">
        <v>185</v>
      </c>
      <c r="K7" s="9">
        <v>420</v>
      </c>
      <c r="L7" s="9">
        <v>2</v>
      </c>
      <c r="M7" s="29">
        <f t="shared" ref="M7:M20" si="12">E7*1000/SQRT(3)/F7/L7*2</f>
        <v>3079.2014356780041</v>
      </c>
      <c r="N7" s="6" t="s">
        <v>21</v>
      </c>
      <c r="O7" s="66"/>
      <c r="P7" s="14">
        <v>88.956999999999994</v>
      </c>
      <c r="Q7" s="13">
        <v>18.774000000000001</v>
      </c>
      <c r="R7" s="14">
        <v>4.0730000000000004</v>
      </c>
      <c r="S7" s="14">
        <f t="shared" ref="S7:S19" si="13">SUM(O7:R7)</f>
        <v>111.804</v>
      </c>
      <c r="T7" s="36">
        <v>0</v>
      </c>
      <c r="U7" s="182"/>
      <c r="V7" s="14">
        <v>456.91199999999998</v>
      </c>
      <c r="W7" s="182">
        <f t="shared" ref="W7:W20" si="14">V7/P7</f>
        <v>5.1363242915116292</v>
      </c>
      <c r="X7" s="13">
        <v>649.45152198421647</v>
      </c>
      <c r="Y7" s="102">
        <f t="shared" ref="Y7:Y20" si="15">X7/Q7</f>
        <v>34.593135292650281</v>
      </c>
      <c r="Z7" s="13">
        <f>302.71/2</f>
        <v>151.35499999999999</v>
      </c>
      <c r="AA7" s="102">
        <f t="shared" ref="AA7:AA20" si="16">Z7/R7</f>
        <v>37.160569604713963</v>
      </c>
      <c r="AB7" s="102">
        <f t="shared" ref="AB7:AB20" si="17">(X7+Z7)/(Q7+R7)</f>
        <v>35.050839146680808</v>
      </c>
      <c r="AC7" s="18">
        <f t="shared" ref="AC7:AC20" si="18">T7+V7+X7+Z7</f>
        <v>1257.7185219842165</v>
      </c>
      <c r="AD7" s="25">
        <f t="shared" si="0"/>
        <v>48.275733457203835</v>
      </c>
      <c r="AE7" s="80">
        <f t="shared" si="1"/>
        <v>109.3897</v>
      </c>
      <c r="AF7" s="80">
        <f t="shared" si="2"/>
        <v>22.633100000000002</v>
      </c>
      <c r="AG7" s="81">
        <f t="shared" si="3"/>
        <v>112.464</v>
      </c>
      <c r="AH7" s="81">
        <f t="shared" si="4"/>
        <v>367.36466895987695</v>
      </c>
      <c r="AI7" s="81">
        <f t="shared" si="5"/>
        <v>132.39993286335996</v>
      </c>
      <c r="AJ7" s="82">
        <f t="shared" si="6"/>
        <v>1232.56</v>
      </c>
      <c r="AK7" s="19">
        <f>34000/2</f>
        <v>17000</v>
      </c>
      <c r="AL7" s="13">
        <f>225.851/2</f>
        <v>112.9255</v>
      </c>
      <c r="AM7" s="13">
        <f>537.661/2</f>
        <v>268.83049999999997</v>
      </c>
      <c r="AN7" s="13">
        <f>671.655/2</f>
        <v>335.82749999999999</v>
      </c>
      <c r="AO7" s="18">
        <f t="shared" ref="AO7:AO19" si="19">SUM(AL7:AN7)</f>
        <v>717.58349999999996</v>
      </c>
      <c r="AP7" s="25">
        <f t="shared" ref="AP7:AP16" si="20">AO7/AY7*100</f>
        <v>27.543420227790964</v>
      </c>
      <c r="AQ7" s="91">
        <f t="shared" si="7"/>
        <v>15.407</v>
      </c>
      <c r="AR7" s="91">
        <f t="shared" si="8"/>
        <v>330.74113744740009</v>
      </c>
      <c r="AS7" s="91">
        <f t="shared" si="9"/>
        <v>717.70826826085829</v>
      </c>
      <c r="AT7" s="92"/>
      <c r="AU7" s="13">
        <v>236.46</v>
      </c>
      <c r="AV7" s="14">
        <v>393.51900000000001</v>
      </c>
      <c r="AW7" s="18">
        <f>AU7+AV7</f>
        <v>629.97900000000004</v>
      </c>
      <c r="AX7" s="25">
        <f t="shared" ref="AX7:AX16" si="21">AW7/AY7*100</f>
        <v>24.180846315005191</v>
      </c>
      <c r="AY7" s="17">
        <f t="shared" si="10"/>
        <v>2605.2810219842167</v>
      </c>
      <c r="AZ7" s="27">
        <f t="shared" si="11"/>
        <v>23.302216575294413</v>
      </c>
    </row>
    <row r="8" spans="2:52" x14ac:dyDescent="0.25">
      <c r="B8" s="61" t="s">
        <v>102</v>
      </c>
      <c r="C8" s="56" t="s">
        <v>128</v>
      </c>
      <c r="D8" s="6">
        <v>2</v>
      </c>
      <c r="E8" s="2">
        <v>80</v>
      </c>
      <c r="F8" s="2">
        <v>15</v>
      </c>
      <c r="G8" s="2">
        <v>40</v>
      </c>
      <c r="H8" s="2">
        <v>7495</v>
      </c>
      <c r="I8" s="2">
        <v>1980</v>
      </c>
      <c r="J8" s="2" t="s">
        <v>185</v>
      </c>
      <c r="K8" s="9">
        <v>420</v>
      </c>
      <c r="L8" s="9">
        <v>2</v>
      </c>
      <c r="M8" s="29">
        <f t="shared" si="12"/>
        <v>3079.2014356780041</v>
      </c>
      <c r="N8" s="6" t="s">
        <v>21</v>
      </c>
      <c r="O8" s="66"/>
      <c r="P8" s="14">
        <v>110.426</v>
      </c>
      <c r="Q8" s="13">
        <v>17.788</v>
      </c>
      <c r="R8" s="14">
        <v>4.1100000000000003</v>
      </c>
      <c r="S8" s="14">
        <f t="shared" si="13"/>
        <v>132.32400000000001</v>
      </c>
      <c r="T8" s="36">
        <v>0</v>
      </c>
      <c r="U8" s="182"/>
      <c r="V8" s="14">
        <v>490.11799999999999</v>
      </c>
      <c r="W8" s="182">
        <f t="shared" si="14"/>
        <v>4.4384293554054297</v>
      </c>
      <c r="X8" s="13">
        <v>641.69179819616693</v>
      </c>
      <c r="Y8" s="102">
        <f t="shared" si="15"/>
        <v>36.074420856541877</v>
      </c>
      <c r="Z8" s="13">
        <f>300.19/2</f>
        <v>150.095</v>
      </c>
      <c r="AA8" s="102">
        <f t="shared" si="16"/>
        <v>36.519464720194641</v>
      </c>
      <c r="AB8" s="102">
        <f t="shared" si="17"/>
        <v>36.157950415388022</v>
      </c>
      <c r="AC8" s="18">
        <f t="shared" si="18"/>
        <v>1281.9047981961669</v>
      </c>
      <c r="AD8" s="25">
        <f t="shared" si="0"/>
        <v>48.465506634498233</v>
      </c>
      <c r="AE8" s="80">
        <f t="shared" si="1"/>
        <v>111.2265495</v>
      </c>
      <c r="AF8" s="80">
        <f t="shared" si="2"/>
        <v>21.74634</v>
      </c>
      <c r="AG8" s="81">
        <f t="shared" si="3"/>
        <v>111.12586666666667</v>
      </c>
      <c r="AH8" s="81">
        <f t="shared" si="4"/>
        <v>365.17261671708076</v>
      </c>
      <c r="AI8" s="81">
        <f t="shared" si="5"/>
        <v>129.94127904557504</v>
      </c>
      <c r="AJ8" s="82">
        <f t="shared" si="6"/>
        <v>1187.2079999999999</v>
      </c>
      <c r="AK8" s="19">
        <f>31182/2</f>
        <v>15591</v>
      </c>
      <c r="AL8" s="13">
        <f>248.4/2</f>
        <v>124.2</v>
      </c>
      <c r="AM8" s="13">
        <f>505.7/2</f>
        <v>252.85</v>
      </c>
      <c r="AN8" s="13">
        <f>712.1/2</f>
        <v>356.05</v>
      </c>
      <c r="AO8" s="18">
        <f t="shared" si="19"/>
        <v>733.1</v>
      </c>
      <c r="AP8" s="25">
        <f t="shared" si="20"/>
        <v>27.716615901388941</v>
      </c>
      <c r="AQ8" s="91">
        <f t="shared" si="7"/>
        <v>14.8401</v>
      </c>
      <c r="AR8" s="91">
        <f t="shared" si="8"/>
        <v>333.50644596469198</v>
      </c>
      <c r="AS8" s="91">
        <f t="shared" si="9"/>
        <v>660.34276301009015</v>
      </c>
      <c r="AT8" s="92"/>
      <c r="AU8" s="13">
        <v>236.46</v>
      </c>
      <c r="AV8" s="14">
        <v>393.51900000000001</v>
      </c>
      <c r="AW8" s="18">
        <f>AU8+AV8</f>
        <v>629.97900000000004</v>
      </c>
      <c r="AX8" s="25">
        <f t="shared" si="21"/>
        <v>23.817877464112811</v>
      </c>
      <c r="AY8" s="17">
        <f t="shared" si="10"/>
        <v>2644.9837981961673</v>
      </c>
      <c r="AZ8" s="27">
        <f t="shared" si="11"/>
        <v>19.988692891661128</v>
      </c>
    </row>
    <row r="9" spans="2:52" x14ac:dyDescent="0.25">
      <c r="B9" s="61" t="s">
        <v>61</v>
      </c>
      <c r="C9" s="56" t="s">
        <v>128</v>
      </c>
      <c r="D9" s="6">
        <v>3</v>
      </c>
      <c r="E9" s="2">
        <v>25</v>
      </c>
      <c r="F9" s="2">
        <v>12</v>
      </c>
      <c r="G9" s="2">
        <v>10</v>
      </c>
      <c r="H9" s="2">
        <v>2300</v>
      </c>
      <c r="I9" s="2">
        <v>1750</v>
      </c>
      <c r="J9" s="2" t="s">
        <v>186</v>
      </c>
      <c r="K9" s="9">
        <v>168</v>
      </c>
      <c r="L9" s="9">
        <v>1</v>
      </c>
      <c r="M9" s="29">
        <f t="shared" si="12"/>
        <v>2405.6261216234411</v>
      </c>
      <c r="N9" s="6" t="s">
        <v>21</v>
      </c>
      <c r="O9" s="66">
        <v>9.6999999999999993</v>
      </c>
      <c r="P9" s="14">
        <v>24.465</v>
      </c>
      <c r="Q9" s="28">
        <v>5</v>
      </c>
      <c r="R9" s="37">
        <v>1.6</v>
      </c>
      <c r="S9" s="14">
        <f t="shared" si="13"/>
        <v>40.765000000000001</v>
      </c>
      <c r="T9" s="36">
        <v>121.669</v>
      </c>
      <c r="U9" s="182">
        <f t="shared" ref="U9:U20" si="22">T9/O9</f>
        <v>12.54319587628866</v>
      </c>
      <c r="V9" s="14">
        <v>138.834</v>
      </c>
      <c r="W9" s="182">
        <f t="shared" si="14"/>
        <v>5.6748007357449417</v>
      </c>
      <c r="X9" s="13">
        <v>270.15899999999999</v>
      </c>
      <c r="Y9" s="102">
        <f t="shared" si="15"/>
        <v>54.031799999999997</v>
      </c>
      <c r="Z9" s="13">
        <v>0</v>
      </c>
      <c r="AA9" s="102">
        <f t="shared" si="16"/>
        <v>0</v>
      </c>
      <c r="AB9" s="102">
        <f t="shared" si="17"/>
        <v>40.933181818181822</v>
      </c>
      <c r="AC9" s="18">
        <f t="shared" si="18"/>
        <v>530.66200000000003</v>
      </c>
      <c r="AD9" s="25">
        <f t="shared" si="0"/>
        <v>53.684972998783984</v>
      </c>
      <c r="AE9" s="80">
        <f t="shared" si="1"/>
        <v>9.2575000000000003</v>
      </c>
      <c r="AF9" s="80">
        <f t="shared" si="2"/>
        <v>6.4925000000000006</v>
      </c>
      <c r="AG9" s="81">
        <f t="shared" si="3"/>
        <v>12.218749999999998</v>
      </c>
      <c r="AH9" s="81">
        <f t="shared" si="4"/>
        <v>60.544405191561665</v>
      </c>
      <c r="AI9" s="81">
        <f t="shared" si="5"/>
        <v>13.217268271301583</v>
      </c>
      <c r="AJ9" s="82">
        <f t="shared" si="6"/>
        <v>100.625</v>
      </c>
      <c r="AK9" s="19">
        <v>1038</v>
      </c>
      <c r="AL9" s="13">
        <v>0</v>
      </c>
      <c r="AM9" s="32">
        <v>118.26600000000001</v>
      </c>
      <c r="AN9" s="32">
        <v>140.63800000000001</v>
      </c>
      <c r="AO9" s="18">
        <f t="shared" si="19"/>
        <v>258.904</v>
      </c>
      <c r="AP9" s="25">
        <f t="shared" si="20"/>
        <v>26.192292361761666</v>
      </c>
      <c r="AQ9" s="91">
        <f t="shared" si="7"/>
        <v>4.0249999999999995</v>
      </c>
      <c r="AR9" s="91">
        <f t="shared" si="8"/>
        <v>96.215903051418707</v>
      </c>
      <c r="AS9" s="91">
        <f t="shared" si="9"/>
        <v>168.37783033998272</v>
      </c>
      <c r="AT9" s="92"/>
      <c r="AU9" s="13">
        <v>84.272000000000006</v>
      </c>
      <c r="AV9" s="14">
        <v>114.636</v>
      </c>
      <c r="AW9" s="18">
        <f>AU9+AV9</f>
        <v>198.90800000000002</v>
      </c>
      <c r="AX9" s="25">
        <f t="shared" si="21"/>
        <v>20.12273463945435</v>
      </c>
      <c r="AY9" s="17">
        <f t="shared" si="10"/>
        <v>988.47400000000005</v>
      </c>
      <c r="AZ9" s="27">
        <f t="shared" si="11"/>
        <v>24.248104992027475</v>
      </c>
    </row>
    <row r="10" spans="2:52" x14ac:dyDescent="0.25">
      <c r="B10" s="61" t="s">
        <v>74</v>
      </c>
      <c r="C10" s="56" t="s">
        <v>128</v>
      </c>
      <c r="D10" s="6">
        <v>1</v>
      </c>
      <c r="E10" s="2">
        <v>68</v>
      </c>
      <c r="F10" s="2">
        <v>10.5</v>
      </c>
      <c r="G10" s="2">
        <v>56</v>
      </c>
      <c r="H10" s="2">
        <v>8474</v>
      </c>
      <c r="I10" s="2">
        <v>1425</v>
      </c>
      <c r="J10" s="2" t="s">
        <v>185</v>
      </c>
      <c r="K10" s="9">
        <v>480</v>
      </c>
      <c r="L10" s="9">
        <v>2</v>
      </c>
      <c r="M10" s="29">
        <f t="shared" si="12"/>
        <v>3739.0303147518625</v>
      </c>
      <c r="N10" s="6" t="s">
        <v>21</v>
      </c>
      <c r="O10" s="66"/>
      <c r="P10" s="31">
        <v>61.975999999999999</v>
      </c>
      <c r="Q10" s="30">
        <v>13.131</v>
      </c>
      <c r="R10" s="31">
        <v>4.6150000000000002</v>
      </c>
      <c r="S10" s="14">
        <f t="shared" si="13"/>
        <v>79.721999999999994</v>
      </c>
      <c r="T10" s="36">
        <v>41.081000000000003</v>
      </c>
      <c r="U10" s="182"/>
      <c r="V10" s="14">
        <v>304.77800000000002</v>
      </c>
      <c r="W10" s="182">
        <f t="shared" si="14"/>
        <v>4.9176778107654577</v>
      </c>
      <c r="X10" s="14">
        <v>391.32600000000002</v>
      </c>
      <c r="Y10" s="102">
        <f t="shared" si="15"/>
        <v>29.801690655700252</v>
      </c>
      <c r="Z10" s="13">
        <v>126.054</v>
      </c>
      <c r="AA10" s="102">
        <f t="shared" si="16"/>
        <v>27.31397616468039</v>
      </c>
      <c r="AB10" s="102">
        <f t="shared" si="17"/>
        <v>29.154739096134335</v>
      </c>
      <c r="AC10" s="18">
        <f t="shared" si="18"/>
        <v>863.23900000000003</v>
      </c>
      <c r="AD10" s="25">
        <f t="shared" si="0"/>
        <v>50.999291642862751</v>
      </c>
      <c r="AE10" s="80">
        <f t="shared" si="1"/>
        <v>102.3273633</v>
      </c>
      <c r="AF10" s="80">
        <f t="shared" si="2"/>
        <v>17.60388</v>
      </c>
      <c r="AG10" s="81">
        <f t="shared" si="3"/>
        <v>122.10630476190475</v>
      </c>
      <c r="AH10" s="81">
        <f t="shared" si="4"/>
        <v>295.2692019158111</v>
      </c>
      <c r="AI10" s="81">
        <f t="shared" si="5"/>
        <v>168.40899693193072</v>
      </c>
      <c r="AJ10" s="82">
        <f t="shared" si="6"/>
        <v>821.13059999999996</v>
      </c>
      <c r="AK10" s="19">
        <v>8436</v>
      </c>
      <c r="AL10" s="13">
        <v>14.093999999999999</v>
      </c>
      <c r="AM10" s="13">
        <v>235.14699999999999</v>
      </c>
      <c r="AN10" s="13">
        <v>281.82499999999999</v>
      </c>
      <c r="AO10" s="18">
        <f t="shared" si="19"/>
        <v>531.06600000000003</v>
      </c>
      <c r="AP10" s="25">
        <f t="shared" si="20"/>
        <v>31.37484499148967</v>
      </c>
      <c r="AQ10" s="91">
        <f t="shared" si="7"/>
        <v>12.07545</v>
      </c>
      <c r="AR10" s="91">
        <f t="shared" si="8"/>
        <v>319.88648502242165</v>
      </c>
      <c r="AS10" s="91">
        <f t="shared" si="9"/>
        <v>455.83824115695086</v>
      </c>
      <c r="AT10" s="92"/>
      <c r="AU10" s="13">
        <v>137.48500000000001</v>
      </c>
      <c r="AV10" s="14">
        <v>160.85900000000001</v>
      </c>
      <c r="AW10" s="18">
        <f t="shared" ref="AW10:AW16" si="23">AU10+AV10</f>
        <v>298.34400000000005</v>
      </c>
      <c r="AX10" s="25">
        <f t="shared" si="21"/>
        <v>17.625863365647575</v>
      </c>
      <c r="AY10" s="17">
        <f t="shared" si="10"/>
        <v>1692.6490000000001</v>
      </c>
      <c r="AZ10" s="27">
        <f t="shared" si="11"/>
        <v>21.231893329319387</v>
      </c>
    </row>
    <row r="11" spans="2:52" x14ac:dyDescent="0.25">
      <c r="B11" s="61" t="s">
        <v>86</v>
      </c>
      <c r="C11" s="56" t="s">
        <v>128</v>
      </c>
      <c r="D11" s="6">
        <v>1</v>
      </c>
      <c r="E11" s="2">
        <v>38</v>
      </c>
      <c r="F11" s="2">
        <v>10.5</v>
      </c>
      <c r="G11" s="2">
        <v>76</v>
      </c>
      <c r="H11" s="2">
        <v>9290</v>
      </c>
      <c r="I11" s="2">
        <v>1050</v>
      </c>
      <c r="J11" s="2" t="s">
        <v>185</v>
      </c>
      <c r="K11" s="9">
        <v>348</v>
      </c>
      <c r="L11" s="9">
        <v>1</v>
      </c>
      <c r="M11" s="29">
        <f t="shared" si="12"/>
        <v>4178.9162341344345</v>
      </c>
      <c r="N11" s="6" t="s">
        <v>21</v>
      </c>
      <c r="O11" s="66"/>
      <c r="P11" s="31">
        <v>54.548999999999999</v>
      </c>
      <c r="Q11" s="30">
        <v>7.827</v>
      </c>
      <c r="R11" s="31">
        <v>3.6160000000000001</v>
      </c>
      <c r="S11" s="14">
        <f t="shared" si="13"/>
        <v>65.992000000000004</v>
      </c>
      <c r="T11" s="36">
        <v>0</v>
      </c>
      <c r="U11" s="182"/>
      <c r="V11" s="14">
        <v>340.98599999999999</v>
      </c>
      <c r="W11" s="182">
        <f t="shared" si="14"/>
        <v>6.2510036847604908</v>
      </c>
      <c r="X11" s="13">
        <v>246.52099999999999</v>
      </c>
      <c r="Y11" s="102">
        <f t="shared" si="15"/>
        <v>31.496230995272771</v>
      </c>
      <c r="Z11" s="13">
        <v>142.61000000000001</v>
      </c>
      <c r="AA11" s="102">
        <f t="shared" si="16"/>
        <v>39.438606194690266</v>
      </c>
      <c r="AB11" s="102">
        <f t="shared" si="17"/>
        <v>34.006029887267324</v>
      </c>
      <c r="AC11" s="18">
        <f t="shared" si="18"/>
        <v>730.11699999999996</v>
      </c>
      <c r="AD11" s="25">
        <f t="shared" si="0"/>
        <v>43.833100694913469</v>
      </c>
      <c r="AE11" s="80">
        <f t="shared" si="1"/>
        <v>90.619305000000011</v>
      </c>
      <c r="AF11" s="80">
        <f t="shared" si="2"/>
        <v>14.170800000000002</v>
      </c>
      <c r="AG11" s="81">
        <f t="shared" si="3"/>
        <v>62.198761904761902</v>
      </c>
      <c r="AH11" s="81">
        <f t="shared" si="4"/>
        <v>157.53509450278057</v>
      </c>
      <c r="AI11" s="81">
        <f t="shared" si="5"/>
        <v>98.537967543577068</v>
      </c>
      <c r="AJ11" s="82">
        <f t="shared" si="6"/>
        <v>370.67099999999999</v>
      </c>
      <c r="AK11" s="19">
        <v>8342</v>
      </c>
      <c r="AL11" s="13">
        <v>0</v>
      </c>
      <c r="AM11" s="13">
        <v>123.387</v>
      </c>
      <c r="AN11" s="13">
        <v>313.87799999999999</v>
      </c>
      <c r="AO11" s="18">
        <f t="shared" si="19"/>
        <v>437.26499999999999</v>
      </c>
      <c r="AP11" s="25">
        <f t="shared" si="20"/>
        <v>26.251519654194244</v>
      </c>
      <c r="AQ11" s="91">
        <f t="shared" si="7"/>
        <v>9.7545000000000002</v>
      </c>
      <c r="AR11" s="91">
        <f t="shared" si="8"/>
        <v>301.0304054410451</v>
      </c>
      <c r="AS11" s="91">
        <f t="shared" si="9"/>
        <v>316.08192571309741</v>
      </c>
      <c r="AT11" s="92"/>
      <c r="AU11" s="13">
        <v>118.685</v>
      </c>
      <c r="AV11" s="14">
        <v>379.608</v>
      </c>
      <c r="AW11" s="18">
        <f t="shared" si="23"/>
        <v>498.29300000000001</v>
      </c>
      <c r="AX11" s="25">
        <f t="shared" si="21"/>
        <v>29.915379650892277</v>
      </c>
      <c r="AY11" s="17">
        <f t="shared" si="10"/>
        <v>1665.6750000000002</v>
      </c>
      <c r="AZ11" s="27">
        <f t="shared" si="11"/>
        <v>25.240559461752941</v>
      </c>
    </row>
    <row r="12" spans="2:52" x14ac:dyDescent="0.25">
      <c r="B12" s="61" t="s">
        <v>77</v>
      </c>
      <c r="C12" s="56" t="s">
        <v>128</v>
      </c>
      <c r="D12" s="6">
        <v>1</v>
      </c>
      <c r="E12" s="2">
        <v>39</v>
      </c>
      <c r="F12" s="2">
        <v>10.3</v>
      </c>
      <c r="G12" s="2">
        <v>72</v>
      </c>
      <c r="H12" s="2">
        <v>9600</v>
      </c>
      <c r="I12" s="2">
        <v>920</v>
      </c>
      <c r="J12" s="2" t="s">
        <v>186</v>
      </c>
      <c r="K12" s="9">
        <v>405</v>
      </c>
      <c r="L12" s="9">
        <v>1</v>
      </c>
      <c r="M12" s="29">
        <f t="shared" si="12"/>
        <v>4372.1670870670687</v>
      </c>
      <c r="N12" s="6" t="s">
        <v>21</v>
      </c>
      <c r="O12" s="66">
        <v>16.5</v>
      </c>
      <c r="P12" s="14">
        <v>50.747999999999998</v>
      </c>
      <c r="Q12" s="13">
        <v>10.118</v>
      </c>
      <c r="R12" s="14">
        <v>4.1239999999999997</v>
      </c>
      <c r="S12" s="14">
        <f t="shared" si="13"/>
        <v>81.489999999999981</v>
      </c>
      <c r="T12" s="36">
        <v>88.444000000000003</v>
      </c>
      <c r="U12" s="182">
        <f t="shared" si="22"/>
        <v>5.3602424242424247</v>
      </c>
      <c r="V12" s="14">
        <v>279.39100000000002</v>
      </c>
      <c r="W12" s="182">
        <f t="shared" si="14"/>
        <v>5.5054583431859392</v>
      </c>
      <c r="X12" s="13">
        <v>492.041</v>
      </c>
      <c r="Y12" s="102">
        <f t="shared" si="15"/>
        <v>48.630262897805892</v>
      </c>
      <c r="Z12" s="13">
        <v>134.94900000000001</v>
      </c>
      <c r="AA12" s="102">
        <f t="shared" si="16"/>
        <v>32.722841901066928</v>
      </c>
      <c r="AB12" s="102">
        <f t="shared" si="17"/>
        <v>44.024013481252631</v>
      </c>
      <c r="AC12" s="18">
        <f t="shared" si="18"/>
        <v>994.82500000000005</v>
      </c>
      <c r="AD12" s="25">
        <f t="shared" si="0"/>
        <v>52.47028182816468</v>
      </c>
      <c r="AE12" s="80">
        <f t="shared" si="1"/>
        <v>84.787199999999999</v>
      </c>
      <c r="AF12" s="80">
        <f t="shared" si="2"/>
        <v>12.815600000000002</v>
      </c>
      <c r="AG12" s="81">
        <f t="shared" si="3"/>
        <v>62.521165048543693</v>
      </c>
      <c r="AH12" s="81">
        <f t="shared" si="4"/>
        <v>158.47634523801969</v>
      </c>
      <c r="AI12" s="81">
        <f t="shared" si="5"/>
        <v>95.482363512416455</v>
      </c>
      <c r="AJ12" s="82">
        <f t="shared" si="6"/>
        <v>344.44799999999998</v>
      </c>
      <c r="AK12" s="19">
        <v>11887</v>
      </c>
      <c r="AL12" s="13">
        <v>79.411000000000001</v>
      </c>
      <c r="AM12" s="13">
        <v>125.386</v>
      </c>
      <c r="AN12" s="13">
        <v>360.036</v>
      </c>
      <c r="AO12" s="18">
        <f t="shared" si="19"/>
        <v>564.83299999999997</v>
      </c>
      <c r="AP12" s="25">
        <f t="shared" si="20"/>
        <v>29.791115719697171</v>
      </c>
      <c r="AQ12" s="91">
        <f t="shared" si="7"/>
        <v>8.831999999999999</v>
      </c>
      <c r="AR12" s="91">
        <f t="shared" si="8"/>
        <v>291.18241705157953</v>
      </c>
      <c r="AS12" s="91">
        <f t="shared" si="9"/>
        <v>267.88782368745319</v>
      </c>
      <c r="AT12" s="92"/>
      <c r="AU12" s="13">
        <v>148.85499999999999</v>
      </c>
      <c r="AV12" s="14">
        <v>187.465</v>
      </c>
      <c r="AW12" s="18">
        <f t="shared" si="23"/>
        <v>336.32</v>
      </c>
      <c r="AX12" s="25">
        <f t="shared" si="21"/>
        <v>17.738602452138156</v>
      </c>
      <c r="AY12" s="17">
        <f t="shared" si="10"/>
        <v>1895.9779999999998</v>
      </c>
      <c r="AZ12" s="27">
        <f t="shared" si="11"/>
        <v>23.266388513928092</v>
      </c>
    </row>
    <row r="13" spans="2:52" x14ac:dyDescent="0.25">
      <c r="B13" s="61" t="s">
        <v>78</v>
      </c>
      <c r="C13" s="56" t="s">
        <v>128</v>
      </c>
      <c r="D13" s="6">
        <v>4</v>
      </c>
      <c r="E13" s="2">
        <v>107</v>
      </c>
      <c r="F13" s="2">
        <v>10.3</v>
      </c>
      <c r="G13" s="2">
        <v>14</v>
      </c>
      <c r="H13" s="2">
        <v>3508</v>
      </c>
      <c r="I13" s="2">
        <v>2240</v>
      </c>
      <c r="J13" s="2" t="s">
        <v>185</v>
      </c>
      <c r="K13" s="9">
        <v>156</v>
      </c>
      <c r="L13" s="9">
        <v>2</v>
      </c>
      <c r="M13" s="29">
        <f t="shared" si="12"/>
        <v>5997.7163886689277</v>
      </c>
      <c r="N13" s="6" t="s">
        <v>21</v>
      </c>
      <c r="O13" s="66"/>
      <c r="P13" s="14">
        <v>77.587000000000003</v>
      </c>
      <c r="Q13" s="13">
        <v>11.125999999999999</v>
      </c>
      <c r="R13" s="14">
        <v>3.0390000000000001</v>
      </c>
      <c r="S13" s="14">
        <f t="shared" si="13"/>
        <v>91.75200000000001</v>
      </c>
      <c r="T13" s="36">
        <v>60.975000000000001</v>
      </c>
      <c r="U13" s="182"/>
      <c r="V13" s="14">
        <v>245.14599999999999</v>
      </c>
      <c r="W13" s="182">
        <f t="shared" si="14"/>
        <v>3.1596272571435935</v>
      </c>
      <c r="X13" s="13">
        <v>313.11419999999998</v>
      </c>
      <c r="Y13" s="102">
        <f t="shared" si="15"/>
        <v>28.142566960273232</v>
      </c>
      <c r="Z13" s="13">
        <v>76.855999999999995</v>
      </c>
      <c r="AA13" s="102">
        <f t="shared" si="16"/>
        <v>25.289897992760775</v>
      </c>
      <c r="AB13" s="102">
        <f t="shared" si="17"/>
        <v>27.530547123190964</v>
      </c>
      <c r="AC13" s="18">
        <f t="shared" si="18"/>
        <v>696.09119999999996</v>
      </c>
      <c r="AD13" s="25">
        <f t="shared" si="0"/>
        <v>47.552695966584118</v>
      </c>
      <c r="AE13" s="80">
        <f t="shared" si="1"/>
        <v>27.565583360000002</v>
      </c>
      <c r="AF13" s="80">
        <f t="shared" si="2"/>
        <v>12.098688000000001</v>
      </c>
      <c r="AG13" s="81">
        <f t="shared" si="3"/>
        <v>110.78468349514561</v>
      </c>
      <c r="AH13" s="81">
        <f t="shared" si="4"/>
        <v>349.42209386356785</v>
      </c>
      <c r="AI13" s="81">
        <f t="shared" si="5"/>
        <v>108.95931702137692</v>
      </c>
      <c r="AJ13" s="82">
        <f t="shared" si="6"/>
        <v>840.79743999999994</v>
      </c>
      <c r="AK13" s="19">
        <v>7304</v>
      </c>
      <c r="AL13" s="13">
        <v>11.223000000000001</v>
      </c>
      <c r="AM13" s="13">
        <v>179.58</v>
      </c>
      <c r="AN13" s="13">
        <v>188.93299999999999</v>
      </c>
      <c r="AO13" s="18">
        <f t="shared" si="19"/>
        <v>379.73599999999999</v>
      </c>
      <c r="AP13" s="25">
        <f t="shared" si="20"/>
        <v>25.941242405545118</v>
      </c>
      <c r="AQ13" s="91">
        <f t="shared" si="7"/>
        <v>7.85792</v>
      </c>
      <c r="AR13" s="91">
        <f t="shared" si="8"/>
        <v>166.02886303290762</v>
      </c>
      <c r="AS13" s="91">
        <f t="shared" si="9"/>
        <v>371.90465319371305</v>
      </c>
      <c r="AT13" s="92"/>
      <c r="AU13" s="13">
        <v>188</v>
      </c>
      <c r="AV13" s="14">
        <v>200.00399999999999</v>
      </c>
      <c r="AW13" s="18">
        <f t="shared" si="23"/>
        <v>388.00400000000002</v>
      </c>
      <c r="AX13" s="25">
        <f t="shared" si="21"/>
        <v>26.506061627870753</v>
      </c>
      <c r="AY13" s="17">
        <f t="shared" si="10"/>
        <v>1463.8312000000001</v>
      </c>
      <c r="AZ13" s="27">
        <f t="shared" si="11"/>
        <v>15.954215711919085</v>
      </c>
    </row>
    <row r="14" spans="2:52" x14ac:dyDescent="0.25">
      <c r="B14" s="61" t="s">
        <v>79</v>
      </c>
      <c r="C14" s="56" t="s">
        <v>128</v>
      </c>
      <c r="D14" s="6">
        <v>1</v>
      </c>
      <c r="E14" s="2">
        <v>25</v>
      </c>
      <c r="F14" s="2">
        <v>5.65</v>
      </c>
      <c r="G14" s="2">
        <v>40</v>
      </c>
      <c r="H14" s="2">
        <v>5200</v>
      </c>
      <c r="I14" s="2">
        <v>890</v>
      </c>
      <c r="J14" s="2" t="s">
        <v>186</v>
      </c>
      <c r="K14" s="9">
        <v>264</v>
      </c>
      <c r="L14" s="9">
        <v>2</v>
      </c>
      <c r="M14" s="29">
        <f t="shared" si="12"/>
        <v>2554.6472088036539</v>
      </c>
      <c r="N14" s="6" t="s">
        <v>21</v>
      </c>
      <c r="O14" s="66">
        <v>13.694000000000001</v>
      </c>
      <c r="P14" s="14">
        <v>28.393000000000001</v>
      </c>
      <c r="Q14" s="13">
        <v>5.1050000000000004</v>
      </c>
      <c r="R14" s="14">
        <v>2.0579999999999998</v>
      </c>
      <c r="S14" s="14">
        <f t="shared" si="13"/>
        <v>49.250000000000007</v>
      </c>
      <c r="T14" s="36">
        <v>102.003</v>
      </c>
      <c r="U14" s="182">
        <f t="shared" si="22"/>
        <v>7.448736672995472</v>
      </c>
      <c r="V14" s="14">
        <v>207.018</v>
      </c>
      <c r="W14" s="182">
        <f t="shared" si="14"/>
        <v>7.29116331490156</v>
      </c>
      <c r="X14" s="13">
        <v>414.709</v>
      </c>
      <c r="Y14" s="102">
        <f t="shared" si="15"/>
        <v>81.235847208618992</v>
      </c>
      <c r="Z14" s="13">
        <v>74.003</v>
      </c>
      <c r="AA14" s="102">
        <f t="shared" si="16"/>
        <v>35.958697764820215</v>
      </c>
      <c r="AB14" s="102">
        <f t="shared" si="17"/>
        <v>68.227279073014103</v>
      </c>
      <c r="AC14" s="18">
        <f t="shared" si="18"/>
        <v>797.73300000000006</v>
      </c>
      <c r="AD14" s="25">
        <f t="shared" si="0"/>
        <v>60.385460854399632</v>
      </c>
      <c r="AE14" s="80">
        <f t="shared" si="1"/>
        <v>24.0656</v>
      </c>
      <c r="AF14" s="80">
        <f t="shared" si="2"/>
        <v>6.9153000000000002</v>
      </c>
      <c r="AG14" s="81">
        <f t="shared" si="3"/>
        <v>38.884955752212392</v>
      </c>
      <c r="AH14" s="81">
        <f t="shared" si="4"/>
        <v>74.111402631443966</v>
      </c>
      <c r="AI14" s="81">
        <f t="shared" si="5"/>
        <v>60.203013634318395</v>
      </c>
      <c r="AJ14" s="82">
        <f t="shared" si="6"/>
        <v>115.69999999999999</v>
      </c>
      <c r="AK14" s="19">
        <v>4048</v>
      </c>
      <c r="AL14" s="13">
        <v>8.59</v>
      </c>
      <c r="AM14" s="30">
        <v>51.64</v>
      </c>
      <c r="AN14" s="13">
        <v>129.66999999999999</v>
      </c>
      <c r="AO14" s="18">
        <f t="shared" si="19"/>
        <v>189.89999999999998</v>
      </c>
      <c r="AP14" s="25">
        <f t="shared" si="20"/>
        <v>14.374733170434828</v>
      </c>
      <c r="AQ14" s="91">
        <f t="shared" si="7"/>
        <v>4.6280000000000001</v>
      </c>
      <c r="AR14" s="91">
        <f t="shared" si="8"/>
        <v>155.13091245783352</v>
      </c>
      <c r="AS14" s="91">
        <f t="shared" si="9"/>
        <v>138.06651208747184</v>
      </c>
      <c r="AT14" s="92"/>
      <c r="AU14" s="13">
        <v>159.35400000000001</v>
      </c>
      <c r="AV14" s="14">
        <v>174.08099999999999</v>
      </c>
      <c r="AW14" s="18">
        <f t="shared" si="23"/>
        <v>333.435</v>
      </c>
      <c r="AX14" s="25">
        <f t="shared" si="21"/>
        <v>25.239805975165545</v>
      </c>
      <c r="AY14" s="17">
        <f t="shared" si="10"/>
        <v>1321.068</v>
      </c>
      <c r="AZ14" s="27">
        <f t="shared" si="11"/>
        <v>26.823715736040604</v>
      </c>
    </row>
    <row r="15" spans="2:52" x14ac:dyDescent="0.25">
      <c r="B15" s="61" t="s">
        <v>81</v>
      </c>
      <c r="C15" s="56" t="s">
        <v>128</v>
      </c>
      <c r="D15" s="6">
        <v>1</v>
      </c>
      <c r="E15" s="2">
        <v>55</v>
      </c>
      <c r="F15" s="2">
        <v>5.65</v>
      </c>
      <c r="G15" s="2">
        <v>40</v>
      </c>
      <c r="H15" s="2">
        <v>5952</v>
      </c>
      <c r="I15" s="2">
        <v>1530</v>
      </c>
      <c r="J15" s="2" t="s">
        <v>186</v>
      </c>
      <c r="K15" s="9">
        <v>420</v>
      </c>
      <c r="L15" s="9">
        <v>4</v>
      </c>
      <c r="M15" s="29">
        <f t="shared" si="12"/>
        <v>2810.1119296840193</v>
      </c>
      <c r="N15" s="6" t="s">
        <v>21</v>
      </c>
      <c r="O15" s="66">
        <v>27.795999999999999</v>
      </c>
      <c r="P15" s="14">
        <v>53.262</v>
      </c>
      <c r="Q15" s="13">
        <v>11.647</v>
      </c>
      <c r="R15" s="14">
        <v>4.2690000000000001</v>
      </c>
      <c r="S15" s="14">
        <f t="shared" si="13"/>
        <v>96.974000000000004</v>
      </c>
      <c r="T15" s="36">
        <v>125.96</v>
      </c>
      <c r="U15" s="182">
        <f t="shared" si="22"/>
        <v>4.5315872787451434</v>
      </c>
      <c r="V15" s="14">
        <v>243.04900000000001</v>
      </c>
      <c r="W15" s="182">
        <f t="shared" si="14"/>
        <v>4.5632721264691529</v>
      </c>
      <c r="X15" s="13">
        <v>447.59999999999997</v>
      </c>
      <c r="Y15" s="102">
        <f t="shared" si="15"/>
        <v>38.430497123722844</v>
      </c>
      <c r="Z15" s="13">
        <v>140.304</v>
      </c>
      <c r="AA15" s="102">
        <f t="shared" si="16"/>
        <v>32.865776528460998</v>
      </c>
      <c r="AB15" s="102">
        <f t="shared" si="17"/>
        <v>36.937924101533049</v>
      </c>
      <c r="AC15" s="18">
        <f t="shared" si="18"/>
        <v>956.9129999999999</v>
      </c>
      <c r="AD15" s="25">
        <f t="shared" si="0"/>
        <v>49.635197407323645</v>
      </c>
      <c r="AE15" s="80">
        <f t="shared" si="1"/>
        <v>54.202245120000001</v>
      </c>
      <c r="AF15" s="80">
        <f t="shared" si="2"/>
        <v>13.498884</v>
      </c>
      <c r="AG15" s="81">
        <f t="shared" si="3"/>
        <v>134.99978761061945</v>
      </c>
      <c r="AH15" s="81">
        <f t="shared" si="4"/>
        <v>204.81988184744174</v>
      </c>
      <c r="AI15" s="81">
        <f t="shared" si="5"/>
        <v>185.78960612200905</v>
      </c>
      <c r="AJ15" s="82">
        <f t="shared" si="6"/>
        <v>500.86079999999998</v>
      </c>
      <c r="AK15" s="19">
        <v>9913</v>
      </c>
      <c r="AL15" s="13">
        <v>8.9440000000000008</v>
      </c>
      <c r="AM15" s="13">
        <v>170.136</v>
      </c>
      <c r="AN15" s="13">
        <v>323.41000000000003</v>
      </c>
      <c r="AO15" s="18">
        <f t="shared" si="19"/>
        <v>502.49</v>
      </c>
      <c r="AP15" s="25">
        <f t="shared" si="20"/>
        <v>26.064219364985181</v>
      </c>
      <c r="AQ15" s="91">
        <f t="shared" si="7"/>
        <v>9.10656</v>
      </c>
      <c r="AR15" s="91">
        <f t="shared" si="8"/>
        <v>232.81375629459697</v>
      </c>
      <c r="AS15" s="91">
        <f t="shared" si="9"/>
        <v>356.20504713073336</v>
      </c>
      <c r="AT15" s="92"/>
      <c r="AU15" s="13">
        <v>159.75299999999999</v>
      </c>
      <c r="AV15" s="14">
        <v>308.73599999999999</v>
      </c>
      <c r="AW15" s="18">
        <f t="shared" si="23"/>
        <v>468.48899999999998</v>
      </c>
      <c r="AX15" s="25">
        <f t="shared" si="21"/>
        <v>24.300583227691178</v>
      </c>
      <c r="AY15" s="17">
        <f t="shared" si="10"/>
        <v>1927.8919999999998</v>
      </c>
      <c r="AZ15" s="27">
        <f t="shared" si="11"/>
        <v>19.880504052632663</v>
      </c>
    </row>
    <row r="16" spans="2:52" x14ac:dyDescent="0.25">
      <c r="B16" s="61" t="s">
        <v>82</v>
      </c>
      <c r="C16" s="56" t="s">
        <v>128</v>
      </c>
      <c r="D16" s="6">
        <v>1</v>
      </c>
      <c r="E16" s="2">
        <v>42</v>
      </c>
      <c r="F16" s="2">
        <v>10.3</v>
      </c>
      <c r="G16" s="2">
        <v>16</v>
      </c>
      <c r="H16" s="2">
        <v>3638</v>
      </c>
      <c r="I16" s="2">
        <v>1250</v>
      </c>
      <c r="J16" s="2" t="s">
        <v>186</v>
      </c>
      <c r="K16" s="9">
        <v>156</v>
      </c>
      <c r="L16" s="9">
        <v>1</v>
      </c>
      <c r="M16" s="29">
        <f t="shared" si="12"/>
        <v>4708.4876322260743</v>
      </c>
      <c r="N16" s="6" t="s">
        <v>21</v>
      </c>
      <c r="O16" s="66">
        <v>16.75</v>
      </c>
      <c r="P16" s="31">
        <v>46.639000000000003</v>
      </c>
      <c r="Q16" s="30">
        <v>5.5579999999999998</v>
      </c>
      <c r="R16" s="31">
        <v>1.744</v>
      </c>
      <c r="S16" s="14">
        <f t="shared" si="13"/>
        <v>70.691000000000003</v>
      </c>
      <c r="T16" s="36">
        <v>101.943</v>
      </c>
      <c r="U16" s="182">
        <f t="shared" si="22"/>
        <v>6.0861492537313433</v>
      </c>
      <c r="V16" s="14">
        <v>170.38900000000001</v>
      </c>
      <c r="W16" s="182">
        <f t="shared" si="14"/>
        <v>3.6533587769892151</v>
      </c>
      <c r="X16" s="13">
        <v>154.39000000000001</v>
      </c>
      <c r="Y16" s="102">
        <f t="shared" si="15"/>
        <v>27.777977689816485</v>
      </c>
      <c r="Z16" s="13">
        <v>65.820999999999998</v>
      </c>
      <c r="AA16" s="102">
        <f t="shared" si="16"/>
        <v>37.741399082568805</v>
      </c>
      <c r="AB16" s="102">
        <f t="shared" si="17"/>
        <v>30.157628047110386</v>
      </c>
      <c r="AC16" s="18">
        <f t="shared" si="18"/>
        <v>492.54300000000001</v>
      </c>
      <c r="AD16" s="25">
        <f t="shared" si="0"/>
        <v>41.408993500406496</v>
      </c>
      <c r="AE16" s="80">
        <f t="shared" si="1"/>
        <v>16.543805000000003</v>
      </c>
      <c r="AF16" s="80">
        <f t="shared" si="2"/>
        <v>6.9790000000000001</v>
      </c>
      <c r="AG16" s="81">
        <f t="shared" si="3"/>
        <v>30.410854368932032</v>
      </c>
      <c r="AH16" s="81">
        <f t="shared" si="4"/>
        <v>114.69845508985725</v>
      </c>
      <c r="AI16" s="81">
        <f t="shared" si="5"/>
        <v>34.782309153775415</v>
      </c>
      <c r="AJ16" s="82">
        <f t="shared" si="6"/>
        <v>190.995</v>
      </c>
      <c r="AK16" s="19">
        <v>7398</v>
      </c>
      <c r="AL16" s="13">
        <v>43.405999999999999</v>
      </c>
      <c r="AM16" s="13">
        <v>81.551000000000002</v>
      </c>
      <c r="AN16" s="13">
        <v>194.67</v>
      </c>
      <c r="AO16" s="18">
        <f t="shared" si="19"/>
        <v>319.62699999999995</v>
      </c>
      <c r="AP16" s="25">
        <f t="shared" si="20"/>
        <v>26.871628193994074</v>
      </c>
      <c r="AQ16" s="91">
        <f t="shared" si="7"/>
        <v>4.5474999999999994</v>
      </c>
      <c r="AR16" s="91">
        <f t="shared" si="8"/>
        <v>128.62272349783299</v>
      </c>
      <c r="AS16" s="91">
        <f t="shared" si="9"/>
        <v>160.77840437229125</v>
      </c>
      <c r="AT16" s="92"/>
      <c r="AU16" s="13">
        <v>170.59200000000001</v>
      </c>
      <c r="AV16" s="14">
        <v>206.697</v>
      </c>
      <c r="AW16" s="18">
        <f t="shared" si="23"/>
        <v>377.28899999999999</v>
      </c>
      <c r="AX16" s="25">
        <f t="shared" si="21"/>
        <v>31.719378305599438</v>
      </c>
      <c r="AY16" s="17">
        <f t="shared" si="10"/>
        <v>1189.4589999999998</v>
      </c>
      <c r="AZ16" s="27">
        <f t="shared" si="11"/>
        <v>16.82617306304904</v>
      </c>
    </row>
    <row r="17" spans="1:52" x14ac:dyDescent="0.25">
      <c r="B17" s="61" t="s">
        <v>269</v>
      </c>
      <c r="C17" s="56" t="s">
        <v>127</v>
      </c>
      <c r="D17" s="6">
        <v>5</v>
      </c>
      <c r="E17" s="2">
        <v>11</v>
      </c>
      <c r="F17" s="2">
        <v>3.5</v>
      </c>
      <c r="G17" s="2">
        <v>64</v>
      </c>
      <c r="H17" s="2">
        <v>3853</v>
      </c>
      <c r="I17" s="2">
        <v>935</v>
      </c>
      <c r="J17" s="2" t="s">
        <v>185</v>
      </c>
      <c r="K17" s="9">
        <v>240</v>
      </c>
      <c r="L17" s="9">
        <v>1</v>
      </c>
      <c r="M17" s="29">
        <f t="shared" si="12"/>
        <v>3629.0588349062195</v>
      </c>
      <c r="N17" s="6" t="s">
        <v>182</v>
      </c>
      <c r="O17" s="66"/>
      <c r="P17" s="14">
        <v>13.475</v>
      </c>
      <c r="Q17" s="13">
        <v>3.4</v>
      </c>
      <c r="R17" s="14">
        <v>1.4</v>
      </c>
      <c r="S17" s="14">
        <f t="shared" si="13"/>
        <v>18.274999999999999</v>
      </c>
      <c r="T17" s="36">
        <v>27.792000000000002</v>
      </c>
      <c r="U17" s="182"/>
      <c r="V17" s="14">
        <v>135.9</v>
      </c>
      <c r="W17" s="182">
        <f t="shared" si="14"/>
        <v>10.085343228200372</v>
      </c>
      <c r="X17" s="13">
        <v>227.4</v>
      </c>
      <c r="Y17" s="102">
        <f t="shared" si="15"/>
        <v>66.882352941176478</v>
      </c>
      <c r="Z17" s="13">
        <v>64.108999999999995</v>
      </c>
      <c r="AA17" s="102">
        <f t="shared" si="16"/>
        <v>45.792142857142856</v>
      </c>
      <c r="AB17" s="102">
        <f t="shared" si="17"/>
        <v>60.73104166666667</v>
      </c>
      <c r="AC17" s="18">
        <f t="shared" si="18"/>
        <v>455.20099999999996</v>
      </c>
      <c r="AD17" s="25">
        <f t="shared" si="0"/>
        <v>42.756282586095665</v>
      </c>
      <c r="AE17" s="80">
        <f t="shared" si="1"/>
        <v>13.880644415000001</v>
      </c>
      <c r="AF17" s="80">
        <f t="shared" si="2"/>
        <v>5.5017270000000007</v>
      </c>
      <c r="AG17" s="81">
        <f t="shared" si="3"/>
        <v>21.00985857142857</v>
      </c>
      <c r="AH17" s="81">
        <f t="shared" si="4"/>
        <v>28.440807917497704</v>
      </c>
      <c r="AI17" s="81">
        <f t="shared" si="5"/>
        <v>47.722142997196784</v>
      </c>
      <c r="AJ17" s="82">
        <f t="shared" si="6"/>
        <v>39.628104999999998</v>
      </c>
      <c r="AK17" s="19">
        <f>26869/5</f>
        <v>5373.8</v>
      </c>
      <c r="AL17" s="21">
        <v>0</v>
      </c>
      <c r="AM17" s="21">
        <f>535.111/5</f>
        <v>107.0222</v>
      </c>
      <c r="AN17" s="21">
        <f>888.485/5</f>
        <v>177.697</v>
      </c>
      <c r="AO17" s="18">
        <f t="shared" si="19"/>
        <v>284.7192</v>
      </c>
      <c r="AP17" s="25">
        <f>AO17/AY17*100</f>
        <v>26.743207007205804</v>
      </c>
      <c r="AQ17" s="91">
        <f t="shared" si="7"/>
        <v>3.6025549999999997</v>
      </c>
      <c r="AR17" s="91">
        <f t="shared" si="8"/>
        <v>117.81614666504758</v>
      </c>
      <c r="AS17" s="91">
        <f t="shared" si="9"/>
        <v>110.1580971318195</v>
      </c>
      <c r="AT17" s="92"/>
      <c r="AU17" s="13">
        <v>138.73099999999999</v>
      </c>
      <c r="AV17" s="14">
        <v>185.99</v>
      </c>
      <c r="AW17" s="18">
        <f>AU17+AV17</f>
        <v>324.721</v>
      </c>
      <c r="AX17" s="25">
        <f>AW17/AY17*100</f>
        <v>30.500510406698517</v>
      </c>
      <c r="AY17" s="17">
        <f t="shared" si="10"/>
        <v>1064.6412</v>
      </c>
      <c r="AZ17" s="27">
        <f t="shared" si="11"/>
        <v>58.256700410396725</v>
      </c>
    </row>
    <row r="18" spans="1:52" x14ac:dyDescent="0.25">
      <c r="B18" s="61" t="s">
        <v>270</v>
      </c>
      <c r="C18" s="56" t="s">
        <v>127</v>
      </c>
      <c r="D18" s="6">
        <v>1</v>
      </c>
      <c r="E18" s="2">
        <v>19</v>
      </c>
      <c r="F18" s="2">
        <v>3</v>
      </c>
      <c r="G18" s="2">
        <v>80</v>
      </c>
      <c r="H18" s="2">
        <v>5070</v>
      </c>
      <c r="I18" s="2">
        <v>1190</v>
      </c>
      <c r="J18" s="2" t="s">
        <v>186</v>
      </c>
      <c r="K18" s="9">
        <v>336</v>
      </c>
      <c r="L18" s="9">
        <v>2</v>
      </c>
      <c r="M18" s="29">
        <f t="shared" si="12"/>
        <v>3656.5517048676302</v>
      </c>
      <c r="N18" s="6" t="s">
        <v>21</v>
      </c>
      <c r="O18" s="66">
        <v>56.4</v>
      </c>
      <c r="P18" s="14">
        <v>24.64</v>
      </c>
      <c r="Q18" s="13">
        <v>5.351</v>
      </c>
      <c r="R18" s="14">
        <v>1.67</v>
      </c>
      <c r="S18" s="14">
        <f t="shared" si="13"/>
        <v>88.060999999999993</v>
      </c>
      <c r="T18" s="36">
        <v>402.55</v>
      </c>
      <c r="U18" s="182">
        <f t="shared" si="22"/>
        <v>7.1374113475177312</v>
      </c>
      <c r="V18" s="14">
        <v>228.346</v>
      </c>
      <c r="W18" s="182">
        <f t="shared" si="14"/>
        <v>9.267288961038961</v>
      </c>
      <c r="X18" s="13">
        <v>221.364</v>
      </c>
      <c r="Y18" s="102">
        <f t="shared" si="15"/>
        <v>41.368716127826573</v>
      </c>
      <c r="Z18" s="13">
        <v>86.409000000000006</v>
      </c>
      <c r="AA18" s="102">
        <f t="shared" si="16"/>
        <v>51.741916167664677</v>
      </c>
      <c r="AB18" s="102">
        <f t="shared" si="17"/>
        <v>43.836063238854869</v>
      </c>
      <c r="AC18" s="18">
        <f t="shared" si="18"/>
        <v>938.66899999999998</v>
      </c>
      <c r="AD18" s="25">
        <f t="shared" si="0"/>
        <v>52.985836672693409</v>
      </c>
      <c r="AE18" s="80">
        <f t="shared" si="1"/>
        <v>30.588831000000003</v>
      </c>
      <c r="AF18" s="80">
        <f t="shared" si="2"/>
        <v>9.0297200000000011</v>
      </c>
      <c r="AG18" s="81">
        <f t="shared" si="3"/>
        <v>63.898899999999998</v>
      </c>
      <c r="AH18" s="81">
        <f t="shared" si="4"/>
        <v>60.350951110980844</v>
      </c>
      <c r="AI18" s="81">
        <f t="shared" si="5"/>
        <v>139.14089741457516</v>
      </c>
      <c r="AJ18" s="82">
        <f t="shared" si="6"/>
        <v>114.6327</v>
      </c>
      <c r="AK18" s="19">
        <v>5620</v>
      </c>
      <c r="AL18" s="21">
        <v>2.7109999999999999</v>
      </c>
      <c r="AM18" s="13">
        <v>166.58</v>
      </c>
      <c r="AN18" s="13">
        <v>139.55000000000001</v>
      </c>
      <c r="AO18" s="18">
        <f t="shared" si="19"/>
        <v>308.84100000000001</v>
      </c>
      <c r="AP18" s="25">
        <f>AO18/AY18*100</f>
        <v>17.433407073027134</v>
      </c>
      <c r="AQ18" s="91">
        <f t="shared" si="7"/>
        <v>6.0332999999999997</v>
      </c>
      <c r="AR18" s="91">
        <f t="shared" si="8"/>
        <v>174.89662947009586</v>
      </c>
      <c r="AS18" s="91">
        <f t="shared" si="9"/>
        <v>208.12698906941407</v>
      </c>
      <c r="AT18" s="92"/>
      <c r="AU18" s="13">
        <v>224.78200000000001</v>
      </c>
      <c r="AV18" s="14">
        <v>299.255</v>
      </c>
      <c r="AW18" s="18">
        <f>AU18+AV18</f>
        <v>524.03700000000003</v>
      </c>
      <c r="AX18" s="25">
        <f>AW18/AY18*100</f>
        <v>29.580756254279457</v>
      </c>
      <c r="AY18" s="17">
        <f t="shared" si="10"/>
        <v>1771.547</v>
      </c>
      <c r="AZ18" s="27">
        <f t="shared" si="11"/>
        <v>20.117270982614325</v>
      </c>
    </row>
    <row r="19" spans="1:52" x14ac:dyDescent="0.25">
      <c r="B19" s="61" t="s">
        <v>80</v>
      </c>
      <c r="C19" s="56" t="s">
        <v>128</v>
      </c>
      <c r="D19" s="6">
        <v>2</v>
      </c>
      <c r="E19" s="2">
        <v>14.4</v>
      </c>
      <c r="F19" s="2">
        <v>5.7</v>
      </c>
      <c r="G19" s="2">
        <v>56</v>
      </c>
      <c r="H19" s="2">
        <v>6310</v>
      </c>
      <c r="I19" s="2">
        <v>700</v>
      </c>
      <c r="J19" s="2" t="s">
        <v>186</v>
      </c>
      <c r="K19" s="9">
        <v>312</v>
      </c>
      <c r="L19" s="9">
        <v>1</v>
      </c>
      <c r="M19" s="29">
        <f t="shared" si="12"/>
        <v>2917.138202221267</v>
      </c>
      <c r="N19" s="6" t="s">
        <v>21</v>
      </c>
      <c r="O19" s="66">
        <v>12.34</v>
      </c>
      <c r="P19" s="14">
        <v>19.748000000000001</v>
      </c>
      <c r="Q19" s="13">
        <v>4.7229999999999999</v>
      </c>
      <c r="R19" s="14">
        <v>2.5870000000000002</v>
      </c>
      <c r="S19" s="14">
        <f t="shared" si="13"/>
        <v>39.398000000000003</v>
      </c>
      <c r="T19" s="36">
        <v>49.535499999999999</v>
      </c>
      <c r="U19" s="182">
        <f t="shared" si="22"/>
        <v>4.0142220421393837</v>
      </c>
      <c r="V19" s="14">
        <v>119.60899999999999</v>
      </c>
      <c r="W19" s="182">
        <f t="shared" si="14"/>
        <v>6.0567652420498268</v>
      </c>
      <c r="X19" s="13">
        <v>192</v>
      </c>
      <c r="Y19" s="102">
        <f t="shared" si="15"/>
        <v>40.652127884818974</v>
      </c>
      <c r="Z19" s="13">
        <v>36.548999999999999</v>
      </c>
      <c r="AA19" s="102">
        <f t="shared" si="16"/>
        <v>14.127947429454967</v>
      </c>
      <c r="AB19" s="102">
        <f t="shared" si="17"/>
        <v>31.265253077975373</v>
      </c>
      <c r="AC19" s="18">
        <f t="shared" si="18"/>
        <v>397.69349999999997</v>
      </c>
      <c r="AD19" s="25">
        <f>AC19/AY19*100</f>
        <v>49.941010377024995</v>
      </c>
      <c r="AE19" s="80">
        <f t="shared" ref="AE19:AE77" si="24">H19*H19*I19*0.000000001</f>
        <v>27.871270000000003</v>
      </c>
      <c r="AF19" s="80">
        <f t="shared" ref="AF19:AF20" si="25">((H19+700)*(H19+700)-H19*H19)*I19*0.000000001</f>
        <v>6.5268000000000006</v>
      </c>
      <c r="AG19" s="81">
        <f>H19*(I19+800)*0.000001*E19/F19</f>
        <v>23.911578947368419</v>
      </c>
      <c r="AH19" s="81">
        <f>SQRT(H19*(I19+800)*0.000001)*E19</f>
        <v>44.301945781195663</v>
      </c>
      <c r="AI19" s="81">
        <f>SQRT(H19*I19*0.000001*G19)*E19/F19</f>
        <v>39.732450367279959</v>
      </c>
      <c r="AJ19" s="82">
        <f>H19*I19*E19*0.000001</f>
        <v>63.604799999999997</v>
      </c>
      <c r="AK19" s="29" t="s">
        <v>108</v>
      </c>
      <c r="AL19" s="29"/>
      <c r="AM19" s="29" t="s">
        <v>108</v>
      </c>
      <c r="AN19" s="29" t="s">
        <v>108</v>
      </c>
      <c r="AO19" s="18">
        <f t="shared" si="19"/>
        <v>0</v>
      </c>
      <c r="AP19" s="25">
        <f>AO19/AY19*100</f>
        <v>0</v>
      </c>
      <c r="AQ19" s="91">
        <f t="shared" ref="AQ19:AQ77" si="26">H19*I19*0.000001</f>
        <v>4.4169999999999998</v>
      </c>
      <c r="AR19" s="91">
        <f t="shared" ref="AR19:AR20" si="27">H19*0.001*SQRT(I19)</f>
        <v>166.94690772817569</v>
      </c>
      <c r="AS19" s="91">
        <f t="shared" ref="AS19:AS20" si="28">AR19*I19*0.001</f>
        <v>116.86283540972298</v>
      </c>
      <c r="AT19" s="92"/>
      <c r="AU19" s="13">
        <v>148.63300000000001</v>
      </c>
      <c r="AV19" s="14">
        <v>250</v>
      </c>
      <c r="AW19" s="18">
        <f>AU19+AV19</f>
        <v>398.63300000000004</v>
      </c>
      <c r="AX19" s="25">
        <f>AW19/AY19*100</f>
        <v>50.058989622975005</v>
      </c>
      <c r="AY19" s="17">
        <f>AC19+AO19+AW19</f>
        <v>796.32650000000001</v>
      </c>
      <c r="AZ19" s="27">
        <f>AY19/S19</f>
        <v>20.212358495355094</v>
      </c>
    </row>
    <row r="20" spans="1:52" x14ac:dyDescent="0.25">
      <c r="B20" s="61" t="s">
        <v>76</v>
      </c>
      <c r="C20" s="56" t="s">
        <v>128</v>
      </c>
      <c r="D20" s="6">
        <v>1</v>
      </c>
      <c r="E20" s="2">
        <v>45</v>
      </c>
      <c r="F20" s="2">
        <v>10.3</v>
      </c>
      <c r="G20" s="2">
        <v>80</v>
      </c>
      <c r="H20" s="2">
        <v>10300</v>
      </c>
      <c r="I20" s="2">
        <v>1110</v>
      </c>
      <c r="J20" s="2" t="s">
        <v>186</v>
      </c>
      <c r="K20" s="9">
        <v>600</v>
      </c>
      <c r="L20" s="9">
        <v>2</v>
      </c>
      <c r="M20" s="29">
        <f t="shared" si="12"/>
        <v>2522.4040886925395</v>
      </c>
      <c r="N20" s="6" t="s">
        <v>21</v>
      </c>
      <c r="O20" s="66">
        <v>24.635999999999999</v>
      </c>
      <c r="P20" s="31">
        <v>83.293999999999997</v>
      </c>
      <c r="Q20" s="30">
        <v>10.042999999999999</v>
      </c>
      <c r="R20" s="31">
        <v>4.6520000000000001</v>
      </c>
      <c r="S20" s="14">
        <f>SUM(O20:R20)</f>
        <v>122.62499999999999</v>
      </c>
      <c r="T20" s="36">
        <v>141.46</v>
      </c>
      <c r="U20" s="182">
        <f t="shared" si="22"/>
        <v>5.7420035720084437</v>
      </c>
      <c r="V20" s="14">
        <v>358.92</v>
      </c>
      <c r="W20" s="182">
        <f t="shared" si="14"/>
        <v>4.309073882872716</v>
      </c>
      <c r="X20" s="13">
        <v>578.57000000000005</v>
      </c>
      <c r="Y20" s="102">
        <f t="shared" si="15"/>
        <v>57.609280095588979</v>
      </c>
      <c r="Z20" s="13">
        <v>134.11799999999999</v>
      </c>
      <c r="AA20" s="102">
        <f t="shared" si="16"/>
        <v>28.830180567497848</v>
      </c>
      <c r="AB20" s="102">
        <f t="shared" si="17"/>
        <v>48.498673018033351</v>
      </c>
      <c r="AC20" s="18">
        <f t="shared" si="18"/>
        <v>1213.068</v>
      </c>
      <c r="AD20" s="25">
        <f>AC20/AY20*100</f>
        <v>57.953990073367642</v>
      </c>
      <c r="AE20" s="80">
        <f t="shared" si="24"/>
        <v>117.7599</v>
      </c>
      <c r="AF20" s="80">
        <f t="shared" si="25"/>
        <v>16.5501</v>
      </c>
      <c r="AG20" s="81">
        <f>H20*(I20+800)*0.000001*E20/F20</f>
        <v>85.949999999999989</v>
      </c>
      <c r="AH20" s="81">
        <f>SQRT(H20*(I20+800)*0.000001)*E20</f>
        <v>199.59415071589646</v>
      </c>
      <c r="AI20" s="81">
        <f>SQRT(H20*I20*0.000001*G20)*E20/F20</f>
        <v>132.12968034164189</v>
      </c>
      <c r="AJ20" s="82">
        <f>H20*I20*E20*0.000001</f>
        <v>514.48500000000001</v>
      </c>
      <c r="AK20" s="20"/>
      <c r="AL20" s="20"/>
      <c r="AM20" s="13"/>
      <c r="AN20" s="13"/>
      <c r="AO20" s="18">
        <v>594.08900000000006</v>
      </c>
      <c r="AP20" s="25">
        <f>AO20/AY20*100</f>
        <v>28.382438584396681</v>
      </c>
      <c r="AQ20" s="91">
        <f t="shared" si="26"/>
        <v>11.433</v>
      </c>
      <c r="AR20" s="91">
        <f t="shared" si="27"/>
        <v>343.1616237285283</v>
      </c>
      <c r="AS20" s="91">
        <f t="shared" si="28"/>
        <v>380.90940233866644</v>
      </c>
      <c r="AT20" s="91"/>
      <c r="AU20" s="36">
        <v>150</v>
      </c>
      <c r="AV20" s="14">
        <v>136</v>
      </c>
      <c r="AW20" s="18">
        <f>AU20+AV20</f>
        <v>286</v>
      </c>
      <c r="AX20" s="25">
        <f>AW20/AY20*100</f>
        <v>13.663571342235675</v>
      </c>
      <c r="AY20" s="17">
        <f>AC20+AO20+AW20</f>
        <v>2093.1570000000002</v>
      </c>
      <c r="AZ20" s="27">
        <f>AY20/S20</f>
        <v>17.069577981651378</v>
      </c>
    </row>
    <row r="21" spans="1:52" x14ac:dyDescent="0.25">
      <c r="P21" s="31"/>
      <c r="Q21" s="30"/>
      <c r="R21" s="31"/>
      <c r="S21" s="14"/>
      <c r="T21" s="36"/>
      <c r="U21" s="14"/>
      <c r="V21" s="14"/>
      <c r="W21" s="14"/>
      <c r="X21" s="13"/>
      <c r="Y21" s="13"/>
      <c r="Z21" s="13"/>
      <c r="AA21" s="13"/>
      <c r="AB21" s="13"/>
      <c r="AC21" s="18"/>
      <c r="AD21" s="25"/>
      <c r="AE21" s="80"/>
      <c r="AF21" s="80"/>
      <c r="AG21" s="81"/>
      <c r="AH21" s="81"/>
      <c r="AI21" s="81"/>
      <c r="AJ21" s="82"/>
      <c r="AK21" s="20"/>
      <c r="AL21" s="20"/>
      <c r="AM21" s="13"/>
      <c r="AN21" s="13"/>
      <c r="AO21" s="18"/>
      <c r="AP21" s="25"/>
      <c r="AQ21" s="91"/>
      <c r="AR21" s="91"/>
      <c r="AS21" s="91"/>
      <c r="AT21" s="92"/>
      <c r="AU21" s="13"/>
      <c r="AV21" s="14"/>
      <c r="AW21" s="18"/>
      <c r="AX21" s="25"/>
      <c r="AY21" s="17"/>
      <c r="AZ21" s="27"/>
    </row>
    <row r="22" spans="1:52" x14ac:dyDescent="0.25">
      <c r="B22" s="63" t="s">
        <v>181</v>
      </c>
      <c r="C22" s="100"/>
      <c r="AE22" s="80"/>
      <c r="AF22" s="77"/>
      <c r="AG22" s="77"/>
      <c r="AH22" s="77"/>
      <c r="AI22" s="77"/>
      <c r="AJ22" s="82"/>
      <c r="AQ22" s="91"/>
      <c r="AR22" s="94"/>
      <c r="AS22" s="94"/>
      <c r="AT22" s="93"/>
    </row>
    <row r="23" spans="1:52" x14ac:dyDescent="0.25">
      <c r="B23" s="64" t="s">
        <v>146</v>
      </c>
      <c r="C23" s="101"/>
      <c r="D23" s="6">
        <v>1</v>
      </c>
      <c r="E23" s="2">
        <v>5.5</v>
      </c>
      <c r="F23" s="2">
        <v>16</v>
      </c>
      <c r="G23" s="2">
        <v>10</v>
      </c>
      <c r="H23" s="2">
        <v>1912</v>
      </c>
      <c r="I23" s="2">
        <v>560</v>
      </c>
      <c r="J23" s="2" t="s">
        <v>185</v>
      </c>
      <c r="K23" s="9">
        <v>114</v>
      </c>
      <c r="N23" s="6" t="s">
        <v>210</v>
      </c>
      <c r="S23" s="14">
        <v>9.9</v>
      </c>
      <c r="T23" s="36"/>
      <c r="U23" s="14"/>
      <c r="AC23" s="18">
        <v>209.21700000000001</v>
      </c>
      <c r="AE23" s="80">
        <f t="shared" si="24"/>
        <v>2.0472166400000003</v>
      </c>
      <c r="AF23" s="77"/>
      <c r="AG23" s="77"/>
      <c r="AH23" s="77"/>
      <c r="AI23" s="77"/>
      <c r="AJ23" s="82">
        <f t="shared" ref="AJ23:AJ79" si="29">H23*I23*E23*0.000001</f>
        <v>5.88896</v>
      </c>
      <c r="AQ23" s="91">
        <f t="shared" si="26"/>
        <v>1.0707199999999999</v>
      </c>
      <c r="AR23" s="94"/>
      <c r="AS23" s="94"/>
      <c r="AT23" s="93"/>
    </row>
    <row r="24" spans="1:52" x14ac:dyDescent="0.25">
      <c r="B24" s="64" t="s">
        <v>129</v>
      </c>
      <c r="C24" s="101"/>
      <c r="D24" s="6">
        <v>1</v>
      </c>
      <c r="E24" s="2">
        <v>9</v>
      </c>
      <c r="F24" s="2">
        <v>11</v>
      </c>
      <c r="G24" s="2">
        <v>12</v>
      </c>
      <c r="H24" s="2">
        <v>2000</v>
      </c>
      <c r="I24" s="2">
        <v>750</v>
      </c>
      <c r="J24" s="2" t="s">
        <v>186</v>
      </c>
      <c r="K24" s="9">
        <v>99</v>
      </c>
      <c r="N24" s="6" t="s">
        <v>210</v>
      </c>
      <c r="S24" s="14">
        <v>15.1</v>
      </c>
      <c r="T24" s="36"/>
      <c r="U24" s="14"/>
      <c r="AC24" s="18">
        <v>457.71699999999998</v>
      </c>
      <c r="AE24" s="80">
        <f t="shared" si="24"/>
        <v>3</v>
      </c>
      <c r="AF24" s="77"/>
      <c r="AG24" s="77"/>
      <c r="AH24" s="77"/>
      <c r="AI24" s="77"/>
      <c r="AJ24" s="82">
        <f t="shared" si="29"/>
        <v>13.5</v>
      </c>
      <c r="AQ24" s="91">
        <f t="shared" si="26"/>
        <v>1.5</v>
      </c>
      <c r="AR24" s="94"/>
      <c r="AS24" s="94"/>
      <c r="AT24" s="93"/>
    </row>
    <row r="25" spans="1:52" x14ac:dyDescent="0.25">
      <c r="B25" s="61" t="s">
        <v>147</v>
      </c>
      <c r="D25" s="6">
        <v>1</v>
      </c>
      <c r="E25" s="2">
        <v>22</v>
      </c>
      <c r="F25" s="2">
        <v>16.8</v>
      </c>
      <c r="G25" s="2">
        <v>8</v>
      </c>
      <c r="H25" s="2">
        <v>2000</v>
      </c>
      <c r="I25" s="2">
        <v>1200</v>
      </c>
      <c r="J25" s="2" t="s">
        <v>186</v>
      </c>
      <c r="K25" s="9">
        <v>90</v>
      </c>
      <c r="N25" s="6" t="s">
        <v>210</v>
      </c>
      <c r="S25" s="14">
        <v>22.7</v>
      </c>
      <c r="T25" s="36"/>
      <c r="U25" s="14"/>
      <c r="AC25" s="18">
        <v>440.11</v>
      </c>
      <c r="AE25" s="80">
        <f t="shared" si="24"/>
        <v>4.8000000000000007</v>
      </c>
      <c r="AF25" s="77"/>
      <c r="AG25" s="77"/>
      <c r="AH25" s="77"/>
      <c r="AI25" s="77"/>
      <c r="AJ25" s="82">
        <f t="shared" si="29"/>
        <v>52.8</v>
      </c>
      <c r="AQ25" s="91">
        <f t="shared" si="26"/>
        <v>2.4</v>
      </c>
      <c r="AR25" s="94"/>
      <c r="AS25" s="94"/>
      <c r="AT25" s="93"/>
    </row>
    <row r="26" spans="1:52" x14ac:dyDescent="0.25">
      <c r="B26" s="61" t="s">
        <v>148</v>
      </c>
      <c r="D26" s="6">
        <v>1</v>
      </c>
      <c r="E26" s="2">
        <v>18</v>
      </c>
      <c r="F26" s="2">
        <v>6</v>
      </c>
      <c r="G26" s="2">
        <v>6</v>
      </c>
      <c r="H26" s="2">
        <v>1610</v>
      </c>
      <c r="I26" s="2">
        <v>950</v>
      </c>
      <c r="J26" s="2" t="s">
        <v>186</v>
      </c>
      <c r="K26" s="9">
        <v>108</v>
      </c>
      <c r="N26" s="6" t="s">
        <v>210</v>
      </c>
      <c r="S26" s="14">
        <v>24.8</v>
      </c>
      <c r="T26" s="36"/>
      <c r="U26" s="14"/>
      <c r="AC26" s="18">
        <v>335.50599999999997</v>
      </c>
      <c r="AE26" s="80">
        <f t="shared" si="24"/>
        <v>2.4624950000000001</v>
      </c>
      <c r="AF26" s="77"/>
      <c r="AG26" s="77"/>
      <c r="AH26" s="77"/>
      <c r="AI26" s="77"/>
      <c r="AJ26" s="82">
        <f t="shared" si="29"/>
        <v>27.530999999999999</v>
      </c>
      <c r="AQ26" s="91">
        <f t="shared" si="26"/>
        <v>1.5294999999999999</v>
      </c>
      <c r="AR26" s="94"/>
      <c r="AS26" s="94"/>
      <c r="AT26" s="93"/>
    </row>
    <row r="27" spans="1:52" s="11" customFormat="1" x14ac:dyDescent="0.25">
      <c r="A27" s="1"/>
      <c r="B27" s="61" t="s">
        <v>149</v>
      </c>
      <c r="C27" s="5"/>
      <c r="D27" s="6">
        <v>2</v>
      </c>
      <c r="E27" s="2">
        <v>20</v>
      </c>
      <c r="F27" s="2">
        <v>6</v>
      </c>
      <c r="G27" s="2">
        <v>12</v>
      </c>
      <c r="H27" s="2">
        <v>2750</v>
      </c>
      <c r="I27" s="2">
        <v>1050</v>
      </c>
      <c r="J27" s="2" t="s">
        <v>186</v>
      </c>
      <c r="K27" s="9">
        <v>144</v>
      </c>
      <c r="L27" s="9"/>
      <c r="M27" s="9"/>
      <c r="N27" s="6" t="s">
        <v>210</v>
      </c>
      <c r="O27" s="58"/>
      <c r="P27" s="8"/>
      <c r="Q27" s="1"/>
      <c r="R27" s="8"/>
      <c r="S27" s="14">
        <v>30.5</v>
      </c>
      <c r="T27" s="36"/>
      <c r="U27" s="14"/>
      <c r="V27" s="8"/>
      <c r="W27" s="8"/>
      <c r="X27" s="1"/>
      <c r="Y27" s="1"/>
      <c r="Z27" s="1"/>
      <c r="AA27" s="1"/>
      <c r="AB27" s="1"/>
      <c r="AC27" s="18">
        <v>491.94299999999998</v>
      </c>
      <c r="AD27" s="5"/>
      <c r="AE27" s="80">
        <f t="shared" si="24"/>
        <v>7.9406250000000007</v>
      </c>
      <c r="AF27" s="77"/>
      <c r="AG27" s="77"/>
      <c r="AH27" s="77"/>
      <c r="AI27" s="77"/>
      <c r="AJ27" s="82">
        <f t="shared" si="29"/>
        <v>57.75</v>
      </c>
      <c r="AK27" s="8"/>
      <c r="AL27" s="8"/>
      <c r="AM27" s="1"/>
      <c r="AN27" s="1"/>
      <c r="AO27" s="8"/>
      <c r="AP27" s="5"/>
      <c r="AQ27" s="91">
        <f t="shared" si="26"/>
        <v>2.8874999999999997</v>
      </c>
      <c r="AR27" s="94"/>
      <c r="AS27" s="94"/>
      <c r="AT27" s="93"/>
      <c r="AU27" s="1"/>
      <c r="AV27" s="8"/>
      <c r="AW27" s="8"/>
      <c r="AX27" s="5"/>
      <c r="AY27" s="1"/>
      <c r="AZ27" s="5"/>
    </row>
    <row r="28" spans="1:52" s="11" customFormat="1" x14ac:dyDescent="0.25">
      <c r="A28" s="1"/>
      <c r="B28" s="61" t="s">
        <v>150</v>
      </c>
      <c r="C28" s="5"/>
      <c r="D28" s="6">
        <v>1</v>
      </c>
      <c r="E28" s="2">
        <v>25</v>
      </c>
      <c r="F28" s="2">
        <v>10.5</v>
      </c>
      <c r="G28" s="2">
        <v>12</v>
      </c>
      <c r="H28" s="2">
        <v>3000</v>
      </c>
      <c r="I28" s="2">
        <v>1100</v>
      </c>
      <c r="J28" s="2" t="s">
        <v>185</v>
      </c>
      <c r="K28" s="9">
        <v>180</v>
      </c>
      <c r="L28" s="9"/>
      <c r="M28" s="9"/>
      <c r="N28" s="6" t="s">
        <v>210</v>
      </c>
      <c r="O28" s="58"/>
      <c r="P28" s="8"/>
      <c r="Q28" s="1"/>
      <c r="R28" s="8"/>
      <c r="S28" s="14">
        <v>31.5</v>
      </c>
      <c r="T28" s="36"/>
      <c r="U28" s="14"/>
      <c r="V28" s="8"/>
      <c r="W28" s="8"/>
      <c r="X28" s="1"/>
      <c r="Y28" s="1"/>
      <c r="Z28" s="1"/>
      <c r="AA28" s="1"/>
      <c r="AB28" s="1"/>
      <c r="AC28" s="18">
        <v>715</v>
      </c>
      <c r="AD28" s="5"/>
      <c r="AE28" s="80">
        <f t="shared" si="24"/>
        <v>9.9</v>
      </c>
      <c r="AF28" s="77"/>
      <c r="AG28" s="77"/>
      <c r="AH28" s="77"/>
      <c r="AI28" s="77"/>
      <c r="AJ28" s="82">
        <f t="shared" si="29"/>
        <v>82.5</v>
      </c>
      <c r="AK28" s="8"/>
      <c r="AL28" s="8"/>
      <c r="AM28" s="1"/>
      <c r="AN28" s="1"/>
      <c r="AO28" s="8"/>
      <c r="AP28" s="5"/>
      <c r="AQ28" s="91">
        <f t="shared" si="26"/>
        <v>3.3</v>
      </c>
      <c r="AR28" s="94"/>
      <c r="AS28" s="94"/>
      <c r="AT28" s="93"/>
      <c r="AU28" s="1"/>
      <c r="AV28" s="8"/>
      <c r="AW28" s="8"/>
      <c r="AX28" s="5"/>
      <c r="AY28" s="1"/>
      <c r="AZ28" s="5"/>
    </row>
    <row r="29" spans="1:52" s="11" customFormat="1" x14ac:dyDescent="0.25">
      <c r="A29" s="1"/>
      <c r="B29" s="61" t="s">
        <v>147</v>
      </c>
      <c r="C29" s="5"/>
      <c r="D29" s="6">
        <v>1</v>
      </c>
      <c r="E29" s="2">
        <v>22</v>
      </c>
      <c r="F29" s="2">
        <v>16.8</v>
      </c>
      <c r="G29" s="2">
        <v>8</v>
      </c>
      <c r="H29" s="2">
        <v>2000</v>
      </c>
      <c r="I29" s="2">
        <v>1200</v>
      </c>
      <c r="J29" s="2" t="s">
        <v>186</v>
      </c>
      <c r="K29" s="9">
        <v>90</v>
      </c>
      <c r="L29" s="9"/>
      <c r="M29" s="9"/>
      <c r="N29" s="6" t="s">
        <v>182</v>
      </c>
      <c r="O29" s="58"/>
      <c r="P29" s="8"/>
      <c r="Q29" s="1"/>
      <c r="R29" s="8"/>
      <c r="S29" s="14">
        <v>22.7</v>
      </c>
      <c r="T29" s="36"/>
      <c r="U29" s="14"/>
      <c r="V29" s="8"/>
      <c r="W29" s="8"/>
      <c r="X29" s="1"/>
      <c r="Y29" s="1"/>
      <c r="Z29" s="1"/>
      <c r="AA29" s="1"/>
      <c r="AB29" s="1"/>
      <c r="AC29" s="18">
        <v>499.51299999999998</v>
      </c>
      <c r="AD29" s="5"/>
      <c r="AE29" s="80">
        <f t="shared" si="24"/>
        <v>4.8000000000000007</v>
      </c>
      <c r="AF29" s="77"/>
      <c r="AG29" s="77"/>
      <c r="AH29" s="77"/>
      <c r="AI29" s="77"/>
      <c r="AJ29" s="82">
        <f t="shared" si="29"/>
        <v>52.8</v>
      </c>
      <c r="AK29" s="8"/>
      <c r="AL29" s="8"/>
      <c r="AM29" s="1"/>
      <c r="AN29" s="1"/>
      <c r="AO29" s="8"/>
      <c r="AP29" s="5"/>
      <c r="AQ29" s="91">
        <f t="shared" si="26"/>
        <v>2.4</v>
      </c>
      <c r="AR29" s="94"/>
      <c r="AS29" s="94"/>
      <c r="AT29" s="93"/>
      <c r="AU29" s="1"/>
      <c r="AV29" s="8"/>
      <c r="AW29" s="8"/>
      <c r="AX29" s="5"/>
      <c r="AY29" s="1"/>
      <c r="AZ29" s="5"/>
    </row>
    <row r="30" spans="1:52" s="11" customFormat="1" x14ac:dyDescent="0.25">
      <c r="A30" s="1"/>
      <c r="B30" s="61" t="s">
        <v>151</v>
      </c>
      <c r="C30" s="5"/>
      <c r="D30" s="6">
        <v>2</v>
      </c>
      <c r="E30" s="2">
        <v>9</v>
      </c>
      <c r="F30" s="2">
        <v>10</v>
      </c>
      <c r="G30" s="2">
        <v>12</v>
      </c>
      <c r="H30" s="2">
        <v>2200</v>
      </c>
      <c r="I30" s="2">
        <v>1200</v>
      </c>
      <c r="J30" s="2" t="s">
        <v>186</v>
      </c>
      <c r="K30" s="9">
        <v>144</v>
      </c>
      <c r="L30" s="9"/>
      <c r="M30" s="9"/>
      <c r="N30" s="6" t="s">
        <v>182</v>
      </c>
      <c r="O30" s="58"/>
      <c r="P30" s="8"/>
      <c r="Q30" s="1"/>
      <c r="R30" s="8"/>
      <c r="S30" s="14">
        <v>23.3</v>
      </c>
      <c r="T30" s="36"/>
      <c r="U30" s="14"/>
      <c r="V30" s="8"/>
      <c r="W30" s="8"/>
      <c r="X30" s="1"/>
      <c r="Y30" s="1"/>
      <c r="Z30" s="1"/>
      <c r="AA30" s="1"/>
      <c r="AB30" s="1"/>
      <c r="AC30" s="18">
        <v>382.20800000000003</v>
      </c>
      <c r="AD30" s="5"/>
      <c r="AE30" s="80">
        <f t="shared" si="24"/>
        <v>5.8080000000000007</v>
      </c>
      <c r="AF30" s="77"/>
      <c r="AG30" s="77"/>
      <c r="AH30" s="77"/>
      <c r="AI30" s="77"/>
      <c r="AJ30" s="82">
        <f t="shared" si="29"/>
        <v>23.759999999999998</v>
      </c>
      <c r="AK30" s="8"/>
      <c r="AL30" s="8"/>
      <c r="AM30" s="1"/>
      <c r="AN30" s="1"/>
      <c r="AO30" s="8"/>
      <c r="AP30" s="5"/>
      <c r="AQ30" s="91">
        <f t="shared" si="26"/>
        <v>2.6399999999999997</v>
      </c>
      <c r="AR30" s="94"/>
      <c r="AS30" s="94"/>
      <c r="AT30" s="93"/>
      <c r="AU30" s="1"/>
      <c r="AV30" s="8"/>
      <c r="AW30" s="8"/>
      <c r="AX30" s="5"/>
      <c r="AY30" s="1"/>
      <c r="AZ30" s="5"/>
    </row>
    <row r="31" spans="1:52" s="11" customFormat="1" x14ac:dyDescent="0.25">
      <c r="A31" s="1"/>
      <c r="B31" s="61" t="s">
        <v>152</v>
      </c>
      <c r="C31" s="5"/>
      <c r="D31" s="6">
        <v>2</v>
      </c>
      <c r="E31" s="2">
        <v>10</v>
      </c>
      <c r="F31" s="2">
        <v>6.3</v>
      </c>
      <c r="G31" s="2">
        <v>28</v>
      </c>
      <c r="H31" s="2">
        <v>4050</v>
      </c>
      <c r="I31" s="2">
        <v>590</v>
      </c>
      <c r="J31" s="2" t="s">
        <v>186</v>
      </c>
      <c r="K31" s="9">
        <v>336</v>
      </c>
      <c r="L31" s="9"/>
      <c r="M31" s="9"/>
      <c r="N31" s="6" t="s">
        <v>21</v>
      </c>
      <c r="O31" s="58"/>
      <c r="P31" s="8"/>
      <c r="Q31" s="1"/>
      <c r="R31" s="8"/>
      <c r="S31" s="14">
        <v>27.6</v>
      </c>
      <c r="T31" s="36"/>
      <c r="U31" s="14"/>
      <c r="V31" s="8"/>
      <c r="W31" s="8"/>
      <c r="X31" s="1"/>
      <c r="Y31" s="1"/>
      <c r="Z31" s="1"/>
      <c r="AA31" s="1"/>
      <c r="AB31" s="1"/>
      <c r="AC31" s="18">
        <v>637.61599999999999</v>
      </c>
      <c r="AD31" s="5"/>
      <c r="AE31" s="80">
        <f t="shared" si="24"/>
        <v>9.6774750000000012</v>
      </c>
      <c r="AF31" s="77"/>
      <c r="AG31" s="77"/>
      <c r="AH31" s="77"/>
      <c r="AI31" s="77"/>
      <c r="AJ31" s="82">
        <f t="shared" si="29"/>
        <v>23.895</v>
      </c>
      <c r="AK31" s="8"/>
      <c r="AL31" s="8"/>
      <c r="AM31" s="1"/>
      <c r="AN31" s="1"/>
      <c r="AO31" s="8"/>
      <c r="AP31" s="5"/>
      <c r="AQ31" s="91">
        <f t="shared" si="26"/>
        <v>2.3895</v>
      </c>
      <c r="AR31" s="94"/>
      <c r="AS31" s="94"/>
      <c r="AT31" s="93"/>
      <c r="AU31" s="1"/>
      <c r="AV31" s="8"/>
      <c r="AW31" s="8"/>
      <c r="AX31" s="5"/>
      <c r="AY31" s="1"/>
      <c r="AZ31" s="5"/>
    </row>
    <row r="32" spans="1:52" s="11" customFormat="1" x14ac:dyDescent="0.25">
      <c r="A32" s="1"/>
      <c r="B32" s="61" t="s">
        <v>153</v>
      </c>
      <c r="C32" s="5"/>
      <c r="D32" s="6">
        <v>1</v>
      </c>
      <c r="E32" s="2">
        <v>12.6</v>
      </c>
      <c r="F32" s="2">
        <v>11</v>
      </c>
      <c r="G32" s="2">
        <v>72</v>
      </c>
      <c r="H32" s="2">
        <v>6860</v>
      </c>
      <c r="I32" s="2">
        <v>700</v>
      </c>
      <c r="J32" s="2" t="s">
        <v>185</v>
      </c>
      <c r="K32" s="9">
        <v>432</v>
      </c>
      <c r="L32" s="9"/>
      <c r="M32" s="9"/>
      <c r="N32" s="6" t="s">
        <v>182</v>
      </c>
      <c r="O32" s="58"/>
      <c r="P32" s="8"/>
      <c r="Q32" s="1"/>
      <c r="R32" s="8"/>
      <c r="S32" s="14">
        <v>28.4</v>
      </c>
      <c r="T32" s="36"/>
      <c r="U32" s="14"/>
      <c r="V32" s="8"/>
      <c r="W32" s="8"/>
      <c r="X32" s="1"/>
      <c r="Y32" s="1"/>
      <c r="Z32" s="1"/>
      <c r="AA32" s="1"/>
      <c r="AB32" s="1"/>
      <c r="AC32" s="18">
        <v>550</v>
      </c>
      <c r="AD32" s="5"/>
      <c r="AE32" s="80">
        <f t="shared" si="24"/>
        <v>32.941720000000004</v>
      </c>
      <c r="AF32" s="77"/>
      <c r="AG32" s="77"/>
      <c r="AH32" s="77"/>
      <c r="AI32" s="77"/>
      <c r="AJ32" s="82">
        <f t="shared" si="29"/>
        <v>60.505199999999995</v>
      </c>
      <c r="AK32" s="8"/>
      <c r="AL32" s="8"/>
      <c r="AM32" s="1"/>
      <c r="AN32" s="1"/>
      <c r="AO32" s="8"/>
      <c r="AP32" s="5"/>
      <c r="AQ32" s="91">
        <f t="shared" si="26"/>
        <v>4.8019999999999996</v>
      </c>
      <c r="AR32" s="94"/>
      <c r="AS32" s="94"/>
      <c r="AT32" s="93"/>
      <c r="AU32" s="1"/>
      <c r="AV32" s="8"/>
      <c r="AW32" s="8"/>
      <c r="AX32" s="5"/>
      <c r="AY32" s="1"/>
      <c r="AZ32" s="5"/>
    </row>
    <row r="33" spans="1:52" s="11" customFormat="1" x14ac:dyDescent="0.25">
      <c r="A33" s="1"/>
      <c r="B33" s="61" t="s">
        <v>154</v>
      </c>
      <c r="C33" s="5"/>
      <c r="D33" s="6">
        <v>1</v>
      </c>
      <c r="E33" s="2">
        <v>16.5</v>
      </c>
      <c r="F33" s="2">
        <v>6.3</v>
      </c>
      <c r="G33" s="2">
        <v>52</v>
      </c>
      <c r="H33" s="2">
        <v>6500</v>
      </c>
      <c r="I33" s="2">
        <v>580</v>
      </c>
      <c r="J33" s="2" t="s">
        <v>185</v>
      </c>
      <c r="K33" s="9">
        <v>384</v>
      </c>
      <c r="L33" s="9"/>
      <c r="M33" s="9"/>
      <c r="N33" s="6" t="s">
        <v>21</v>
      </c>
      <c r="O33" s="58"/>
      <c r="P33" s="8"/>
      <c r="Q33" s="1"/>
      <c r="R33" s="8"/>
      <c r="S33" s="14">
        <v>28.7</v>
      </c>
      <c r="T33" s="36"/>
      <c r="U33" s="14"/>
      <c r="V33" s="8"/>
      <c r="W33" s="8"/>
      <c r="X33" s="1"/>
      <c r="Y33" s="1"/>
      <c r="Z33" s="1"/>
      <c r="AA33" s="1"/>
      <c r="AB33" s="1"/>
      <c r="AC33" s="18">
        <v>591.92499999999995</v>
      </c>
      <c r="AD33" s="5"/>
      <c r="AE33" s="80">
        <f t="shared" si="24"/>
        <v>24.505000000000003</v>
      </c>
      <c r="AF33" s="77"/>
      <c r="AG33" s="77"/>
      <c r="AH33" s="77"/>
      <c r="AI33" s="77"/>
      <c r="AJ33" s="82">
        <f t="shared" si="29"/>
        <v>62.204999999999998</v>
      </c>
      <c r="AK33" s="8"/>
      <c r="AL33" s="8"/>
      <c r="AM33" s="1"/>
      <c r="AN33" s="1"/>
      <c r="AO33" s="8"/>
      <c r="AP33" s="5"/>
      <c r="AQ33" s="91">
        <f t="shared" si="26"/>
        <v>3.77</v>
      </c>
      <c r="AR33" s="94"/>
      <c r="AS33" s="94"/>
      <c r="AT33" s="93"/>
      <c r="AU33" s="1"/>
      <c r="AV33" s="8"/>
      <c r="AW33" s="8"/>
      <c r="AX33" s="5"/>
      <c r="AY33" s="1"/>
      <c r="AZ33" s="5"/>
    </row>
    <row r="34" spans="1:52" s="11" customFormat="1" x14ac:dyDescent="0.25">
      <c r="A34" s="1"/>
      <c r="B34" s="61" t="s">
        <v>149</v>
      </c>
      <c r="C34" s="5"/>
      <c r="D34" s="6">
        <v>2</v>
      </c>
      <c r="E34" s="2">
        <v>20</v>
      </c>
      <c r="F34" s="2">
        <v>6</v>
      </c>
      <c r="G34" s="2">
        <v>12</v>
      </c>
      <c r="H34" s="2">
        <v>2750</v>
      </c>
      <c r="I34" s="2">
        <v>1050</v>
      </c>
      <c r="J34" s="2" t="s">
        <v>186</v>
      </c>
      <c r="K34" s="9">
        <v>144</v>
      </c>
      <c r="L34" s="9"/>
      <c r="M34" s="9"/>
      <c r="N34" s="6" t="s">
        <v>182</v>
      </c>
      <c r="O34" s="58"/>
      <c r="P34" s="8"/>
      <c r="Q34" s="1"/>
      <c r="R34" s="8"/>
      <c r="S34" s="14">
        <v>30.5</v>
      </c>
      <c r="T34" s="36"/>
      <c r="U34" s="14"/>
      <c r="V34" s="8"/>
      <c r="W34" s="8"/>
      <c r="X34" s="1"/>
      <c r="Y34" s="1"/>
      <c r="Z34" s="1"/>
      <c r="AA34" s="1"/>
      <c r="AB34" s="1"/>
      <c r="AC34" s="18">
        <v>554.50400000000002</v>
      </c>
      <c r="AD34" s="5"/>
      <c r="AE34" s="80">
        <f t="shared" si="24"/>
        <v>7.9406250000000007</v>
      </c>
      <c r="AF34" s="77"/>
      <c r="AG34" s="77"/>
      <c r="AH34" s="77"/>
      <c r="AI34" s="77"/>
      <c r="AJ34" s="82">
        <f t="shared" si="29"/>
        <v>57.75</v>
      </c>
      <c r="AK34" s="8"/>
      <c r="AL34" s="8"/>
      <c r="AM34" s="1"/>
      <c r="AN34" s="1"/>
      <c r="AO34" s="8"/>
      <c r="AP34" s="5"/>
      <c r="AQ34" s="91">
        <f t="shared" si="26"/>
        <v>2.8874999999999997</v>
      </c>
      <c r="AR34" s="94"/>
      <c r="AS34" s="94"/>
      <c r="AT34" s="93"/>
      <c r="AU34" s="1"/>
      <c r="AV34" s="8"/>
      <c r="AW34" s="8"/>
      <c r="AX34" s="5"/>
      <c r="AY34" s="1"/>
      <c r="AZ34" s="5"/>
    </row>
    <row r="35" spans="1:52" s="11" customFormat="1" x14ac:dyDescent="0.25">
      <c r="A35" s="1"/>
      <c r="B35" s="61" t="s">
        <v>155</v>
      </c>
      <c r="C35" s="5"/>
      <c r="D35" s="6">
        <v>1</v>
      </c>
      <c r="E35" s="2">
        <v>22.5</v>
      </c>
      <c r="F35" s="2">
        <v>5.5</v>
      </c>
      <c r="G35" s="2">
        <v>10</v>
      </c>
      <c r="H35" s="2">
        <v>2498</v>
      </c>
      <c r="I35" s="2">
        <v>1040</v>
      </c>
      <c r="J35" s="2" t="s">
        <v>186</v>
      </c>
      <c r="K35" s="9">
        <v>216</v>
      </c>
      <c r="L35" s="9"/>
      <c r="M35" s="9"/>
      <c r="N35" s="6" t="s">
        <v>21</v>
      </c>
      <c r="O35" s="58"/>
      <c r="P35" s="8"/>
      <c r="Q35" s="1"/>
      <c r="R35" s="8"/>
      <c r="S35" s="14">
        <v>36.799999999999997</v>
      </c>
      <c r="T35" s="36"/>
      <c r="U35" s="14"/>
      <c r="V35" s="8"/>
      <c r="W35" s="8"/>
      <c r="X35" s="1"/>
      <c r="Y35" s="1"/>
      <c r="Z35" s="1"/>
      <c r="AA35" s="1"/>
      <c r="AB35" s="1"/>
      <c r="AC35" s="18">
        <v>495.86</v>
      </c>
      <c r="AD35" s="5"/>
      <c r="AE35" s="80">
        <f t="shared" si="24"/>
        <v>6.4896041600000007</v>
      </c>
      <c r="AF35" s="77"/>
      <c r="AG35" s="77"/>
      <c r="AH35" s="77"/>
      <c r="AI35" s="77"/>
      <c r="AJ35" s="82">
        <f t="shared" si="29"/>
        <v>58.453199999999995</v>
      </c>
      <c r="AK35" s="8"/>
      <c r="AL35" s="8"/>
      <c r="AM35" s="1"/>
      <c r="AN35" s="1"/>
      <c r="AO35" s="8"/>
      <c r="AP35" s="5"/>
      <c r="AQ35" s="91">
        <f t="shared" si="26"/>
        <v>2.5979199999999998</v>
      </c>
      <c r="AR35" s="94"/>
      <c r="AS35" s="94"/>
      <c r="AT35" s="93"/>
      <c r="AU35" s="1"/>
      <c r="AV35" s="8"/>
      <c r="AW35" s="8"/>
      <c r="AX35" s="5"/>
      <c r="AY35" s="1"/>
      <c r="AZ35" s="5"/>
    </row>
    <row r="36" spans="1:52" s="11" customFormat="1" x14ac:dyDescent="0.25">
      <c r="A36" s="1"/>
      <c r="B36" s="61" t="s">
        <v>156</v>
      </c>
      <c r="C36" s="5"/>
      <c r="D36" s="6">
        <v>1</v>
      </c>
      <c r="E36" s="2">
        <v>16.5</v>
      </c>
      <c r="F36" s="2">
        <v>6.3</v>
      </c>
      <c r="G36" s="2">
        <v>52</v>
      </c>
      <c r="H36" s="2">
        <v>6500</v>
      </c>
      <c r="I36" s="2">
        <v>580</v>
      </c>
      <c r="J36" s="2" t="s">
        <v>186</v>
      </c>
      <c r="K36" s="9">
        <v>384</v>
      </c>
      <c r="L36" s="9"/>
      <c r="M36" s="9"/>
      <c r="N36" s="6" t="s">
        <v>21</v>
      </c>
      <c r="O36" s="58"/>
      <c r="P36" s="8"/>
      <c r="Q36" s="1"/>
      <c r="R36" s="8"/>
      <c r="S36" s="14">
        <v>41.7</v>
      </c>
      <c r="T36" s="36"/>
      <c r="U36" s="14"/>
      <c r="V36" s="8"/>
      <c r="W36" s="8"/>
      <c r="X36" s="1"/>
      <c r="Y36" s="1"/>
      <c r="Z36" s="1"/>
      <c r="AA36" s="1"/>
      <c r="AB36" s="1"/>
      <c r="AC36" s="18">
        <v>764.67699999999991</v>
      </c>
      <c r="AD36" s="5"/>
      <c r="AE36" s="80">
        <f t="shared" si="24"/>
        <v>24.505000000000003</v>
      </c>
      <c r="AF36" s="77"/>
      <c r="AG36" s="77"/>
      <c r="AH36" s="77"/>
      <c r="AI36" s="77"/>
      <c r="AJ36" s="82">
        <f t="shared" si="29"/>
        <v>62.204999999999998</v>
      </c>
      <c r="AK36" s="8"/>
      <c r="AL36" s="8"/>
      <c r="AM36" s="1"/>
      <c r="AN36" s="1"/>
      <c r="AO36" s="8"/>
      <c r="AP36" s="5"/>
      <c r="AQ36" s="91">
        <f t="shared" si="26"/>
        <v>3.77</v>
      </c>
      <c r="AR36" s="94"/>
      <c r="AS36" s="94"/>
      <c r="AT36" s="93"/>
      <c r="AU36" s="1"/>
      <c r="AV36" s="8"/>
      <c r="AW36" s="8"/>
      <c r="AX36" s="5"/>
      <c r="AY36" s="1"/>
      <c r="AZ36" s="5"/>
    </row>
    <row r="37" spans="1:52" s="11" customFormat="1" x14ac:dyDescent="0.25">
      <c r="A37" s="1"/>
      <c r="B37" s="61" t="s">
        <v>130</v>
      </c>
      <c r="C37" s="5"/>
      <c r="D37" s="6">
        <v>1</v>
      </c>
      <c r="E37" s="2">
        <v>32</v>
      </c>
      <c r="F37" s="2">
        <v>10.5</v>
      </c>
      <c r="G37" s="2">
        <v>12</v>
      </c>
      <c r="H37" s="2">
        <v>2700</v>
      </c>
      <c r="I37" s="2">
        <v>1450</v>
      </c>
      <c r="J37" s="2" t="s">
        <v>186</v>
      </c>
      <c r="K37" s="9">
        <v>162</v>
      </c>
      <c r="L37" s="9"/>
      <c r="M37" s="9"/>
      <c r="N37" s="6" t="s">
        <v>21</v>
      </c>
      <c r="O37" s="58"/>
      <c r="P37" s="8"/>
      <c r="Q37" s="1"/>
      <c r="R37" s="8"/>
      <c r="S37" s="14">
        <v>43.7</v>
      </c>
      <c r="T37" s="36"/>
      <c r="U37" s="14"/>
      <c r="V37" s="8"/>
      <c r="W37" s="8"/>
      <c r="X37" s="1"/>
      <c r="Y37" s="1"/>
      <c r="Z37" s="1"/>
      <c r="AA37" s="1"/>
      <c r="AB37" s="1"/>
      <c r="AC37" s="18">
        <v>554.74800000000005</v>
      </c>
      <c r="AD37" s="5"/>
      <c r="AE37" s="80">
        <f t="shared" si="24"/>
        <v>10.570500000000001</v>
      </c>
      <c r="AF37" s="77"/>
      <c r="AG37" s="77"/>
      <c r="AH37" s="77"/>
      <c r="AI37" s="77"/>
      <c r="AJ37" s="82">
        <f t="shared" si="29"/>
        <v>125.28</v>
      </c>
      <c r="AK37" s="8"/>
      <c r="AL37" s="8"/>
      <c r="AM37" s="1"/>
      <c r="AN37" s="1"/>
      <c r="AO37" s="8"/>
      <c r="AP37" s="5"/>
      <c r="AQ37" s="91">
        <f t="shared" si="26"/>
        <v>3.915</v>
      </c>
      <c r="AR37" s="94"/>
      <c r="AS37" s="94"/>
      <c r="AT37" s="93"/>
      <c r="AU37" s="1"/>
      <c r="AV37" s="8"/>
      <c r="AW37" s="8"/>
      <c r="AX37" s="5"/>
      <c r="AY37" s="1"/>
      <c r="AZ37" s="5"/>
    </row>
    <row r="38" spans="1:52" s="11" customFormat="1" x14ac:dyDescent="0.25">
      <c r="A38" s="1"/>
      <c r="B38" s="61" t="s">
        <v>131</v>
      </c>
      <c r="C38" s="5"/>
      <c r="D38" s="6">
        <v>1</v>
      </c>
      <c r="E38" s="2">
        <v>32</v>
      </c>
      <c r="F38" s="2">
        <v>10.5</v>
      </c>
      <c r="G38" s="2">
        <v>12</v>
      </c>
      <c r="H38" s="2">
        <v>2700</v>
      </c>
      <c r="I38" s="2">
        <v>1450</v>
      </c>
      <c r="J38" s="2" t="s">
        <v>186</v>
      </c>
      <c r="K38" s="9">
        <v>162</v>
      </c>
      <c r="L38" s="9"/>
      <c r="M38" s="9"/>
      <c r="N38" s="6" t="s">
        <v>21</v>
      </c>
      <c r="O38" s="58"/>
      <c r="P38" s="8"/>
      <c r="Q38" s="1"/>
      <c r="R38" s="8"/>
      <c r="S38" s="14">
        <v>43.7</v>
      </c>
      <c r="T38" s="36"/>
      <c r="U38" s="14"/>
      <c r="V38" s="8"/>
      <c r="W38" s="8"/>
      <c r="X38" s="1"/>
      <c r="Y38" s="1"/>
      <c r="Z38" s="1"/>
      <c r="AA38" s="1"/>
      <c r="AB38" s="1"/>
      <c r="AC38" s="18">
        <v>554.74800000000005</v>
      </c>
      <c r="AD38" s="5"/>
      <c r="AE38" s="80">
        <f t="shared" si="24"/>
        <v>10.570500000000001</v>
      </c>
      <c r="AF38" s="77"/>
      <c r="AG38" s="77"/>
      <c r="AH38" s="77"/>
      <c r="AI38" s="77"/>
      <c r="AJ38" s="82">
        <f t="shared" si="29"/>
        <v>125.28</v>
      </c>
      <c r="AK38" s="8"/>
      <c r="AL38" s="8"/>
      <c r="AM38" s="1"/>
      <c r="AN38" s="1"/>
      <c r="AO38" s="8"/>
      <c r="AP38" s="5"/>
      <c r="AQ38" s="91">
        <f t="shared" si="26"/>
        <v>3.915</v>
      </c>
      <c r="AR38" s="94"/>
      <c r="AS38" s="94"/>
      <c r="AT38" s="93"/>
      <c r="AU38" s="1"/>
      <c r="AV38" s="8"/>
      <c r="AW38" s="8"/>
      <c r="AX38" s="5"/>
      <c r="AY38" s="1"/>
      <c r="AZ38" s="5"/>
    </row>
    <row r="39" spans="1:52" s="11" customFormat="1" x14ac:dyDescent="0.25">
      <c r="A39" s="1"/>
      <c r="B39" s="61" t="s">
        <v>157</v>
      </c>
      <c r="C39" s="5"/>
      <c r="D39" s="6">
        <v>1</v>
      </c>
      <c r="E39" s="2">
        <v>22</v>
      </c>
      <c r="F39" s="2">
        <v>10</v>
      </c>
      <c r="G39" s="2">
        <v>18</v>
      </c>
      <c r="H39" s="2">
        <v>3304</v>
      </c>
      <c r="I39" s="2">
        <v>1420</v>
      </c>
      <c r="J39" s="2" t="s">
        <v>186</v>
      </c>
      <c r="K39" s="9">
        <v>216</v>
      </c>
      <c r="L39" s="9"/>
      <c r="M39" s="9"/>
      <c r="N39" s="6" t="s">
        <v>21</v>
      </c>
      <c r="O39" s="58"/>
      <c r="P39" s="8"/>
      <c r="Q39" s="1"/>
      <c r="R39" s="8"/>
      <c r="S39" s="14">
        <v>44.3</v>
      </c>
      <c r="T39" s="36"/>
      <c r="U39" s="14"/>
      <c r="V39" s="8"/>
      <c r="W39" s="8"/>
      <c r="X39" s="1"/>
      <c r="Y39" s="1"/>
      <c r="Z39" s="1"/>
      <c r="AA39" s="1"/>
      <c r="AB39" s="1"/>
      <c r="AC39" s="18">
        <v>554.76900000000001</v>
      </c>
      <c r="AD39" s="5"/>
      <c r="AE39" s="80">
        <f t="shared" si="24"/>
        <v>15.501310720000001</v>
      </c>
      <c r="AF39" s="77"/>
      <c r="AG39" s="77"/>
      <c r="AH39" s="77"/>
      <c r="AI39" s="77"/>
      <c r="AJ39" s="82">
        <f t="shared" si="29"/>
        <v>103.21696</v>
      </c>
      <c r="AK39" s="8"/>
      <c r="AL39" s="8"/>
      <c r="AM39" s="1"/>
      <c r="AN39" s="1"/>
      <c r="AO39" s="8"/>
      <c r="AP39" s="5"/>
      <c r="AQ39" s="91">
        <f t="shared" si="26"/>
        <v>4.6916799999999999</v>
      </c>
      <c r="AR39" s="94"/>
      <c r="AS39" s="94"/>
      <c r="AT39" s="93"/>
      <c r="AU39" s="1"/>
      <c r="AV39" s="8"/>
      <c r="AW39" s="8"/>
      <c r="AX39" s="5"/>
      <c r="AY39" s="1"/>
      <c r="AZ39" s="5"/>
    </row>
    <row r="40" spans="1:52" s="11" customFormat="1" x14ac:dyDescent="0.25">
      <c r="A40" s="1"/>
      <c r="B40" s="61" t="s">
        <v>158</v>
      </c>
      <c r="C40" s="5"/>
      <c r="D40" s="6">
        <v>3</v>
      </c>
      <c r="E40" s="2">
        <v>38</v>
      </c>
      <c r="F40" s="2">
        <v>10</v>
      </c>
      <c r="G40" s="2">
        <v>10</v>
      </c>
      <c r="H40" s="2">
        <v>2289</v>
      </c>
      <c r="I40" s="2">
        <v>1800</v>
      </c>
      <c r="J40" s="2" t="s">
        <v>186</v>
      </c>
      <c r="K40" s="9">
        <v>120</v>
      </c>
      <c r="L40" s="9"/>
      <c r="M40" s="9"/>
      <c r="N40" s="6" t="s">
        <v>21</v>
      </c>
      <c r="O40" s="58"/>
      <c r="P40" s="8"/>
      <c r="Q40" s="1"/>
      <c r="R40" s="8"/>
      <c r="S40" s="14">
        <v>47.1</v>
      </c>
      <c r="T40" s="36"/>
      <c r="U40" s="14"/>
      <c r="V40" s="8"/>
      <c r="W40" s="8"/>
      <c r="X40" s="1"/>
      <c r="Y40" s="1"/>
      <c r="Z40" s="1"/>
      <c r="AA40" s="1"/>
      <c r="AB40" s="1"/>
      <c r="AC40" s="18">
        <v>517.73500000000001</v>
      </c>
      <c r="AD40" s="5"/>
      <c r="AE40" s="80">
        <f t="shared" si="24"/>
        <v>9.4311378000000001</v>
      </c>
      <c r="AF40" s="77"/>
      <c r="AG40" s="77"/>
      <c r="AH40" s="77"/>
      <c r="AI40" s="77"/>
      <c r="AJ40" s="82">
        <f t="shared" si="29"/>
        <v>156.5676</v>
      </c>
      <c r="AK40" s="8"/>
      <c r="AL40" s="8"/>
      <c r="AM40" s="1"/>
      <c r="AN40" s="1"/>
      <c r="AO40" s="8"/>
      <c r="AP40" s="5"/>
      <c r="AQ40" s="91">
        <f t="shared" si="26"/>
        <v>4.1201999999999996</v>
      </c>
      <c r="AR40" s="94"/>
      <c r="AS40" s="94"/>
      <c r="AT40" s="93"/>
      <c r="AU40" s="1"/>
      <c r="AV40" s="8"/>
      <c r="AW40" s="8"/>
      <c r="AX40" s="5"/>
      <c r="AY40" s="1"/>
      <c r="AZ40" s="5"/>
    </row>
    <row r="41" spans="1:52" s="11" customFormat="1" x14ac:dyDescent="0.25">
      <c r="A41" s="1"/>
      <c r="B41" s="61" t="s">
        <v>132</v>
      </c>
      <c r="C41" s="5"/>
      <c r="D41" s="6">
        <v>3</v>
      </c>
      <c r="E41" s="2">
        <v>12.5</v>
      </c>
      <c r="F41" s="2">
        <v>6.3</v>
      </c>
      <c r="G41" s="2">
        <v>88</v>
      </c>
      <c r="H41" s="2">
        <v>8000</v>
      </c>
      <c r="I41" s="2">
        <v>600</v>
      </c>
      <c r="J41" s="2" t="s">
        <v>186</v>
      </c>
      <c r="K41" s="9">
        <v>624</v>
      </c>
      <c r="L41" s="9"/>
      <c r="M41" s="9"/>
      <c r="N41" s="6" t="s">
        <v>21</v>
      </c>
      <c r="O41" s="58"/>
      <c r="P41" s="8"/>
      <c r="Q41" s="1"/>
      <c r="R41" s="8"/>
      <c r="S41" s="14">
        <v>49</v>
      </c>
      <c r="T41" s="36"/>
      <c r="U41" s="14"/>
      <c r="V41" s="8"/>
      <c r="W41" s="8"/>
      <c r="X41" s="1"/>
      <c r="Y41" s="1"/>
      <c r="Z41" s="1"/>
      <c r="AA41" s="1"/>
      <c r="AB41" s="1"/>
      <c r="AC41" s="18">
        <v>975.82500000000005</v>
      </c>
      <c r="AD41" s="5"/>
      <c r="AE41" s="80">
        <f t="shared" si="24"/>
        <v>38.400000000000006</v>
      </c>
      <c r="AF41" s="77"/>
      <c r="AG41" s="77"/>
      <c r="AH41" s="77"/>
      <c r="AI41" s="77"/>
      <c r="AJ41" s="82">
        <f t="shared" si="29"/>
        <v>60</v>
      </c>
      <c r="AK41" s="8"/>
      <c r="AL41" s="8"/>
      <c r="AM41" s="1"/>
      <c r="AN41" s="1"/>
      <c r="AO41" s="8"/>
      <c r="AP41" s="5"/>
      <c r="AQ41" s="91">
        <f t="shared" si="26"/>
        <v>4.8</v>
      </c>
      <c r="AR41" s="94"/>
      <c r="AS41" s="94"/>
      <c r="AT41" s="93"/>
      <c r="AU41" s="1"/>
      <c r="AV41" s="8"/>
      <c r="AW41" s="8"/>
      <c r="AX41" s="5"/>
      <c r="AY41" s="1"/>
      <c r="AZ41" s="5"/>
    </row>
    <row r="42" spans="1:52" s="11" customFormat="1" x14ac:dyDescent="0.25">
      <c r="A42" s="1"/>
      <c r="B42" s="61" t="s">
        <v>159</v>
      </c>
      <c r="C42" s="5"/>
      <c r="D42" s="6">
        <v>1</v>
      </c>
      <c r="E42" s="2">
        <v>42</v>
      </c>
      <c r="F42" s="2">
        <v>10</v>
      </c>
      <c r="G42" s="2">
        <v>28</v>
      </c>
      <c r="H42" s="2">
        <v>4200</v>
      </c>
      <c r="I42" s="2">
        <v>1770</v>
      </c>
      <c r="J42" s="2" t="s">
        <v>185</v>
      </c>
      <c r="K42" s="9">
        <v>189</v>
      </c>
      <c r="L42" s="9"/>
      <c r="M42" s="9"/>
      <c r="N42" s="6" t="s">
        <v>21</v>
      </c>
      <c r="O42" s="58"/>
      <c r="P42" s="8"/>
      <c r="Q42" s="1"/>
      <c r="R42" s="8"/>
      <c r="S42" s="14">
        <v>49.8</v>
      </c>
      <c r="T42" s="36"/>
      <c r="U42" s="14"/>
      <c r="V42" s="8"/>
      <c r="W42" s="8"/>
      <c r="X42" s="1"/>
      <c r="Y42" s="1"/>
      <c r="Z42" s="1"/>
      <c r="AA42" s="1"/>
      <c r="AB42" s="1"/>
      <c r="AC42" s="18">
        <v>606.19899999999996</v>
      </c>
      <c r="AD42" s="5"/>
      <c r="AE42" s="80">
        <f t="shared" si="24"/>
        <v>31.222800000000003</v>
      </c>
      <c r="AF42" s="77"/>
      <c r="AG42" s="77"/>
      <c r="AH42" s="77"/>
      <c r="AI42" s="77"/>
      <c r="AJ42" s="82">
        <f t="shared" si="29"/>
        <v>312.22800000000001</v>
      </c>
      <c r="AK42" s="8"/>
      <c r="AL42" s="8"/>
      <c r="AM42" s="1"/>
      <c r="AN42" s="1"/>
      <c r="AO42" s="8"/>
      <c r="AP42" s="5"/>
      <c r="AQ42" s="91">
        <f t="shared" si="26"/>
        <v>7.4339999999999993</v>
      </c>
      <c r="AR42" s="94"/>
      <c r="AS42" s="94"/>
      <c r="AT42" s="93"/>
      <c r="AU42" s="1"/>
      <c r="AV42" s="8"/>
      <c r="AW42" s="8"/>
      <c r="AX42" s="5"/>
      <c r="AY42" s="1"/>
      <c r="AZ42" s="5"/>
    </row>
    <row r="43" spans="1:52" s="11" customFormat="1" x14ac:dyDescent="0.25">
      <c r="A43" s="1"/>
      <c r="B43" s="61" t="s">
        <v>160</v>
      </c>
      <c r="C43" s="5"/>
      <c r="D43" s="6">
        <v>2</v>
      </c>
      <c r="E43" s="2">
        <v>53</v>
      </c>
      <c r="F43" s="2">
        <v>11</v>
      </c>
      <c r="G43" s="2">
        <v>8</v>
      </c>
      <c r="H43" s="2">
        <v>2350</v>
      </c>
      <c r="I43" s="2">
        <v>1800</v>
      </c>
      <c r="J43" s="2" t="s">
        <v>186</v>
      </c>
      <c r="K43" s="9">
        <v>99</v>
      </c>
      <c r="L43" s="9"/>
      <c r="M43" s="9"/>
      <c r="N43" s="6" t="s">
        <v>21</v>
      </c>
      <c r="O43" s="58"/>
      <c r="P43" s="8"/>
      <c r="Q43" s="1"/>
      <c r="R43" s="8"/>
      <c r="S43" s="14">
        <v>61.1</v>
      </c>
      <c r="T43" s="36"/>
      <c r="U43" s="14"/>
      <c r="V43" s="8"/>
      <c r="W43" s="8"/>
      <c r="X43" s="1"/>
      <c r="Y43" s="1"/>
      <c r="Z43" s="1"/>
      <c r="AA43" s="1"/>
      <c r="AB43" s="1"/>
      <c r="AC43" s="18">
        <v>649.798</v>
      </c>
      <c r="AD43" s="5"/>
      <c r="AE43" s="80">
        <f t="shared" si="24"/>
        <v>9.9405000000000001</v>
      </c>
      <c r="AF43" s="77"/>
      <c r="AG43" s="77"/>
      <c r="AH43" s="77"/>
      <c r="AI43" s="77"/>
      <c r="AJ43" s="82">
        <f t="shared" si="29"/>
        <v>224.19</v>
      </c>
      <c r="AK43" s="8"/>
      <c r="AL43" s="8"/>
      <c r="AM43" s="1"/>
      <c r="AN43" s="1"/>
      <c r="AO43" s="8"/>
      <c r="AP43" s="5"/>
      <c r="AQ43" s="91">
        <f t="shared" si="26"/>
        <v>4.2299999999999995</v>
      </c>
      <c r="AR43" s="94"/>
      <c r="AS43" s="94"/>
      <c r="AT43" s="93"/>
      <c r="AU43" s="1"/>
      <c r="AV43" s="8"/>
      <c r="AW43" s="8"/>
      <c r="AX43" s="5"/>
      <c r="AY43" s="1"/>
      <c r="AZ43" s="5"/>
    </row>
    <row r="44" spans="1:52" s="11" customFormat="1" x14ac:dyDescent="0.25">
      <c r="A44" s="1"/>
      <c r="B44" s="61" t="s">
        <v>161</v>
      </c>
      <c r="C44" s="5"/>
      <c r="D44" s="6">
        <v>1</v>
      </c>
      <c r="E44" s="2">
        <v>48.93</v>
      </c>
      <c r="F44" s="2">
        <v>10.5</v>
      </c>
      <c r="G44" s="2">
        <v>24</v>
      </c>
      <c r="H44" s="2">
        <v>4844</v>
      </c>
      <c r="I44" s="2">
        <v>1620</v>
      </c>
      <c r="J44" s="2" t="s">
        <v>185</v>
      </c>
      <c r="K44" s="9">
        <v>162</v>
      </c>
      <c r="L44" s="9"/>
      <c r="M44" s="9"/>
      <c r="N44" s="6" t="s">
        <v>21</v>
      </c>
      <c r="O44" s="58"/>
      <c r="P44" s="8"/>
      <c r="Q44" s="1"/>
      <c r="R44" s="8"/>
      <c r="S44" s="14">
        <v>63.5</v>
      </c>
      <c r="T44" s="36"/>
      <c r="U44" s="14"/>
      <c r="V44" s="8"/>
      <c r="W44" s="8"/>
      <c r="X44" s="1"/>
      <c r="Y44" s="1"/>
      <c r="Z44" s="1"/>
      <c r="AA44" s="1"/>
      <c r="AB44" s="1"/>
      <c r="AC44" s="18">
        <v>711.28899999999999</v>
      </c>
      <c r="AD44" s="5"/>
      <c r="AE44" s="80">
        <f t="shared" si="24"/>
        <v>38.012224320000001</v>
      </c>
      <c r="AF44" s="77"/>
      <c r="AG44" s="77"/>
      <c r="AH44" s="77"/>
      <c r="AI44" s="77"/>
      <c r="AJ44" s="82">
        <f t="shared" si="29"/>
        <v>383.96741039999995</v>
      </c>
      <c r="AK44" s="8"/>
      <c r="AL44" s="8"/>
      <c r="AM44" s="1"/>
      <c r="AN44" s="1"/>
      <c r="AO44" s="8"/>
      <c r="AP44" s="5"/>
      <c r="AQ44" s="91">
        <f t="shared" si="26"/>
        <v>7.8472799999999996</v>
      </c>
      <c r="AR44" s="94"/>
      <c r="AS44" s="94"/>
      <c r="AT44" s="93"/>
      <c r="AU44" s="1"/>
      <c r="AV44" s="8"/>
      <c r="AW44" s="8"/>
      <c r="AX44" s="5"/>
      <c r="AY44" s="1"/>
      <c r="AZ44" s="5"/>
    </row>
    <row r="45" spans="1:52" s="11" customFormat="1" x14ac:dyDescent="0.25">
      <c r="A45" s="1"/>
      <c r="B45" s="61" t="s">
        <v>162</v>
      </c>
      <c r="C45" s="5"/>
      <c r="D45" s="6">
        <v>2</v>
      </c>
      <c r="E45" s="2">
        <v>46</v>
      </c>
      <c r="F45" s="2">
        <v>12</v>
      </c>
      <c r="G45" s="2">
        <v>12</v>
      </c>
      <c r="H45" s="2">
        <v>3173</v>
      </c>
      <c r="I45" s="2">
        <v>1300</v>
      </c>
      <c r="J45" s="2" t="s">
        <v>186</v>
      </c>
      <c r="K45" s="9">
        <v>162</v>
      </c>
      <c r="L45" s="9"/>
      <c r="M45" s="9"/>
      <c r="N45" s="6" t="s">
        <v>21</v>
      </c>
      <c r="O45" s="58"/>
      <c r="P45" s="8"/>
      <c r="Q45" s="1"/>
      <c r="R45" s="8"/>
      <c r="S45" s="14">
        <v>63.7</v>
      </c>
      <c r="T45" s="36"/>
      <c r="U45" s="14"/>
      <c r="V45" s="8"/>
      <c r="W45" s="8"/>
      <c r="X45" s="1"/>
      <c r="Y45" s="1"/>
      <c r="Z45" s="1"/>
      <c r="AA45" s="1"/>
      <c r="AB45" s="1"/>
      <c r="AC45" s="18">
        <v>562.13099999999997</v>
      </c>
      <c r="AD45" s="5"/>
      <c r="AE45" s="80">
        <f t="shared" si="24"/>
        <v>13.088307700000001</v>
      </c>
      <c r="AF45" s="77"/>
      <c r="AG45" s="77"/>
      <c r="AH45" s="77"/>
      <c r="AI45" s="77"/>
      <c r="AJ45" s="82">
        <f t="shared" si="29"/>
        <v>189.74539999999999</v>
      </c>
      <c r="AK45" s="8"/>
      <c r="AL45" s="8"/>
      <c r="AM45" s="1"/>
      <c r="AN45" s="1"/>
      <c r="AO45" s="8"/>
      <c r="AP45" s="5"/>
      <c r="AQ45" s="91">
        <f t="shared" si="26"/>
        <v>4.1249000000000002</v>
      </c>
      <c r="AR45" s="94"/>
      <c r="AS45" s="94"/>
      <c r="AT45" s="93"/>
      <c r="AU45" s="1"/>
      <c r="AV45" s="8"/>
      <c r="AW45" s="8"/>
      <c r="AX45" s="5"/>
      <c r="AY45" s="1"/>
      <c r="AZ45" s="5"/>
    </row>
    <row r="46" spans="1:52" s="11" customFormat="1" x14ac:dyDescent="0.25">
      <c r="A46" s="1"/>
      <c r="B46" s="61" t="s">
        <v>163</v>
      </c>
      <c r="C46" s="5"/>
      <c r="D46" s="6">
        <v>1</v>
      </c>
      <c r="E46" s="2">
        <v>35</v>
      </c>
      <c r="F46" s="2">
        <v>10.5</v>
      </c>
      <c r="G46" s="2">
        <v>18</v>
      </c>
      <c r="H46" s="2">
        <v>4506</v>
      </c>
      <c r="I46" s="2">
        <v>1000</v>
      </c>
      <c r="J46" s="2" t="s">
        <v>186</v>
      </c>
      <c r="K46" s="9">
        <v>216</v>
      </c>
      <c r="L46" s="9"/>
      <c r="M46" s="9"/>
      <c r="N46" s="6" t="s">
        <v>21</v>
      </c>
      <c r="O46" s="58"/>
      <c r="P46" s="8"/>
      <c r="Q46" s="1"/>
      <c r="R46" s="8"/>
      <c r="S46" s="14">
        <v>68.900000000000006</v>
      </c>
      <c r="T46" s="36"/>
      <c r="U46" s="14"/>
      <c r="V46" s="8"/>
      <c r="W46" s="8"/>
      <c r="X46" s="1"/>
      <c r="Y46" s="1"/>
      <c r="Z46" s="1"/>
      <c r="AA46" s="1"/>
      <c r="AB46" s="1"/>
      <c r="AC46" s="18">
        <v>706.69200000000001</v>
      </c>
      <c r="AD46" s="5"/>
      <c r="AE46" s="80">
        <f t="shared" si="24"/>
        <v>20.304036</v>
      </c>
      <c r="AF46" s="77"/>
      <c r="AG46" s="77"/>
      <c r="AH46" s="77"/>
      <c r="AI46" s="77"/>
      <c r="AJ46" s="82">
        <f t="shared" si="29"/>
        <v>157.70999999999998</v>
      </c>
      <c r="AK46" s="8"/>
      <c r="AL46" s="8"/>
      <c r="AM46" s="1"/>
      <c r="AN46" s="1"/>
      <c r="AO46" s="8"/>
      <c r="AP46" s="5"/>
      <c r="AQ46" s="91">
        <f t="shared" si="26"/>
        <v>4.5060000000000002</v>
      </c>
      <c r="AR46" s="94"/>
      <c r="AS46" s="94"/>
      <c r="AT46" s="93"/>
      <c r="AU46" s="1"/>
      <c r="AV46" s="8"/>
      <c r="AW46" s="8"/>
      <c r="AX46" s="5"/>
      <c r="AY46" s="1"/>
      <c r="AZ46" s="5"/>
    </row>
    <row r="47" spans="1:52" s="11" customFormat="1" x14ac:dyDescent="0.25">
      <c r="A47" s="1"/>
      <c r="B47" s="61" t="s">
        <v>164</v>
      </c>
      <c r="C47" s="5"/>
      <c r="D47" s="6">
        <v>2</v>
      </c>
      <c r="E47" s="2">
        <v>53</v>
      </c>
      <c r="F47" s="2">
        <v>10</v>
      </c>
      <c r="G47" s="2">
        <v>12</v>
      </c>
      <c r="H47" s="2">
        <v>2803</v>
      </c>
      <c r="I47" s="2">
        <v>2600</v>
      </c>
      <c r="J47" s="2" t="s">
        <v>186</v>
      </c>
      <c r="K47" s="9">
        <v>162</v>
      </c>
      <c r="L47" s="9"/>
      <c r="M47" s="9"/>
      <c r="N47" s="6" t="s">
        <v>21</v>
      </c>
      <c r="O47" s="58"/>
      <c r="P47" s="8"/>
      <c r="Q47" s="1"/>
      <c r="R47" s="8"/>
      <c r="S47" s="14">
        <v>70.7</v>
      </c>
      <c r="T47" s="36"/>
      <c r="U47" s="14"/>
      <c r="V47" s="8"/>
      <c r="W47" s="8"/>
      <c r="X47" s="1"/>
      <c r="Y47" s="1"/>
      <c r="Z47" s="1"/>
      <c r="AA47" s="1"/>
      <c r="AB47" s="1"/>
      <c r="AC47" s="18">
        <v>675.35299999999995</v>
      </c>
      <c r="AD47" s="5"/>
      <c r="AE47" s="80">
        <f t="shared" si="24"/>
        <v>20.427703400000002</v>
      </c>
      <c r="AF47" s="77"/>
      <c r="AG47" s="77"/>
      <c r="AH47" s="77"/>
      <c r="AI47" s="77"/>
      <c r="AJ47" s="82">
        <f t="shared" si="29"/>
        <v>386.2534</v>
      </c>
      <c r="AK47" s="8"/>
      <c r="AL47" s="8"/>
      <c r="AM47" s="1"/>
      <c r="AN47" s="1"/>
      <c r="AO47" s="8"/>
      <c r="AP47" s="5"/>
      <c r="AQ47" s="91">
        <f t="shared" si="26"/>
        <v>7.2877999999999998</v>
      </c>
      <c r="AR47" s="94"/>
      <c r="AS47" s="94"/>
      <c r="AT47" s="93"/>
      <c r="AU47" s="1"/>
      <c r="AV47" s="8"/>
      <c r="AW47" s="8"/>
      <c r="AX47" s="5"/>
      <c r="AY47" s="1"/>
      <c r="AZ47" s="5"/>
    </row>
    <row r="48" spans="1:52" s="11" customFormat="1" x14ac:dyDescent="0.25">
      <c r="A48" s="1"/>
      <c r="B48" s="61" t="s">
        <v>165</v>
      </c>
      <c r="C48" s="5"/>
      <c r="D48" s="6">
        <v>3</v>
      </c>
      <c r="E48" s="2">
        <v>60</v>
      </c>
      <c r="F48" s="2">
        <v>10.5</v>
      </c>
      <c r="G48" s="2">
        <v>8</v>
      </c>
      <c r="H48" s="2">
        <v>2200</v>
      </c>
      <c r="I48" s="2">
        <v>3000</v>
      </c>
      <c r="J48" s="2" t="s">
        <v>186</v>
      </c>
      <c r="K48" s="9">
        <v>144</v>
      </c>
      <c r="L48" s="9"/>
      <c r="M48" s="9"/>
      <c r="N48" s="6" t="s">
        <v>21</v>
      </c>
      <c r="O48" s="58"/>
      <c r="P48" s="8"/>
      <c r="Q48" s="1"/>
      <c r="R48" s="8"/>
      <c r="S48" s="14">
        <v>73.7</v>
      </c>
      <c r="T48" s="36"/>
      <c r="U48" s="14"/>
      <c r="V48" s="8"/>
      <c r="W48" s="8"/>
      <c r="X48" s="1"/>
      <c r="Y48" s="1"/>
      <c r="Z48" s="1"/>
      <c r="AA48" s="1"/>
      <c r="AB48" s="1"/>
      <c r="AC48" s="18">
        <v>703.53399999999999</v>
      </c>
      <c r="AD48" s="5"/>
      <c r="AE48" s="80">
        <f t="shared" si="24"/>
        <v>14.520000000000001</v>
      </c>
      <c r="AF48" s="77"/>
      <c r="AG48" s="77"/>
      <c r="AH48" s="77"/>
      <c r="AI48" s="77"/>
      <c r="AJ48" s="82">
        <f t="shared" si="29"/>
        <v>396</v>
      </c>
      <c r="AK48" s="8"/>
      <c r="AL48" s="8"/>
      <c r="AM48" s="1"/>
      <c r="AN48" s="1"/>
      <c r="AO48" s="8"/>
      <c r="AP48" s="5"/>
      <c r="AQ48" s="91">
        <f t="shared" si="26"/>
        <v>6.6</v>
      </c>
      <c r="AR48" s="94"/>
      <c r="AS48" s="94"/>
      <c r="AT48" s="93"/>
      <c r="AU48" s="1"/>
      <c r="AV48" s="8"/>
      <c r="AW48" s="8"/>
      <c r="AX48" s="5"/>
      <c r="AY48" s="1"/>
      <c r="AZ48" s="5"/>
    </row>
    <row r="49" spans="1:52" s="11" customFormat="1" x14ac:dyDescent="0.25">
      <c r="A49" s="1"/>
      <c r="B49" s="61" t="s">
        <v>166</v>
      </c>
      <c r="C49" s="5"/>
      <c r="D49" s="6">
        <v>1</v>
      </c>
      <c r="E49" s="2">
        <v>35</v>
      </c>
      <c r="F49" s="2">
        <v>11</v>
      </c>
      <c r="G49" s="2">
        <v>40</v>
      </c>
      <c r="H49" s="2">
        <v>6685</v>
      </c>
      <c r="I49" s="2">
        <v>813</v>
      </c>
      <c r="J49" s="2" t="s">
        <v>186</v>
      </c>
      <c r="K49" s="9">
        <v>420</v>
      </c>
      <c r="L49" s="9"/>
      <c r="M49" s="9"/>
      <c r="N49" s="6" t="s">
        <v>182</v>
      </c>
      <c r="O49" s="58"/>
      <c r="P49" s="8"/>
      <c r="Q49" s="1"/>
      <c r="R49" s="8"/>
      <c r="S49" s="14">
        <v>74.7</v>
      </c>
      <c r="T49" s="36"/>
      <c r="U49" s="14"/>
      <c r="V49" s="8"/>
      <c r="W49" s="8"/>
      <c r="X49" s="1"/>
      <c r="Y49" s="1"/>
      <c r="Z49" s="1"/>
      <c r="AA49" s="1"/>
      <c r="AB49" s="1"/>
      <c r="AC49" s="18">
        <v>797.89599999999996</v>
      </c>
      <c r="AD49" s="5"/>
      <c r="AE49" s="80">
        <f t="shared" si="24"/>
        <v>36.332339924999999</v>
      </c>
      <c r="AF49" s="77"/>
      <c r="AG49" s="77"/>
      <c r="AH49" s="77"/>
      <c r="AI49" s="77"/>
      <c r="AJ49" s="82">
        <f t="shared" si="29"/>
        <v>190.221675</v>
      </c>
      <c r="AK49" s="8"/>
      <c r="AL49" s="8"/>
      <c r="AM49" s="1"/>
      <c r="AN49" s="1"/>
      <c r="AO49" s="8"/>
      <c r="AP49" s="5"/>
      <c r="AQ49" s="91">
        <f t="shared" si="26"/>
        <v>5.4349049999999997</v>
      </c>
      <c r="AR49" s="94"/>
      <c r="AS49" s="94"/>
      <c r="AT49" s="93"/>
      <c r="AU49" s="1"/>
      <c r="AV49" s="8"/>
      <c r="AW49" s="8"/>
      <c r="AX49" s="5"/>
      <c r="AY49" s="1"/>
      <c r="AZ49" s="5"/>
    </row>
    <row r="50" spans="1:52" s="11" customFormat="1" x14ac:dyDescent="0.25">
      <c r="A50" s="1"/>
      <c r="B50" s="61" t="s">
        <v>167</v>
      </c>
      <c r="C50" s="5"/>
      <c r="D50" s="6">
        <v>2</v>
      </c>
      <c r="E50" s="2">
        <v>50</v>
      </c>
      <c r="F50" s="2">
        <v>10.5</v>
      </c>
      <c r="G50" s="2">
        <v>24</v>
      </c>
      <c r="H50" s="2">
        <v>5000</v>
      </c>
      <c r="I50" s="2">
        <v>1620</v>
      </c>
      <c r="J50" s="2" t="s">
        <v>186</v>
      </c>
      <c r="K50" s="9">
        <v>306</v>
      </c>
      <c r="L50" s="9"/>
      <c r="M50" s="9"/>
      <c r="N50" s="6" t="s">
        <v>21</v>
      </c>
      <c r="O50" s="58"/>
      <c r="P50" s="8"/>
      <c r="Q50" s="1"/>
      <c r="R50" s="8"/>
      <c r="S50" s="14">
        <v>78.599999999999994</v>
      </c>
      <c r="T50" s="36"/>
      <c r="U50" s="14"/>
      <c r="V50" s="8"/>
      <c r="W50" s="8"/>
      <c r="X50" s="1"/>
      <c r="Y50" s="1"/>
      <c r="Z50" s="1"/>
      <c r="AA50" s="1"/>
      <c r="AB50" s="1"/>
      <c r="AC50" s="18">
        <v>822.41</v>
      </c>
      <c r="AD50" s="5"/>
      <c r="AE50" s="80">
        <f t="shared" si="24"/>
        <v>40.5</v>
      </c>
      <c r="AF50" s="77"/>
      <c r="AG50" s="77"/>
      <c r="AH50" s="77"/>
      <c r="AI50" s="77"/>
      <c r="AJ50" s="82">
        <f t="shared" si="29"/>
        <v>405</v>
      </c>
      <c r="AK50" s="8"/>
      <c r="AL50" s="8"/>
      <c r="AM50" s="1"/>
      <c r="AN50" s="1"/>
      <c r="AO50" s="8"/>
      <c r="AP50" s="5"/>
      <c r="AQ50" s="91">
        <f t="shared" si="26"/>
        <v>8.1</v>
      </c>
      <c r="AR50" s="94"/>
      <c r="AS50" s="94"/>
      <c r="AT50" s="93"/>
      <c r="AU50" s="1"/>
      <c r="AV50" s="8"/>
      <c r="AW50" s="8"/>
      <c r="AX50" s="5"/>
      <c r="AY50" s="1"/>
      <c r="AZ50" s="5"/>
    </row>
    <row r="51" spans="1:52" s="11" customFormat="1" x14ac:dyDescent="0.25">
      <c r="A51" s="1"/>
      <c r="B51" s="61" t="s">
        <v>138</v>
      </c>
      <c r="C51" s="5"/>
      <c r="D51" s="6">
        <v>2</v>
      </c>
      <c r="E51" s="2">
        <v>52</v>
      </c>
      <c r="F51" s="2">
        <v>10.5</v>
      </c>
      <c r="G51" s="2">
        <v>44</v>
      </c>
      <c r="H51" s="2">
        <v>7096</v>
      </c>
      <c r="I51" s="2">
        <v>1150</v>
      </c>
      <c r="J51" s="2" t="s">
        <v>186</v>
      </c>
      <c r="K51" s="9">
        <v>285</v>
      </c>
      <c r="L51" s="9"/>
      <c r="M51" s="9"/>
      <c r="N51" s="6" t="s">
        <v>21</v>
      </c>
      <c r="O51" s="58"/>
      <c r="P51" s="8"/>
      <c r="Q51" s="1"/>
      <c r="R51" s="8"/>
      <c r="S51" s="14">
        <v>79.5</v>
      </c>
      <c r="T51" s="36"/>
      <c r="U51" s="14"/>
      <c r="V51" s="8"/>
      <c r="W51" s="8"/>
      <c r="X51" s="1"/>
      <c r="Y51" s="1"/>
      <c r="Z51" s="1"/>
      <c r="AA51" s="1"/>
      <c r="AB51" s="1"/>
      <c r="AC51" s="18">
        <v>758.07799999999997</v>
      </c>
      <c r="AD51" s="5"/>
      <c r="AE51" s="80">
        <f t="shared" si="24"/>
        <v>57.906198400000001</v>
      </c>
      <c r="AF51" s="77"/>
      <c r="AG51" s="77"/>
      <c r="AH51" s="77"/>
      <c r="AI51" s="77"/>
      <c r="AJ51" s="82">
        <f t="shared" si="29"/>
        <v>424.3408</v>
      </c>
      <c r="AK51" s="8"/>
      <c r="AL51" s="8"/>
      <c r="AM51" s="1"/>
      <c r="AN51" s="1"/>
      <c r="AO51" s="8"/>
      <c r="AP51" s="5"/>
      <c r="AQ51" s="91">
        <f t="shared" si="26"/>
        <v>8.1603999999999992</v>
      </c>
      <c r="AR51" s="94"/>
      <c r="AS51" s="94"/>
      <c r="AT51" s="93"/>
      <c r="AU51" s="1"/>
      <c r="AV51" s="8"/>
      <c r="AW51" s="8"/>
      <c r="AX51" s="5"/>
      <c r="AY51" s="1"/>
      <c r="AZ51" s="5"/>
    </row>
    <row r="52" spans="1:52" s="11" customFormat="1" x14ac:dyDescent="0.25">
      <c r="A52" s="1"/>
      <c r="B52" s="61" t="s">
        <v>168</v>
      </c>
      <c r="C52" s="5"/>
      <c r="D52" s="6">
        <v>5</v>
      </c>
      <c r="E52" s="2">
        <v>67</v>
      </c>
      <c r="F52" s="2">
        <v>14</v>
      </c>
      <c r="G52" s="2">
        <v>12</v>
      </c>
      <c r="H52" s="2">
        <v>3095</v>
      </c>
      <c r="I52" s="2">
        <v>2500</v>
      </c>
      <c r="J52" s="2" t="s">
        <v>186</v>
      </c>
      <c r="K52" s="9">
        <v>216</v>
      </c>
      <c r="L52" s="9"/>
      <c r="M52" s="9"/>
      <c r="N52" s="6" t="s">
        <v>21</v>
      </c>
      <c r="O52" s="58"/>
      <c r="P52" s="8"/>
      <c r="Q52" s="1"/>
      <c r="R52" s="8"/>
      <c r="S52" s="14">
        <v>79.7</v>
      </c>
      <c r="T52" s="36"/>
      <c r="U52" s="14"/>
      <c r="V52" s="8"/>
      <c r="W52" s="8"/>
      <c r="X52" s="1"/>
      <c r="Y52" s="1"/>
      <c r="Z52" s="1"/>
      <c r="AA52" s="1"/>
      <c r="AB52" s="1"/>
      <c r="AC52" s="18">
        <v>753.91600000000005</v>
      </c>
      <c r="AD52" s="5"/>
      <c r="AE52" s="80">
        <f t="shared" si="24"/>
        <v>23.9475625</v>
      </c>
      <c r="AF52" s="77"/>
      <c r="AG52" s="77"/>
      <c r="AH52" s="77"/>
      <c r="AI52" s="77"/>
      <c r="AJ52" s="82">
        <f t="shared" si="29"/>
        <v>518.41250000000002</v>
      </c>
      <c r="AK52" s="8"/>
      <c r="AL52" s="8"/>
      <c r="AM52" s="1"/>
      <c r="AN52" s="1"/>
      <c r="AO52" s="8"/>
      <c r="AP52" s="5"/>
      <c r="AQ52" s="91">
        <f t="shared" si="26"/>
        <v>7.7374999999999998</v>
      </c>
      <c r="AR52" s="94"/>
      <c r="AS52" s="94"/>
      <c r="AT52" s="93"/>
      <c r="AU52" s="1"/>
      <c r="AV52" s="8"/>
      <c r="AW52" s="8"/>
      <c r="AX52" s="5"/>
      <c r="AY52" s="1"/>
      <c r="AZ52" s="5"/>
    </row>
    <row r="53" spans="1:52" s="11" customFormat="1" x14ac:dyDescent="0.25">
      <c r="A53" s="1"/>
      <c r="B53" s="61" t="s">
        <v>134</v>
      </c>
      <c r="C53" s="5"/>
      <c r="D53" s="6">
        <v>3</v>
      </c>
      <c r="E53" s="2">
        <v>40</v>
      </c>
      <c r="F53" s="2">
        <v>10.5</v>
      </c>
      <c r="G53" s="2">
        <v>80</v>
      </c>
      <c r="H53" s="2">
        <v>9400</v>
      </c>
      <c r="I53" s="2">
        <v>1600</v>
      </c>
      <c r="J53" s="2" t="s">
        <v>185</v>
      </c>
      <c r="K53" s="9">
        <v>660</v>
      </c>
      <c r="L53" s="9"/>
      <c r="M53" s="9"/>
      <c r="N53" s="6" t="s">
        <v>21</v>
      </c>
      <c r="O53" s="58"/>
      <c r="P53" s="8"/>
      <c r="Q53" s="1"/>
      <c r="R53" s="8"/>
      <c r="S53" s="14">
        <v>79.7</v>
      </c>
      <c r="T53" s="36"/>
      <c r="U53" s="14"/>
      <c r="V53" s="8"/>
      <c r="W53" s="8"/>
      <c r="X53" s="1"/>
      <c r="Y53" s="1"/>
      <c r="Z53" s="1"/>
      <c r="AA53" s="1"/>
      <c r="AB53" s="1"/>
      <c r="AC53" s="18">
        <v>1297.585</v>
      </c>
      <c r="AD53" s="5"/>
      <c r="AE53" s="80">
        <f t="shared" si="24"/>
        <v>141.376</v>
      </c>
      <c r="AF53" s="77"/>
      <c r="AG53" s="77"/>
      <c r="AH53" s="77"/>
      <c r="AI53" s="77"/>
      <c r="AJ53" s="82">
        <f t="shared" si="29"/>
        <v>601.6</v>
      </c>
      <c r="AK53" s="8"/>
      <c r="AL53" s="8"/>
      <c r="AM53" s="1"/>
      <c r="AN53" s="1"/>
      <c r="AO53" s="8"/>
      <c r="AP53" s="5"/>
      <c r="AQ53" s="91">
        <f t="shared" si="26"/>
        <v>15.04</v>
      </c>
      <c r="AR53" s="94"/>
      <c r="AS53" s="94"/>
      <c r="AT53" s="93"/>
      <c r="AU53" s="1"/>
      <c r="AV53" s="8"/>
      <c r="AW53" s="8"/>
      <c r="AX53" s="5"/>
      <c r="AY53" s="1"/>
      <c r="AZ53" s="5"/>
    </row>
    <row r="54" spans="1:52" s="11" customFormat="1" x14ac:dyDescent="0.25">
      <c r="A54" s="1"/>
      <c r="B54" s="61" t="s">
        <v>169</v>
      </c>
      <c r="C54" s="5"/>
      <c r="D54" s="6">
        <v>4</v>
      </c>
      <c r="E54" s="2">
        <v>64</v>
      </c>
      <c r="F54" s="2">
        <v>10.5</v>
      </c>
      <c r="G54" s="2">
        <v>12</v>
      </c>
      <c r="H54" s="2">
        <v>3250</v>
      </c>
      <c r="I54" s="2">
        <v>2200</v>
      </c>
      <c r="J54" s="2" t="s">
        <v>186</v>
      </c>
      <c r="K54" s="9">
        <v>180</v>
      </c>
      <c r="L54" s="9"/>
      <c r="M54" s="9"/>
      <c r="N54" s="6" t="s">
        <v>21</v>
      </c>
      <c r="O54" s="58"/>
      <c r="P54" s="8"/>
      <c r="Q54" s="1"/>
      <c r="R54" s="8"/>
      <c r="S54" s="14">
        <v>81.400000000000006</v>
      </c>
      <c r="T54" s="36"/>
      <c r="U54" s="14"/>
      <c r="V54" s="8"/>
      <c r="W54" s="8"/>
      <c r="X54" s="1"/>
      <c r="Y54" s="1"/>
      <c r="Z54" s="1"/>
      <c r="AA54" s="1"/>
      <c r="AB54" s="1"/>
      <c r="AC54" s="18">
        <v>663.25400000000002</v>
      </c>
      <c r="AD54" s="5"/>
      <c r="AE54" s="80">
        <f t="shared" si="24"/>
        <v>23.237500000000001</v>
      </c>
      <c r="AF54" s="77"/>
      <c r="AG54" s="77"/>
      <c r="AH54" s="77"/>
      <c r="AI54" s="77"/>
      <c r="AJ54" s="82">
        <f t="shared" si="29"/>
        <v>457.59999999999997</v>
      </c>
      <c r="AK54" s="8"/>
      <c r="AL54" s="8"/>
      <c r="AM54" s="1"/>
      <c r="AN54" s="1"/>
      <c r="AO54" s="8"/>
      <c r="AP54" s="5"/>
      <c r="AQ54" s="91">
        <f t="shared" si="26"/>
        <v>7.1499999999999995</v>
      </c>
      <c r="AR54" s="94"/>
      <c r="AS54" s="94"/>
      <c r="AT54" s="93"/>
      <c r="AU54" s="1"/>
      <c r="AV54" s="8"/>
      <c r="AW54" s="8"/>
      <c r="AX54" s="5"/>
      <c r="AY54" s="1"/>
      <c r="AZ54" s="5"/>
    </row>
    <row r="55" spans="1:52" s="11" customFormat="1" x14ac:dyDescent="0.25">
      <c r="A55" s="1"/>
      <c r="B55" s="61" t="s">
        <v>213</v>
      </c>
      <c r="C55" s="5"/>
      <c r="D55" s="6">
        <v>3</v>
      </c>
      <c r="E55" s="2">
        <v>70</v>
      </c>
      <c r="F55" s="2">
        <v>10.5</v>
      </c>
      <c r="G55" s="2">
        <v>8</v>
      </c>
      <c r="H55" s="2">
        <v>2450</v>
      </c>
      <c r="I55" s="2">
        <v>2600</v>
      </c>
      <c r="J55" s="2" t="s">
        <v>186</v>
      </c>
      <c r="K55" s="9">
        <v>144</v>
      </c>
      <c r="L55" s="9"/>
      <c r="M55" s="9"/>
      <c r="N55" s="6" t="s">
        <v>21</v>
      </c>
      <c r="O55" s="58"/>
      <c r="P55" s="8"/>
      <c r="Q55" s="1"/>
      <c r="R55" s="8"/>
      <c r="S55" s="14">
        <v>82.5</v>
      </c>
      <c r="T55" s="36"/>
      <c r="U55" s="14"/>
      <c r="V55" s="8"/>
      <c r="W55" s="8"/>
      <c r="X55" s="1"/>
      <c r="Y55" s="1"/>
      <c r="Z55" s="1"/>
      <c r="AA55" s="1"/>
      <c r="AB55" s="1"/>
      <c r="AC55" s="18">
        <v>671.39300000000003</v>
      </c>
      <c r="AD55" s="5"/>
      <c r="AE55" s="80">
        <f t="shared" si="24"/>
        <v>15.6065</v>
      </c>
      <c r="AF55" s="77"/>
      <c r="AG55" s="77"/>
      <c r="AH55" s="77"/>
      <c r="AI55" s="77"/>
      <c r="AJ55" s="82">
        <f t="shared" si="29"/>
        <v>445.9</v>
      </c>
      <c r="AK55" s="8"/>
      <c r="AL55" s="8"/>
      <c r="AM55" s="1"/>
      <c r="AN55" s="1"/>
      <c r="AO55" s="8"/>
      <c r="AP55" s="5"/>
      <c r="AQ55" s="91">
        <f t="shared" si="26"/>
        <v>6.37</v>
      </c>
      <c r="AR55" s="94"/>
      <c r="AS55" s="94"/>
      <c r="AT55" s="93"/>
      <c r="AU55" s="1"/>
      <c r="AV55" s="8"/>
      <c r="AW55" s="8"/>
      <c r="AX55" s="5"/>
      <c r="AY55" s="1"/>
      <c r="AZ55" s="5"/>
    </row>
    <row r="56" spans="1:52" s="11" customFormat="1" x14ac:dyDescent="0.25">
      <c r="A56" s="1"/>
      <c r="B56" s="61" t="s">
        <v>139</v>
      </c>
      <c r="C56" s="5"/>
      <c r="D56" s="6">
        <v>5</v>
      </c>
      <c r="E56" s="2">
        <v>66.5</v>
      </c>
      <c r="F56" s="2">
        <v>10.25</v>
      </c>
      <c r="G56" s="2">
        <v>16</v>
      </c>
      <c r="H56" s="2">
        <v>3396</v>
      </c>
      <c r="I56" s="2">
        <v>2000</v>
      </c>
      <c r="J56" s="2" t="s">
        <v>186</v>
      </c>
      <c r="K56" s="9">
        <v>204</v>
      </c>
      <c r="L56" s="9"/>
      <c r="M56" s="9"/>
      <c r="N56" s="6" t="s">
        <v>21</v>
      </c>
      <c r="O56" s="58"/>
      <c r="P56" s="8"/>
      <c r="Q56" s="1"/>
      <c r="R56" s="8"/>
      <c r="S56" s="14">
        <v>83.2</v>
      </c>
      <c r="T56" s="36"/>
      <c r="U56" s="14"/>
      <c r="V56" s="8"/>
      <c r="W56" s="8"/>
      <c r="X56" s="1"/>
      <c r="Y56" s="1"/>
      <c r="Z56" s="1"/>
      <c r="AA56" s="1"/>
      <c r="AB56" s="1"/>
      <c r="AC56" s="18">
        <v>804.50200000000007</v>
      </c>
      <c r="AD56" s="5"/>
      <c r="AE56" s="80">
        <f t="shared" si="24"/>
        <v>23.065632000000001</v>
      </c>
      <c r="AF56" s="77"/>
      <c r="AG56" s="77"/>
      <c r="AH56" s="77"/>
      <c r="AI56" s="77"/>
      <c r="AJ56" s="82">
        <f t="shared" si="29"/>
        <v>451.66800000000001</v>
      </c>
      <c r="AK56" s="8"/>
      <c r="AL56" s="8"/>
      <c r="AM56" s="1"/>
      <c r="AN56" s="1"/>
      <c r="AO56" s="8"/>
      <c r="AP56" s="5"/>
      <c r="AQ56" s="91">
        <f t="shared" si="26"/>
        <v>6.7919999999999998</v>
      </c>
      <c r="AR56" s="94"/>
      <c r="AS56" s="94"/>
      <c r="AT56" s="93"/>
      <c r="AU56" s="1"/>
      <c r="AV56" s="8"/>
      <c r="AW56" s="8"/>
      <c r="AX56" s="5"/>
      <c r="AY56" s="1"/>
      <c r="AZ56" s="5"/>
    </row>
    <row r="57" spans="1:52" s="11" customFormat="1" x14ac:dyDescent="0.25">
      <c r="A57" s="1"/>
      <c r="B57" s="61" t="s">
        <v>138</v>
      </c>
      <c r="C57" s="5"/>
      <c r="D57" s="6">
        <v>2</v>
      </c>
      <c r="E57" s="2">
        <v>52</v>
      </c>
      <c r="F57" s="2">
        <v>10.5</v>
      </c>
      <c r="G57" s="2">
        <v>44</v>
      </c>
      <c r="H57" s="2">
        <v>7096</v>
      </c>
      <c r="I57" s="2">
        <v>1150</v>
      </c>
      <c r="J57" s="2" t="s">
        <v>186</v>
      </c>
      <c r="K57" s="9">
        <v>504</v>
      </c>
      <c r="L57" s="9"/>
      <c r="M57" s="9"/>
      <c r="N57" s="6" t="s">
        <v>21</v>
      </c>
      <c r="O57" s="58"/>
      <c r="P57" s="8"/>
      <c r="Q57" s="1"/>
      <c r="R57" s="8"/>
      <c r="S57" s="14">
        <v>83.7</v>
      </c>
      <c r="T57" s="36"/>
      <c r="U57" s="14"/>
      <c r="V57" s="8"/>
      <c r="W57" s="8"/>
      <c r="X57" s="1"/>
      <c r="Y57" s="1"/>
      <c r="Z57" s="1"/>
      <c r="AA57" s="1"/>
      <c r="AB57" s="1"/>
      <c r="AC57" s="18">
        <v>936.6099999999999</v>
      </c>
      <c r="AD57" s="5"/>
      <c r="AE57" s="80">
        <f t="shared" si="24"/>
        <v>57.906198400000001</v>
      </c>
      <c r="AF57" s="77"/>
      <c r="AG57" s="77"/>
      <c r="AH57" s="77"/>
      <c r="AI57" s="77"/>
      <c r="AJ57" s="82">
        <f t="shared" si="29"/>
        <v>424.3408</v>
      </c>
      <c r="AK57" s="8"/>
      <c r="AL57" s="8"/>
      <c r="AM57" s="1"/>
      <c r="AN57" s="1"/>
      <c r="AO57" s="8"/>
      <c r="AP57" s="5"/>
      <c r="AQ57" s="91">
        <f t="shared" si="26"/>
        <v>8.1603999999999992</v>
      </c>
      <c r="AR57" s="94"/>
      <c r="AS57" s="94"/>
      <c r="AT57" s="93"/>
      <c r="AU57" s="1"/>
      <c r="AV57" s="8"/>
      <c r="AW57" s="8"/>
      <c r="AX57" s="5"/>
      <c r="AY57" s="1"/>
      <c r="AZ57" s="5"/>
    </row>
    <row r="58" spans="1:52" s="11" customFormat="1" x14ac:dyDescent="0.25">
      <c r="A58" s="1"/>
      <c r="B58" s="61" t="s">
        <v>214</v>
      </c>
      <c r="C58" s="5"/>
      <c r="D58" s="6">
        <v>4</v>
      </c>
      <c r="E58" s="2">
        <v>72</v>
      </c>
      <c r="F58" s="2">
        <v>10.5</v>
      </c>
      <c r="G58" s="2">
        <v>10</v>
      </c>
      <c r="H58" s="2">
        <v>2888</v>
      </c>
      <c r="I58" s="2">
        <v>2450</v>
      </c>
      <c r="J58" s="2" t="s">
        <v>186</v>
      </c>
      <c r="K58" s="9">
        <v>150</v>
      </c>
      <c r="L58" s="9"/>
      <c r="M58" s="9"/>
      <c r="N58" s="6" t="s">
        <v>21</v>
      </c>
      <c r="O58" s="58"/>
      <c r="P58" s="8"/>
      <c r="Q58" s="1"/>
      <c r="R58" s="8"/>
      <c r="S58" s="14">
        <v>93.7</v>
      </c>
      <c r="T58" s="36"/>
      <c r="U58" s="14"/>
      <c r="V58" s="8"/>
      <c r="W58" s="8"/>
      <c r="X58" s="1"/>
      <c r="Y58" s="1"/>
      <c r="Z58" s="1"/>
      <c r="AA58" s="1"/>
      <c r="AB58" s="1"/>
      <c r="AC58" s="18">
        <v>666.63499999999999</v>
      </c>
      <c r="AD58" s="5"/>
      <c r="AE58" s="80">
        <f t="shared" si="24"/>
        <v>20.4343328</v>
      </c>
      <c r="AF58" s="77"/>
      <c r="AG58" s="77"/>
      <c r="AH58" s="77"/>
      <c r="AI58" s="77"/>
      <c r="AJ58" s="82">
        <f t="shared" si="29"/>
        <v>509.44319999999999</v>
      </c>
      <c r="AK58" s="8"/>
      <c r="AL58" s="8"/>
      <c r="AM58" s="1"/>
      <c r="AN58" s="1"/>
      <c r="AO58" s="8"/>
      <c r="AP58" s="5"/>
      <c r="AQ58" s="91">
        <f t="shared" si="26"/>
        <v>7.0755999999999997</v>
      </c>
      <c r="AR58" s="94"/>
      <c r="AS58" s="94"/>
      <c r="AT58" s="93"/>
      <c r="AU58" s="1"/>
      <c r="AV58" s="8"/>
      <c r="AW58" s="8"/>
      <c r="AX58" s="5"/>
      <c r="AY58" s="1"/>
      <c r="AZ58" s="5"/>
    </row>
    <row r="59" spans="1:52" s="11" customFormat="1" x14ac:dyDescent="0.25">
      <c r="A59" s="1"/>
      <c r="B59" s="61" t="s">
        <v>170</v>
      </c>
      <c r="C59" s="5"/>
      <c r="D59" s="6">
        <v>1</v>
      </c>
      <c r="E59" s="2">
        <v>60</v>
      </c>
      <c r="F59" s="2">
        <v>10</v>
      </c>
      <c r="G59" s="2">
        <v>48</v>
      </c>
      <c r="H59" s="2">
        <v>6925</v>
      </c>
      <c r="I59" s="2">
        <v>1550</v>
      </c>
      <c r="J59" s="2" t="s">
        <v>186</v>
      </c>
      <c r="K59" s="9">
        <v>432</v>
      </c>
      <c r="L59" s="9"/>
      <c r="M59" s="9"/>
      <c r="N59" s="6" t="s">
        <v>21</v>
      </c>
      <c r="O59" s="58"/>
      <c r="P59" s="8"/>
      <c r="Q59" s="1"/>
      <c r="R59" s="8"/>
      <c r="S59" s="14">
        <v>101.7</v>
      </c>
      <c r="T59" s="36"/>
      <c r="U59" s="14"/>
      <c r="V59" s="8"/>
      <c r="W59" s="8"/>
      <c r="X59" s="1"/>
      <c r="Y59" s="1"/>
      <c r="Z59" s="1"/>
      <c r="AA59" s="1"/>
      <c r="AB59" s="1"/>
      <c r="AC59" s="18">
        <v>963.28700000000003</v>
      </c>
      <c r="AD59" s="5"/>
      <c r="AE59" s="80">
        <f t="shared" si="24"/>
        <v>74.331218750000005</v>
      </c>
      <c r="AF59" s="77"/>
      <c r="AG59" s="77"/>
      <c r="AH59" s="77"/>
      <c r="AI59" s="77"/>
      <c r="AJ59" s="82">
        <f t="shared" si="29"/>
        <v>644.02499999999998</v>
      </c>
      <c r="AK59" s="8"/>
      <c r="AL59" s="8"/>
      <c r="AM59" s="1"/>
      <c r="AN59" s="1"/>
      <c r="AO59" s="8"/>
      <c r="AP59" s="5"/>
      <c r="AQ59" s="91">
        <f t="shared" si="26"/>
        <v>10.733749999999999</v>
      </c>
      <c r="AR59" s="94"/>
      <c r="AS59" s="94"/>
      <c r="AT59" s="93"/>
      <c r="AU59" s="1"/>
      <c r="AV59" s="8"/>
      <c r="AW59" s="8"/>
      <c r="AX59" s="5"/>
      <c r="AY59" s="1"/>
      <c r="AZ59" s="5"/>
    </row>
    <row r="60" spans="1:52" s="11" customFormat="1" x14ac:dyDescent="0.25">
      <c r="A60" s="1"/>
      <c r="B60" s="61" t="s">
        <v>215</v>
      </c>
      <c r="C60" s="5"/>
      <c r="D60" s="6">
        <v>2</v>
      </c>
      <c r="E60" s="2">
        <v>80</v>
      </c>
      <c r="F60" s="2">
        <v>13</v>
      </c>
      <c r="G60" s="2">
        <v>12</v>
      </c>
      <c r="H60" s="2">
        <v>3340</v>
      </c>
      <c r="I60" s="2">
        <v>2640</v>
      </c>
      <c r="J60" s="2" t="s">
        <v>186</v>
      </c>
      <c r="K60" s="9">
        <v>198</v>
      </c>
      <c r="L60" s="9"/>
      <c r="M60" s="9"/>
      <c r="N60" s="6" t="s">
        <v>21</v>
      </c>
      <c r="O60" s="58"/>
      <c r="P60" s="8"/>
      <c r="Q60" s="1"/>
      <c r="R60" s="8"/>
      <c r="S60" s="14">
        <v>103.9</v>
      </c>
      <c r="T60" s="36"/>
      <c r="U60" s="14"/>
      <c r="V60" s="8"/>
      <c r="W60" s="8"/>
      <c r="X60" s="1"/>
      <c r="Y60" s="1"/>
      <c r="Z60" s="1"/>
      <c r="AA60" s="1"/>
      <c r="AB60" s="1"/>
      <c r="AC60" s="18">
        <v>806.93</v>
      </c>
      <c r="AD60" s="5"/>
      <c r="AE60" s="80">
        <f t="shared" si="24"/>
        <v>29.450784000000002</v>
      </c>
      <c r="AF60" s="77"/>
      <c r="AG60" s="77"/>
      <c r="AH60" s="77"/>
      <c r="AI60" s="77"/>
      <c r="AJ60" s="82">
        <f t="shared" si="29"/>
        <v>705.40800000000002</v>
      </c>
      <c r="AK60" s="8"/>
      <c r="AL60" s="8"/>
      <c r="AM60" s="1"/>
      <c r="AN60" s="1"/>
      <c r="AO60" s="8"/>
      <c r="AP60" s="5"/>
      <c r="AQ60" s="91">
        <f t="shared" si="26"/>
        <v>8.8175999999999988</v>
      </c>
      <c r="AR60" s="94"/>
      <c r="AS60" s="94"/>
      <c r="AT60" s="93"/>
      <c r="AU60" s="1"/>
      <c r="AV60" s="8"/>
      <c r="AW60" s="8"/>
      <c r="AX60" s="5"/>
      <c r="AY60" s="1"/>
      <c r="AZ60" s="5"/>
    </row>
    <row r="61" spans="1:52" s="11" customFormat="1" x14ac:dyDescent="0.25">
      <c r="A61" s="1"/>
      <c r="B61" s="61" t="s">
        <v>133</v>
      </c>
      <c r="C61" s="5"/>
      <c r="D61" s="6">
        <v>4</v>
      </c>
      <c r="E61" s="2">
        <v>35</v>
      </c>
      <c r="F61" s="2">
        <v>9</v>
      </c>
      <c r="G61" s="2">
        <v>92</v>
      </c>
      <c r="H61" s="2">
        <v>10000</v>
      </c>
      <c r="I61" s="2">
        <v>1250</v>
      </c>
      <c r="J61" s="2" t="s">
        <v>186</v>
      </c>
      <c r="K61" s="9">
        <v>684</v>
      </c>
      <c r="L61" s="9"/>
      <c r="M61" s="9"/>
      <c r="N61" s="6" t="s">
        <v>21</v>
      </c>
      <c r="O61" s="58"/>
      <c r="P61" s="8"/>
      <c r="Q61" s="1"/>
      <c r="R61" s="8"/>
      <c r="S61" s="14">
        <v>105.4</v>
      </c>
      <c r="T61" s="36"/>
      <c r="U61" s="14"/>
      <c r="V61" s="8"/>
      <c r="W61" s="8"/>
      <c r="X61" s="1"/>
      <c r="Y61" s="1"/>
      <c r="Z61" s="1"/>
      <c r="AA61" s="1"/>
      <c r="AB61" s="1"/>
      <c r="AC61" s="18">
        <v>1200.047</v>
      </c>
      <c r="AD61" s="5"/>
      <c r="AE61" s="80">
        <f t="shared" si="24"/>
        <v>125.00000000000001</v>
      </c>
      <c r="AF61" s="77"/>
      <c r="AG61" s="77"/>
      <c r="AH61" s="77"/>
      <c r="AI61" s="77"/>
      <c r="AJ61" s="82">
        <f t="shared" si="29"/>
        <v>437.5</v>
      </c>
      <c r="AK61" s="8"/>
      <c r="AL61" s="8"/>
      <c r="AM61" s="1"/>
      <c r="AN61" s="1"/>
      <c r="AO61" s="8"/>
      <c r="AP61" s="5"/>
      <c r="AQ61" s="91">
        <f t="shared" si="26"/>
        <v>12.5</v>
      </c>
      <c r="AR61" s="94"/>
      <c r="AS61" s="94"/>
      <c r="AT61" s="93"/>
      <c r="AU61" s="1"/>
      <c r="AV61" s="8"/>
      <c r="AW61" s="8"/>
      <c r="AX61" s="5"/>
      <c r="AY61" s="1"/>
      <c r="AZ61" s="5"/>
    </row>
    <row r="62" spans="1:52" s="11" customFormat="1" x14ac:dyDescent="0.25">
      <c r="A62" s="1"/>
      <c r="B62" s="61" t="s">
        <v>136</v>
      </c>
      <c r="C62" s="5"/>
      <c r="D62" s="6">
        <v>1</v>
      </c>
      <c r="E62" s="2">
        <v>50</v>
      </c>
      <c r="F62" s="2">
        <v>10.5</v>
      </c>
      <c r="G62" s="2">
        <v>52</v>
      </c>
      <c r="H62" s="2">
        <v>7700</v>
      </c>
      <c r="I62" s="2">
        <v>1320</v>
      </c>
      <c r="J62" s="2" t="s">
        <v>186</v>
      </c>
      <c r="K62" s="9">
        <v>516</v>
      </c>
      <c r="L62" s="9"/>
      <c r="M62" s="9"/>
      <c r="N62" s="6" t="s">
        <v>21</v>
      </c>
      <c r="O62" s="58"/>
      <c r="P62" s="8"/>
      <c r="Q62" s="1"/>
      <c r="R62" s="8"/>
      <c r="S62" s="14">
        <v>107.7</v>
      </c>
      <c r="T62" s="36"/>
      <c r="U62" s="14"/>
      <c r="V62" s="8"/>
      <c r="W62" s="8"/>
      <c r="X62" s="1"/>
      <c r="Y62" s="1"/>
      <c r="Z62" s="1"/>
      <c r="AA62" s="1"/>
      <c r="AB62" s="1"/>
      <c r="AC62" s="18">
        <v>1176.7919999999999</v>
      </c>
      <c r="AD62" s="5"/>
      <c r="AE62" s="80">
        <f t="shared" si="24"/>
        <v>78.262799999999999</v>
      </c>
      <c r="AF62" s="77"/>
      <c r="AG62" s="77"/>
      <c r="AH62" s="77"/>
      <c r="AI62" s="77"/>
      <c r="AJ62" s="82">
        <f t="shared" si="29"/>
        <v>508.2</v>
      </c>
      <c r="AK62" s="8"/>
      <c r="AL62" s="8"/>
      <c r="AM62" s="1"/>
      <c r="AN62" s="1"/>
      <c r="AO62" s="8"/>
      <c r="AP62" s="5"/>
      <c r="AQ62" s="91">
        <f t="shared" si="26"/>
        <v>10.164</v>
      </c>
      <c r="AR62" s="94"/>
      <c r="AS62" s="94"/>
      <c r="AT62" s="93"/>
      <c r="AU62" s="1"/>
      <c r="AV62" s="8"/>
      <c r="AW62" s="8"/>
      <c r="AX62" s="5"/>
      <c r="AY62" s="1"/>
      <c r="AZ62" s="5"/>
    </row>
    <row r="63" spans="1:52" s="11" customFormat="1" x14ac:dyDescent="0.25">
      <c r="A63" s="1"/>
      <c r="B63" s="61" t="s">
        <v>135</v>
      </c>
      <c r="C63" s="5"/>
      <c r="D63" s="6">
        <v>6</v>
      </c>
      <c r="E63" s="2">
        <v>45</v>
      </c>
      <c r="F63" s="2">
        <v>10.3</v>
      </c>
      <c r="G63" s="2">
        <v>88</v>
      </c>
      <c r="H63" s="2">
        <v>10000</v>
      </c>
      <c r="I63" s="2">
        <v>1350</v>
      </c>
      <c r="J63" s="2" t="s">
        <v>186</v>
      </c>
      <c r="K63" s="9">
        <v>600</v>
      </c>
      <c r="L63" s="9"/>
      <c r="M63" s="9"/>
      <c r="N63" s="6" t="s">
        <v>21</v>
      </c>
      <c r="O63" s="58"/>
      <c r="P63" s="8"/>
      <c r="Q63" s="1"/>
      <c r="R63" s="8"/>
      <c r="S63" s="14">
        <v>119.8</v>
      </c>
      <c r="T63" s="36"/>
      <c r="U63" s="14"/>
      <c r="V63" s="8"/>
      <c r="W63" s="8"/>
      <c r="X63" s="1"/>
      <c r="Y63" s="1"/>
      <c r="Z63" s="1"/>
      <c r="AA63" s="1"/>
      <c r="AB63" s="1"/>
      <c r="AC63" s="18">
        <v>1197.4189999999999</v>
      </c>
      <c r="AD63" s="5"/>
      <c r="AE63" s="80">
        <f t="shared" si="24"/>
        <v>135</v>
      </c>
      <c r="AF63" s="77"/>
      <c r="AG63" s="77"/>
      <c r="AH63" s="77"/>
      <c r="AI63" s="77"/>
      <c r="AJ63" s="82">
        <f t="shared" si="29"/>
        <v>607.5</v>
      </c>
      <c r="AK63" s="8"/>
      <c r="AL63" s="8"/>
      <c r="AM63" s="1"/>
      <c r="AN63" s="1"/>
      <c r="AO63" s="8"/>
      <c r="AP63" s="5"/>
      <c r="AQ63" s="91">
        <f t="shared" si="26"/>
        <v>13.5</v>
      </c>
      <c r="AR63" s="94"/>
      <c r="AS63" s="94"/>
      <c r="AT63" s="93"/>
      <c r="AU63" s="1"/>
      <c r="AV63" s="8"/>
      <c r="AW63" s="8"/>
      <c r="AX63" s="5"/>
      <c r="AY63" s="1"/>
      <c r="AZ63" s="5"/>
    </row>
    <row r="64" spans="1:52" s="11" customFormat="1" x14ac:dyDescent="0.25">
      <c r="A64" s="1"/>
      <c r="B64" s="61" t="s">
        <v>142</v>
      </c>
      <c r="C64" s="5"/>
      <c r="D64" s="6">
        <v>3</v>
      </c>
      <c r="E64" s="2">
        <v>120</v>
      </c>
      <c r="F64" s="2">
        <v>13</v>
      </c>
      <c r="G64" s="2">
        <v>10</v>
      </c>
      <c r="H64" s="2">
        <v>2850</v>
      </c>
      <c r="I64" s="2">
        <v>3000</v>
      </c>
      <c r="J64" s="2" t="s">
        <v>186</v>
      </c>
      <c r="K64" s="9">
        <v>144</v>
      </c>
      <c r="L64" s="9"/>
      <c r="M64" s="9"/>
      <c r="N64" s="6" t="s">
        <v>21</v>
      </c>
      <c r="O64" s="58"/>
      <c r="P64" s="8"/>
      <c r="Q64" s="1"/>
      <c r="R64" s="8"/>
      <c r="S64" s="14">
        <v>112</v>
      </c>
      <c r="T64" s="36"/>
      <c r="U64" s="14"/>
      <c r="V64" s="8"/>
      <c r="W64" s="8"/>
      <c r="X64" s="1"/>
      <c r="Y64" s="1"/>
      <c r="Z64" s="1"/>
      <c r="AA64" s="1"/>
      <c r="AB64" s="1"/>
      <c r="AC64" s="18">
        <v>795.40700000000004</v>
      </c>
      <c r="AD64" s="5"/>
      <c r="AE64" s="80">
        <f t="shared" si="24"/>
        <v>24.367500000000003</v>
      </c>
      <c r="AF64" s="77"/>
      <c r="AG64" s="77"/>
      <c r="AH64" s="77"/>
      <c r="AI64" s="77"/>
      <c r="AJ64" s="82">
        <f t="shared" si="29"/>
        <v>1026</v>
      </c>
      <c r="AK64" s="8"/>
      <c r="AL64" s="8"/>
      <c r="AM64" s="1"/>
      <c r="AN64" s="1"/>
      <c r="AO64" s="8"/>
      <c r="AP64" s="5"/>
      <c r="AQ64" s="91">
        <f t="shared" si="26"/>
        <v>8.5499999999999989</v>
      </c>
      <c r="AR64" s="94"/>
      <c r="AS64" s="94"/>
      <c r="AT64" s="93"/>
      <c r="AU64" s="1"/>
      <c r="AV64" s="8"/>
      <c r="AW64" s="8"/>
      <c r="AX64" s="5"/>
      <c r="AY64" s="1"/>
      <c r="AZ64" s="5"/>
    </row>
    <row r="65" spans="1:52" s="11" customFormat="1" x14ac:dyDescent="0.25">
      <c r="A65" s="1"/>
      <c r="B65" s="61" t="s">
        <v>171</v>
      </c>
      <c r="C65" s="5"/>
      <c r="D65" s="6">
        <v>1</v>
      </c>
      <c r="E65" s="2">
        <v>80</v>
      </c>
      <c r="F65" s="2">
        <v>12</v>
      </c>
      <c r="G65" s="2">
        <v>26</v>
      </c>
      <c r="H65" s="2">
        <v>5790</v>
      </c>
      <c r="I65" s="2">
        <v>1700</v>
      </c>
      <c r="J65" s="2" t="s">
        <v>186</v>
      </c>
      <c r="K65" s="9">
        <v>288</v>
      </c>
      <c r="L65" s="9"/>
      <c r="M65" s="9"/>
      <c r="N65" s="6" t="s">
        <v>21</v>
      </c>
      <c r="O65" s="58"/>
      <c r="P65" s="8"/>
      <c r="Q65" s="1"/>
      <c r="R65" s="8"/>
      <c r="S65" s="14">
        <v>117.4</v>
      </c>
      <c r="T65" s="36"/>
      <c r="U65" s="14"/>
      <c r="V65" s="8"/>
      <c r="W65" s="8"/>
      <c r="X65" s="1"/>
      <c r="Y65" s="1"/>
      <c r="Z65" s="1"/>
      <c r="AA65" s="1"/>
      <c r="AB65" s="1"/>
      <c r="AC65" s="18">
        <v>1013.2809999999999</v>
      </c>
      <c r="AD65" s="5"/>
      <c r="AE65" s="80">
        <f t="shared" si="24"/>
        <v>56.990970000000004</v>
      </c>
      <c r="AF65" s="77"/>
      <c r="AG65" s="77"/>
      <c r="AH65" s="77"/>
      <c r="AI65" s="77"/>
      <c r="AJ65" s="82">
        <f t="shared" si="29"/>
        <v>787.43999999999994</v>
      </c>
      <c r="AK65" s="8"/>
      <c r="AL65" s="8"/>
      <c r="AM65" s="1"/>
      <c r="AN65" s="1"/>
      <c r="AO65" s="8"/>
      <c r="AP65" s="5"/>
      <c r="AQ65" s="91">
        <f t="shared" si="26"/>
        <v>9.843</v>
      </c>
      <c r="AR65" s="94"/>
      <c r="AS65" s="94"/>
      <c r="AT65" s="93"/>
      <c r="AU65" s="1"/>
      <c r="AV65" s="8"/>
      <c r="AW65" s="8"/>
      <c r="AX65" s="5"/>
      <c r="AY65" s="1"/>
      <c r="AZ65" s="5"/>
    </row>
    <row r="66" spans="1:52" s="11" customFormat="1" x14ac:dyDescent="0.25">
      <c r="A66" s="1"/>
      <c r="B66" s="61" t="s">
        <v>172</v>
      </c>
      <c r="C66" s="5"/>
      <c r="D66" s="6">
        <v>2</v>
      </c>
      <c r="E66" s="2">
        <v>110</v>
      </c>
      <c r="F66" s="2">
        <v>14</v>
      </c>
      <c r="G66" s="2">
        <v>14</v>
      </c>
      <c r="H66" s="2">
        <v>3400</v>
      </c>
      <c r="I66" s="2">
        <v>2850</v>
      </c>
      <c r="J66" s="2" t="s">
        <v>186</v>
      </c>
      <c r="K66" s="9">
        <v>192</v>
      </c>
      <c r="L66" s="9"/>
      <c r="M66" s="9"/>
      <c r="N66" s="6" t="s">
        <v>21</v>
      </c>
      <c r="O66" s="58"/>
      <c r="P66" s="8"/>
      <c r="Q66" s="1"/>
      <c r="R66" s="8"/>
      <c r="S66" s="14">
        <v>120.6</v>
      </c>
      <c r="T66" s="36"/>
      <c r="U66" s="14"/>
      <c r="V66" s="8"/>
      <c r="W66" s="8"/>
      <c r="X66" s="1"/>
      <c r="Y66" s="1"/>
      <c r="Z66" s="1"/>
      <c r="AA66" s="1"/>
      <c r="AB66" s="1"/>
      <c r="AC66" s="18">
        <v>935.65800000000002</v>
      </c>
      <c r="AD66" s="5"/>
      <c r="AE66" s="80">
        <f t="shared" si="24"/>
        <v>32.946000000000005</v>
      </c>
      <c r="AF66" s="77"/>
      <c r="AG66" s="77"/>
      <c r="AH66" s="77"/>
      <c r="AI66" s="77"/>
      <c r="AJ66" s="82">
        <f t="shared" si="29"/>
        <v>1065.8999999999999</v>
      </c>
      <c r="AK66" s="8"/>
      <c r="AL66" s="8"/>
      <c r="AM66" s="1"/>
      <c r="AN66" s="1"/>
      <c r="AO66" s="8"/>
      <c r="AP66" s="5"/>
      <c r="AQ66" s="91">
        <f t="shared" si="26"/>
        <v>9.69</v>
      </c>
      <c r="AR66" s="94"/>
      <c r="AS66" s="94"/>
      <c r="AT66" s="93"/>
      <c r="AU66" s="1"/>
      <c r="AV66" s="8"/>
      <c r="AW66" s="8"/>
      <c r="AX66" s="5"/>
      <c r="AY66" s="1"/>
      <c r="AZ66" s="5"/>
    </row>
    <row r="67" spans="1:52" s="11" customFormat="1" x14ac:dyDescent="0.25">
      <c r="A67" s="1"/>
      <c r="B67" s="61" t="s">
        <v>141</v>
      </c>
      <c r="C67" s="5"/>
      <c r="D67" s="6">
        <v>3</v>
      </c>
      <c r="E67" s="2">
        <v>115</v>
      </c>
      <c r="F67" s="2">
        <v>12.5</v>
      </c>
      <c r="G67" s="2">
        <v>12</v>
      </c>
      <c r="H67" s="2">
        <v>3270</v>
      </c>
      <c r="I67" s="2">
        <v>2700</v>
      </c>
      <c r="J67" s="2" t="s">
        <v>186</v>
      </c>
      <c r="K67" s="9">
        <v>144</v>
      </c>
      <c r="L67" s="9"/>
      <c r="M67" s="9"/>
      <c r="N67" s="6" t="s">
        <v>21</v>
      </c>
      <c r="O67" s="58"/>
      <c r="P67" s="8"/>
      <c r="Q67" s="1"/>
      <c r="R67" s="8"/>
      <c r="S67" s="14">
        <v>127.4</v>
      </c>
      <c r="T67" s="36"/>
      <c r="U67" s="14"/>
      <c r="V67" s="8"/>
      <c r="W67" s="8"/>
      <c r="X67" s="1"/>
      <c r="Y67" s="1"/>
      <c r="Z67" s="1"/>
      <c r="AA67" s="1"/>
      <c r="AB67" s="1"/>
      <c r="AC67" s="18">
        <v>875.24400000000003</v>
      </c>
      <c r="AD67" s="5"/>
      <c r="AE67" s="80">
        <f t="shared" si="24"/>
        <v>28.870830000000002</v>
      </c>
      <c r="AF67" s="77"/>
      <c r="AG67" s="77"/>
      <c r="AH67" s="77"/>
      <c r="AI67" s="77"/>
      <c r="AJ67" s="82">
        <f t="shared" si="29"/>
        <v>1015.3349999999999</v>
      </c>
      <c r="AK67" s="8"/>
      <c r="AL67" s="8"/>
      <c r="AM67" s="1"/>
      <c r="AN67" s="1"/>
      <c r="AO67" s="8"/>
      <c r="AP67" s="5"/>
      <c r="AQ67" s="91">
        <f t="shared" si="26"/>
        <v>8.8289999999999988</v>
      </c>
      <c r="AR67" s="94"/>
      <c r="AS67" s="94"/>
      <c r="AT67" s="93"/>
      <c r="AU67" s="1"/>
      <c r="AV67" s="8"/>
      <c r="AW67" s="8"/>
      <c r="AX67" s="5"/>
      <c r="AY67" s="1"/>
      <c r="AZ67" s="5"/>
    </row>
    <row r="68" spans="1:52" s="11" customFormat="1" x14ac:dyDescent="0.25">
      <c r="A68" s="1"/>
      <c r="B68" s="61" t="s">
        <v>140</v>
      </c>
      <c r="C68" s="5"/>
      <c r="D68" s="6">
        <v>2</v>
      </c>
      <c r="E68" s="2">
        <v>100</v>
      </c>
      <c r="F68" s="2">
        <v>12.5</v>
      </c>
      <c r="G68" s="2">
        <v>12</v>
      </c>
      <c r="H68" s="2">
        <v>3200</v>
      </c>
      <c r="I68" s="2">
        <v>2500</v>
      </c>
      <c r="J68" s="2" t="s">
        <v>186</v>
      </c>
      <c r="K68" s="9">
        <v>162</v>
      </c>
      <c r="L68" s="9"/>
      <c r="M68" s="9"/>
      <c r="N68" s="6" t="s">
        <v>21</v>
      </c>
      <c r="O68" s="58"/>
      <c r="P68" s="8"/>
      <c r="Q68" s="1"/>
      <c r="R68" s="8"/>
      <c r="S68" s="14">
        <v>131.9</v>
      </c>
      <c r="T68" s="36"/>
      <c r="U68" s="14"/>
      <c r="V68" s="8"/>
      <c r="W68" s="8"/>
      <c r="X68" s="1"/>
      <c r="Y68" s="1"/>
      <c r="Z68" s="1"/>
      <c r="AA68" s="1"/>
      <c r="AB68" s="1"/>
      <c r="AC68" s="18">
        <v>912.24</v>
      </c>
      <c r="AD68" s="5"/>
      <c r="AE68" s="80">
        <f t="shared" si="24"/>
        <v>25.6</v>
      </c>
      <c r="AF68" s="77"/>
      <c r="AG68" s="77"/>
      <c r="AH68" s="77"/>
      <c r="AI68" s="77"/>
      <c r="AJ68" s="82">
        <f t="shared" si="29"/>
        <v>800</v>
      </c>
      <c r="AK68" s="8"/>
      <c r="AL68" s="8"/>
      <c r="AM68" s="1"/>
      <c r="AN68" s="1"/>
      <c r="AO68" s="8"/>
      <c r="AP68" s="5"/>
      <c r="AQ68" s="91">
        <f t="shared" si="26"/>
        <v>8</v>
      </c>
      <c r="AR68" s="94"/>
      <c r="AS68" s="94"/>
      <c r="AT68" s="93"/>
      <c r="AU68" s="1"/>
      <c r="AV68" s="8"/>
      <c r="AW68" s="8"/>
      <c r="AX68" s="5"/>
      <c r="AY68" s="1"/>
      <c r="AZ68" s="5"/>
    </row>
    <row r="69" spans="1:52" s="11" customFormat="1" x14ac:dyDescent="0.25">
      <c r="A69" s="1"/>
      <c r="B69" s="61" t="s">
        <v>173</v>
      </c>
      <c r="C69" s="5"/>
      <c r="D69" s="6">
        <v>2</v>
      </c>
      <c r="E69" s="2">
        <v>107</v>
      </c>
      <c r="F69" s="2">
        <v>13.8</v>
      </c>
      <c r="G69" s="2">
        <v>12</v>
      </c>
      <c r="H69" s="2">
        <v>3600</v>
      </c>
      <c r="I69" s="2">
        <v>2100</v>
      </c>
      <c r="J69" s="2" t="s">
        <v>186</v>
      </c>
      <c r="K69" s="9"/>
      <c r="L69" s="9"/>
      <c r="M69" s="9"/>
      <c r="N69" s="6" t="s">
        <v>21</v>
      </c>
      <c r="O69" s="58"/>
      <c r="P69" s="8"/>
      <c r="Q69" s="1"/>
      <c r="R69" s="8"/>
      <c r="S69" s="14">
        <v>134.69999999999999</v>
      </c>
      <c r="T69" s="36"/>
      <c r="U69" s="14"/>
      <c r="V69" s="8"/>
      <c r="W69" s="8"/>
      <c r="X69" s="1"/>
      <c r="Y69" s="1"/>
      <c r="Z69" s="1"/>
      <c r="AA69" s="1"/>
      <c r="AB69" s="1"/>
      <c r="AC69" s="18">
        <v>1034.7149999999999</v>
      </c>
      <c r="AD69" s="5"/>
      <c r="AE69" s="80">
        <f t="shared" si="24"/>
        <v>27.216000000000001</v>
      </c>
      <c r="AF69" s="77"/>
      <c r="AG69" s="77"/>
      <c r="AH69" s="77"/>
      <c r="AI69" s="77"/>
      <c r="AJ69" s="82">
        <f t="shared" si="29"/>
        <v>808.92</v>
      </c>
      <c r="AK69" s="8"/>
      <c r="AL69" s="8"/>
      <c r="AM69" s="1"/>
      <c r="AN69" s="1"/>
      <c r="AO69" s="8"/>
      <c r="AP69" s="5"/>
      <c r="AQ69" s="91">
        <f t="shared" si="26"/>
        <v>7.56</v>
      </c>
      <c r="AR69" s="94"/>
      <c r="AS69" s="94"/>
      <c r="AT69" s="93"/>
      <c r="AU69" s="1"/>
      <c r="AV69" s="8"/>
      <c r="AW69" s="8"/>
      <c r="AX69" s="5"/>
      <c r="AY69" s="1"/>
      <c r="AZ69" s="5"/>
    </row>
    <row r="70" spans="1:52" s="11" customFormat="1" x14ac:dyDescent="0.25">
      <c r="A70" s="1"/>
      <c r="B70" s="61" t="s">
        <v>174</v>
      </c>
      <c r="C70" s="5"/>
      <c r="D70" s="6">
        <v>2</v>
      </c>
      <c r="E70" s="2">
        <v>115</v>
      </c>
      <c r="F70" s="2">
        <v>13.8</v>
      </c>
      <c r="G70" s="2">
        <v>14</v>
      </c>
      <c r="H70" s="2">
        <v>4310</v>
      </c>
      <c r="I70" s="2">
        <v>2200</v>
      </c>
      <c r="J70" s="2" t="s">
        <v>186</v>
      </c>
      <c r="K70" s="9">
        <v>180</v>
      </c>
      <c r="L70" s="9"/>
      <c r="M70" s="9"/>
      <c r="N70" s="6" t="s">
        <v>21</v>
      </c>
      <c r="O70" s="58"/>
      <c r="P70" s="8"/>
      <c r="Q70" s="1"/>
      <c r="R70" s="8"/>
      <c r="S70" s="14">
        <v>152.19999999999999</v>
      </c>
      <c r="T70" s="36"/>
      <c r="U70" s="14"/>
      <c r="V70" s="8"/>
      <c r="W70" s="8"/>
      <c r="X70" s="1"/>
      <c r="Y70" s="1"/>
      <c r="Z70" s="1"/>
      <c r="AA70" s="1"/>
      <c r="AB70" s="1"/>
      <c r="AC70" s="18">
        <v>988.71699999999998</v>
      </c>
      <c r="AD70" s="5"/>
      <c r="AE70" s="80">
        <f t="shared" si="24"/>
        <v>40.867420000000003</v>
      </c>
      <c r="AF70" s="77"/>
      <c r="AG70" s="77"/>
      <c r="AH70" s="77"/>
      <c r="AI70" s="77"/>
      <c r="AJ70" s="82">
        <f t="shared" si="29"/>
        <v>1090.43</v>
      </c>
      <c r="AK70" s="8"/>
      <c r="AL70" s="8"/>
      <c r="AM70" s="1"/>
      <c r="AN70" s="1"/>
      <c r="AO70" s="8"/>
      <c r="AP70" s="5"/>
      <c r="AQ70" s="91">
        <f t="shared" si="26"/>
        <v>9.4819999999999993</v>
      </c>
      <c r="AR70" s="94"/>
      <c r="AS70" s="94"/>
      <c r="AT70" s="93"/>
      <c r="AU70" s="1"/>
      <c r="AV70" s="8"/>
      <c r="AW70" s="8"/>
      <c r="AX70" s="5"/>
      <c r="AY70" s="1"/>
      <c r="AZ70" s="5"/>
    </row>
    <row r="71" spans="1:52" s="11" customFormat="1" x14ac:dyDescent="0.25">
      <c r="A71" s="1"/>
      <c r="B71" s="61" t="s">
        <v>175</v>
      </c>
      <c r="C71" s="5"/>
      <c r="D71" s="6">
        <v>2</v>
      </c>
      <c r="E71" s="2">
        <v>160</v>
      </c>
      <c r="F71" s="2">
        <v>16</v>
      </c>
      <c r="G71" s="2">
        <v>20</v>
      </c>
      <c r="H71" s="2">
        <v>5340</v>
      </c>
      <c r="I71" s="2">
        <v>2090</v>
      </c>
      <c r="J71" s="2" t="s">
        <v>186</v>
      </c>
      <c r="K71" s="9">
        <v>210</v>
      </c>
      <c r="L71" s="9"/>
      <c r="M71" s="9"/>
      <c r="N71" s="6" t="s">
        <v>21</v>
      </c>
      <c r="O71" s="58"/>
      <c r="P71" s="8"/>
      <c r="Q71" s="1"/>
      <c r="R71" s="8"/>
      <c r="S71" s="14">
        <v>174.81600000000003</v>
      </c>
      <c r="T71" s="36"/>
      <c r="U71" s="14"/>
      <c r="V71" s="8"/>
      <c r="W71" s="8"/>
      <c r="X71" s="1"/>
      <c r="Y71" s="1"/>
      <c r="Z71" s="1"/>
      <c r="AA71" s="1"/>
      <c r="AB71" s="1"/>
      <c r="AC71" s="18">
        <v>1080.4449999999999</v>
      </c>
      <c r="AD71" s="5"/>
      <c r="AE71" s="80">
        <f t="shared" si="24"/>
        <v>59.597604000000004</v>
      </c>
      <c r="AF71" s="77"/>
      <c r="AG71" s="77"/>
      <c r="AH71" s="77"/>
      <c r="AI71" s="77"/>
      <c r="AJ71" s="82">
        <f t="shared" si="29"/>
        <v>1785.6959999999999</v>
      </c>
      <c r="AK71" s="8"/>
      <c r="AL71" s="8"/>
      <c r="AM71" s="1"/>
      <c r="AN71" s="1"/>
      <c r="AO71" s="8"/>
      <c r="AP71" s="5"/>
      <c r="AQ71" s="91">
        <f t="shared" si="26"/>
        <v>11.160599999999999</v>
      </c>
      <c r="AR71" s="94"/>
      <c r="AS71" s="94"/>
      <c r="AT71" s="93"/>
      <c r="AU71" s="1"/>
      <c r="AV71" s="8"/>
      <c r="AW71" s="8"/>
      <c r="AX71" s="5"/>
      <c r="AY71" s="1"/>
      <c r="AZ71" s="5"/>
    </row>
    <row r="72" spans="1:52" s="11" customFormat="1" x14ac:dyDescent="0.25">
      <c r="A72" s="1"/>
      <c r="B72" s="61" t="s">
        <v>176</v>
      </c>
      <c r="C72" s="5"/>
      <c r="D72" s="6">
        <v>6</v>
      </c>
      <c r="E72" s="2">
        <v>220</v>
      </c>
      <c r="F72" s="2">
        <v>15.75</v>
      </c>
      <c r="G72" s="2">
        <v>16</v>
      </c>
      <c r="H72" s="2">
        <v>4662</v>
      </c>
      <c r="I72" s="2">
        <v>3130</v>
      </c>
      <c r="J72" s="2" t="s">
        <v>185</v>
      </c>
      <c r="K72" s="9">
        <v>156</v>
      </c>
      <c r="L72" s="9"/>
      <c r="M72" s="9"/>
      <c r="N72" s="6" t="s">
        <v>21</v>
      </c>
      <c r="O72" s="58"/>
      <c r="P72" s="8"/>
      <c r="Q72" s="1"/>
      <c r="R72" s="8"/>
      <c r="S72" s="14">
        <v>175.536</v>
      </c>
      <c r="T72" s="36"/>
      <c r="U72" s="14"/>
      <c r="V72" s="8"/>
      <c r="W72" s="8"/>
      <c r="X72" s="1"/>
      <c r="Y72" s="1"/>
      <c r="Z72" s="1"/>
      <c r="AA72" s="1"/>
      <c r="AB72" s="1"/>
      <c r="AC72" s="18">
        <v>1087.0450000000001</v>
      </c>
      <c r="AD72" s="5"/>
      <c r="AE72" s="80">
        <f t="shared" si="24"/>
        <v>68.028183720000001</v>
      </c>
      <c r="AF72" s="77"/>
      <c r="AG72" s="77"/>
      <c r="AH72" s="77"/>
      <c r="AI72" s="77"/>
      <c r="AJ72" s="82">
        <f t="shared" si="29"/>
        <v>3210.2531999999997</v>
      </c>
      <c r="AK72" s="8"/>
      <c r="AL72" s="8"/>
      <c r="AM72" s="1"/>
      <c r="AN72" s="1"/>
      <c r="AO72" s="8"/>
      <c r="AP72" s="5"/>
      <c r="AQ72" s="91">
        <f t="shared" si="26"/>
        <v>14.59206</v>
      </c>
      <c r="AR72" s="94"/>
      <c r="AS72" s="94"/>
      <c r="AT72" s="93"/>
      <c r="AU72" s="1"/>
      <c r="AV72" s="8"/>
      <c r="AW72" s="8"/>
      <c r="AX72" s="5"/>
      <c r="AY72" s="1"/>
      <c r="AZ72" s="5"/>
    </row>
    <row r="73" spans="1:52" s="11" customFormat="1" x14ac:dyDescent="0.25">
      <c r="A73" s="1"/>
      <c r="B73" s="61" t="s">
        <v>177</v>
      </c>
      <c r="C73" s="5"/>
      <c r="D73" s="6">
        <v>1</v>
      </c>
      <c r="E73" s="2">
        <v>265</v>
      </c>
      <c r="F73" s="2">
        <v>15.75</v>
      </c>
      <c r="G73" s="2">
        <v>16</v>
      </c>
      <c r="H73" s="2">
        <v>5202</v>
      </c>
      <c r="I73" s="2">
        <v>2550</v>
      </c>
      <c r="J73" s="2" t="s">
        <v>186</v>
      </c>
      <c r="K73" s="9">
        <v>300</v>
      </c>
      <c r="L73" s="9"/>
      <c r="M73" s="9"/>
      <c r="N73" s="6" t="s">
        <v>21</v>
      </c>
      <c r="O73" s="58"/>
      <c r="P73" s="8"/>
      <c r="Q73" s="1"/>
      <c r="R73" s="8"/>
      <c r="S73" s="14">
        <v>254.828</v>
      </c>
      <c r="T73" s="36"/>
      <c r="U73" s="14"/>
      <c r="V73" s="8"/>
      <c r="W73" s="8"/>
      <c r="X73" s="1"/>
      <c r="Y73" s="1"/>
      <c r="Z73" s="1"/>
      <c r="AA73" s="1"/>
      <c r="AB73" s="1"/>
      <c r="AC73" s="18">
        <v>1555.2250000000001</v>
      </c>
      <c r="AD73" s="5"/>
      <c r="AE73" s="80">
        <f t="shared" si="24"/>
        <v>69.005050199999999</v>
      </c>
      <c r="AF73" s="77"/>
      <c r="AG73" s="77"/>
      <c r="AH73" s="77"/>
      <c r="AI73" s="77"/>
      <c r="AJ73" s="82">
        <f t="shared" si="29"/>
        <v>3515.2514999999999</v>
      </c>
      <c r="AK73" s="8"/>
      <c r="AL73" s="8"/>
      <c r="AM73" s="1"/>
      <c r="AN73" s="1"/>
      <c r="AO73" s="8"/>
      <c r="AP73" s="5"/>
      <c r="AQ73" s="91">
        <f t="shared" si="26"/>
        <v>13.265099999999999</v>
      </c>
      <c r="AR73" s="94"/>
      <c r="AS73" s="94"/>
      <c r="AT73" s="93"/>
      <c r="AU73" s="1"/>
      <c r="AV73" s="8"/>
      <c r="AW73" s="8"/>
      <c r="AX73" s="5"/>
      <c r="AY73" s="1"/>
      <c r="AZ73" s="5"/>
    </row>
    <row r="74" spans="1:52" s="11" customFormat="1" x14ac:dyDescent="0.25">
      <c r="A74" s="1"/>
      <c r="B74" s="61" t="s">
        <v>178</v>
      </c>
      <c r="C74" s="5"/>
      <c r="D74" s="6">
        <v>2</v>
      </c>
      <c r="E74" s="2">
        <v>9.6</v>
      </c>
      <c r="F74" s="2">
        <v>5.3</v>
      </c>
      <c r="G74" s="2">
        <v>40</v>
      </c>
      <c r="H74" s="2">
        <v>3500</v>
      </c>
      <c r="I74" s="2">
        <v>900</v>
      </c>
      <c r="J74" s="2" t="s">
        <v>186</v>
      </c>
      <c r="K74" s="9">
        <v>288</v>
      </c>
      <c r="L74" s="9"/>
      <c r="M74" s="9"/>
      <c r="N74" s="6" t="s">
        <v>21</v>
      </c>
      <c r="O74" s="58"/>
      <c r="P74" s="8"/>
      <c r="Q74" s="1"/>
      <c r="R74" s="8"/>
      <c r="S74" s="14">
        <v>43.052999999999997</v>
      </c>
      <c r="T74" s="36"/>
      <c r="U74" s="14"/>
      <c r="V74" s="8"/>
      <c r="W74" s="8"/>
      <c r="X74" s="1"/>
      <c r="Y74" s="1"/>
      <c r="Z74" s="1"/>
      <c r="AA74" s="1"/>
      <c r="AB74" s="1"/>
      <c r="AC74" s="18">
        <v>578.39</v>
      </c>
      <c r="AD74" s="5"/>
      <c r="AE74" s="80">
        <f t="shared" si="24"/>
        <v>11.025</v>
      </c>
      <c r="AF74" s="77"/>
      <c r="AG74" s="77"/>
      <c r="AH74" s="77"/>
      <c r="AI74" s="77"/>
      <c r="AJ74" s="82">
        <f t="shared" si="29"/>
        <v>30.24</v>
      </c>
      <c r="AK74" s="8"/>
      <c r="AL74" s="8"/>
      <c r="AM74" s="1"/>
      <c r="AN74" s="1"/>
      <c r="AO74" s="8"/>
      <c r="AP74" s="5"/>
      <c r="AQ74" s="91">
        <f t="shared" si="26"/>
        <v>3.15</v>
      </c>
      <c r="AR74" s="94"/>
      <c r="AS74" s="94"/>
      <c r="AT74" s="93"/>
      <c r="AU74" s="1"/>
      <c r="AV74" s="8"/>
      <c r="AW74" s="8"/>
      <c r="AX74" s="5"/>
      <c r="AY74" s="1"/>
      <c r="AZ74" s="5"/>
    </row>
    <row r="75" spans="1:52" s="11" customFormat="1" x14ac:dyDescent="0.25">
      <c r="A75" s="1"/>
      <c r="B75" s="61" t="s">
        <v>179</v>
      </c>
      <c r="C75" s="5"/>
      <c r="D75" s="6">
        <v>2</v>
      </c>
      <c r="E75" s="2">
        <v>13.75</v>
      </c>
      <c r="F75" s="2">
        <v>6.3</v>
      </c>
      <c r="G75" s="2">
        <v>51.993067590987863</v>
      </c>
      <c r="H75" s="2">
        <v>4680</v>
      </c>
      <c r="I75" s="2">
        <v>1000</v>
      </c>
      <c r="J75" s="2" t="s">
        <v>186</v>
      </c>
      <c r="K75" s="9">
        <v>336</v>
      </c>
      <c r="L75" s="9"/>
      <c r="M75" s="9"/>
      <c r="N75" s="6" t="s">
        <v>21</v>
      </c>
      <c r="O75" s="58"/>
      <c r="P75" s="8"/>
      <c r="Q75" s="1"/>
      <c r="R75" s="8"/>
      <c r="S75" s="14">
        <v>57.43</v>
      </c>
      <c r="T75" s="36"/>
      <c r="U75" s="14"/>
      <c r="V75" s="8"/>
      <c r="W75" s="8"/>
      <c r="X75" s="1"/>
      <c r="Y75" s="1"/>
      <c r="Z75" s="1"/>
      <c r="AA75" s="1"/>
      <c r="AB75" s="1"/>
      <c r="AC75" s="18">
        <v>588.90334000000007</v>
      </c>
      <c r="AD75" s="5"/>
      <c r="AE75" s="80">
        <f t="shared" si="24"/>
        <v>21.9024</v>
      </c>
      <c r="AF75" s="77"/>
      <c r="AG75" s="77"/>
      <c r="AH75" s="77"/>
      <c r="AI75" s="77"/>
      <c r="AJ75" s="82">
        <f t="shared" si="29"/>
        <v>64.349999999999994</v>
      </c>
      <c r="AK75" s="8"/>
      <c r="AL75" s="8"/>
      <c r="AM75" s="1"/>
      <c r="AN75" s="1"/>
      <c r="AO75" s="8"/>
      <c r="AP75" s="5"/>
      <c r="AQ75" s="91">
        <f t="shared" si="26"/>
        <v>4.68</v>
      </c>
      <c r="AR75" s="94"/>
      <c r="AS75" s="94"/>
      <c r="AT75" s="93"/>
      <c r="AU75" s="1"/>
      <c r="AV75" s="8"/>
      <c r="AW75" s="8"/>
      <c r="AX75" s="5"/>
      <c r="AY75" s="1"/>
      <c r="AZ75" s="5"/>
    </row>
    <row r="76" spans="1:52" s="11" customFormat="1" x14ac:dyDescent="0.25">
      <c r="A76" s="1"/>
      <c r="B76" s="11" t="s">
        <v>254</v>
      </c>
      <c r="C76" s="5"/>
      <c r="D76" s="6">
        <v>1</v>
      </c>
      <c r="E76" s="2">
        <v>31</v>
      </c>
      <c r="F76" s="2">
        <v>10.5</v>
      </c>
      <c r="G76" s="2">
        <v>8</v>
      </c>
      <c r="H76" s="2">
        <v>2250</v>
      </c>
      <c r="I76" s="2">
        <v>1180</v>
      </c>
      <c r="J76" s="2" t="s">
        <v>185</v>
      </c>
      <c r="K76" s="9">
        <v>132</v>
      </c>
      <c r="L76" s="9"/>
      <c r="M76" s="9"/>
      <c r="N76" s="6" t="s">
        <v>21</v>
      </c>
      <c r="O76" s="58"/>
      <c r="P76" s="8"/>
      <c r="Q76" s="1"/>
      <c r="R76" s="8"/>
      <c r="S76" s="14">
        <v>4.7</v>
      </c>
      <c r="T76" s="36"/>
      <c r="U76" s="14"/>
      <c r="V76" s="8"/>
      <c r="W76" s="8"/>
      <c r="X76" s="1"/>
      <c r="Y76" s="1"/>
      <c r="Z76" s="1"/>
      <c r="AA76" s="1"/>
      <c r="AB76" s="1"/>
      <c r="AC76" s="18">
        <v>245.98099999999999</v>
      </c>
      <c r="AD76" s="5"/>
      <c r="AE76" s="80">
        <f t="shared" si="24"/>
        <v>5.9737500000000008</v>
      </c>
      <c r="AF76" s="77"/>
      <c r="AG76" s="77"/>
      <c r="AH76" s="77"/>
      <c r="AI76" s="77"/>
      <c r="AJ76" s="82">
        <f t="shared" si="29"/>
        <v>82.304999999999993</v>
      </c>
      <c r="AK76" s="8"/>
      <c r="AL76" s="8"/>
      <c r="AM76" s="1"/>
      <c r="AN76" s="1"/>
      <c r="AO76" s="8"/>
      <c r="AP76" s="5"/>
      <c r="AQ76" s="91">
        <f t="shared" si="26"/>
        <v>2.6549999999999998</v>
      </c>
      <c r="AR76" s="94"/>
      <c r="AS76" s="94"/>
      <c r="AT76" s="93"/>
      <c r="AU76" s="1"/>
      <c r="AV76" s="8"/>
      <c r="AW76" s="8"/>
      <c r="AX76" s="5"/>
      <c r="AY76" s="1"/>
      <c r="AZ76" s="5"/>
    </row>
    <row r="77" spans="1:52" s="11" customFormat="1" x14ac:dyDescent="0.25">
      <c r="A77" s="1"/>
      <c r="B77" s="11" t="s">
        <v>255</v>
      </c>
      <c r="C77" s="5"/>
      <c r="D77" s="6">
        <v>1</v>
      </c>
      <c r="E77" s="2">
        <v>42</v>
      </c>
      <c r="F77" s="2">
        <v>10</v>
      </c>
      <c r="G77" s="2">
        <v>27.99813345776948</v>
      </c>
      <c r="H77" s="2">
        <v>4200</v>
      </c>
      <c r="I77" s="2">
        <v>1770</v>
      </c>
      <c r="J77" s="2" t="s">
        <v>185</v>
      </c>
      <c r="K77" s="9">
        <v>180</v>
      </c>
      <c r="L77" s="9"/>
      <c r="M77" s="9"/>
      <c r="N77" s="6" t="s">
        <v>21</v>
      </c>
      <c r="O77" s="58"/>
      <c r="P77" s="8"/>
      <c r="Q77" s="1"/>
      <c r="R77" s="8"/>
      <c r="S77" s="14">
        <v>9.5</v>
      </c>
      <c r="T77" s="36"/>
      <c r="U77" s="14"/>
      <c r="V77" s="8"/>
      <c r="W77" s="8"/>
      <c r="X77" s="1"/>
      <c r="Y77" s="1"/>
      <c r="Z77" s="1"/>
      <c r="AA77" s="1"/>
      <c r="AB77" s="1"/>
      <c r="AC77" s="18">
        <v>376.23199999999997</v>
      </c>
      <c r="AD77" s="5"/>
      <c r="AE77" s="80">
        <f t="shared" si="24"/>
        <v>31.222800000000003</v>
      </c>
      <c r="AF77" s="77"/>
      <c r="AG77" s="77"/>
      <c r="AH77" s="77"/>
      <c r="AI77" s="77"/>
      <c r="AJ77" s="82">
        <f t="shared" si="29"/>
        <v>312.22800000000001</v>
      </c>
      <c r="AK77" s="8"/>
      <c r="AL77" s="8"/>
      <c r="AM77" s="1"/>
      <c r="AN77" s="1"/>
      <c r="AO77" s="8"/>
      <c r="AP77" s="5"/>
      <c r="AQ77" s="91">
        <f t="shared" si="26"/>
        <v>7.4339999999999993</v>
      </c>
      <c r="AR77" s="94"/>
      <c r="AS77" s="94"/>
      <c r="AT77" s="93"/>
      <c r="AU77" s="1"/>
      <c r="AV77" s="8"/>
      <c r="AW77" s="8"/>
      <c r="AX77" s="5"/>
      <c r="AY77" s="1"/>
      <c r="AZ77" s="5"/>
    </row>
    <row r="78" spans="1:52" s="11" customFormat="1" x14ac:dyDescent="0.25">
      <c r="A78" s="1"/>
      <c r="B78" s="11" t="s">
        <v>256</v>
      </c>
      <c r="C78" s="5"/>
      <c r="D78" s="6">
        <v>4</v>
      </c>
      <c r="E78" s="2">
        <v>65</v>
      </c>
      <c r="F78" s="2">
        <v>10.25</v>
      </c>
      <c r="G78" s="2">
        <v>8</v>
      </c>
      <c r="H78" s="2">
        <v>2500</v>
      </c>
      <c r="I78" s="2">
        <v>2000</v>
      </c>
      <c r="J78" s="2" t="s">
        <v>185</v>
      </c>
      <c r="K78" s="9">
        <v>132</v>
      </c>
      <c r="L78" s="9"/>
      <c r="M78" s="9"/>
      <c r="N78" s="6" t="s">
        <v>21</v>
      </c>
      <c r="O78" s="58"/>
      <c r="P78" s="8"/>
      <c r="Q78" s="1"/>
      <c r="R78" s="8"/>
      <c r="S78" s="14">
        <v>5.94</v>
      </c>
      <c r="T78" s="36"/>
      <c r="U78" s="14"/>
      <c r="V78" s="8"/>
      <c r="W78" s="8"/>
      <c r="X78" s="1"/>
      <c r="Y78" s="1"/>
      <c r="Z78" s="1"/>
      <c r="AA78" s="1"/>
      <c r="AB78" s="1"/>
      <c r="AC78" s="18">
        <v>302.476</v>
      </c>
      <c r="AD78" s="5"/>
      <c r="AE78" s="80">
        <f t="shared" ref="AE78:AE80" si="30">H78*H78*I78*0.000000001</f>
        <v>12.5</v>
      </c>
      <c r="AF78" s="77"/>
      <c r="AG78" s="77"/>
      <c r="AH78" s="77"/>
      <c r="AI78" s="77"/>
      <c r="AJ78" s="82">
        <f t="shared" si="29"/>
        <v>325</v>
      </c>
      <c r="AK78" s="8"/>
      <c r="AL78" s="8"/>
      <c r="AM78" s="1"/>
      <c r="AN78" s="1"/>
      <c r="AO78" s="8"/>
      <c r="AP78" s="5"/>
      <c r="AQ78" s="91">
        <f t="shared" ref="AQ78:AQ80" si="31">H78*I78*0.000001</f>
        <v>5</v>
      </c>
      <c r="AR78" s="94"/>
      <c r="AS78" s="94"/>
      <c r="AT78" s="93"/>
      <c r="AU78" s="1"/>
      <c r="AV78" s="8"/>
      <c r="AW78" s="8"/>
      <c r="AX78" s="5"/>
      <c r="AY78" s="1"/>
      <c r="AZ78" s="5"/>
    </row>
    <row r="79" spans="1:52" s="11" customFormat="1" x14ac:dyDescent="0.25">
      <c r="A79" s="1"/>
      <c r="B79" s="11" t="s">
        <v>257</v>
      </c>
      <c r="C79" s="5"/>
      <c r="D79" s="6">
        <v>1</v>
      </c>
      <c r="E79" s="2">
        <v>70</v>
      </c>
      <c r="F79" s="2">
        <v>10.5</v>
      </c>
      <c r="G79" s="2">
        <v>16</v>
      </c>
      <c r="H79" s="2">
        <v>3400</v>
      </c>
      <c r="I79" s="2">
        <v>2000</v>
      </c>
      <c r="J79" s="2" t="s">
        <v>185</v>
      </c>
      <c r="K79" s="9">
        <v>210</v>
      </c>
      <c r="L79" s="9"/>
      <c r="M79" s="9"/>
      <c r="N79" s="6" t="s">
        <v>21</v>
      </c>
      <c r="O79" s="58"/>
      <c r="P79" s="8"/>
      <c r="Q79" s="1"/>
      <c r="R79" s="8"/>
      <c r="S79" s="14">
        <v>9.5239999999999991</v>
      </c>
      <c r="T79" s="36"/>
      <c r="U79" s="14"/>
      <c r="V79" s="8"/>
      <c r="W79" s="8"/>
      <c r="X79" s="1"/>
      <c r="Y79" s="1"/>
      <c r="Z79" s="1"/>
      <c r="AA79" s="1"/>
      <c r="AB79" s="1"/>
      <c r="AC79" s="18">
        <v>402.416</v>
      </c>
      <c r="AD79" s="5"/>
      <c r="AE79" s="80">
        <f t="shared" si="30"/>
        <v>23.12</v>
      </c>
      <c r="AF79" s="77"/>
      <c r="AG79" s="77"/>
      <c r="AH79" s="77"/>
      <c r="AI79" s="77"/>
      <c r="AJ79" s="82">
        <f t="shared" si="29"/>
        <v>476</v>
      </c>
      <c r="AK79" s="8"/>
      <c r="AL79" s="8"/>
      <c r="AM79" s="1"/>
      <c r="AN79" s="1"/>
      <c r="AO79" s="8"/>
      <c r="AP79" s="5"/>
      <c r="AQ79" s="91">
        <f t="shared" si="31"/>
        <v>6.8</v>
      </c>
      <c r="AR79" s="94"/>
      <c r="AS79" s="94"/>
      <c r="AT79" s="93"/>
      <c r="AU79" s="1"/>
      <c r="AV79" s="8"/>
      <c r="AW79" s="8"/>
      <c r="AX79" s="5"/>
      <c r="AY79" s="1"/>
      <c r="AZ79" s="5"/>
    </row>
    <row r="80" spans="1:52" s="11" customFormat="1" x14ac:dyDescent="0.25">
      <c r="A80" s="1"/>
      <c r="B80" s="61" t="s">
        <v>137</v>
      </c>
      <c r="C80" s="5"/>
      <c r="D80" s="6">
        <v>1</v>
      </c>
      <c r="E80" s="2">
        <v>50</v>
      </c>
      <c r="F80" s="2">
        <v>10.5</v>
      </c>
      <c r="G80" s="2">
        <v>52</v>
      </c>
      <c r="H80" s="2">
        <v>7700</v>
      </c>
      <c r="I80" s="2">
        <v>1320</v>
      </c>
      <c r="J80" s="2" t="s">
        <v>186</v>
      </c>
      <c r="K80" s="9">
        <v>516</v>
      </c>
      <c r="L80" s="9"/>
      <c r="M80" s="9"/>
      <c r="N80" s="6" t="s">
        <v>21</v>
      </c>
      <c r="O80" s="58"/>
      <c r="P80" s="8"/>
      <c r="Q80" s="1"/>
      <c r="R80" s="8"/>
      <c r="S80" s="14">
        <v>107.7</v>
      </c>
      <c r="T80" s="36"/>
      <c r="U80" s="14"/>
      <c r="V80" s="8"/>
      <c r="W80" s="8"/>
      <c r="X80" s="1"/>
      <c r="Y80" s="1"/>
      <c r="Z80" s="1"/>
      <c r="AA80" s="1"/>
      <c r="AB80" s="1"/>
      <c r="AC80" s="18"/>
      <c r="AD80" s="5"/>
      <c r="AE80" s="80">
        <f t="shared" si="30"/>
        <v>78.262799999999999</v>
      </c>
      <c r="AF80" s="77"/>
      <c r="AG80" s="77"/>
      <c r="AH80" s="77"/>
      <c r="AI80" s="77"/>
      <c r="AJ80" s="82">
        <f t="shared" ref="AJ80" si="32">H80*I80*E80*0.000001</f>
        <v>508.2</v>
      </c>
      <c r="AK80" s="8"/>
      <c r="AL80" s="8"/>
      <c r="AM80" s="1"/>
      <c r="AN80" s="1"/>
      <c r="AO80" s="8"/>
      <c r="AP80" s="5"/>
      <c r="AQ80" s="91">
        <f t="shared" si="31"/>
        <v>10.164</v>
      </c>
      <c r="AR80" s="94"/>
      <c r="AS80" s="94"/>
      <c r="AT80" s="93"/>
      <c r="AU80" s="1"/>
      <c r="AV80" s="8"/>
      <c r="AW80" s="8"/>
      <c r="AX80" s="5"/>
      <c r="AY80" s="1"/>
      <c r="AZ80" s="5"/>
    </row>
  </sheetData>
  <mergeCells count="17">
    <mergeCell ref="X3:Y3"/>
    <mergeCell ref="Z3:AA3"/>
    <mergeCell ref="T3:U3"/>
    <mergeCell ref="AK2:AP2"/>
    <mergeCell ref="AU2:AX2"/>
    <mergeCell ref="V3:W3"/>
    <mergeCell ref="B1:D1"/>
    <mergeCell ref="E1:N1"/>
    <mergeCell ref="O1:S1"/>
    <mergeCell ref="AU1:AX1"/>
    <mergeCell ref="B2:D2"/>
    <mergeCell ref="E2:N2"/>
    <mergeCell ref="O2:S2"/>
    <mergeCell ref="V2:AD2"/>
    <mergeCell ref="AE2:AF2"/>
    <mergeCell ref="AG2:AI2"/>
    <mergeCell ref="T1:AD1"/>
  </mergeCells>
  <conditionalFormatting sqref="E6">
    <cfRule type="cellIs" dxfId="11" priority="12" operator="greaterThan">
      <formula>#REF!</formula>
    </cfRule>
  </conditionalFormatting>
  <conditionalFormatting sqref="K6:O6 M7:M20">
    <cfRule type="cellIs" dxfId="10" priority="11" operator="notEqual">
      <formula>#REF!</formula>
    </cfRule>
  </conditionalFormatting>
  <conditionalFormatting sqref="E7">
    <cfRule type="cellIs" dxfId="9" priority="10" operator="greaterThan">
      <formula>#REF!</formula>
    </cfRule>
  </conditionalFormatting>
  <conditionalFormatting sqref="E8">
    <cfRule type="cellIs" dxfId="8" priority="9" operator="greaterThan">
      <formula>#REF!</formula>
    </cfRule>
  </conditionalFormatting>
  <conditionalFormatting sqref="E9">
    <cfRule type="cellIs" dxfId="7" priority="8" operator="greaterThan">
      <formula>#REF!</formula>
    </cfRule>
  </conditionalFormatting>
  <conditionalFormatting sqref="E17">
    <cfRule type="cellIs" dxfId="6" priority="7" operator="greaterThan">
      <formula>#REF!</formula>
    </cfRule>
  </conditionalFormatting>
  <conditionalFormatting sqref="E18">
    <cfRule type="cellIs" dxfId="5" priority="6" operator="greaterThan">
      <formula>#REF!</formula>
    </cfRule>
  </conditionalFormatting>
  <conditionalFormatting sqref="E10">
    <cfRule type="cellIs" dxfId="4" priority="5" operator="greaterThan">
      <formula>#REF!</formula>
    </cfRule>
  </conditionalFormatting>
  <conditionalFormatting sqref="E11">
    <cfRule type="cellIs" dxfId="3" priority="4" operator="greaterThan">
      <formula>#REF!</formula>
    </cfRule>
  </conditionalFormatting>
  <conditionalFormatting sqref="E13">
    <cfRule type="cellIs" dxfId="2" priority="3" operator="greaterThan">
      <formula>#REF!</formula>
    </cfRule>
  </conditionalFormatting>
  <conditionalFormatting sqref="E16">
    <cfRule type="cellIs" dxfId="1" priority="2" operator="greaterThan">
      <formula>#REF!</formula>
    </cfRule>
  </conditionalFormatting>
  <conditionalFormatting sqref="E20:E21">
    <cfRule type="cellIs" dxfId="0" priority="1" operator="greaterThan">
      <formula>#REF!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5"/>
  <sheetViews>
    <sheetView zoomScale="80" zoomScaleNormal="80" workbookViewId="0">
      <selection activeCell="G72" sqref="G72"/>
    </sheetView>
  </sheetViews>
  <sheetFormatPr baseColWidth="10" defaultRowHeight="12.75" x14ac:dyDescent="0.2"/>
  <cols>
    <col min="1" max="1" width="4.140625" style="39" customWidth="1"/>
    <col min="2" max="2" width="19.42578125" style="39" customWidth="1"/>
    <col min="3" max="3" width="6" style="39" customWidth="1"/>
    <col min="4" max="4" width="5.85546875" style="39" customWidth="1"/>
    <col min="5" max="5" width="7.140625" style="39" customWidth="1"/>
    <col min="6" max="6" width="11.42578125" style="39"/>
    <col min="7" max="7" width="11.85546875" style="39" customWidth="1"/>
    <col min="8" max="8" width="10.85546875" style="39" customWidth="1"/>
    <col min="9" max="9" width="10.140625" style="39" customWidth="1"/>
    <col min="10" max="10" width="10.5703125" style="39" customWidth="1"/>
    <col min="11" max="11" width="11" style="39" customWidth="1"/>
    <col min="12" max="12" width="7" style="39" customWidth="1"/>
    <col min="13" max="18" width="11.42578125" style="39"/>
    <col min="19" max="19" width="8.5703125" style="39" customWidth="1"/>
    <col min="20" max="16384" width="11.42578125" style="39"/>
  </cols>
  <sheetData>
    <row r="1" spans="1:5" x14ac:dyDescent="0.2">
      <c r="A1" s="49" t="str">
        <f>'Global analysis (old)'!T1</f>
        <v>MATERIAL COSTS (for the first unit) (with frame)</v>
      </c>
    </row>
    <row r="2" spans="1:5" x14ac:dyDescent="0.2">
      <c r="B2" s="68" t="s">
        <v>8</v>
      </c>
      <c r="C2" s="39" t="s">
        <v>106</v>
      </c>
      <c r="D2" s="39" t="str">
        <f>'Global analysis (old)'!AQ3</f>
        <v>"D.L"</v>
      </c>
      <c r="E2" s="40" t="s">
        <v>118</v>
      </c>
    </row>
    <row r="3" spans="1:5" x14ac:dyDescent="0.2">
      <c r="B3" s="39" t="str">
        <f>'Global analysis (old)'!B6</f>
        <v>BORT-LES-ORGUES G2</v>
      </c>
      <c r="C3" s="40" t="str">
        <f>'Global analysis (old)'!J6</f>
        <v>Y</v>
      </c>
      <c r="D3" s="42">
        <f>'Global analysis (old)'!AQ6</f>
        <v>21.6755</v>
      </c>
      <c r="E3" s="39">
        <f>'Global analysis (old)'!AC6</f>
        <v>1504.4796800000001</v>
      </c>
    </row>
    <row r="4" spans="1:5" x14ac:dyDescent="0.2">
      <c r="B4" s="39" t="str">
        <f>'Global analysis (old)'!B7</f>
        <v>GENISSIAT 2 - 4 (ALS)</v>
      </c>
      <c r="C4" s="40" t="str">
        <f>'Global analysis (old)'!J7</f>
        <v>N</v>
      </c>
      <c r="D4" s="42">
        <f>'Global analysis (old)'!AQ7</f>
        <v>15.407</v>
      </c>
      <c r="E4" s="39">
        <f>'Global analysis (old)'!AC7</f>
        <v>1257.7185219842165</v>
      </c>
    </row>
    <row r="5" spans="1:5" x14ac:dyDescent="0.2">
      <c r="B5" s="39" t="str">
        <f>'Global analysis (old)'!B8</f>
        <v>GENISSIAT 1 - 6 (SW)</v>
      </c>
      <c r="C5" s="40" t="str">
        <f>'Global analysis (old)'!J8</f>
        <v>N</v>
      </c>
      <c r="D5" s="42">
        <f>'Global analysis (old)'!AQ8</f>
        <v>14.8401</v>
      </c>
      <c r="E5" s="39">
        <f>'Global analysis (old)'!AC8</f>
        <v>1281.9047981961669</v>
      </c>
    </row>
    <row r="6" spans="1:5" x14ac:dyDescent="0.2">
      <c r="B6" s="39" t="str">
        <f>'Global analysis (old)'!B9</f>
        <v>PEYRAT LE CHÂTEAU</v>
      </c>
      <c r="C6" s="40" t="str">
        <f>'Global analysis (old)'!J9</f>
        <v>Y</v>
      </c>
      <c r="D6" s="42">
        <f>'Global analysis (old)'!AQ9</f>
        <v>4.0249999999999995</v>
      </c>
      <c r="E6" s="39">
        <f>'Global analysis (old)'!AC9</f>
        <v>530.66200000000003</v>
      </c>
    </row>
    <row r="7" spans="1:5" x14ac:dyDescent="0.2">
      <c r="B7" s="39" t="str">
        <f>'Global analysis (old)'!B10</f>
        <v>BOLLENE G4</v>
      </c>
      <c r="C7" s="40" t="str">
        <f>'Global analysis (old)'!J10</f>
        <v>N</v>
      </c>
      <c r="D7" s="42">
        <f>'Global analysis (old)'!AQ10</f>
        <v>12.07545</v>
      </c>
      <c r="E7" s="39">
        <f>'Global analysis (old)'!AC10</f>
        <v>863.23900000000003</v>
      </c>
    </row>
    <row r="8" spans="1:5" x14ac:dyDescent="0.2">
      <c r="B8" s="39" t="str">
        <f>'Global analysis (old)'!B11</f>
        <v>BEAUCHASTEL G1256</v>
      </c>
      <c r="C8" s="40" t="str">
        <f>'Global analysis (old)'!J11</f>
        <v>N</v>
      </c>
      <c r="D8" s="42">
        <f>'Global analysis (old)'!AQ11</f>
        <v>9.7545000000000002</v>
      </c>
      <c r="E8" s="39">
        <f>'Global analysis (old)'!AC11</f>
        <v>730.11699999999996</v>
      </c>
    </row>
    <row r="9" spans="1:5" x14ac:dyDescent="0.2">
      <c r="B9" s="39" t="str">
        <f>'Global analysis (old)'!B12</f>
        <v>VOGELGRÜN G3</v>
      </c>
      <c r="C9" s="40" t="str">
        <f>'Global analysis (old)'!J12</f>
        <v>Y</v>
      </c>
      <c r="D9" s="42">
        <f>'Global analysis (old)'!AQ12</f>
        <v>8.831999999999999</v>
      </c>
      <c r="E9" s="39">
        <f>'Global analysis (old)'!AC12</f>
        <v>994.82500000000005</v>
      </c>
    </row>
    <row r="10" spans="1:5" x14ac:dyDescent="0.2">
      <c r="B10" s="39" t="str">
        <f>'Global analysis (old)'!B13</f>
        <v>LA BATHIE G1345</v>
      </c>
      <c r="C10" s="40" t="str">
        <f>'Global analysis (old)'!J13</f>
        <v>N</v>
      </c>
      <c r="D10" s="42">
        <f>'Global analysis (old)'!AQ13</f>
        <v>7.85792</v>
      </c>
      <c r="E10" s="39">
        <f>'Global analysis (old)'!AC13</f>
        <v>696.09119999999996</v>
      </c>
    </row>
    <row r="11" spans="1:5" x14ac:dyDescent="0.2">
      <c r="B11" s="39" t="str">
        <f>'Global analysis (old)'!B14</f>
        <v>SAUT-MORTIER G2</v>
      </c>
      <c r="C11" s="40" t="str">
        <f>'Global analysis (old)'!J14</f>
        <v>Y</v>
      </c>
      <c r="D11" s="42">
        <f>'Global analysis (old)'!AQ14</f>
        <v>4.6280000000000001</v>
      </c>
      <c r="E11" s="39">
        <f>'Global analysis (old)'!AC14</f>
        <v>797.73300000000006</v>
      </c>
    </row>
    <row r="12" spans="1:5" x14ac:dyDescent="0.2">
      <c r="B12" s="39" t="str">
        <f>'Global analysis (old)'!B15</f>
        <v>MANOSQUE</v>
      </c>
      <c r="C12" s="40" t="str">
        <f>'Global analysis (old)'!J15</f>
        <v>Y</v>
      </c>
      <c r="D12" s="42">
        <f>'Global analysis (old)'!AQ15</f>
        <v>9.10656</v>
      </c>
      <c r="E12" s="39">
        <f>'Global analysis (old)'!AC15</f>
        <v>956.9129999999999</v>
      </c>
    </row>
    <row r="13" spans="1:5" x14ac:dyDescent="0.2">
      <c r="B13" s="39" t="str">
        <f>'Global analysis (old)'!B16</f>
        <v>RANDENS G4</v>
      </c>
      <c r="C13" s="40" t="str">
        <f>'Global analysis (old)'!J16</f>
        <v>Y</v>
      </c>
      <c r="D13" s="42">
        <f>'Global analysis (old)'!AQ16</f>
        <v>4.5474999999999994</v>
      </c>
      <c r="E13" s="39">
        <f>'Global analysis (old)'!AC16</f>
        <v>492.54300000000001</v>
      </c>
    </row>
    <row r="14" spans="1:5" x14ac:dyDescent="0.2">
      <c r="B14" s="39" t="str">
        <f>'Global analysis (old)'!B17</f>
        <v>LA RANCE (B)</v>
      </c>
      <c r="C14" s="40" t="str">
        <f>'Global analysis (old)'!J17</f>
        <v>N</v>
      </c>
      <c r="D14" s="42">
        <f>'Global analysis (old)'!AQ17</f>
        <v>3.6025549999999997</v>
      </c>
      <c r="E14" s="39">
        <f>'Global analysis (old)'!AC17</f>
        <v>455.20099999999996</v>
      </c>
    </row>
    <row r="15" spans="1:5" x14ac:dyDescent="0.2">
      <c r="B15" s="39" t="str">
        <f>'Global analysis (old)'!B18</f>
        <v>VAUGRIS (B)</v>
      </c>
      <c r="C15" s="40" t="str">
        <f>'Global analysis (old)'!J18</f>
        <v>Y</v>
      </c>
      <c r="D15" s="42">
        <f>'Global analysis (old)'!AQ18</f>
        <v>6.0332999999999997</v>
      </c>
      <c r="E15" s="39">
        <f>'Global analysis (old)'!AC18</f>
        <v>938.66899999999998</v>
      </c>
    </row>
    <row r="16" spans="1:5" x14ac:dyDescent="0.2">
      <c r="B16" s="39" t="str">
        <f>'Global analysis (old)'!B19</f>
        <v>ST HILAIRE</v>
      </c>
      <c r="C16" s="40" t="str">
        <f>'Global analysis (old)'!J19</f>
        <v>Y</v>
      </c>
      <c r="D16" s="42">
        <f>'Global analysis (old)'!AQ19</f>
        <v>4.4169999999999998</v>
      </c>
      <c r="E16" s="39">
        <f>'Global analysis (old)'!AC19</f>
        <v>397.69349999999997</v>
      </c>
    </row>
    <row r="18" spans="2:5" x14ac:dyDescent="0.2">
      <c r="B18" s="68" t="s">
        <v>181</v>
      </c>
    </row>
    <row r="19" spans="2:5" x14ac:dyDescent="0.2">
      <c r="B19" s="39" t="s">
        <v>146</v>
      </c>
      <c r="C19" s="40" t="str">
        <f>'Global analysis (old)'!J23</f>
        <v>N</v>
      </c>
      <c r="D19" s="42">
        <f>'Global analysis (old)'!AQ23</f>
        <v>1.0707199999999999</v>
      </c>
      <c r="E19" s="39">
        <f>'Global analysis (old)'!AC23</f>
        <v>209.21700000000001</v>
      </c>
    </row>
    <row r="20" spans="2:5" x14ac:dyDescent="0.2">
      <c r="B20" s="39" t="s">
        <v>129</v>
      </c>
      <c r="C20" s="40" t="str">
        <f>'Global analysis (old)'!J24</f>
        <v>Y</v>
      </c>
      <c r="D20" s="42">
        <f>'Global analysis (old)'!AQ24</f>
        <v>1.5</v>
      </c>
      <c r="E20" s="39">
        <f>'Global analysis (old)'!AC24</f>
        <v>457.71699999999998</v>
      </c>
    </row>
    <row r="21" spans="2:5" x14ac:dyDescent="0.2">
      <c r="B21" s="39" t="s">
        <v>147</v>
      </c>
      <c r="C21" s="40" t="str">
        <f>'Global analysis (old)'!J25</f>
        <v>Y</v>
      </c>
      <c r="D21" s="42">
        <f>'Global analysis (old)'!AQ25</f>
        <v>2.4</v>
      </c>
      <c r="E21" s="39">
        <f>'Global analysis (old)'!AC25</f>
        <v>440.11</v>
      </c>
    </row>
    <row r="22" spans="2:5" x14ac:dyDescent="0.2">
      <c r="B22" s="39" t="s">
        <v>148</v>
      </c>
      <c r="C22" s="40" t="str">
        <f>'Global analysis (old)'!J26</f>
        <v>Y</v>
      </c>
      <c r="D22" s="42">
        <f>'Global analysis (old)'!AQ26</f>
        <v>1.5294999999999999</v>
      </c>
      <c r="E22" s="39">
        <f>'Global analysis (old)'!AC26</f>
        <v>335.50599999999997</v>
      </c>
    </row>
    <row r="23" spans="2:5" x14ac:dyDescent="0.2">
      <c r="B23" s="39" t="s">
        <v>149</v>
      </c>
      <c r="C23" s="40" t="str">
        <f>'Global analysis (old)'!J27</f>
        <v>Y</v>
      </c>
      <c r="D23" s="42">
        <f>'Global analysis (old)'!AQ27</f>
        <v>2.8874999999999997</v>
      </c>
      <c r="E23" s="39">
        <f>'Global analysis (old)'!AC27</f>
        <v>491.94299999999998</v>
      </c>
    </row>
    <row r="24" spans="2:5" x14ac:dyDescent="0.2">
      <c r="B24" s="39" t="s">
        <v>150</v>
      </c>
      <c r="C24" s="40" t="str">
        <f>'Global analysis (old)'!J28</f>
        <v>N</v>
      </c>
      <c r="D24" s="42">
        <f>'Global analysis (old)'!AQ28</f>
        <v>3.3</v>
      </c>
      <c r="E24" s="39">
        <f>'Global analysis (old)'!AC28</f>
        <v>715</v>
      </c>
    </row>
    <row r="25" spans="2:5" x14ac:dyDescent="0.2">
      <c r="B25" s="39" t="s">
        <v>147</v>
      </c>
      <c r="C25" s="40" t="str">
        <f>'Global analysis (old)'!J29</f>
        <v>Y</v>
      </c>
      <c r="D25" s="42">
        <f>'Global analysis (old)'!AQ29</f>
        <v>2.4</v>
      </c>
      <c r="E25" s="39">
        <f>'Global analysis (old)'!AC29</f>
        <v>499.51299999999998</v>
      </c>
    </row>
    <row r="26" spans="2:5" x14ac:dyDescent="0.2">
      <c r="B26" s="39" t="s">
        <v>151</v>
      </c>
      <c r="C26" s="40" t="str">
        <f>'Global analysis (old)'!J30</f>
        <v>Y</v>
      </c>
      <c r="D26" s="42">
        <f>'Global analysis (old)'!AQ30</f>
        <v>2.6399999999999997</v>
      </c>
      <c r="E26" s="39">
        <f>'Global analysis (old)'!AC30</f>
        <v>382.20800000000003</v>
      </c>
    </row>
    <row r="27" spans="2:5" x14ac:dyDescent="0.2">
      <c r="B27" s="39" t="s">
        <v>152</v>
      </c>
      <c r="C27" s="40" t="str">
        <f>'Global analysis (old)'!J31</f>
        <v>Y</v>
      </c>
      <c r="D27" s="42">
        <f>'Global analysis (old)'!AQ31</f>
        <v>2.3895</v>
      </c>
      <c r="E27" s="39">
        <f>'Global analysis (old)'!AC31</f>
        <v>637.61599999999999</v>
      </c>
    </row>
    <row r="28" spans="2:5" x14ac:dyDescent="0.2">
      <c r="B28" s="39" t="s">
        <v>153</v>
      </c>
      <c r="C28" s="40" t="str">
        <f>'Global analysis (old)'!J32</f>
        <v>N</v>
      </c>
      <c r="D28" s="42">
        <f>'Global analysis (old)'!AQ32</f>
        <v>4.8019999999999996</v>
      </c>
      <c r="E28" s="39">
        <f>'Global analysis (old)'!AC32</f>
        <v>550</v>
      </c>
    </row>
    <row r="29" spans="2:5" x14ac:dyDescent="0.2">
      <c r="B29" s="39" t="s">
        <v>154</v>
      </c>
      <c r="C29" s="40" t="str">
        <f>'Global analysis (old)'!J33</f>
        <v>N</v>
      </c>
      <c r="D29" s="42">
        <f>'Global analysis (old)'!AQ33</f>
        <v>3.77</v>
      </c>
      <c r="E29" s="39">
        <f>'Global analysis (old)'!AC33</f>
        <v>591.92499999999995</v>
      </c>
    </row>
    <row r="30" spans="2:5" x14ac:dyDescent="0.2">
      <c r="B30" s="39" t="s">
        <v>149</v>
      </c>
      <c r="C30" s="40" t="str">
        <f>'Global analysis (old)'!J34</f>
        <v>Y</v>
      </c>
      <c r="D30" s="42">
        <f>'Global analysis (old)'!AQ34</f>
        <v>2.8874999999999997</v>
      </c>
      <c r="E30" s="39">
        <f>'Global analysis (old)'!AC34</f>
        <v>554.50400000000002</v>
      </c>
    </row>
    <row r="31" spans="2:5" x14ac:dyDescent="0.2">
      <c r="B31" s="39" t="s">
        <v>155</v>
      </c>
      <c r="C31" s="40" t="str">
        <f>'Global analysis (old)'!J35</f>
        <v>Y</v>
      </c>
      <c r="D31" s="42">
        <f>'Global analysis (old)'!AQ35</f>
        <v>2.5979199999999998</v>
      </c>
      <c r="E31" s="39">
        <f>'Global analysis (old)'!AC35</f>
        <v>495.86</v>
      </c>
    </row>
    <row r="32" spans="2:5" x14ac:dyDescent="0.2">
      <c r="B32" s="39" t="s">
        <v>156</v>
      </c>
      <c r="C32" s="40" t="str">
        <f>'Global analysis (old)'!J36</f>
        <v>Y</v>
      </c>
      <c r="D32" s="42">
        <f>'Global analysis (old)'!AQ36</f>
        <v>3.77</v>
      </c>
      <c r="E32" s="39">
        <f>'Global analysis (old)'!AC36</f>
        <v>764.67699999999991</v>
      </c>
    </row>
    <row r="33" spans="2:5" x14ac:dyDescent="0.2">
      <c r="B33" s="39" t="s">
        <v>130</v>
      </c>
      <c r="C33" s="40" t="str">
        <f>'Global analysis (old)'!J37</f>
        <v>Y</v>
      </c>
      <c r="D33" s="42">
        <f>'Global analysis (old)'!AQ37</f>
        <v>3.915</v>
      </c>
      <c r="E33" s="39">
        <f>'Global analysis (old)'!AC37</f>
        <v>554.74800000000005</v>
      </c>
    </row>
    <row r="34" spans="2:5" x14ac:dyDescent="0.2">
      <c r="B34" s="39" t="s">
        <v>131</v>
      </c>
      <c r="C34" s="40" t="str">
        <f>'Global analysis (old)'!J38</f>
        <v>Y</v>
      </c>
      <c r="D34" s="42">
        <f>'Global analysis (old)'!AQ38</f>
        <v>3.915</v>
      </c>
      <c r="E34" s="39">
        <f>'Global analysis (old)'!AC38</f>
        <v>554.74800000000005</v>
      </c>
    </row>
    <row r="35" spans="2:5" x14ac:dyDescent="0.2">
      <c r="B35" s="39" t="s">
        <v>157</v>
      </c>
      <c r="C35" s="40" t="str">
        <f>'Global analysis (old)'!J39</f>
        <v>Y</v>
      </c>
      <c r="D35" s="42">
        <f>'Global analysis (old)'!AQ39</f>
        <v>4.6916799999999999</v>
      </c>
      <c r="E35" s="39">
        <f>'Global analysis (old)'!AC39</f>
        <v>554.76900000000001</v>
      </c>
    </row>
    <row r="36" spans="2:5" x14ac:dyDescent="0.2">
      <c r="B36" s="39" t="s">
        <v>158</v>
      </c>
      <c r="C36" s="40" t="str">
        <f>'Global analysis (old)'!J40</f>
        <v>Y</v>
      </c>
      <c r="D36" s="42">
        <f>'Global analysis (old)'!AQ40</f>
        <v>4.1201999999999996</v>
      </c>
      <c r="E36" s="39">
        <f>'Global analysis (old)'!AC40</f>
        <v>517.73500000000001</v>
      </c>
    </row>
    <row r="37" spans="2:5" x14ac:dyDescent="0.2">
      <c r="B37" s="39" t="s">
        <v>132</v>
      </c>
      <c r="C37" s="40" t="str">
        <f>'Global analysis (old)'!J41</f>
        <v>Y</v>
      </c>
      <c r="D37" s="42">
        <f>'Global analysis (old)'!AQ41</f>
        <v>4.8</v>
      </c>
      <c r="E37" s="39">
        <f>'Global analysis (old)'!AC41</f>
        <v>975.82500000000005</v>
      </c>
    </row>
    <row r="38" spans="2:5" x14ac:dyDescent="0.2">
      <c r="B38" s="39" t="s">
        <v>159</v>
      </c>
      <c r="C38" s="40" t="str">
        <f>'Global analysis (old)'!J42</f>
        <v>N</v>
      </c>
      <c r="D38" s="42">
        <f>'Global analysis (old)'!AQ42</f>
        <v>7.4339999999999993</v>
      </c>
      <c r="E38" s="39">
        <f>'Global analysis (old)'!AC42</f>
        <v>606.19899999999996</v>
      </c>
    </row>
    <row r="39" spans="2:5" x14ac:dyDescent="0.2">
      <c r="B39" s="39" t="s">
        <v>160</v>
      </c>
      <c r="C39" s="40" t="str">
        <f>'Global analysis (old)'!J43</f>
        <v>Y</v>
      </c>
      <c r="D39" s="42">
        <f>'Global analysis (old)'!AQ43</f>
        <v>4.2299999999999995</v>
      </c>
      <c r="E39" s="39">
        <f>'Global analysis (old)'!AC43</f>
        <v>649.798</v>
      </c>
    </row>
    <row r="40" spans="2:5" x14ac:dyDescent="0.2">
      <c r="B40" s="39" t="s">
        <v>161</v>
      </c>
      <c r="C40" s="40" t="str">
        <f>'Global analysis (old)'!J44</f>
        <v>N</v>
      </c>
      <c r="D40" s="42">
        <f>'Global analysis (old)'!AQ44</f>
        <v>7.8472799999999996</v>
      </c>
      <c r="E40" s="39">
        <f>'Global analysis (old)'!AC44</f>
        <v>711.28899999999999</v>
      </c>
    </row>
    <row r="41" spans="2:5" x14ac:dyDescent="0.2">
      <c r="B41" s="39" t="s">
        <v>162</v>
      </c>
      <c r="C41" s="40" t="str">
        <f>'Global analysis (old)'!J45</f>
        <v>Y</v>
      </c>
      <c r="D41" s="42">
        <f>'Global analysis (old)'!AQ45</f>
        <v>4.1249000000000002</v>
      </c>
      <c r="E41" s="39">
        <f>'Global analysis (old)'!AC45</f>
        <v>562.13099999999997</v>
      </c>
    </row>
    <row r="42" spans="2:5" x14ac:dyDescent="0.2">
      <c r="B42" s="39" t="s">
        <v>163</v>
      </c>
      <c r="C42" s="40" t="str">
        <f>'Global analysis (old)'!J46</f>
        <v>Y</v>
      </c>
      <c r="D42" s="42">
        <f>'Global analysis (old)'!AQ46</f>
        <v>4.5060000000000002</v>
      </c>
      <c r="E42" s="39">
        <f>'Global analysis (old)'!AC46</f>
        <v>706.69200000000001</v>
      </c>
    </row>
    <row r="43" spans="2:5" x14ac:dyDescent="0.2">
      <c r="B43" s="39" t="s">
        <v>164</v>
      </c>
      <c r="C43" s="40" t="str">
        <f>'Global analysis (old)'!J47</f>
        <v>Y</v>
      </c>
      <c r="D43" s="42">
        <f>'Global analysis (old)'!AQ47</f>
        <v>7.2877999999999998</v>
      </c>
      <c r="E43" s="39">
        <f>'Global analysis (old)'!AC47</f>
        <v>675.35299999999995</v>
      </c>
    </row>
    <row r="44" spans="2:5" x14ac:dyDescent="0.2">
      <c r="B44" s="39" t="s">
        <v>165</v>
      </c>
      <c r="C44" s="40" t="str">
        <f>'Global analysis (old)'!J48</f>
        <v>Y</v>
      </c>
      <c r="D44" s="42">
        <f>'Global analysis (old)'!AQ48</f>
        <v>6.6</v>
      </c>
      <c r="E44" s="39">
        <f>'Global analysis (old)'!AC48</f>
        <v>703.53399999999999</v>
      </c>
    </row>
    <row r="45" spans="2:5" x14ac:dyDescent="0.2">
      <c r="B45" s="39" t="s">
        <v>166</v>
      </c>
      <c r="C45" s="40" t="str">
        <f>'Global analysis (old)'!J49</f>
        <v>Y</v>
      </c>
      <c r="D45" s="42">
        <f>'Global analysis (old)'!AQ49</f>
        <v>5.4349049999999997</v>
      </c>
      <c r="E45" s="39">
        <f>'Global analysis (old)'!AC49</f>
        <v>797.89599999999996</v>
      </c>
    </row>
    <row r="46" spans="2:5" x14ac:dyDescent="0.2">
      <c r="B46" s="39" t="s">
        <v>167</v>
      </c>
      <c r="C46" s="40" t="str">
        <f>'Global analysis (old)'!J50</f>
        <v>Y</v>
      </c>
      <c r="D46" s="42">
        <f>'Global analysis (old)'!AQ50</f>
        <v>8.1</v>
      </c>
      <c r="E46" s="39">
        <f>'Global analysis (old)'!AC50</f>
        <v>822.41</v>
      </c>
    </row>
    <row r="47" spans="2:5" x14ac:dyDescent="0.2">
      <c r="B47" s="39" t="s">
        <v>138</v>
      </c>
      <c r="C47" s="40" t="str">
        <f>'Global analysis (old)'!J51</f>
        <v>Y</v>
      </c>
      <c r="D47" s="42">
        <f>'Global analysis (old)'!AQ51</f>
        <v>8.1603999999999992</v>
      </c>
      <c r="E47" s="39">
        <f>'Global analysis (old)'!AC51</f>
        <v>758.07799999999997</v>
      </c>
    </row>
    <row r="48" spans="2:5" x14ac:dyDescent="0.2">
      <c r="B48" s="39" t="s">
        <v>168</v>
      </c>
      <c r="C48" s="40" t="str">
        <f>'Global analysis (old)'!J52</f>
        <v>Y</v>
      </c>
      <c r="D48" s="42">
        <f>'Global analysis (old)'!AQ52</f>
        <v>7.7374999999999998</v>
      </c>
      <c r="E48" s="39">
        <f>'Global analysis (old)'!AC52</f>
        <v>753.91600000000005</v>
      </c>
    </row>
    <row r="49" spans="2:14" x14ac:dyDescent="0.2">
      <c r="B49" s="39" t="s">
        <v>134</v>
      </c>
      <c r="C49" s="40" t="str">
        <f>'Global analysis (old)'!J53</f>
        <v>N</v>
      </c>
      <c r="D49" s="42">
        <f>'Global analysis (old)'!AQ53</f>
        <v>15.04</v>
      </c>
      <c r="E49" s="39">
        <f>'Global analysis (old)'!AC53</f>
        <v>1297.585</v>
      </c>
    </row>
    <row r="50" spans="2:14" x14ac:dyDescent="0.2">
      <c r="B50" s="39" t="s">
        <v>169</v>
      </c>
      <c r="C50" s="40" t="str">
        <f>'Global analysis (old)'!J54</f>
        <v>Y</v>
      </c>
      <c r="D50" s="42">
        <f>'Global analysis (old)'!AQ54</f>
        <v>7.1499999999999995</v>
      </c>
      <c r="E50" s="39">
        <f>'Global analysis (old)'!AC54</f>
        <v>663.25400000000002</v>
      </c>
    </row>
    <row r="51" spans="2:14" x14ac:dyDescent="0.2">
      <c r="B51" s="39" t="s">
        <v>213</v>
      </c>
      <c r="C51" s="40" t="str">
        <f>'Global analysis (old)'!J55</f>
        <v>Y</v>
      </c>
      <c r="D51" s="42">
        <f>'Global analysis (old)'!AQ55</f>
        <v>6.37</v>
      </c>
      <c r="E51" s="39">
        <f>'Global analysis (old)'!AC55</f>
        <v>671.39300000000003</v>
      </c>
    </row>
    <row r="52" spans="2:14" x14ac:dyDescent="0.2">
      <c r="B52" s="39" t="s">
        <v>139</v>
      </c>
      <c r="C52" s="40" t="str">
        <f>'Global analysis (old)'!J56</f>
        <v>Y</v>
      </c>
      <c r="D52" s="42">
        <f>'Global analysis (old)'!AQ56</f>
        <v>6.7919999999999998</v>
      </c>
      <c r="E52" s="39">
        <f>'Global analysis (old)'!AC56</f>
        <v>804.50200000000007</v>
      </c>
    </row>
    <row r="53" spans="2:14" x14ac:dyDescent="0.2">
      <c r="B53" s="39" t="s">
        <v>138</v>
      </c>
      <c r="C53" s="40" t="str">
        <f>'Global analysis (old)'!J57</f>
        <v>Y</v>
      </c>
      <c r="D53" s="42">
        <f>'Global analysis (old)'!AQ57</f>
        <v>8.1603999999999992</v>
      </c>
      <c r="E53" s="39">
        <f>'Global analysis (old)'!AC57</f>
        <v>936.6099999999999</v>
      </c>
    </row>
    <row r="54" spans="2:14" x14ac:dyDescent="0.2">
      <c r="B54" s="39" t="s">
        <v>214</v>
      </c>
      <c r="C54" s="40" t="str">
        <f>'Global analysis (old)'!J58</f>
        <v>Y</v>
      </c>
      <c r="D54" s="42">
        <f>'Global analysis (old)'!AQ58</f>
        <v>7.0755999999999997</v>
      </c>
      <c r="E54" s="39">
        <f>'Global analysis (old)'!AC58</f>
        <v>666.63499999999999</v>
      </c>
    </row>
    <row r="55" spans="2:14" x14ac:dyDescent="0.2">
      <c r="B55" s="39" t="s">
        <v>170</v>
      </c>
      <c r="C55" s="40" t="str">
        <f>'Global analysis (old)'!J59</f>
        <v>Y</v>
      </c>
      <c r="D55" s="42">
        <f>'Global analysis (old)'!AQ59</f>
        <v>10.733749999999999</v>
      </c>
      <c r="E55" s="39">
        <f>'Global analysis (old)'!AC59</f>
        <v>963.28700000000003</v>
      </c>
    </row>
    <row r="56" spans="2:14" x14ac:dyDescent="0.2">
      <c r="B56" s="39" t="s">
        <v>215</v>
      </c>
      <c r="C56" s="40" t="str">
        <f>'Global analysis (old)'!J60</f>
        <v>Y</v>
      </c>
      <c r="D56" s="42">
        <f>'Global analysis (old)'!AQ60</f>
        <v>8.8175999999999988</v>
      </c>
      <c r="E56" s="39">
        <f>'Global analysis (old)'!AC60</f>
        <v>806.93</v>
      </c>
    </row>
    <row r="57" spans="2:14" x14ac:dyDescent="0.2">
      <c r="B57" s="39" t="s">
        <v>133</v>
      </c>
      <c r="C57" s="40" t="str">
        <f>'Global analysis (old)'!J61</f>
        <v>Y</v>
      </c>
      <c r="D57" s="42">
        <f>'Global analysis (old)'!AQ61</f>
        <v>12.5</v>
      </c>
      <c r="E57" s="39">
        <f>'Global analysis (old)'!AC61</f>
        <v>1200.047</v>
      </c>
    </row>
    <row r="58" spans="2:14" x14ac:dyDescent="0.2">
      <c r="B58" s="39" t="s">
        <v>136</v>
      </c>
      <c r="C58" s="40" t="str">
        <f>'Global analysis (old)'!J62</f>
        <v>Y</v>
      </c>
      <c r="D58" s="42">
        <f>'Global analysis (old)'!AQ62</f>
        <v>10.164</v>
      </c>
      <c r="E58" s="39">
        <f>'Global analysis (old)'!AC62</f>
        <v>1176.7919999999999</v>
      </c>
      <c r="G58" s="105" t="s">
        <v>273</v>
      </c>
      <c r="H58" s="381" t="s">
        <v>271</v>
      </c>
      <c r="I58" s="381"/>
      <c r="J58" s="381" t="s">
        <v>277</v>
      </c>
      <c r="K58" s="381"/>
    </row>
    <row r="59" spans="2:14" x14ac:dyDescent="0.2">
      <c r="B59" s="39" t="s">
        <v>135</v>
      </c>
      <c r="C59" s="40" t="str">
        <f>'Global analysis (old)'!J63</f>
        <v>Y</v>
      </c>
      <c r="D59" s="42">
        <f>'Global analysis (old)'!AQ63</f>
        <v>13.5</v>
      </c>
      <c r="E59" s="39">
        <f>'Global analysis (old)'!AC63</f>
        <v>1197.4189999999999</v>
      </c>
      <c r="G59" s="114" t="str">
        <f>D2</f>
        <v>"D.L"</v>
      </c>
      <c r="H59" s="108" t="s">
        <v>8</v>
      </c>
      <c r="I59" s="109" t="s">
        <v>272</v>
      </c>
      <c r="J59" s="110" t="s">
        <v>8</v>
      </c>
      <c r="K59" s="111" t="s">
        <v>181</v>
      </c>
    </row>
    <row r="60" spans="2:14" x14ac:dyDescent="0.2">
      <c r="B60" s="39" t="s">
        <v>142</v>
      </c>
      <c r="C60" s="40" t="str">
        <f>'Global analysis (old)'!J64</f>
        <v>Y</v>
      </c>
      <c r="D60" s="42">
        <f>'Global analysis (old)'!AQ64</f>
        <v>8.5499999999999989</v>
      </c>
      <c r="E60" s="39">
        <f>'Global analysis (old)'!AC64</f>
        <v>795.40700000000004</v>
      </c>
      <c r="G60" s="107" t="s">
        <v>274</v>
      </c>
      <c r="H60" s="107">
        <v>0.83069999999999999</v>
      </c>
      <c r="I60" s="107">
        <v>0.80269999999999997</v>
      </c>
      <c r="J60" s="107">
        <v>0.88629999999999998</v>
      </c>
      <c r="K60" s="107">
        <v>0.85329999999999995</v>
      </c>
      <c r="M60" s="382" t="s">
        <v>279</v>
      </c>
      <c r="N60" s="382"/>
    </row>
    <row r="61" spans="2:14" x14ac:dyDescent="0.2">
      <c r="B61" s="39" t="s">
        <v>171</v>
      </c>
      <c r="C61" s="40" t="str">
        <f>'Global analysis (old)'!J65</f>
        <v>Y</v>
      </c>
      <c r="D61" s="42">
        <f>'Global analysis (old)'!AQ65</f>
        <v>9.843</v>
      </c>
      <c r="E61" s="39">
        <f>'Global analysis (old)'!AC65</f>
        <v>1013.2809999999999</v>
      </c>
      <c r="G61" s="107" t="s">
        <v>275</v>
      </c>
      <c r="H61" s="112">
        <v>0.88660000000000005</v>
      </c>
      <c r="I61" s="107">
        <v>0.71499999999999997</v>
      </c>
      <c r="J61" s="107">
        <v>0.75780000000000003</v>
      </c>
      <c r="K61" s="107">
        <v>0.78910000000000002</v>
      </c>
    </row>
    <row r="62" spans="2:14" x14ac:dyDescent="0.2">
      <c r="B62" s="39" t="s">
        <v>172</v>
      </c>
      <c r="C62" s="40" t="str">
        <f>'Global analysis (old)'!J66</f>
        <v>Y</v>
      </c>
      <c r="D62" s="42">
        <f>'Global analysis (old)'!AQ66</f>
        <v>9.69</v>
      </c>
      <c r="E62" s="39">
        <f>'Global analysis (old)'!AC66</f>
        <v>935.65800000000002</v>
      </c>
      <c r="G62" s="107" t="s">
        <v>276</v>
      </c>
      <c r="H62" s="107">
        <v>0.87580000000000002</v>
      </c>
      <c r="I62" s="113">
        <v>0.81410000000000005</v>
      </c>
      <c r="J62" s="113">
        <v>0.95079999999999998</v>
      </c>
      <c r="K62" s="107">
        <v>0.85429999999999995</v>
      </c>
    </row>
    <row r="63" spans="2:14" x14ac:dyDescent="0.2">
      <c r="B63" s="39" t="s">
        <v>141</v>
      </c>
      <c r="C63" s="40" t="str">
        <f>'Global analysis (old)'!J67</f>
        <v>Y</v>
      </c>
      <c r="D63" s="42">
        <f>'Global analysis (old)'!AQ67</f>
        <v>8.8289999999999988</v>
      </c>
      <c r="E63" s="39">
        <f>'Global analysis (old)'!AC67</f>
        <v>875.24400000000003</v>
      </c>
      <c r="G63" s="107" t="s">
        <v>11</v>
      </c>
      <c r="H63" s="107">
        <v>0.78910000000000002</v>
      </c>
      <c r="I63" s="112">
        <v>0.7893</v>
      </c>
      <c r="J63" s="112">
        <v>0.87080000000000002</v>
      </c>
      <c r="K63" s="112">
        <v>0.85709999999999997</v>
      </c>
    </row>
    <row r="64" spans="2:14" x14ac:dyDescent="0.2">
      <c r="B64" s="39" t="s">
        <v>140</v>
      </c>
      <c r="C64" s="40" t="str">
        <f>'Global analysis (old)'!J68</f>
        <v>Y</v>
      </c>
      <c r="D64" s="42">
        <f>'Global analysis (old)'!AQ68</f>
        <v>8</v>
      </c>
      <c r="E64" s="39">
        <f>'Global analysis (old)'!AC68</f>
        <v>912.24</v>
      </c>
    </row>
    <row r="65" spans="2:11" x14ac:dyDescent="0.2">
      <c r="B65" s="39" t="s">
        <v>173</v>
      </c>
      <c r="C65" s="40" t="str">
        <f>'Global analysis (old)'!J69</f>
        <v>Y</v>
      </c>
      <c r="D65" s="42">
        <f>'Global analysis (old)'!AQ69</f>
        <v>7.56</v>
      </c>
      <c r="E65" s="39">
        <f>'Global analysis (old)'!AC69</f>
        <v>1034.7149999999999</v>
      </c>
      <c r="G65" s="106" t="str">
        <f>'Material curves "D²L" (old)'!G59</f>
        <v>R²</v>
      </c>
      <c r="H65" s="381" t="str">
        <f>'Material curves "D²L" (old)'!H59</f>
        <v>With frame</v>
      </c>
      <c r="I65" s="381"/>
      <c r="J65" s="381" t="str">
        <f>'Material curves "D²L" (old)'!J59</f>
        <v>Without frame</v>
      </c>
      <c r="K65" s="381"/>
    </row>
    <row r="66" spans="2:11" x14ac:dyDescent="0.2">
      <c r="B66" s="39" t="s">
        <v>174</v>
      </c>
      <c r="C66" s="40" t="str">
        <f>'Global analysis (old)'!J70</f>
        <v>Y</v>
      </c>
      <c r="D66" s="42">
        <f>'Global analysis (old)'!AQ70</f>
        <v>9.4819999999999993</v>
      </c>
      <c r="E66" s="39">
        <f>'Global analysis (old)'!AC70</f>
        <v>988.71699999999998</v>
      </c>
      <c r="G66" s="114" t="str">
        <f>'Material curves "D²L" (old)'!D2</f>
        <v>"D².L"</v>
      </c>
      <c r="H66" s="106" t="str">
        <f>'Material curves "D²L" (old)'!H60</f>
        <v>Belfort</v>
      </c>
      <c r="I66" s="106" t="str">
        <f>'Material curves "D²L" (old)'!I60</f>
        <v xml:space="preserve">Birr </v>
      </c>
      <c r="J66" s="106" t="str">
        <f>'Material curves "D²L" (old)'!J60</f>
        <v>Belfort</v>
      </c>
      <c r="K66" s="106" t="str">
        <f>'Material curves "D²L" (old)'!K60</f>
        <v>Birr</v>
      </c>
    </row>
    <row r="67" spans="2:11" x14ac:dyDescent="0.2">
      <c r="B67" s="39" t="s">
        <v>175</v>
      </c>
      <c r="C67" s="40" t="str">
        <f>'Global analysis (old)'!J71</f>
        <v>Y</v>
      </c>
      <c r="D67" s="42">
        <f>'Global analysis (old)'!AQ71</f>
        <v>11.160599999999999</v>
      </c>
      <c r="E67" s="39">
        <f>'Global analysis (old)'!AC71</f>
        <v>1080.4449999999999</v>
      </c>
      <c r="G67" s="107" t="str">
        <f>'Material curves "D²L" (old)'!G61</f>
        <v>Linear</v>
      </c>
      <c r="H67" s="107">
        <f>'Material curves "D²L" (old)'!H61</f>
        <v>0.83809999999999996</v>
      </c>
      <c r="I67" s="107">
        <f>'Material curves "D²L" (old)'!I61</f>
        <v>0.66700000000000004</v>
      </c>
      <c r="J67" s="107">
        <f>'Material curves "D²L" (old)'!J61</f>
        <v>0.65569999999999995</v>
      </c>
      <c r="K67" s="107">
        <f>'Material curves "D²L" (old)'!K61</f>
        <v>0.79490000000000005</v>
      </c>
    </row>
    <row r="68" spans="2:11" x14ac:dyDescent="0.2">
      <c r="B68" s="39" t="s">
        <v>176</v>
      </c>
      <c r="C68" s="40" t="str">
        <f>'Global analysis (old)'!J72</f>
        <v>N</v>
      </c>
      <c r="D68" s="42">
        <f>'Global analysis (old)'!AQ72</f>
        <v>14.59206</v>
      </c>
      <c r="E68" s="39">
        <f>'Global analysis (old)'!AC72</f>
        <v>1087.0450000000001</v>
      </c>
      <c r="G68" s="107" t="str">
        <f>'Material curves "D²L" (old)'!G62</f>
        <v>Logarithmic</v>
      </c>
      <c r="H68" s="107">
        <f>'Material curves "D²L" (old)'!H62</f>
        <v>0.79749999999999999</v>
      </c>
      <c r="I68" s="107">
        <f>'Material curves "D²L" (old)'!I62</f>
        <v>0.78600000000000003</v>
      </c>
      <c r="J68" s="107">
        <f>'Material curves "D²L" (old)'!J62</f>
        <v>0.60270000000000001</v>
      </c>
      <c r="K68" s="107">
        <f>'Material curves "D²L" (old)'!K62</f>
        <v>0.73860000000000003</v>
      </c>
    </row>
    <row r="69" spans="2:11" x14ac:dyDescent="0.2">
      <c r="B69" s="39" t="s">
        <v>177</v>
      </c>
      <c r="C69" s="40" t="str">
        <f>'Global analysis (old)'!J73</f>
        <v>Y</v>
      </c>
      <c r="D69" s="42">
        <f>'Global analysis (old)'!AQ73</f>
        <v>13.265099999999999</v>
      </c>
      <c r="E69" s="39">
        <f>'Global analysis (old)'!AC73</f>
        <v>1555.2250000000001</v>
      </c>
      <c r="G69" s="107" t="str">
        <f>'Material curves "D²L" (old)'!G63</f>
        <v>Polynomial</v>
      </c>
      <c r="H69" s="112">
        <f>'Material curves "D²L" (old)'!H63</f>
        <v>0.83850000000000002</v>
      </c>
      <c r="I69" s="107">
        <f>'Material curves "D²L" (old)'!I63</f>
        <v>0.80300000000000005</v>
      </c>
      <c r="J69" s="107">
        <f>'Material curves "D²L" (old)'!J63</f>
        <v>0.77629999999999999</v>
      </c>
      <c r="K69" s="112">
        <f>'Material curves "D²L" (old)'!K63</f>
        <v>0.83699999999999997</v>
      </c>
    </row>
    <row r="70" spans="2:11" x14ac:dyDescent="0.2">
      <c r="B70" s="39" t="s">
        <v>178</v>
      </c>
      <c r="C70" s="40" t="str">
        <f>'Global analysis (old)'!J74</f>
        <v>Y</v>
      </c>
      <c r="D70" s="42">
        <f>'Global analysis (old)'!AQ74</f>
        <v>3.15</v>
      </c>
      <c r="E70" s="39">
        <f>'Global analysis (old)'!AC74</f>
        <v>578.39</v>
      </c>
      <c r="G70" s="107" t="str">
        <f>'Material curves "D²L" (old)'!G64</f>
        <v>Power</v>
      </c>
      <c r="H70" s="107">
        <f>'Material curves "D²L" (old)'!H64</f>
        <v>0.79879999999999995</v>
      </c>
      <c r="I70" s="112">
        <f>'Material curves "D²L" (old)'!I64</f>
        <v>0.85419999999999996</v>
      </c>
      <c r="J70" s="112">
        <f>'Material curves "D²L" (old)'!J64</f>
        <v>0.71260000000000001</v>
      </c>
      <c r="K70" s="107">
        <f>'Material curves "D²L" (old)'!K64</f>
        <v>0.82799999999999996</v>
      </c>
    </row>
    <row r="71" spans="2:11" x14ac:dyDescent="0.2">
      <c r="B71" s="39" t="s">
        <v>179</v>
      </c>
      <c r="C71" s="40" t="str">
        <f>'Global analysis (old)'!J75</f>
        <v>Y</v>
      </c>
      <c r="D71" s="42">
        <f>'Global analysis (old)'!AQ75</f>
        <v>4.68</v>
      </c>
      <c r="E71" s="39">
        <f>'Global analysis (old)'!AC75</f>
        <v>588.90334000000007</v>
      </c>
    </row>
    <row r="72" spans="2:11" x14ac:dyDescent="0.2">
      <c r="B72" s="39" t="s">
        <v>259</v>
      </c>
      <c r="C72" s="40" t="str">
        <f>'Global analysis (old)'!J76</f>
        <v>N</v>
      </c>
      <c r="D72" s="42"/>
      <c r="E72" s="39">
        <f>'Global analysis (old)'!AC76</f>
        <v>245.98099999999999</v>
      </c>
      <c r="G72" s="39" t="s">
        <v>278</v>
      </c>
    </row>
    <row r="73" spans="2:11" x14ac:dyDescent="0.2">
      <c r="B73" s="39" t="s">
        <v>260</v>
      </c>
      <c r="C73" s="40" t="str">
        <f>'Global analysis (old)'!J77</f>
        <v>N</v>
      </c>
      <c r="D73" s="42"/>
      <c r="E73" s="39">
        <f>'Global analysis (old)'!AC77</f>
        <v>376.23199999999997</v>
      </c>
    </row>
    <row r="74" spans="2:11" x14ac:dyDescent="0.2">
      <c r="B74" s="39" t="s">
        <v>261</v>
      </c>
      <c r="C74" s="40" t="str">
        <f>'Global analysis (old)'!J78</f>
        <v>N</v>
      </c>
      <c r="D74" s="42"/>
      <c r="E74" s="39">
        <f>'Global analysis (old)'!AC78</f>
        <v>302.476</v>
      </c>
    </row>
    <row r="75" spans="2:11" x14ac:dyDescent="0.2">
      <c r="B75" s="39" t="s">
        <v>262</v>
      </c>
      <c r="C75" s="40" t="str">
        <f>'Global analysis (old)'!J79</f>
        <v>N</v>
      </c>
      <c r="D75" s="42"/>
      <c r="E75" s="39">
        <f>'Global analysis (old)'!AC79</f>
        <v>402.416</v>
      </c>
    </row>
  </sheetData>
  <mergeCells count="5">
    <mergeCell ref="H58:I58"/>
    <mergeCell ref="J58:K58"/>
    <mergeCell ref="H65:I65"/>
    <mergeCell ref="J65:K65"/>
    <mergeCell ref="M60:N60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opLeftCell="A4" zoomScale="80" zoomScaleNormal="80" workbookViewId="0">
      <selection activeCell="A2" sqref="A2"/>
    </sheetView>
  </sheetViews>
  <sheetFormatPr baseColWidth="10" defaultRowHeight="12.75" x14ac:dyDescent="0.2"/>
  <cols>
    <col min="1" max="1" width="4.140625" style="39" customWidth="1"/>
    <col min="2" max="2" width="19.42578125" style="39" customWidth="1"/>
    <col min="3" max="3" width="6" style="39" customWidth="1"/>
    <col min="4" max="5" width="7.140625" style="39" customWidth="1"/>
    <col min="6" max="10" width="11.42578125" style="39"/>
    <col min="11" max="11" width="12" style="39" customWidth="1"/>
    <col min="12" max="12" width="7" style="39" customWidth="1"/>
    <col min="13" max="18" width="11.42578125" style="39"/>
    <col min="19" max="19" width="8.5703125" style="39" customWidth="1"/>
    <col min="20" max="16384" width="11.42578125" style="39"/>
  </cols>
  <sheetData>
    <row r="1" spans="1:5" x14ac:dyDescent="0.2">
      <c r="A1" s="49" t="str">
        <f>'Global analysis (old)'!T1</f>
        <v>MATERIAL COSTS (for the first unit) (with frame)</v>
      </c>
    </row>
    <row r="2" spans="1:5" x14ac:dyDescent="0.2">
      <c r="B2" s="68" t="s">
        <v>8</v>
      </c>
      <c r="C2" s="39" t="s">
        <v>106</v>
      </c>
      <c r="D2" s="39" t="str">
        <f>'Global analysis (old)'!AE3</f>
        <v>"D².L"</v>
      </c>
      <c r="E2" s="40" t="s">
        <v>118</v>
      </c>
    </row>
    <row r="3" spans="1:5" x14ac:dyDescent="0.2">
      <c r="B3" s="39" t="str">
        <f>'Global analysis (old)'!B6</f>
        <v>BORT-LES-ORGUES G2</v>
      </c>
      <c r="C3" s="40" t="str">
        <f>'Global analysis (old)'!J6</f>
        <v>Y</v>
      </c>
      <c r="D3" s="42">
        <f>'Global analysis (old)'!AE6</f>
        <v>134.23637150000002</v>
      </c>
      <c r="E3" s="39">
        <f>'Global analysis (old)'!AC6</f>
        <v>1504.4796800000001</v>
      </c>
    </row>
    <row r="4" spans="1:5" x14ac:dyDescent="0.2">
      <c r="B4" s="39" t="str">
        <f>'Global analysis (old)'!B7</f>
        <v>GENISSIAT 2 - 4 (ALS)</v>
      </c>
      <c r="C4" s="40" t="str">
        <f>'Global analysis (old)'!J7</f>
        <v>N</v>
      </c>
      <c r="D4" s="42">
        <f>'Global analysis (old)'!AE7</f>
        <v>109.3897</v>
      </c>
      <c r="E4" s="39">
        <f>'Global analysis (old)'!AC7</f>
        <v>1257.7185219842165</v>
      </c>
    </row>
    <row r="5" spans="1:5" x14ac:dyDescent="0.2">
      <c r="B5" s="39" t="str">
        <f>'Global analysis (old)'!B8</f>
        <v>GENISSIAT 1 - 6 (SW)</v>
      </c>
      <c r="C5" s="40" t="str">
        <f>'Global analysis (old)'!J8</f>
        <v>N</v>
      </c>
      <c r="D5" s="42">
        <f>'Global analysis (old)'!AE8</f>
        <v>111.2265495</v>
      </c>
      <c r="E5" s="39">
        <f>'Global analysis (old)'!AC8</f>
        <v>1281.9047981961669</v>
      </c>
    </row>
    <row r="6" spans="1:5" x14ac:dyDescent="0.2">
      <c r="B6" s="39" t="str">
        <f>'Global analysis (old)'!B9</f>
        <v>PEYRAT LE CHÂTEAU</v>
      </c>
      <c r="C6" s="40" t="str">
        <f>'Global analysis (old)'!J9</f>
        <v>Y</v>
      </c>
      <c r="D6" s="42">
        <f>'Global analysis (old)'!AE9</f>
        <v>9.2575000000000003</v>
      </c>
      <c r="E6" s="39">
        <f>'Global analysis (old)'!AC9</f>
        <v>530.66200000000003</v>
      </c>
    </row>
    <row r="7" spans="1:5" x14ac:dyDescent="0.2">
      <c r="B7" s="39" t="str">
        <f>'Global analysis (old)'!B10</f>
        <v>BOLLENE G4</v>
      </c>
      <c r="C7" s="40" t="str">
        <f>'Global analysis (old)'!J10</f>
        <v>N</v>
      </c>
      <c r="D7" s="42">
        <f>'Global analysis (old)'!AE10</f>
        <v>102.3273633</v>
      </c>
      <c r="E7" s="39">
        <f>'Global analysis (old)'!AC10</f>
        <v>863.23900000000003</v>
      </c>
    </row>
    <row r="8" spans="1:5" x14ac:dyDescent="0.2">
      <c r="B8" s="39" t="str">
        <f>'Global analysis (old)'!B11</f>
        <v>BEAUCHASTEL G1256</v>
      </c>
      <c r="C8" s="40" t="str">
        <f>'Global analysis (old)'!J11</f>
        <v>N</v>
      </c>
      <c r="D8" s="42">
        <f>'Global analysis (old)'!AE11</f>
        <v>90.619305000000011</v>
      </c>
      <c r="E8" s="39">
        <f>'Global analysis (old)'!AC11</f>
        <v>730.11699999999996</v>
      </c>
    </row>
    <row r="9" spans="1:5" x14ac:dyDescent="0.2">
      <c r="B9" s="39" t="str">
        <f>'Global analysis (old)'!B12</f>
        <v>VOGELGRÜN G3</v>
      </c>
      <c r="C9" s="40" t="str">
        <f>'Global analysis (old)'!J12</f>
        <v>Y</v>
      </c>
      <c r="D9" s="42">
        <f>'Global analysis (old)'!AE12</f>
        <v>84.787199999999999</v>
      </c>
      <c r="E9" s="39">
        <f>'Global analysis (old)'!AC12</f>
        <v>994.82500000000005</v>
      </c>
    </row>
    <row r="10" spans="1:5" x14ac:dyDescent="0.2">
      <c r="B10" s="39" t="str">
        <f>'Global analysis (old)'!B13</f>
        <v>LA BATHIE G1345</v>
      </c>
      <c r="C10" s="40" t="str">
        <f>'Global analysis (old)'!J13</f>
        <v>N</v>
      </c>
      <c r="D10" s="42">
        <f>'Global analysis (old)'!AE13</f>
        <v>27.565583360000002</v>
      </c>
      <c r="E10" s="39">
        <f>'Global analysis (old)'!AC13</f>
        <v>696.09119999999996</v>
      </c>
    </row>
    <row r="11" spans="1:5" x14ac:dyDescent="0.2">
      <c r="B11" s="39" t="str">
        <f>'Global analysis (old)'!B14</f>
        <v>SAUT-MORTIER G2</v>
      </c>
      <c r="C11" s="40" t="str">
        <f>'Global analysis (old)'!J14</f>
        <v>Y</v>
      </c>
      <c r="D11" s="42">
        <f>'Global analysis (old)'!AE14</f>
        <v>24.0656</v>
      </c>
      <c r="E11" s="39">
        <f>'Global analysis (old)'!AC14</f>
        <v>797.73300000000006</v>
      </c>
    </row>
    <row r="12" spans="1:5" x14ac:dyDescent="0.2">
      <c r="B12" s="39" t="str">
        <f>'Global analysis (old)'!B15</f>
        <v>MANOSQUE</v>
      </c>
      <c r="C12" s="40" t="str">
        <f>'Global analysis (old)'!J15</f>
        <v>Y</v>
      </c>
      <c r="D12" s="42">
        <f>'Global analysis (old)'!AE15</f>
        <v>54.202245120000001</v>
      </c>
      <c r="E12" s="39">
        <f>'Global analysis (old)'!AC15</f>
        <v>956.9129999999999</v>
      </c>
    </row>
    <row r="13" spans="1:5" x14ac:dyDescent="0.2">
      <c r="B13" s="39" t="str">
        <f>'Global analysis (old)'!B16</f>
        <v>RANDENS G4</v>
      </c>
      <c r="C13" s="40" t="str">
        <f>'Global analysis (old)'!J16</f>
        <v>Y</v>
      </c>
      <c r="D13" s="42">
        <f>'Global analysis (old)'!AE16</f>
        <v>16.543805000000003</v>
      </c>
      <c r="E13" s="39">
        <f>'Global analysis (old)'!AC16</f>
        <v>492.54300000000001</v>
      </c>
    </row>
    <row r="14" spans="1:5" x14ac:dyDescent="0.2">
      <c r="B14" s="39" t="str">
        <f>'Global analysis (old)'!B17</f>
        <v>LA RANCE (B)</v>
      </c>
      <c r="C14" s="40" t="str">
        <f>'Global analysis (old)'!J17</f>
        <v>N</v>
      </c>
      <c r="D14" s="42">
        <f>'Global analysis (old)'!AE17</f>
        <v>13.880644415000001</v>
      </c>
      <c r="E14" s="39">
        <f>'Global analysis (old)'!AC17</f>
        <v>455.20099999999996</v>
      </c>
    </row>
    <row r="15" spans="1:5" x14ac:dyDescent="0.2">
      <c r="B15" s="39" t="str">
        <f>'Global analysis (old)'!B18</f>
        <v>VAUGRIS (B)</v>
      </c>
      <c r="C15" s="40" t="str">
        <f>'Global analysis (old)'!J18</f>
        <v>Y</v>
      </c>
      <c r="D15" s="42">
        <f>'Global analysis (old)'!AE18</f>
        <v>30.588831000000003</v>
      </c>
      <c r="E15" s="39">
        <f>'Global analysis (old)'!AC18</f>
        <v>938.66899999999998</v>
      </c>
    </row>
    <row r="16" spans="1:5" x14ac:dyDescent="0.2">
      <c r="B16" s="39" t="str">
        <f>'Global analysis (old)'!B19</f>
        <v>ST HILAIRE</v>
      </c>
      <c r="C16" s="40" t="str">
        <f>'Global analysis (old)'!J19</f>
        <v>Y</v>
      </c>
      <c r="D16" s="42">
        <f>'Global analysis (old)'!AE19</f>
        <v>27.871270000000003</v>
      </c>
      <c r="E16" s="39">
        <f>'Global analysis (old)'!AC19</f>
        <v>397.69349999999997</v>
      </c>
    </row>
    <row r="18" spans="2:5" x14ac:dyDescent="0.2">
      <c r="B18" s="68" t="s">
        <v>181</v>
      </c>
    </row>
    <row r="19" spans="2:5" x14ac:dyDescent="0.2">
      <c r="B19" s="39" t="s">
        <v>146</v>
      </c>
      <c r="C19" s="40" t="str">
        <f>'Global analysis (old)'!J23</f>
        <v>N</v>
      </c>
      <c r="D19" s="42">
        <f>'Global analysis (old)'!AE23</f>
        <v>2.0472166400000003</v>
      </c>
      <c r="E19" s="39">
        <f>'Global analysis (old)'!AC23</f>
        <v>209.21700000000001</v>
      </c>
    </row>
    <row r="20" spans="2:5" x14ac:dyDescent="0.2">
      <c r="B20" s="39" t="s">
        <v>129</v>
      </c>
      <c r="C20" s="40" t="str">
        <f>'Global analysis (old)'!J24</f>
        <v>Y</v>
      </c>
      <c r="D20" s="42">
        <f>'Global analysis (old)'!AE24</f>
        <v>3</v>
      </c>
      <c r="E20" s="39">
        <f>'Global analysis (old)'!AC24</f>
        <v>457.71699999999998</v>
      </c>
    </row>
    <row r="21" spans="2:5" x14ac:dyDescent="0.2">
      <c r="B21" s="39" t="s">
        <v>147</v>
      </c>
      <c r="C21" s="40" t="str">
        <f>'Global analysis (old)'!J25</f>
        <v>Y</v>
      </c>
      <c r="D21" s="42">
        <f>'Global analysis (old)'!AE25</f>
        <v>4.8000000000000007</v>
      </c>
      <c r="E21" s="39">
        <f>'Global analysis (old)'!AC25</f>
        <v>440.11</v>
      </c>
    </row>
    <row r="22" spans="2:5" x14ac:dyDescent="0.2">
      <c r="B22" s="39" t="s">
        <v>148</v>
      </c>
      <c r="C22" s="40" t="str">
        <f>'Global analysis (old)'!J26</f>
        <v>Y</v>
      </c>
      <c r="D22" s="42">
        <f>'Global analysis (old)'!AE26</f>
        <v>2.4624950000000001</v>
      </c>
      <c r="E22" s="39">
        <f>'Global analysis (old)'!AC26</f>
        <v>335.50599999999997</v>
      </c>
    </row>
    <row r="23" spans="2:5" x14ac:dyDescent="0.2">
      <c r="B23" s="39" t="s">
        <v>149</v>
      </c>
      <c r="C23" s="40" t="str">
        <f>'Global analysis (old)'!J27</f>
        <v>Y</v>
      </c>
      <c r="D23" s="42">
        <f>'Global analysis (old)'!AE27</f>
        <v>7.9406250000000007</v>
      </c>
      <c r="E23" s="39">
        <f>'Global analysis (old)'!AC27</f>
        <v>491.94299999999998</v>
      </c>
    </row>
    <row r="24" spans="2:5" x14ac:dyDescent="0.2">
      <c r="B24" s="39" t="s">
        <v>150</v>
      </c>
      <c r="C24" s="40" t="str">
        <f>'Global analysis (old)'!J28</f>
        <v>N</v>
      </c>
      <c r="D24" s="42">
        <f>'Global analysis (old)'!AE28</f>
        <v>9.9</v>
      </c>
      <c r="E24" s="39">
        <f>'Global analysis (old)'!AC28</f>
        <v>715</v>
      </c>
    </row>
    <row r="25" spans="2:5" x14ac:dyDescent="0.2">
      <c r="B25" s="39" t="s">
        <v>147</v>
      </c>
      <c r="C25" s="40" t="str">
        <f>'Global analysis (old)'!J29</f>
        <v>Y</v>
      </c>
      <c r="D25" s="42">
        <f>'Global analysis (old)'!AE29</f>
        <v>4.8000000000000007</v>
      </c>
      <c r="E25" s="39">
        <f>'Global analysis (old)'!AC29</f>
        <v>499.51299999999998</v>
      </c>
    </row>
    <row r="26" spans="2:5" x14ac:dyDescent="0.2">
      <c r="B26" s="39" t="s">
        <v>151</v>
      </c>
      <c r="C26" s="40" t="str">
        <f>'Global analysis (old)'!J30</f>
        <v>Y</v>
      </c>
      <c r="D26" s="42">
        <f>'Global analysis (old)'!AE30</f>
        <v>5.8080000000000007</v>
      </c>
      <c r="E26" s="39">
        <f>'Global analysis (old)'!AC30</f>
        <v>382.20800000000003</v>
      </c>
    </row>
    <row r="27" spans="2:5" x14ac:dyDescent="0.2">
      <c r="B27" s="39" t="s">
        <v>152</v>
      </c>
      <c r="C27" s="40" t="str">
        <f>'Global analysis (old)'!J31</f>
        <v>Y</v>
      </c>
      <c r="D27" s="42">
        <f>'Global analysis (old)'!AE31</f>
        <v>9.6774750000000012</v>
      </c>
      <c r="E27" s="39">
        <f>'Global analysis (old)'!AC31</f>
        <v>637.61599999999999</v>
      </c>
    </row>
    <row r="28" spans="2:5" x14ac:dyDescent="0.2">
      <c r="B28" s="39" t="s">
        <v>153</v>
      </c>
      <c r="C28" s="40" t="str">
        <f>'Global analysis (old)'!J32</f>
        <v>N</v>
      </c>
      <c r="D28" s="42">
        <f>'Global analysis (old)'!AE32</f>
        <v>32.941720000000004</v>
      </c>
      <c r="E28" s="39">
        <f>'Global analysis (old)'!AC32</f>
        <v>550</v>
      </c>
    </row>
    <row r="29" spans="2:5" x14ac:dyDescent="0.2">
      <c r="B29" s="39" t="s">
        <v>154</v>
      </c>
      <c r="C29" s="40" t="str">
        <f>'Global analysis (old)'!J33</f>
        <v>N</v>
      </c>
      <c r="D29" s="42">
        <f>'Global analysis (old)'!AE33</f>
        <v>24.505000000000003</v>
      </c>
      <c r="E29" s="39">
        <f>'Global analysis (old)'!AC33</f>
        <v>591.92499999999995</v>
      </c>
    </row>
    <row r="30" spans="2:5" x14ac:dyDescent="0.2">
      <c r="B30" s="39" t="s">
        <v>149</v>
      </c>
      <c r="C30" s="40" t="str">
        <f>'Global analysis (old)'!J34</f>
        <v>Y</v>
      </c>
      <c r="D30" s="42">
        <f>'Global analysis (old)'!AE34</f>
        <v>7.9406250000000007</v>
      </c>
      <c r="E30" s="39">
        <f>'Global analysis (old)'!AC34</f>
        <v>554.50400000000002</v>
      </c>
    </row>
    <row r="31" spans="2:5" x14ac:dyDescent="0.2">
      <c r="B31" s="39" t="s">
        <v>155</v>
      </c>
      <c r="C31" s="40" t="str">
        <f>'Global analysis (old)'!J35</f>
        <v>Y</v>
      </c>
      <c r="D31" s="42">
        <f>'Global analysis (old)'!AE35</f>
        <v>6.4896041600000007</v>
      </c>
      <c r="E31" s="39">
        <f>'Global analysis (old)'!AC35</f>
        <v>495.86</v>
      </c>
    </row>
    <row r="32" spans="2:5" x14ac:dyDescent="0.2">
      <c r="B32" s="39" t="s">
        <v>156</v>
      </c>
      <c r="C32" s="40" t="str">
        <f>'Global analysis (old)'!J36</f>
        <v>Y</v>
      </c>
      <c r="D32" s="42">
        <f>'Global analysis (old)'!AE36</f>
        <v>24.505000000000003</v>
      </c>
      <c r="E32" s="39">
        <f>'Global analysis (old)'!AC36</f>
        <v>764.67699999999991</v>
      </c>
    </row>
    <row r="33" spans="2:5" x14ac:dyDescent="0.2">
      <c r="B33" s="39" t="s">
        <v>130</v>
      </c>
      <c r="C33" s="40" t="str">
        <f>'Global analysis (old)'!J37</f>
        <v>Y</v>
      </c>
      <c r="D33" s="42">
        <f>'Global analysis (old)'!AE37</f>
        <v>10.570500000000001</v>
      </c>
      <c r="E33" s="39">
        <f>'Global analysis (old)'!AC37</f>
        <v>554.74800000000005</v>
      </c>
    </row>
    <row r="34" spans="2:5" x14ac:dyDescent="0.2">
      <c r="B34" s="39" t="s">
        <v>131</v>
      </c>
      <c r="C34" s="40" t="str">
        <f>'Global analysis (old)'!J38</f>
        <v>Y</v>
      </c>
      <c r="D34" s="42">
        <f>'Global analysis (old)'!AE38</f>
        <v>10.570500000000001</v>
      </c>
      <c r="E34" s="39">
        <f>'Global analysis (old)'!AC38</f>
        <v>554.74800000000005</v>
      </c>
    </row>
    <row r="35" spans="2:5" x14ac:dyDescent="0.2">
      <c r="B35" s="39" t="s">
        <v>157</v>
      </c>
      <c r="C35" s="40" t="str">
        <f>'Global analysis (old)'!J39</f>
        <v>Y</v>
      </c>
      <c r="D35" s="42">
        <f>'Global analysis (old)'!AE39</f>
        <v>15.501310720000001</v>
      </c>
      <c r="E35" s="39">
        <f>'Global analysis (old)'!AC39</f>
        <v>554.76900000000001</v>
      </c>
    </row>
    <row r="36" spans="2:5" x14ac:dyDescent="0.2">
      <c r="B36" s="39" t="s">
        <v>158</v>
      </c>
      <c r="C36" s="40" t="str">
        <f>'Global analysis (old)'!J40</f>
        <v>Y</v>
      </c>
      <c r="D36" s="42">
        <f>'Global analysis (old)'!AE40</f>
        <v>9.4311378000000001</v>
      </c>
      <c r="E36" s="39">
        <f>'Global analysis (old)'!AC40</f>
        <v>517.73500000000001</v>
      </c>
    </row>
    <row r="37" spans="2:5" x14ac:dyDescent="0.2">
      <c r="B37" s="39" t="s">
        <v>132</v>
      </c>
      <c r="C37" s="40" t="str">
        <f>'Global analysis (old)'!J41</f>
        <v>Y</v>
      </c>
      <c r="D37" s="42">
        <f>'Global analysis (old)'!AE41</f>
        <v>38.400000000000006</v>
      </c>
      <c r="E37" s="39">
        <f>'Global analysis (old)'!AC41</f>
        <v>975.82500000000005</v>
      </c>
    </row>
    <row r="38" spans="2:5" x14ac:dyDescent="0.2">
      <c r="B38" s="39" t="s">
        <v>159</v>
      </c>
      <c r="C38" s="40" t="str">
        <f>'Global analysis (old)'!J42</f>
        <v>N</v>
      </c>
      <c r="D38" s="42">
        <f>'Global analysis (old)'!AE42</f>
        <v>31.222800000000003</v>
      </c>
      <c r="E38" s="39">
        <f>'Global analysis (old)'!AC42</f>
        <v>606.19899999999996</v>
      </c>
    </row>
    <row r="39" spans="2:5" x14ac:dyDescent="0.2">
      <c r="B39" s="39" t="s">
        <v>160</v>
      </c>
      <c r="C39" s="40" t="str">
        <f>'Global analysis (old)'!J43</f>
        <v>Y</v>
      </c>
      <c r="D39" s="42">
        <f>'Global analysis (old)'!AE43</f>
        <v>9.9405000000000001</v>
      </c>
      <c r="E39" s="39">
        <f>'Global analysis (old)'!AC43</f>
        <v>649.798</v>
      </c>
    </row>
    <row r="40" spans="2:5" x14ac:dyDescent="0.2">
      <c r="B40" s="39" t="s">
        <v>161</v>
      </c>
      <c r="C40" s="40" t="str">
        <f>'Global analysis (old)'!J44</f>
        <v>N</v>
      </c>
      <c r="D40" s="42">
        <f>'Global analysis (old)'!AE44</f>
        <v>38.012224320000001</v>
      </c>
      <c r="E40" s="39">
        <f>'Global analysis (old)'!AC44</f>
        <v>711.28899999999999</v>
      </c>
    </row>
    <row r="41" spans="2:5" x14ac:dyDescent="0.2">
      <c r="B41" s="39" t="s">
        <v>162</v>
      </c>
      <c r="C41" s="40" t="str">
        <f>'Global analysis (old)'!J45</f>
        <v>Y</v>
      </c>
      <c r="D41" s="42">
        <f>'Global analysis (old)'!AE45</f>
        <v>13.088307700000001</v>
      </c>
      <c r="E41" s="39">
        <f>'Global analysis (old)'!AC45</f>
        <v>562.13099999999997</v>
      </c>
    </row>
    <row r="42" spans="2:5" x14ac:dyDescent="0.2">
      <c r="B42" s="39" t="s">
        <v>163</v>
      </c>
      <c r="C42" s="40" t="str">
        <f>'Global analysis (old)'!J46</f>
        <v>Y</v>
      </c>
      <c r="D42" s="42">
        <f>'Global analysis (old)'!AE46</f>
        <v>20.304036</v>
      </c>
      <c r="E42" s="39">
        <f>'Global analysis (old)'!AC46</f>
        <v>706.69200000000001</v>
      </c>
    </row>
    <row r="43" spans="2:5" x14ac:dyDescent="0.2">
      <c r="B43" s="39" t="s">
        <v>164</v>
      </c>
      <c r="C43" s="40" t="str">
        <f>'Global analysis (old)'!J47</f>
        <v>Y</v>
      </c>
      <c r="D43" s="42">
        <f>'Global analysis (old)'!AE47</f>
        <v>20.427703400000002</v>
      </c>
      <c r="E43" s="39">
        <f>'Global analysis (old)'!AC47</f>
        <v>675.35299999999995</v>
      </c>
    </row>
    <row r="44" spans="2:5" x14ac:dyDescent="0.2">
      <c r="B44" s="39" t="s">
        <v>165</v>
      </c>
      <c r="C44" s="40" t="str">
        <f>'Global analysis (old)'!J48</f>
        <v>Y</v>
      </c>
      <c r="D44" s="42">
        <f>'Global analysis (old)'!AE48</f>
        <v>14.520000000000001</v>
      </c>
      <c r="E44" s="39">
        <f>'Global analysis (old)'!AC48</f>
        <v>703.53399999999999</v>
      </c>
    </row>
    <row r="45" spans="2:5" x14ac:dyDescent="0.2">
      <c r="B45" s="39" t="s">
        <v>166</v>
      </c>
      <c r="C45" s="40" t="str">
        <f>'Global analysis (old)'!J49</f>
        <v>Y</v>
      </c>
      <c r="D45" s="42">
        <f>'Global analysis (old)'!AE49</f>
        <v>36.332339924999999</v>
      </c>
      <c r="E45" s="39">
        <f>'Global analysis (old)'!AC49</f>
        <v>797.89599999999996</v>
      </c>
    </row>
    <row r="46" spans="2:5" x14ac:dyDescent="0.2">
      <c r="B46" s="39" t="s">
        <v>167</v>
      </c>
      <c r="C46" s="40" t="str">
        <f>'Global analysis (old)'!J50</f>
        <v>Y</v>
      </c>
      <c r="D46" s="42">
        <f>'Global analysis (old)'!AE50</f>
        <v>40.5</v>
      </c>
      <c r="E46" s="39">
        <f>'Global analysis (old)'!AC50</f>
        <v>822.41</v>
      </c>
    </row>
    <row r="47" spans="2:5" x14ac:dyDescent="0.2">
      <c r="B47" s="39" t="s">
        <v>138</v>
      </c>
      <c r="C47" s="40" t="str">
        <f>'Global analysis (old)'!J51</f>
        <v>Y</v>
      </c>
      <c r="D47" s="42">
        <f>'Global analysis (old)'!AE51</f>
        <v>57.906198400000001</v>
      </c>
      <c r="E47" s="39">
        <f>'Global analysis (old)'!AC51</f>
        <v>758.07799999999997</v>
      </c>
    </row>
    <row r="48" spans="2:5" x14ac:dyDescent="0.2">
      <c r="B48" s="39" t="s">
        <v>168</v>
      </c>
      <c r="C48" s="40" t="str">
        <f>'Global analysis (old)'!J52</f>
        <v>Y</v>
      </c>
      <c r="D48" s="42">
        <f>'Global analysis (old)'!AE52</f>
        <v>23.9475625</v>
      </c>
      <c r="E48" s="39">
        <f>'Global analysis (old)'!AC52</f>
        <v>753.91600000000005</v>
      </c>
    </row>
    <row r="49" spans="2:11" x14ac:dyDescent="0.2">
      <c r="B49" s="39" t="s">
        <v>134</v>
      </c>
      <c r="C49" s="40" t="str">
        <f>'Global analysis (old)'!J53</f>
        <v>N</v>
      </c>
      <c r="D49" s="42">
        <f>'Global analysis (old)'!AE53</f>
        <v>141.376</v>
      </c>
      <c r="E49" s="39">
        <f>'Global analysis (old)'!AC53</f>
        <v>1297.585</v>
      </c>
    </row>
    <row r="50" spans="2:11" x14ac:dyDescent="0.2">
      <c r="B50" s="39" t="s">
        <v>169</v>
      </c>
      <c r="C50" s="40" t="str">
        <f>'Global analysis (old)'!J54</f>
        <v>Y</v>
      </c>
      <c r="D50" s="42">
        <f>'Global analysis (old)'!AE54</f>
        <v>23.237500000000001</v>
      </c>
      <c r="E50" s="39">
        <f>'Global analysis (old)'!AC54</f>
        <v>663.25400000000002</v>
      </c>
    </row>
    <row r="51" spans="2:11" x14ac:dyDescent="0.2">
      <c r="B51" s="39" t="s">
        <v>213</v>
      </c>
      <c r="C51" s="40" t="str">
        <f>'Global analysis (old)'!J55</f>
        <v>Y</v>
      </c>
      <c r="D51" s="42">
        <f>'Global analysis (old)'!AE55</f>
        <v>15.6065</v>
      </c>
      <c r="E51" s="39">
        <f>'Global analysis (old)'!AC55</f>
        <v>671.39300000000003</v>
      </c>
    </row>
    <row r="52" spans="2:11" x14ac:dyDescent="0.2">
      <c r="B52" s="39" t="s">
        <v>139</v>
      </c>
      <c r="C52" s="40" t="str">
        <f>'Global analysis (old)'!J56</f>
        <v>Y</v>
      </c>
      <c r="D52" s="42">
        <f>'Global analysis (old)'!AE56</f>
        <v>23.065632000000001</v>
      </c>
      <c r="E52" s="39">
        <f>'Global analysis (old)'!AC56</f>
        <v>804.50200000000007</v>
      </c>
    </row>
    <row r="53" spans="2:11" x14ac:dyDescent="0.2">
      <c r="B53" s="39" t="s">
        <v>138</v>
      </c>
      <c r="C53" s="40" t="str">
        <f>'Global analysis (old)'!J57</f>
        <v>Y</v>
      </c>
      <c r="D53" s="42">
        <f>'Global analysis (old)'!AE57</f>
        <v>57.906198400000001</v>
      </c>
      <c r="E53" s="39">
        <f>'Global analysis (old)'!AC57</f>
        <v>936.6099999999999</v>
      </c>
    </row>
    <row r="54" spans="2:11" x14ac:dyDescent="0.2">
      <c r="B54" s="39" t="s">
        <v>214</v>
      </c>
      <c r="C54" s="40" t="str">
        <f>'Global analysis (old)'!J58</f>
        <v>Y</v>
      </c>
      <c r="D54" s="42">
        <f>'Global analysis (old)'!AE58</f>
        <v>20.4343328</v>
      </c>
      <c r="E54" s="39">
        <f>'Global analysis (old)'!AC58</f>
        <v>666.63499999999999</v>
      </c>
    </row>
    <row r="55" spans="2:11" x14ac:dyDescent="0.2">
      <c r="B55" s="39" t="s">
        <v>170</v>
      </c>
      <c r="C55" s="40" t="str">
        <f>'Global analysis (old)'!J59</f>
        <v>Y</v>
      </c>
      <c r="D55" s="42">
        <f>'Global analysis (old)'!AE59</f>
        <v>74.331218750000005</v>
      </c>
      <c r="E55" s="39">
        <f>'Global analysis (old)'!AC59</f>
        <v>963.28700000000003</v>
      </c>
    </row>
    <row r="56" spans="2:11" x14ac:dyDescent="0.2">
      <c r="B56" s="39" t="s">
        <v>215</v>
      </c>
      <c r="C56" s="40" t="str">
        <f>'Global analysis (old)'!J60</f>
        <v>Y</v>
      </c>
      <c r="D56" s="42">
        <f>'Global analysis (old)'!AE60</f>
        <v>29.450784000000002</v>
      </c>
      <c r="E56" s="39">
        <f>'Global analysis (old)'!AC60</f>
        <v>806.93</v>
      </c>
    </row>
    <row r="57" spans="2:11" x14ac:dyDescent="0.2">
      <c r="B57" s="39" t="s">
        <v>133</v>
      </c>
      <c r="C57" s="40" t="str">
        <f>'Global analysis (old)'!J61</f>
        <v>Y</v>
      </c>
      <c r="D57" s="42">
        <f>'Global analysis (old)'!AE61</f>
        <v>125.00000000000001</v>
      </c>
      <c r="E57" s="39">
        <f>'Global analysis (old)'!AC61</f>
        <v>1200.047</v>
      </c>
    </row>
    <row r="58" spans="2:11" x14ac:dyDescent="0.2">
      <c r="B58" s="39" t="s">
        <v>136</v>
      </c>
      <c r="C58" s="40" t="str">
        <f>'Global analysis (old)'!J62</f>
        <v>Y</v>
      </c>
      <c r="D58" s="42">
        <f>'Global analysis (old)'!AE62</f>
        <v>78.262799999999999</v>
      </c>
      <c r="E58" s="39">
        <f>'Global analysis (old)'!AC62</f>
        <v>1176.7919999999999</v>
      </c>
    </row>
    <row r="59" spans="2:11" x14ac:dyDescent="0.2">
      <c r="B59" s="39" t="s">
        <v>135</v>
      </c>
      <c r="C59" s="40" t="str">
        <f>'Global analysis (old)'!J63</f>
        <v>Y</v>
      </c>
      <c r="D59" s="42">
        <f>'Global analysis (old)'!AE63</f>
        <v>135</v>
      </c>
      <c r="E59" s="39">
        <f>'Global analysis (old)'!AC63</f>
        <v>1197.4189999999999</v>
      </c>
      <c r="G59" s="105" t="s">
        <v>273</v>
      </c>
      <c r="H59" s="381" t="s">
        <v>271</v>
      </c>
      <c r="I59" s="381"/>
      <c r="J59" s="381" t="s">
        <v>277</v>
      </c>
      <c r="K59" s="381"/>
    </row>
    <row r="60" spans="2:11" x14ac:dyDescent="0.2">
      <c r="B60" s="39" t="s">
        <v>142</v>
      </c>
      <c r="C60" s="40" t="str">
        <f>'Global analysis (old)'!J64</f>
        <v>Y</v>
      </c>
      <c r="D60" s="42">
        <f>'Global analysis (old)'!AE64</f>
        <v>24.367500000000003</v>
      </c>
      <c r="E60" s="39">
        <f>'Global analysis (old)'!AC64</f>
        <v>795.40700000000004</v>
      </c>
      <c r="G60" s="107"/>
      <c r="H60" s="108" t="s">
        <v>8</v>
      </c>
      <c r="I60" s="109" t="s">
        <v>272</v>
      </c>
      <c r="J60" s="110" t="s">
        <v>8</v>
      </c>
      <c r="K60" s="111" t="s">
        <v>181</v>
      </c>
    </row>
    <row r="61" spans="2:11" x14ac:dyDescent="0.2">
      <c r="B61" s="39" t="s">
        <v>171</v>
      </c>
      <c r="C61" s="40" t="str">
        <f>'Global analysis (old)'!J65</f>
        <v>Y</v>
      </c>
      <c r="D61" s="42">
        <f>'Global analysis (old)'!AE65</f>
        <v>56.990970000000004</v>
      </c>
      <c r="E61" s="39">
        <f>'Global analysis (old)'!AC65</f>
        <v>1013.2809999999999</v>
      </c>
      <c r="G61" s="107" t="s">
        <v>274</v>
      </c>
      <c r="H61" s="107">
        <v>0.83809999999999996</v>
      </c>
      <c r="I61" s="107">
        <v>0.66700000000000004</v>
      </c>
      <c r="J61" s="107">
        <v>0.65569999999999995</v>
      </c>
      <c r="K61" s="107">
        <v>0.79490000000000005</v>
      </c>
    </row>
    <row r="62" spans="2:11" x14ac:dyDescent="0.2">
      <c r="B62" s="39" t="s">
        <v>172</v>
      </c>
      <c r="C62" s="40" t="str">
        <f>'Global analysis (old)'!J66</f>
        <v>Y</v>
      </c>
      <c r="D62" s="42">
        <f>'Global analysis (old)'!AE66</f>
        <v>32.946000000000005</v>
      </c>
      <c r="E62" s="39">
        <f>'Global analysis (old)'!AC66</f>
        <v>935.65800000000002</v>
      </c>
      <c r="G62" s="107" t="s">
        <v>275</v>
      </c>
      <c r="H62" s="113">
        <v>0.79749999999999999</v>
      </c>
      <c r="I62" s="113">
        <v>0.78600000000000003</v>
      </c>
      <c r="J62" s="113">
        <v>0.60270000000000001</v>
      </c>
      <c r="K62" s="113">
        <v>0.73860000000000003</v>
      </c>
    </row>
    <row r="63" spans="2:11" x14ac:dyDescent="0.2">
      <c r="B63" s="39" t="s">
        <v>141</v>
      </c>
      <c r="C63" s="40" t="str">
        <f>'Global analysis (old)'!J67</f>
        <v>Y</v>
      </c>
      <c r="D63" s="42">
        <f>'Global analysis (old)'!AE67</f>
        <v>28.870830000000002</v>
      </c>
      <c r="E63" s="39">
        <f>'Global analysis (old)'!AC67</f>
        <v>875.24400000000003</v>
      </c>
      <c r="G63" s="107" t="s">
        <v>276</v>
      </c>
      <c r="H63" s="112">
        <v>0.83850000000000002</v>
      </c>
      <c r="I63" s="113">
        <v>0.80300000000000005</v>
      </c>
      <c r="J63" s="113">
        <v>0.77629999999999999</v>
      </c>
      <c r="K63" s="112">
        <v>0.83699999999999997</v>
      </c>
    </row>
    <row r="64" spans="2:11" x14ac:dyDescent="0.2">
      <c r="B64" s="39" t="s">
        <v>140</v>
      </c>
      <c r="C64" s="40" t="str">
        <f>'Global analysis (old)'!J68</f>
        <v>Y</v>
      </c>
      <c r="D64" s="42">
        <f>'Global analysis (old)'!AE68</f>
        <v>25.6</v>
      </c>
      <c r="E64" s="39">
        <f>'Global analysis (old)'!AC68</f>
        <v>912.24</v>
      </c>
      <c r="G64" s="107" t="s">
        <v>11</v>
      </c>
      <c r="H64" s="113">
        <v>0.79879999999999995</v>
      </c>
      <c r="I64" s="112">
        <v>0.85419999999999996</v>
      </c>
      <c r="J64" s="112">
        <v>0.71260000000000001</v>
      </c>
      <c r="K64" s="113">
        <v>0.82799999999999996</v>
      </c>
    </row>
    <row r="65" spans="2:5" x14ac:dyDescent="0.2">
      <c r="B65" s="39" t="s">
        <v>173</v>
      </c>
      <c r="C65" s="40" t="str">
        <f>'Global analysis (old)'!J69</f>
        <v>Y</v>
      </c>
      <c r="D65" s="42">
        <f>'Global analysis (old)'!AE69</f>
        <v>27.216000000000001</v>
      </c>
      <c r="E65" s="39">
        <f>'Global analysis (old)'!AC69</f>
        <v>1034.7149999999999</v>
      </c>
    </row>
    <row r="66" spans="2:5" x14ac:dyDescent="0.2">
      <c r="B66" s="39" t="s">
        <v>174</v>
      </c>
      <c r="C66" s="40" t="str">
        <f>'Global analysis (old)'!J70</f>
        <v>Y</v>
      </c>
      <c r="D66" s="42">
        <f>'Global analysis (old)'!AE70</f>
        <v>40.867420000000003</v>
      </c>
      <c r="E66" s="39">
        <f>'Global analysis (old)'!AC70</f>
        <v>988.71699999999998</v>
      </c>
    </row>
    <row r="67" spans="2:5" x14ac:dyDescent="0.2">
      <c r="B67" s="39" t="s">
        <v>175</v>
      </c>
      <c r="C67" s="40" t="str">
        <f>'Global analysis (old)'!J71</f>
        <v>Y</v>
      </c>
      <c r="D67" s="42">
        <f>'Global analysis (old)'!AE71</f>
        <v>59.597604000000004</v>
      </c>
      <c r="E67" s="39">
        <f>'Global analysis (old)'!AC71</f>
        <v>1080.4449999999999</v>
      </c>
    </row>
    <row r="68" spans="2:5" x14ac:dyDescent="0.2">
      <c r="B68" s="39" t="s">
        <v>176</v>
      </c>
      <c r="C68" s="40" t="str">
        <f>'Global analysis (old)'!J72</f>
        <v>N</v>
      </c>
      <c r="D68" s="42">
        <f>'Global analysis (old)'!AE72</f>
        <v>68.028183720000001</v>
      </c>
      <c r="E68" s="39">
        <f>'Global analysis (old)'!AC72</f>
        <v>1087.0450000000001</v>
      </c>
    </row>
    <row r="69" spans="2:5" x14ac:dyDescent="0.2">
      <c r="B69" s="39" t="s">
        <v>177</v>
      </c>
      <c r="C69" s="40" t="str">
        <f>'Global analysis (old)'!J73</f>
        <v>Y</v>
      </c>
      <c r="D69" s="42">
        <f>'Global analysis (old)'!AE73</f>
        <v>69.005050199999999</v>
      </c>
      <c r="E69" s="39">
        <f>'Global analysis (old)'!AC73</f>
        <v>1555.2250000000001</v>
      </c>
    </row>
    <row r="70" spans="2:5" x14ac:dyDescent="0.2">
      <c r="B70" s="39" t="s">
        <v>178</v>
      </c>
      <c r="C70" s="40" t="str">
        <f>'Global analysis (old)'!J74</f>
        <v>Y</v>
      </c>
      <c r="D70" s="42">
        <f>'Global analysis (old)'!AE74</f>
        <v>11.025</v>
      </c>
      <c r="E70" s="39">
        <f>'Global analysis (old)'!AC74</f>
        <v>578.39</v>
      </c>
    </row>
    <row r="71" spans="2:5" x14ac:dyDescent="0.2">
      <c r="B71" s="39" t="s">
        <v>179</v>
      </c>
      <c r="C71" s="40" t="str">
        <f>'Global analysis (old)'!J75</f>
        <v>Y</v>
      </c>
      <c r="D71" s="42">
        <f>'Global analysis (old)'!AE75</f>
        <v>21.9024</v>
      </c>
      <c r="E71" s="39">
        <f>'Global analysis (old)'!AC75</f>
        <v>588.90334000000007</v>
      </c>
    </row>
    <row r="72" spans="2:5" x14ac:dyDescent="0.2">
      <c r="B72" s="39" t="s">
        <v>259</v>
      </c>
      <c r="C72" s="40" t="str">
        <f>'Global analysis (old)'!J76</f>
        <v>N</v>
      </c>
      <c r="D72" s="42"/>
      <c r="E72" s="39">
        <f>'Global analysis (old)'!AC76</f>
        <v>245.98099999999999</v>
      </c>
    </row>
    <row r="73" spans="2:5" x14ac:dyDescent="0.2">
      <c r="B73" s="39" t="s">
        <v>260</v>
      </c>
      <c r="C73" s="40" t="str">
        <f>'Global analysis (old)'!J77</f>
        <v>N</v>
      </c>
      <c r="D73" s="42"/>
      <c r="E73" s="39">
        <f>'Global analysis (old)'!AC77</f>
        <v>376.23199999999997</v>
      </c>
    </row>
    <row r="74" spans="2:5" x14ac:dyDescent="0.2">
      <c r="B74" s="39" t="s">
        <v>261</v>
      </c>
      <c r="C74" s="40" t="str">
        <f>'Global analysis (old)'!J78</f>
        <v>N</v>
      </c>
      <c r="D74" s="42"/>
      <c r="E74" s="39">
        <f>'Global analysis (old)'!AC78</f>
        <v>302.476</v>
      </c>
    </row>
    <row r="75" spans="2:5" x14ac:dyDescent="0.2">
      <c r="B75" s="39" t="s">
        <v>262</v>
      </c>
      <c r="C75" s="40" t="str">
        <f>'Global analysis (old)'!J79</f>
        <v>N</v>
      </c>
      <c r="D75" s="42"/>
      <c r="E75" s="39">
        <f>'Global analysis (old)'!AC79</f>
        <v>402.416</v>
      </c>
    </row>
  </sheetData>
  <mergeCells count="2">
    <mergeCell ref="H59:I59"/>
    <mergeCell ref="J59:K59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5"/>
  <sheetViews>
    <sheetView zoomScale="80" zoomScaleNormal="80" workbookViewId="0">
      <selection activeCell="D75" sqref="D75"/>
    </sheetView>
  </sheetViews>
  <sheetFormatPr baseColWidth="10" defaultRowHeight="12.75" x14ac:dyDescent="0.2"/>
  <cols>
    <col min="1" max="1" width="4.140625" style="39" customWidth="1"/>
    <col min="2" max="2" width="19.42578125" style="39" customWidth="1"/>
    <col min="3" max="3" width="6" style="39" customWidth="1"/>
    <col min="4" max="4" width="5.85546875" style="39" customWidth="1"/>
    <col min="5" max="5" width="7" style="39" customWidth="1"/>
    <col min="6" max="6" width="5.85546875" style="39" customWidth="1"/>
    <col min="7" max="7" width="7.140625" style="39" customWidth="1"/>
    <col min="8" max="11" width="11.42578125" style="39"/>
    <col min="12" max="12" width="12" style="39" customWidth="1"/>
    <col min="13" max="13" width="7" style="39" customWidth="1"/>
    <col min="14" max="19" width="11.42578125" style="39"/>
    <col min="20" max="20" width="8.5703125" style="39" customWidth="1"/>
    <col min="21" max="16384" width="11.42578125" style="39"/>
  </cols>
  <sheetData>
    <row r="1" spans="1:7" x14ac:dyDescent="0.2">
      <c r="A1" s="49" t="str">
        <f>'Global analysis (old)'!T1</f>
        <v>MATERIAL COSTS (for the first unit) (with frame)</v>
      </c>
    </row>
    <row r="2" spans="1:7" x14ac:dyDescent="0.2">
      <c r="B2" s="68" t="s">
        <v>8</v>
      </c>
      <c r="C2" s="39" t="s">
        <v>106</v>
      </c>
      <c r="D2" s="39" t="str">
        <f>'Global analysis (old)'!AQ3</f>
        <v>"D.L"</v>
      </c>
      <c r="E2" s="40" t="s">
        <v>98</v>
      </c>
      <c r="F2" s="40" t="s">
        <v>50</v>
      </c>
      <c r="G2" s="40" t="s">
        <v>51</v>
      </c>
    </row>
    <row r="3" spans="1:7" x14ac:dyDescent="0.2">
      <c r="B3" s="39" t="str">
        <f>'Global analysis (old)'!B6</f>
        <v>BORT-LES-ORGUES G2</v>
      </c>
      <c r="C3" s="40" t="str">
        <f>'Global analysis (old)'!J6</f>
        <v>Y</v>
      </c>
      <c r="D3" s="42">
        <f>'Global analysis (old)'!AQ6</f>
        <v>21.6755</v>
      </c>
      <c r="E3" s="67">
        <f t="shared" ref="E3:E16" si="0">G3/F3</f>
        <v>7.8943816640080611</v>
      </c>
      <c r="F3" s="42">
        <v>190.57599999999999</v>
      </c>
      <c r="G3" s="39">
        <f>'Global analysis (old)'!AC6</f>
        <v>1504.4796800000001</v>
      </c>
    </row>
    <row r="4" spans="1:7" x14ac:dyDescent="0.2">
      <c r="B4" s="39" t="str">
        <f>'Global analysis (old)'!B7</f>
        <v>GENISSIAT 2 - 4 (ALS)</v>
      </c>
      <c r="C4" s="40" t="str">
        <f>'Global analysis (old)'!J7</f>
        <v>N</v>
      </c>
      <c r="D4" s="42">
        <f>'Global analysis (old)'!AQ7</f>
        <v>15.407</v>
      </c>
      <c r="E4" s="67">
        <f t="shared" si="0"/>
        <v>11.257673328955313</v>
      </c>
      <c r="F4" s="42">
        <v>111.72099999999999</v>
      </c>
      <c r="G4" s="39">
        <f>'Global analysis (old)'!AC7</f>
        <v>1257.7185219842165</v>
      </c>
    </row>
    <row r="5" spans="1:7" x14ac:dyDescent="0.2">
      <c r="B5" s="39" t="str">
        <f>'Global analysis (old)'!B8</f>
        <v>GENISSIAT 1 - 6 (SW)</v>
      </c>
      <c r="C5" s="40" t="str">
        <f>'Global analysis (old)'!J8</f>
        <v>N</v>
      </c>
      <c r="D5" s="42">
        <f>'Global analysis (old)'!AQ8</f>
        <v>14.8401</v>
      </c>
      <c r="E5" s="67">
        <f t="shared" si="0"/>
        <v>10.092943848485685</v>
      </c>
      <c r="F5" s="42">
        <v>127.01</v>
      </c>
      <c r="G5" s="39">
        <f>'Global analysis (old)'!AC8</f>
        <v>1281.9047981961669</v>
      </c>
    </row>
    <row r="6" spans="1:7" x14ac:dyDescent="0.2">
      <c r="B6" s="39" t="str">
        <f>'Global analysis (old)'!B9</f>
        <v>PEYRAT LE CHÂTEAU</v>
      </c>
      <c r="C6" s="40" t="str">
        <f>'Global analysis (old)'!J9</f>
        <v>Y</v>
      </c>
      <c r="D6" s="42">
        <f>'Global analysis (old)'!AQ9</f>
        <v>4.0249999999999995</v>
      </c>
      <c r="E6" s="67">
        <f t="shared" si="0"/>
        <v>13.400555555555556</v>
      </c>
      <c r="F6" s="42">
        <v>39.6</v>
      </c>
      <c r="G6" s="39">
        <f>'Global analysis (old)'!AC9</f>
        <v>530.66200000000003</v>
      </c>
    </row>
    <row r="7" spans="1:7" x14ac:dyDescent="0.2">
      <c r="B7" s="39" t="str">
        <f>'Global analysis (old)'!B10</f>
        <v>BOLLENE G4</v>
      </c>
      <c r="C7" s="40" t="str">
        <f>'Global analysis (old)'!J10</f>
        <v>N</v>
      </c>
      <c r="D7" s="42">
        <f>'Global analysis (old)'!AQ10</f>
        <v>12.07545</v>
      </c>
      <c r="E7" s="67">
        <f t="shared" si="0"/>
        <v>8.9920729166666664</v>
      </c>
      <c r="F7" s="42">
        <v>96</v>
      </c>
      <c r="G7" s="39">
        <f>'Global analysis (old)'!AC10</f>
        <v>863.23900000000003</v>
      </c>
    </row>
    <row r="8" spans="1:7" x14ac:dyDescent="0.2">
      <c r="B8" s="39" t="str">
        <f>'Global analysis (old)'!B11</f>
        <v>BEAUCHASTEL G1256</v>
      </c>
      <c r="C8" s="40" t="str">
        <f>'Global analysis (old)'!J11</f>
        <v>N</v>
      </c>
      <c r="D8" s="42">
        <f>'Global analysis (old)'!AQ11</f>
        <v>9.7545000000000002</v>
      </c>
      <c r="E8" s="67">
        <f t="shared" si="0"/>
        <v>10.721248164464024</v>
      </c>
      <c r="F8" s="42">
        <v>68.099999999999994</v>
      </c>
      <c r="G8" s="39">
        <f>'Global analysis (old)'!AC11</f>
        <v>730.11699999999996</v>
      </c>
    </row>
    <row r="9" spans="1:7" x14ac:dyDescent="0.2">
      <c r="A9" s="73"/>
      <c r="B9" s="45" t="str">
        <f>'Global analysis (old)'!B12</f>
        <v>VOGELGRÜN G3</v>
      </c>
      <c r="C9" s="40" t="str">
        <f>'Global analysis (old)'!J12</f>
        <v>Y</v>
      </c>
      <c r="D9" s="42">
        <f>'Global analysis (old)'!AQ12</f>
        <v>8.831999999999999</v>
      </c>
      <c r="E9" s="67">
        <f t="shared" si="0"/>
        <v>12.35807453416149</v>
      </c>
      <c r="F9" s="42">
        <v>80.5</v>
      </c>
      <c r="G9" s="39">
        <f>'Global analysis (old)'!AC12</f>
        <v>994.82500000000005</v>
      </c>
    </row>
    <row r="10" spans="1:7" x14ac:dyDescent="0.2">
      <c r="B10" s="39" t="str">
        <f>'Global analysis (old)'!B13</f>
        <v>LA BATHIE G1345</v>
      </c>
      <c r="C10" s="40" t="str">
        <f>'Global analysis (old)'!J13</f>
        <v>N</v>
      </c>
      <c r="D10" s="42">
        <f>'Global analysis (old)'!AQ13</f>
        <v>7.85792</v>
      </c>
      <c r="E10" s="67">
        <f t="shared" si="0"/>
        <v>7.7662746848153521</v>
      </c>
      <c r="F10" s="42">
        <v>89.63</v>
      </c>
      <c r="G10" s="39">
        <f>'Global analysis (old)'!AC13</f>
        <v>696.09119999999996</v>
      </c>
    </row>
    <row r="11" spans="1:7" x14ac:dyDescent="0.2">
      <c r="B11" s="39" t="str">
        <f>'Global analysis (old)'!B14</f>
        <v>SAUT-MORTIER G2</v>
      </c>
      <c r="C11" s="40" t="str">
        <f>'Global analysis (old)'!J14</f>
        <v>Y</v>
      </c>
      <c r="D11" s="42">
        <f>'Global analysis (old)'!AQ14</f>
        <v>4.6280000000000001</v>
      </c>
      <c r="E11" s="67">
        <f t="shared" si="0"/>
        <v>14.525364166059722</v>
      </c>
      <c r="F11" s="42">
        <v>54.920000000000009</v>
      </c>
      <c r="G11" s="39">
        <f>'Global analysis (old)'!AC14</f>
        <v>797.73300000000006</v>
      </c>
    </row>
    <row r="12" spans="1:7" x14ac:dyDescent="0.2">
      <c r="A12" s="73"/>
      <c r="B12" s="45" t="str">
        <f>'Global analysis (old)'!B15</f>
        <v>MANOSQUE</v>
      </c>
      <c r="C12" s="40" t="str">
        <f>'Global analysis (old)'!J15</f>
        <v>Y</v>
      </c>
      <c r="D12" s="42">
        <f>'Global analysis (old)'!AQ15</f>
        <v>9.10656</v>
      </c>
      <c r="E12" s="67">
        <f t="shared" si="0"/>
        <v>10.383170572916667</v>
      </c>
      <c r="F12" s="42">
        <v>92.16</v>
      </c>
      <c r="G12" s="39">
        <f>'Global analysis (old)'!AC15</f>
        <v>956.9129999999999</v>
      </c>
    </row>
    <row r="13" spans="1:7" x14ac:dyDescent="0.2">
      <c r="B13" s="39" t="str">
        <f>'Global analysis (old)'!B16</f>
        <v>RANDENS G4</v>
      </c>
      <c r="C13" s="40" t="str">
        <f>'Global analysis (old)'!J16</f>
        <v>Y</v>
      </c>
      <c r="D13" s="42">
        <f>'Global analysis (old)'!AQ16</f>
        <v>4.5474999999999994</v>
      </c>
      <c r="E13" s="67">
        <f t="shared" si="0"/>
        <v>6.8599303621169918</v>
      </c>
      <c r="F13" s="42">
        <v>71.8</v>
      </c>
      <c r="G13" s="39">
        <f>'Global analysis (old)'!AC16</f>
        <v>492.54300000000001</v>
      </c>
    </row>
    <row r="14" spans="1:7" x14ac:dyDescent="0.2">
      <c r="A14" s="47"/>
      <c r="B14" s="45" t="str">
        <f>'Global analysis (old)'!B17</f>
        <v>LA RANCE (B)</v>
      </c>
      <c r="C14" s="40" t="str">
        <f>'Global analysis (old)'!J17</f>
        <v>N</v>
      </c>
      <c r="D14" s="42">
        <f>'Global analysis (old)'!AQ17</f>
        <v>3.6025549999999997</v>
      </c>
      <c r="E14" s="67">
        <f t="shared" si="0"/>
        <v>24.212819148936173</v>
      </c>
      <c r="F14" s="42">
        <v>18.799999999999997</v>
      </c>
      <c r="G14" s="39">
        <f>'Global analysis (old)'!AC17</f>
        <v>455.20099999999996</v>
      </c>
    </row>
    <row r="15" spans="1:7" x14ac:dyDescent="0.2">
      <c r="B15" s="39" t="str">
        <f>'Global analysis (old)'!B18</f>
        <v>VAUGRIS (B)</v>
      </c>
      <c r="C15" s="40" t="str">
        <f>'Global analysis (old)'!J18</f>
        <v>Y</v>
      </c>
      <c r="D15" s="42">
        <f>'Global analysis (old)'!AQ18</f>
        <v>6.0332999999999997</v>
      </c>
      <c r="E15" s="67">
        <f t="shared" si="0"/>
        <v>10.670330794589065</v>
      </c>
      <c r="F15" s="42">
        <v>87.97</v>
      </c>
      <c r="G15" s="39">
        <f>'Global analysis (old)'!AC18</f>
        <v>938.66899999999998</v>
      </c>
    </row>
    <row r="16" spans="1:7" x14ac:dyDescent="0.2">
      <c r="B16" s="39" t="str">
        <f>'Global analysis (old)'!B19</f>
        <v>ST HILAIRE</v>
      </c>
      <c r="C16" s="40" t="str">
        <f>'Global analysis (old)'!J19</f>
        <v>Y</v>
      </c>
      <c r="D16" s="42">
        <f>'Global analysis (old)'!AQ19</f>
        <v>4.4169999999999998</v>
      </c>
      <c r="E16" s="67">
        <f t="shared" si="0"/>
        <v>7.905174127375366</v>
      </c>
      <c r="F16" s="42">
        <v>50.308000000000007</v>
      </c>
      <c r="G16" s="39">
        <f>'Global analysis (old)'!AC19</f>
        <v>397.69349999999997</v>
      </c>
    </row>
    <row r="17" spans="2:7" x14ac:dyDescent="0.2">
      <c r="E17" s="67"/>
    </row>
    <row r="18" spans="2:7" x14ac:dyDescent="0.2">
      <c r="B18" s="68" t="s">
        <v>181</v>
      </c>
      <c r="E18" s="67"/>
    </row>
    <row r="19" spans="2:7" x14ac:dyDescent="0.2">
      <c r="B19" s="39" t="s">
        <v>242</v>
      </c>
      <c r="C19" s="40" t="str">
        <f>'Global analysis (old)'!J23</f>
        <v>N</v>
      </c>
      <c r="D19" s="42">
        <f>'Global analysis (old)'!AQ23</f>
        <v>1.0707199999999999</v>
      </c>
      <c r="E19" s="67">
        <f t="shared" ref="E19:E50" si="1">G19/F19</f>
        <v>21.133030303030303</v>
      </c>
      <c r="F19" s="42">
        <v>9.9</v>
      </c>
      <c r="G19" s="39">
        <f>'Global analysis (old)'!AC23</f>
        <v>209.21700000000001</v>
      </c>
    </row>
    <row r="20" spans="2:7" x14ac:dyDescent="0.2">
      <c r="B20" s="39" t="s">
        <v>243</v>
      </c>
      <c r="C20" s="40" t="str">
        <f>'Global analysis (old)'!J24</f>
        <v>Y</v>
      </c>
      <c r="D20" s="42">
        <f>'Global analysis (old)'!AQ24</f>
        <v>1.5</v>
      </c>
      <c r="E20" s="67">
        <f t="shared" si="1"/>
        <v>30.312384105960266</v>
      </c>
      <c r="F20" s="42">
        <v>15.1</v>
      </c>
      <c r="G20" s="39">
        <f>'Global analysis (old)'!AC24</f>
        <v>457.71699999999998</v>
      </c>
    </row>
    <row r="21" spans="2:7" x14ac:dyDescent="0.2">
      <c r="B21" s="39" t="s">
        <v>244</v>
      </c>
      <c r="C21" s="40" t="str">
        <f>'Global analysis (old)'!J25</f>
        <v>Y</v>
      </c>
      <c r="D21" s="42">
        <f>'Global analysis (old)'!AQ25</f>
        <v>2.4</v>
      </c>
      <c r="E21" s="67">
        <f t="shared" si="1"/>
        <v>19.388105726872247</v>
      </c>
      <c r="F21" s="42">
        <v>22.7</v>
      </c>
      <c r="G21" s="39">
        <f>'Global analysis (old)'!AC25</f>
        <v>440.11</v>
      </c>
    </row>
    <row r="22" spans="2:7" x14ac:dyDescent="0.2">
      <c r="B22" s="39" t="s">
        <v>245</v>
      </c>
      <c r="C22" s="40" t="str">
        <f>'Global analysis (old)'!J26</f>
        <v>Y</v>
      </c>
      <c r="D22" s="42">
        <f>'Global analysis (old)'!AQ26</f>
        <v>1.5294999999999999</v>
      </c>
      <c r="E22" s="67">
        <f t="shared" si="1"/>
        <v>13.528467741935483</v>
      </c>
      <c r="F22" s="42">
        <v>24.8</v>
      </c>
      <c r="G22" s="39">
        <f>'Global analysis (old)'!AC26</f>
        <v>335.50599999999997</v>
      </c>
    </row>
    <row r="23" spans="2:7" x14ac:dyDescent="0.2">
      <c r="B23" s="39" t="s">
        <v>246</v>
      </c>
      <c r="C23" s="40" t="str">
        <f>'Global analysis (old)'!J27</f>
        <v>Y</v>
      </c>
      <c r="D23" s="42">
        <f>'Global analysis (old)'!AQ27</f>
        <v>2.8874999999999997</v>
      </c>
      <c r="E23" s="67">
        <f t="shared" si="1"/>
        <v>16.12927868852459</v>
      </c>
      <c r="F23" s="42">
        <v>30.5</v>
      </c>
      <c r="G23" s="39">
        <f>'Global analysis (old)'!AC27</f>
        <v>491.94299999999998</v>
      </c>
    </row>
    <row r="24" spans="2:7" x14ac:dyDescent="0.2">
      <c r="B24" s="39" t="s">
        <v>247</v>
      </c>
      <c r="C24" s="40" t="str">
        <f>'Global analysis (old)'!J28</f>
        <v>N</v>
      </c>
      <c r="D24" s="42">
        <f>'Global analysis (old)'!AQ28</f>
        <v>3.3</v>
      </c>
      <c r="E24" s="67">
        <f t="shared" si="1"/>
        <v>22.698412698412699</v>
      </c>
      <c r="F24" s="42">
        <v>31.5</v>
      </c>
      <c r="G24" s="39">
        <f>'Global analysis (old)'!AC28</f>
        <v>715</v>
      </c>
    </row>
    <row r="25" spans="2:7" x14ac:dyDescent="0.2">
      <c r="B25" s="39" t="s">
        <v>147</v>
      </c>
      <c r="C25" s="40" t="str">
        <f>'Global analysis (old)'!J29</f>
        <v>Y</v>
      </c>
      <c r="D25" s="42">
        <f>'Global analysis (old)'!AQ29</f>
        <v>2.4</v>
      </c>
      <c r="E25" s="67">
        <f t="shared" si="1"/>
        <v>22.00497797356828</v>
      </c>
      <c r="F25" s="42">
        <v>22.7</v>
      </c>
      <c r="G25" s="39">
        <f>'Global analysis (old)'!AC29</f>
        <v>499.51299999999998</v>
      </c>
    </row>
    <row r="26" spans="2:7" x14ac:dyDescent="0.2">
      <c r="B26" s="39" t="s">
        <v>151</v>
      </c>
      <c r="C26" s="40" t="str">
        <f>'Global analysis (old)'!J30</f>
        <v>Y</v>
      </c>
      <c r="D26" s="42">
        <f>'Global analysis (old)'!AQ30</f>
        <v>2.6399999999999997</v>
      </c>
      <c r="E26" s="67">
        <f t="shared" si="1"/>
        <v>16.403776824034335</v>
      </c>
      <c r="F26" s="42">
        <v>23.3</v>
      </c>
      <c r="G26" s="39">
        <f>'Global analysis (old)'!AC30</f>
        <v>382.20800000000003</v>
      </c>
    </row>
    <row r="27" spans="2:7" x14ac:dyDescent="0.2">
      <c r="B27" s="39" t="s">
        <v>152</v>
      </c>
      <c r="C27" s="40" t="str">
        <f>'Global analysis (old)'!J31</f>
        <v>Y</v>
      </c>
      <c r="D27" s="42">
        <f>'Global analysis (old)'!AQ31</f>
        <v>2.3895</v>
      </c>
      <c r="E27" s="67">
        <f t="shared" si="1"/>
        <v>23.102028985507246</v>
      </c>
      <c r="F27" s="42">
        <v>27.6</v>
      </c>
      <c r="G27" s="39">
        <f>'Global analysis (old)'!AC31</f>
        <v>637.61599999999999</v>
      </c>
    </row>
    <row r="28" spans="2:7" x14ac:dyDescent="0.2">
      <c r="B28" s="39" t="s">
        <v>153</v>
      </c>
      <c r="C28" s="40" t="str">
        <f>'Global analysis (old)'!J32</f>
        <v>N</v>
      </c>
      <c r="D28" s="42">
        <f>'Global analysis (old)'!AQ32</f>
        <v>4.8019999999999996</v>
      </c>
      <c r="E28" s="67">
        <f t="shared" si="1"/>
        <v>19.366197183098592</v>
      </c>
      <c r="F28" s="42">
        <v>28.4</v>
      </c>
      <c r="G28" s="39">
        <f>'Global analysis (old)'!AC32</f>
        <v>550</v>
      </c>
    </row>
    <row r="29" spans="2:7" x14ac:dyDescent="0.2">
      <c r="B29" s="39" t="s">
        <v>154</v>
      </c>
      <c r="C29" s="40" t="str">
        <f>'Global analysis (old)'!J33</f>
        <v>N</v>
      </c>
      <c r="D29" s="42">
        <f>'Global analysis (old)'!AQ33</f>
        <v>3.77</v>
      </c>
      <c r="E29" s="67">
        <f t="shared" si="1"/>
        <v>20.624564459930312</v>
      </c>
      <c r="F29" s="42">
        <v>28.7</v>
      </c>
      <c r="G29" s="39">
        <f>'Global analysis (old)'!AC33</f>
        <v>591.92499999999995</v>
      </c>
    </row>
    <row r="30" spans="2:7" x14ac:dyDescent="0.2">
      <c r="B30" s="39" t="s">
        <v>149</v>
      </c>
      <c r="C30" s="40" t="str">
        <f>'Global analysis (old)'!J34</f>
        <v>Y</v>
      </c>
      <c r="D30" s="42">
        <f>'Global analysis (old)'!AQ34</f>
        <v>2.8874999999999997</v>
      </c>
      <c r="E30" s="67">
        <f t="shared" si="1"/>
        <v>18.180459016393442</v>
      </c>
      <c r="F30" s="42">
        <v>30.5</v>
      </c>
      <c r="G30" s="39">
        <f>'Global analysis (old)'!AC34</f>
        <v>554.50400000000002</v>
      </c>
    </row>
    <row r="31" spans="2:7" x14ac:dyDescent="0.2">
      <c r="B31" s="39" t="s">
        <v>155</v>
      </c>
      <c r="C31" s="40" t="str">
        <f>'Global analysis (old)'!J35</f>
        <v>Y</v>
      </c>
      <c r="D31" s="42">
        <f>'Global analysis (old)'!AQ35</f>
        <v>2.5979199999999998</v>
      </c>
      <c r="E31" s="67">
        <f t="shared" si="1"/>
        <v>13.474456521739132</v>
      </c>
      <c r="F31" s="42">
        <v>36.799999999999997</v>
      </c>
      <c r="G31" s="39">
        <f>'Global analysis (old)'!AC35</f>
        <v>495.86</v>
      </c>
    </row>
    <row r="32" spans="2:7" x14ac:dyDescent="0.2">
      <c r="B32" s="39" t="s">
        <v>156</v>
      </c>
      <c r="C32" s="40" t="str">
        <f>'Global analysis (old)'!J36</f>
        <v>Y</v>
      </c>
      <c r="D32" s="42">
        <f>'Global analysis (old)'!AQ36</f>
        <v>3.77</v>
      </c>
      <c r="E32" s="67">
        <f t="shared" si="1"/>
        <v>18.337577937649876</v>
      </c>
      <c r="F32" s="42">
        <v>41.7</v>
      </c>
      <c r="G32" s="39">
        <f>'Global analysis (old)'!AC36</f>
        <v>764.67699999999991</v>
      </c>
    </row>
    <row r="33" spans="2:7" x14ac:dyDescent="0.2">
      <c r="B33" s="39" t="s">
        <v>130</v>
      </c>
      <c r="C33" s="40" t="str">
        <f>'Global analysis (old)'!J37</f>
        <v>Y</v>
      </c>
      <c r="D33" s="42">
        <f>'Global analysis (old)'!AQ37</f>
        <v>3.915</v>
      </c>
      <c r="E33" s="67">
        <f t="shared" si="1"/>
        <v>12.694462242562929</v>
      </c>
      <c r="F33" s="42">
        <v>43.7</v>
      </c>
      <c r="G33" s="39">
        <f>'Global analysis (old)'!AC37</f>
        <v>554.74800000000005</v>
      </c>
    </row>
    <row r="34" spans="2:7" x14ac:dyDescent="0.2">
      <c r="B34" s="39" t="s">
        <v>131</v>
      </c>
      <c r="C34" s="40" t="str">
        <f>'Global analysis (old)'!J38</f>
        <v>Y</v>
      </c>
      <c r="D34" s="42">
        <f>'Global analysis (old)'!AQ38</f>
        <v>3.915</v>
      </c>
      <c r="E34" s="67">
        <f t="shared" si="1"/>
        <v>12.694462242562929</v>
      </c>
      <c r="F34" s="42">
        <v>43.7</v>
      </c>
      <c r="G34" s="39">
        <f>'Global analysis (old)'!AC38</f>
        <v>554.74800000000005</v>
      </c>
    </row>
    <row r="35" spans="2:7" x14ac:dyDescent="0.2">
      <c r="B35" s="39" t="s">
        <v>157</v>
      </c>
      <c r="C35" s="40" t="str">
        <f>'Global analysis (old)'!J39</f>
        <v>Y</v>
      </c>
      <c r="D35" s="42">
        <f>'Global analysis (old)'!AQ39</f>
        <v>4.6916799999999999</v>
      </c>
      <c r="E35" s="67">
        <f t="shared" si="1"/>
        <v>12.523002257336344</v>
      </c>
      <c r="F35" s="42">
        <v>44.3</v>
      </c>
      <c r="G35" s="39">
        <f>'Global analysis (old)'!AC39</f>
        <v>554.76900000000001</v>
      </c>
    </row>
    <row r="36" spans="2:7" x14ac:dyDescent="0.2">
      <c r="B36" s="39" t="s">
        <v>158</v>
      </c>
      <c r="C36" s="40" t="str">
        <f>'Global analysis (old)'!J40</f>
        <v>Y</v>
      </c>
      <c r="D36" s="42">
        <f>'Global analysis (old)'!AQ40</f>
        <v>4.1201999999999996</v>
      </c>
      <c r="E36" s="67">
        <f t="shared" si="1"/>
        <v>10.992250530785563</v>
      </c>
      <c r="F36" s="42">
        <v>47.1</v>
      </c>
      <c r="G36" s="39">
        <f>'Global analysis (old)'!AC40</f>
        <v>517.73500000000001</v>
      </c>
    </row>
    <row r="37" spans="2:7" x14ac:dyDescent="0.2">
      <c r="B37" s="39" t="s">
        <v>132</v>
      </c>
      <c r="C37" s="40" t="str">
        <f>'Global analysis (old)'!J41</f>
        <v>Y</v>
      </c>
      <c r="D37" s="42">
        <f>'Global analysis (old)'!AQ41</f>
        <v>4.8</v>
      </c>
      <c r="E37" s="67">
        <f t="shared" si="1"/>
        <v>19.914795918367346</v>
      </c>
      <c r="F37" s="42">
        <v>49</v>
      </c>
      <c r="G37" s="39">
        <f>'Global analysis (old)'!AC41</f>
        <v>975.82500000000005</v>
      </c>
    </row>
    <row r="38" spans="2:7" x14ac:dyDescent="0.2">
      <c r="B38" s="39" t="s">
        <v>159</v>
      </c>
      <c r="C38" s="40" t="str">
        <f>'Global analysis (old)'!J42</f>
        <v>N</v>
      </c>
      <c r="D38" s="42">
        <f>'Global analysis (old)'!AQ42</f>
        <v>7.4339999999999993</v>
      </c>
      <c r="E38" s="67">
        <f t="shared" si="1"/>
        <v>12.172670682730924</v>
      </c>
      <c r="F38" s="42">
        <v>49.8</v>
      </c>
      <c r="G38" s="39">
        <f>'Global analysis (old)'!AC42</f>
        <v>606.19899999999996</v>
      </c>
    </row>
    <row r="39" spans="2:7" x14ac:dyDescent="0.2">
      <c r="B39" s="39" t="s">
        <v>160</v>
      </c>
      <c r="C39" s="40" t="str">
        <f>'Global analysis (old)'!J43</f>
        <v>Y</v>
      </c>
      <c r="D39" s="42">
        <f>'Global analysis (old)'!AQ43</f>
        <v>4.2299999999999995</v>
      </c>
      <c r="E39" s="67">
        <f t="shared" si="1"/>
        <v>10.634991816693944</v>
      </c>
      <c r="F39" s="42">
        <v>61.1</v>
      </c>
      <c r="G39" s="39">
        <f>'Global analysis (old)'!AC43</f>
        <v>649.798</v>
      </c>
    </row>
    <row r="40" spans="2:7" x14ac:dyDescent="0.2">
      <c r="B40" s="39" t="s">
        <v>161</v>
      </c>
      <c r="C40" s="40" t="str">
        <f>'Global analysis (old)'!J44</f>
        <v>N</v>
      </c>
      <c r="D40" s="42">
        <f>'Global analysis (old)'!AQ44</f>
        <v>7.8472799999999996</v>
      </c>
      <c r="E40" s="67">
        <f t="shared" si="1"/>
        <v>11.20140157480315</v>
      </c>
      <c r="F40" s="42">
        <v>63.5</v>
      </c>
      <c r="G40" s="39">
        <f>'Global analysis (old)'!AC44</f>
        <v>711.28899999999999</v>
      </c>
    </row>
    <row r="41" spans="2:7" x14ac:dyDescent="0.2">
      <c r="B41" s="39" t="s">
        <v>162</v>
      </c>
      <c r="C41" s="40" t="str">
        <f>'Global analysis (old)'!J45</f>
        <v>Y</v>
      </c>
      <c r="D41" s="42">
        <f>'Global analysis (old)'!AQ45</f>
        <v>4.1249000000000002</v>
      </c>
      <c r="E41" s="67">
        <f t="shared" si="1"/>
        <v>8.8246624803767659</v>
      </c>
      <c r="F41" s="42">
        <v>63.7</v>
      </c>
      <c r="G41" s="39">
        <f>'Global analysis (old)'!AC45</f>
        <v>562.13099999999997</v>
      </c>
    </row>
    <row r="42" spans="2:7" x14ac:dyDescent="0.2">
      <c r="B42" s="39" t="s">
        <v>163</v>
      </c>
      <c r="C42" s="40" t="str">
        <f>'Global analysis (old)'!J46</f>
        <v>Y</v>
      </c>
      <c r="D42" s="42">
        <f>'Global analysis (old)'!AQ46</f>
        <v>4.5060000000000002</v>
      </c>
      <c r="E42" s="67">
        <f t="shared" si="1"/>
        <v>10.25677793904209</v>
      </c>
      <c r="F42" s="42">
        <v>68.900000000000006</v>
      </c>
      <c r="G42" s="39">
        <f>'Global analysis (old)'!AC46</f>
        <v>706.69200000000001</v>
      </c>
    </row>
    <row r="43" spans="2:7" x14ac:dyDescent="0.2">
      <c r="B43" s="39" t="s">
        <v>164</v>
      </c>
      <c r="C43" s="40" t="str">
        <f>'Global analysis (old)'!J47</f>
        <v>Y</v>
      </c>
      <c r="D43" s="42">
        <f>'Global analysis (old)'!AQ47</f>
        <v>7.2877999999999998</v>
      </c>
      <c r="E43" s="67">
        <f t="shared" si="1"/>
        <v>9.5523762376237613</v>
      </c>
      <c r="F43" s="42">
        <v>70.7</v>
      </c>
      <c r="G43" s="39">
        <f>'Global analysis (old)'!AC47</f>
        <v>675.35299999999995</v>
      </c>
    </row>
    <row r="44" spans="2:7" x14ac:dyDescent="0.2">
      <c r="B44" s="39" t="s">
        <v>165</v>
      </c>
      <c r="C44" s="40" t="str">
        <f>'Global analysis (old)'!J48</f>
        <v>Y</v>
      </c>
      <c r="D44" s="42">
        <f>'Global analysis (old)'!AQ48</f>
        <v>6.6</v>
      </c>
      <c r="E44" s="67">
        <f t="shared" si="1"/>
        <v>9.5459158751696052</v>
      </c>
      <c r="F44" s="42">
        <v>73.7</v>
      </c>
      <c r="G44" s="39">
        <f>'Global analysis (old)'!AC48</f>
        <v>703.53399999999999</v>
      </c>
    </row>
    <row r="45" spans="2:7" x14ac:dyDescent="0.2">
      <c r="B45" s="39" t="s">
        <v>166</v>
      </c>
      <c r="C45" s="40" t="str">
        <f>'Global analysis (old)'!J49</f>
        <v>Y</v>
      </c>
      <c r="D45" s="42">
        <f>'Global analysis (old)'!AQ49</f>
        <v>5.4349049999999997</v>
      </c>
      <c r="E45" s="67">
        <f t="shared" si="1"/>
        <v>10.681338688085676</v>
      </c>
      <c r="F45" s="42">
        <v>74.7</v>
      </c>
      <c r="G45" s="39">
        <f>'Global analysis (old)'!AC49</f>
        <v>797.89599999999996</v>
      </c>
    </row>
    <row r="46" spans="2:7" x14ac:dyDescent="0.2">
      <c r="B46" s="39" t="s">
        <v>167</v>
      </c>
      <c r="C46" s="40" t="str">
        <f>'Global analysis (old)'!J50</f>
        <v>Y</v>
      </c>
      <c r="D46" s="42">
        <f>'Global analysis (old)'!AQ50</f>
        <v>8.1</v>
      </c>
      <c r="E46" s="67">
        <f t="shared" si="1"/>
        <v>10.463231552162851</v>
      </c>
      <c r="F46" s="42">
        <v>78.599999999999994</v>
      </c>
      <c r="G46" s="39">
        <f>'Global analysis (old)'!AC50</f>
        <v>822.41</v>
      </c>
    </row>
    <row r="47" spans="2:7" x14ac:dyDescent="0.2">
      <c r="B47" s="39" t="s">
        <v>138</v>
      </c>
      <c r="C47" s="40" t="str">
        <f>'Global analysis (old)'!J51</f>
        <v>Y</v>
      </c>
      <c r="D47" s="42">
        <f>'Global analysis (old)'!AQ51</f>
        <v>8.1603999999999992</v>
      </c>
      <c r="E47" s="67">
        <f t="shared" si="1"/>
        <v>9.535572327044024</v>
      </c>
      <c r="F47" s="42">
        <v>79.5</v>
      </c>
      <c r="G47" s="39">
        <f>'Global analysis (old)'!AC51</f>
        <v>758.07799999999997</v>
      </c>
    </row>
    <row r="48" spans="2:7" x14ac:dyDescent="0.2">
      <c r="B48" s="39" t="s">
        <v>168</v>
      </c>
      <c r="C48" s="40" t="str">
        <f>'Global analysis (old)'!J52</f>
        <v>Y</v>
      </c>
      <c r="D48" s="42">
        <f>'Global analysis (old)'!AQ52</f>
        <v>7.7374999999999998</v>
      </c>
      <c r="E48" s="67">
        <f t="shared" si="1"/>
        <v>9.4594228356336263</v>
      </c>
      <c r="F48" s="42">
        <v>79.7</v>
      </c>
      <c r="G48" s="39">
        <f>'Global analysis (old)'!AC52</f>
        <v>753.91600000000005</v>
      </c>
    </row>
    <row r="49" spans="2:7" x14ac:dyDescent="0.2">
      <c r="B49" s="39" t="s">
        <v>134</v>
      </c>
      <c r="C49" s="40" t="str">
        <f>'Global analysis (old)'!J53</f>
        <v>N</v>
      </c>
      <c r="D49" s="42">
        <f>'Global analysis (old)'!AQ53</f>
        <v>15.04</v>
      </c>
      <c r="E49" s="67">
        <f t="shared" si="1"/>
        <v>16.280865746549562</v>
      </c>
      <c r="F49" s="42">
        <v>79.7</v>
      </c>
      <c r="G49" s="39">
        <f>'Global analysis (old)'!AC53</f>
        <v>1297.585</v>
      </c>
    </row>
    <row r="50" spans="2:7" x14ac:dyDescent="0.2">
      <c r="B50" s="39" t="s">
        <v>169</v>
      </c>
      <c r="C50" s="40" t="str">
        <f>'Global analysis (old)'!J54</f>
        <v>Y</v>
      </c>
      <c r="D50" s="42">
        <f>'Global analysis (old)'!AQ54</f>
        <v>7.1499999999999995</v>
      </c>
      <c r="E50" s="67">
        <f t="shared" si="1"/>
        <v>8.1480835380835384</v>
      </c>
      <c r="F50" s="42">
        <v>81.400000000000006</v>
      </c>
      <c r="G50" s="39">
        <f>'Global analysis (old)'!AC54</f>
        <v>663.25400000000002</v>
      </c>
    </row>
    <row r="51" spans="2:7" x14ac:dyDescent="0.2">
      <c r="B51" s="39" t="s">
        <v>213</v>
      </c>
      <c r="C51" s="40" t="str">
        <f>'Global analysis (old)'!J55</f>
        <v>Y</v>
      </c>
      <c r="D51" s="42">
        <f>'Global analysis (old)'!AQ55</f>
        <v>6.37</v>
      </c>
      <c r="E51" s="67">
        <f t="shared" ref="E51:E75" si="2">G51/F51</f>
        <v>8.1380969696969707</v>
      </c>
      <c r="F51" s="42">
        <v>82.5</v>
      </c>
      <c r="G51" s="39">
        <f>'Global analysis (old)'!AC55</f>
        <v>671.39300000000003</v>
      </c>
    </row>
    <row r="52" spans="2:7" x14ac:dyDescent="0.2">
      <c r="B52" s="39" t="s">
        <v>139</v>
      </c>
      <c r="C52" s="40" t="str">
        <f>'Global analysis (old)'!J56</f>
        <v>Y</v>
      </c>
      <c r="D52" s="42">
        <f>'Global analysis (old)'!AQ56</f>
        <v>6.7919999999999998</v>
      </c>
      <c r="E52" s="67">
        <f t="shared" si="2"/>
        <v>9.6694951923076928</v>
      </c>
      <c r="F52" s="42">
        <v>83.2</v>
      </c>
      <c r="G52" s="39">
        <f>'Global analysis (old)'!AC56</f>
        <v>804.50200000000007</v>
      </c>
    </row>
    <row r="53" spans="2:7" x14ac:dyDescent="0.2">
      <c r="B53" s="39" t="s">
        <v>138</v>
      </c>
      <c r="C53" s="40" t="str">
        <f>'Global analysis (old)'!J57</f>
        <v>Y</v>
      </c>
      <c r="D53" s="42">
        <f>'Global analysis (old)'!AQ57</f>
        <v>8.1603999999999992</v>
      </c>
      <c r="E53" s="67">
        <f t="shared" si="2"/>
        <v>11.190083632019114</v>
      </c>
      <c r="F53" s="42">
        <v>83.7</v>
      </c>
      <c r="G53" s="39">
        <f>'Global analysis (old)'!AC57</f>
        <v>936.6099999999999</v>
      </c>
    </row>
    <row r="54" spans="2:7" x14ac:dyDescent="0.2">
      <c r="B54" s="39" t="s">
        <v>214</v>
      </c>
      <c r="C54" s="40" t="str">
        <f>'Global analysis (old)'!J58</f>
        <v>Y</v>
      </c>
      <c r="D54" s="42">
        <f>'Global analysis (old)'!AQ58</f>
        <v>7.0755999999999997</v>
      </c>
      <c r="E54" s="67">
        <f t="shared" si="2"/>
        <v>7.1145677694770537</v>
      </c>
      <c r="F54" s="42">
        <v>93.7</v>
      </c>
      <c r="G54" s="39">
        <f>'Global analysis (old)'!AC58</f>
        <v>666.63499999999999</v>
      </c>
    </row>
    <row r="55" spans="2:7" x14ac:dyDescent="0.2">
      <c r="B55" s="39" t="s">
        <v>170</v>
      </c>
      <c r="C55" s="40" t="str">
        <f>'Global analysis (old)'!J59</f>
        <v>Y</v>
      </c>
      <c r="D55" s="42">
        <f>'Global analysis (old)'!AQ59</f>
        <v>10.733749999999999</v>
      </c>
      <c r="E55" s="67">
        <f t="shared" si="2"/>
        <v>9.4718485742379546</v>
      </c>
      <c r="F55" s="42">
        <v>101.7</v>
      </c>
      <c r="G55" s="39">
        <f>'Global analysis (old)'!AC59</f>
        <v>963.28700000000003</v>
      </c>
    </row>
    <row r="56" spans="2:7" x14ac:dyDescent="0.2">
      <c r="B56" s="39" t="s">
        <v>215</v>
      </c>
      <c r="C56" s="40" t="str">
        <f>'Global analysis (old)'!J60</f>
        <v>Y</v>
      </c>
      <c r="D56" s="42">
        <f>'Global analysis (old)'!AQ60</f>
        <v>8.8175999999999988</v>
      </c>
      <c r="E56" s="67">
        <f t="shared" si="2"/>
        <v>7.7664100096246385</v>
      </c>
      <c r="F56" s="42">
        <v>103.9</v>
      </c>
      <c r="G56" s="39">
        <f>'Global analysis (old)'!AC60</f>
        <v>806.93</v>
      </c>
    </row>
    <row r="57" spans="2:7" x14ac:dyDescent="0.2">
      <c r="B57" s="39" t="s">
        <v>133</v>
      </c>
      <c r="C57" s="40" t="str">
        <f>'Global analysis (old)'!J61</f>
        <v>Y</v>
      </c>
      <c r="D57" s="42">
        <f>'Global analysis (old)'!AQ61</f>
        <v>12.5</v>
      </c>
      <c r="E57" s="67">
        <f t="shared" si="2"/>
        <v>11.385645161290322</v>
      </c>
      <c r="F57" s="42">
        <v>105.4</v>
      </c>
      <c r="G57" s="39">
        <f>'Global analysis (old)'!AC61</f>
        <v>1200.047</v>
      </c>
    </row>
    <row r="58" spans="2:7" x14ac:dyDescent="0.2">
      <c r="B58" s="39" t="s">
        <v>136</v>
      </c>
      <c r="C58" s="40" t="str">
        <f>'Global analysis (old)'!J62</f>
        <v>Y</v>
      </c>
      <c r="D58" s="42">
        <f>'Global analysis (old)'!AQ62</f>
        <v>10.164</v>
      </c>
      <c r="E58" s="67">
        <f t="shared" si="2"/>
        <v>10.926573816155988</v>
      </c>
      <c r="F58" s="42">
        <v>107.7</v>
      </c>
      <c r="G58" s="39">
        <f>'Global analysis (old)'!AC62</f>
        <v>1176.7919999999999</v>
      </c>
    </row>
    <row r="59" spans="2:7" x14ac:dyDescent="0.2">
      <c r="B59" s="39" t="s">
        <v>135</v>
      </c>
      <c r="C59" s="40" t="str">
        <f>'Global analysis (old)'!J63</f>
        <v>Y</v>
      </c>
      <c r="D59" s="42">
        <f>'Global analysis (old)'!AQ63</f>
        <v>13.5</v>
      </c>
      <c r="E59" s="67">
        <f t="shared" si="2"/>
        <v>9.9951502504173622</v>
      </c>
      <c r="F59" s="42">
        <v>119.8</v>
      </c>
      <c r="G59" s="39">
        <f>'Global analysis (old)'!AC63</f>
        <v>1197.4189999999999</v>
      </c>
    </row>
    <row r="60" spans="2:7" x14ac:dyDescent="0.2">
      <c r="B60" s="39" t="s">
        <v>142</v>
      </c>
      <c r="C60" s="40" t="str">
        <f>'Global analysis (old)'!J64</f>
        <v>Y</v>
      </c>
      <c r="D60" s="42">
        <f>'Global analysis (old)'!AQ64</f>
        <v>8.5499999999999989</v>
      </c>
      <c r="E60" s="67">
        <f t="shared" si="2"/>
        <v>7.1018482142857149</v>
      </c>
      <c r="F60" s="42">
        <v>112</v>
      </c>
      <c r="G60" s="39">
        <f>'Global analysis (old)'!AC64</f>
        <v>795.40700000000004</v>
      </c>
    </row>
    <row r="61" spans="2:7" x14ac:dyDescent="0.2">
      <c r="B61" s="39" t="s">
        <v>171</v>
      </c>
      <c r="C61" s="40" t="str">
        <f>'Global analysis (old)'!J65</f>
        <v>Y</v>
      </c>
      <c r="D61" s="42">
        <f>'Global analysis (old)'!AQ65</f>
        <v>9.843</v>
      </c>
      <c r="E61" s="67">
        <f t="shared" si="2"/>
        <v>8.6310136286201011</v>
      </c>
      <c r="F61" s="42">
        <v>117.4</v>
      </c>
      <c r="G61" s="39">
        <f>'Global analysis (old)'!AC65</f>
        <v>1013.2809999999999</v>
      </c>
    </row>
    <row r="62" spans="2:7" x14ac:dyDescent="0.2">
      <c r="B62" s="39" t="s">
        <v>172</v>
      </c>
      <c r="C62" s="40" t="str">
        <f>'Global analysis (old)'!J66</f>
        <v>Y</v>
      </c>
      <c r="D62" s="42">
        <f>'Global analysis (old)'!AQ66</f>
        <v>9.69</v>
      </c>
      <c r="E62" s="67">
        <f t="shared" si="2"/>
        <v>7.7583582089552241</v>
      </c>
      <c r="F62" s="42">
        <v>120.6</v>
      </c>
      <c r="G62" s="39">
        <f>'Global analysis (old)'!AC66</f>
        <v>935.65800000000002</v>
      </c>
    </row>
    <row r="63" spans="2:7" x14ac:dyDescent="0.2">
      <c r="B63" s="39" t="s">
        <v>141</v>
      </c>
      <c r="C63" s="40" t="str">
        <f>'Global analysis (old)'!J67</f>
        <v>Y</v>
      </c>
      <c r="D63" s="42">
        <f>'Global analysis (old)'!AQ67</f>
        <v>8.8289999999999988</v>
      </c>
      <c r="E63" s="67">
        <f t="shared" si="2"/>
        <v>6.8700470957613815</v>
      </c>
      <c r="F63" s="42">
        <v>127.4</v>
      </c>
      <c r="G63" s="39">
        <f>'Global analysis (old)'!AC67</f>
        <v>875.24400000000003</v>
      </c>
    </row>
    <row r="64" spans="2:7" x14ac:dyDescent="0.2">
      <c r="B64" s="39" t="s">
        <v>140</v>
      </c>
      <c r="C64" s="40" t="str">
        <f>'Global analysis (old)'!J68</f>
        <v>Y</v>
      </c>
      <c r="D64" s="42">
        <f>'Global analysis (old)'!AQ68</f>
        <v>8</v>
      </c>
      <c r="E64" s="67">
        <f t="shared" si="2"/>
        <v>6.9161485974222892</v>
      </c>
      <c r="F64" s="42">
        <v>131.9</v>
      </c>
      <c r="G64" s="39">
        <f>'Global analysis (old)'!AC68</f>
        <v>912.24</v>
      </c>
    </row>
    <row r="65" spans="2:7" x14ac:dyDescent="0.2">
      <c r="B65" s="39" t="s">
        <v>173</v>
      </c>
      <c r="C65" s="40" t="str">
        <f>'Global analysis (old)'!J69</f>
        <v>Y</v>
      </c>
      <c r="D65" s="42">
        <f>'Global analysis (old)'!AQ69</f>
        <v>7.56</v>
      </c>
      <c r="E65" s="67">
        <f t="shared" si="2"/>
        <v>7.6816258351893092</v>
      </c>
      <c r="F65" s="42">
        <v>134.69999999999999</v>
      </c>
      <c r="G65" s="39">
        <f>'Global analysis (old)'!AC69</f>
        <v>1034.7149999999999</v>
      </c>
    </row>
    <row r="66" spans="2:7" x14ac:dyDescent="0.2">
      <c r="B66" s="39" t="s">
        <v>174</v>
      </c>
      <c r="C66" s="40" t="str">
        <f>'Global analysis (old)'!J70</f>
        <v>Y</v>
      </c>
      <c r="D66" s="42">
        <f>'Global analysis (old)'!AQ70</f>
        <v>9.4819999999999993</v>
      </c>
      <c r="E66" s="67">
        <f t="shared" si="2"/>
        <v>6.4961695137976347</v>
      </c>
      <c r="F66" s="42">
        <v>152.19999999999999</v>
      </c>
      <c r="G66" s="39">
        <f>'Global analysis (old)'!AC70</f>
        <v>988.71699999999998</v>
      </c>
    </row>
    <row r="67" spans="2:7" x14ac:dyDescent="0.2">
      <c r="B67" s="39" t="s">
        <v>175</v>
      </c>
      <c r="C67" s="40" t="str">
        <f>'Global analysis (old)'!J71</f>
        <v>Y</v>
      </c>
      <c r="D67" s="42">
        <f>'Global analysis (old)'!AQ71</f>
        <v>11.160599999999999</v>
      </c>
      <c r="E67" s="67">
        <f t="shared" si="2"/>
        <v>6.1804697510525335</v>
      </c>
      <c r="F67" s="42">
        <v>174.81600000000003</v>
      </c>
      <c r="G67" s="39">
        <f>'Global analysis (old)'!AC71</f>
        <v>1080.4449999999999</v>
      </c>
    </row>
    <row r="68" spans="2:7" x14ac:dyDescent="0.2">
      <c r="B68" s="39" t="s">
        <v>176</v>
      </c>
      <c r="C68" s="40" t="str">
        <f>'Global analysis (old)'!J72</f>
        <v>N</v>
      </c>
      <c r="D68" s="42">
        <f>'Global analysis (old)'!AQ72</f>
        <v>14.59206</v>
      </c>
      <c r="E68" s="67">
        <f t="shared" si="2"/>
        <v>6.1927183027982871</v>
      </c>
      <c r="F68" s="42">
        <v>175.536</v>
      </c>
      <c r="G68" s="39">
        <f>'Global analysis (old)'!AC72</f>
        <v>1087.0450000000001</v>
      </c>
    </row>
    <row r="69" spans="2:7" x14ac:dyDescent="0.2">
      <c r="B69" s="39" t="s">
        <v>177</v>
      </c>
      <c r="C69" s="40" t="str">
        <f>'Global analysis (old)'!J73</f>
        <v>Y</v>
      </c>
      <c r="D69" s="42">
        <f>'Global analysis (old)'!AQ73</f>
        <v>13.265099999999999</v>
      </c>
      <c r="E69" s="67">
        <f t="shared" si="2"/>
        <v>6.1030381276782775</v>
      </c>
      <c r="F69" s="42">
        <v>254.828</v>
      </c>
      <c r="G69" s="39">
        <f>'Global analysis (old)'!AC73</f>
        <v>1555.2250000000001</v>
      </c>
    </row>
    <row r="70" spans="2:7" x14ac:dyDescent="0.2">
      <c r="B70" s="39" t="s">
        <v>178</v>
      </c>
      <c r="C70" s="40" t="str">
        <f>'Global analysis (old)'!J74</f>
        <v>Y</v>
      </c>
      <c r="D70" s="42">
        <f>'Global analysis (old)'!AQ74</f>
        <v>3.15</v>
      </c>
      <c r="E70" s="67">
        <f t="shared" si="2"/>
        <v>13.43437158850719</v>
      </c>
      <c r="F70" s="42">
        <v>43.052999999999997</v>
      </c>
      <c r="G70" s="39">
        <f>'Global analysis (old)'!AC74</f>
        <v>578.39</v>
      </c>
    </row>
    <row r="71" spans="2:7" x14ac:dyDescent="0.2">
      <c r="B71" s="39" t="s">
        <v>179</v>
      </c>
      <c r="C71" s="40" t="str">
        <f>'Global analysis (old)'!J75</f>
        <v>Y</v>
      </c>
      <c r="D71" s="42">
        <f>'Global analysis (old)'!AQ75</f>
        <v>4.68</v>
      </c>
      <c r="E71" s="67">
        <f t="shared" si="2"/>
        <v>10.254280689535088</v>
      </c>
      <c r="F71" s="42">
        <v>57.43</v>
      </c>
      <c r="G71" s="39">
        <f>'Global analysis (old)'!AC75</f>
        <v>588.90334000000007</v>
      </c>
    </row>
    <row r="72" spans="2:7" x14ac:dyDescent="0.2">
      <c r="B72" s="39" t="s">
        <v>263</v>
      </c>
      <c r="C72" s="40" t="str">
        <f>'Global analysis (old)'!J76</f>
        <v>N</v>
      </c>
      <c r="D72" s="42"/>
      <c r="E72" s="67">
        <f t="shared" si="2"/>
        <v>52.3363829787234</v>
      </c>
      <c r="F72" s="42">
        <v>4.7</v>
      </c>
      <c r="G72" s="39">
        <f>'Global analysis (old)'!AC76</f>
        <v>245.98099999999999</v>
      </c>
    </row>
    <row r="73" spans="2:7" x14ac:dyDescent="0.2">
      <c r="B73" s="39" t="s">
        <v>260</v>
      </c>
      <c r="C73" s="40" t="str">
        <f>'Global analysis (old)'!J77</f>
        <v>N</v>
      </c>
      <c r="D73" s="42"/>
      <c r="E73" s="67">
        <f t="shared" si="2"/>
        <v>39.603368421052629</v>
      </c>
      <c r="F73" s="42">
        <v>9.5</v>
      </c>
      <c r="G73" s="39">
        <f>'Global analysis (old)'!AC77</f>
        <v>376.23199999999997</v>
      </c>
    </row>
    <row r="74" spans="2:7" x14ac:dyDescent="0.2">
      <c r="B74" s="39" t="s">
        <v>261</v>
      </c>
      <c r="C74" s="40" t="str">
        <f>'Global analysis (old)'!J78</f>
        <v>N</v>
      </c>
      <c r="D74" s="42"/>
      <c r="E74" s="67">
        <f t="shared" si="2"/>
        <v>50.921885521885521</v>
      </c>
      <c r="F74" s="42">
        <v>5.94</v>
      </c>
      <c r="G74" s="39">
        <f>'Global analysis (old)'!AC78</f>
        <v>302.476</v>
      </c>
    </row>
    <row r="75" spans="2:7" x14ac:dyDescent="0.2">
      <c r="B75" s="39" t="s">
        <v>262</v>
      </c>
      <c r="C75" s="40" t="str">
        <f>'Global analysis (old)'!J79</f>
        <v>N</v>
      </c>
      <c r="D75" s="42"/>
      <c r="E75" s="67">
        <f t="shared" si="2"/>
        <v>42.252834943301139</v>
      </c>
      <c r="F75" s="42">
        <v>9.5239999999999991</v>
      </c>
      <c r="G75" s="39">
        <f>'Global analysis (old)'!AC79</f>
        <v>402.416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M123"/>
  <sheetViews>
    <sheetView topLeftCell="AV1" zoomScale="80" zoomScaleNormal="80" workbookViewId="0">
      <selection activeCell="BF5" sqref="BF5"/>
    </sheetView>
  </sheetViews>
  <sheetFormatPr baseColWidth="10" defaultRowHeight="12.75" x14ac:dyDescent="0.2"/>
  <cols>
    <col min="1" max="1" width="21.5703125" style="39" customWidth="1"/>
    <col min="2" max="2" width="11" style="39" customWidth="1"/>
    <col min="3" max="3" width="10.42578125" style="39" customWidth="1"/>
    <col min="4" max="4" width="9.42578125" style="39" customWidth="1"/>
    <col min="5" max="5" width="9.5703125" style="39" customWidth="1"/>
    <col min="6" max="6" width="8" style="39" customWidth="1"/>
    <col min="7" max="7" width="8.28515625" style="39" customWidth="1"/>
    <col min="8" max="8" width="8" style="39" customWidth="1"/>
    <col min="9" max="10" width="7.85546875" style="39" customWidth="1"/>
    <col min="11" max="11" width="8.85546875" style="39" customWidth="1"/>
    <col min="12" max="12" width="8" style="39" customWidth="1"/>
    <col min="13" max="13" width="9" style="39" customWidth="1"/>
    <col min="14" max="15" width="7.140625" style="39" customWidth="1"/>
    <col min="16" max="16" width="8.28515625" style="39" customWidth="1"/>
    <col min="17" max="17" width="7.85546875" style="39" customWidth="1"/>
    <col min="18" max="18" width="7" style="39" customWidth="1"/>
    <col min="19" max="19" width="8" style="39" customWidth="1"/>
    <col min="20" max="21" width="6.42578125" style="39" customWidth="1"/>
    <col min="22" max="22" width="7.5703125" style="39" customWidth="1"/>
    <col min="23" max="23" width="7.85546875" style="39" customWidth="1"/>
    <col min="24" max="24" width="7.42578125" style="39" customWidth="1"/>
    <col min="25" max="33" width="7.28515625" style="39" customWidth="1"/>
    <col min="34" max="34" width="8.85546875" style="39" customWidth="1"/>
    <col min="35" max="35" width="7.28515625" style="39" customWidth="1"/>
    <col min="36" max="36" width="11.7109375" style="39" bestFit="1" customWidth="1"/>
    <col min="37" max="42" width="11.42578125" style="39"/>
    <col min="43" max="43" width="12.42578125" style="39" bestFit="1" customWidth="1"/>
    <col min="44" max="44" width="12.42578125" style="39" customWidth="1"/>
    <col min="45" max="46" width="11.42578125" style="39"/>
    <col min="47" max="47" width="11.7109375" style="39" customWidth="1"/>
    <col min="48" max="49" width="11.28515625" style="39" customWidth="1"/>
    <col min="50" max="50" width="13" style="39" bestFit="1" customWidth="1"/>
    <col min="51" max="51" width="15" style="39" bestFit="1" customWidth="1"/>
    <col min="52" max="52" width="13" style="39" bestFit="1" customWidth="1"/>
    <col min="53" max="64" width="11.42578125" style="39"/>
    <col min="65" max="65" width="7.7109375" style="39" customWidth="1"/>
    <col min="66" max="16384" width="11.42578125" style="39"/>
  </cols>
  <sheetData>
    <row r="2" spans="1:65" ht="15" x14ac:dyDescent="0.25">
      <c r="E2" s="395" t="s">
        <v>320</v>
      </c>
      <c r="F2" s="396"/>
      <c r="G2" s="396"/>
      <c r="H2" s="396"/>
      <c r="I2" s="396"/>
      <c r="J2" s="396"/>
      <c r="K2" s="396"/>
      <c r="L2" s="396"/>
      <c r="M2" s="396"/>
      <c r="N2" s="396"/>
      <c r="O2" s="397"/>
      <c r="P2" s="410" t="s">
        <v>321</v>
      </c>
      <c r="Q2" s="410"/>
      <c r="R2" s="410"/>
      <c r="S2" s="410"/>
      <c r="T2" s="410"/>
      <c r="U2" s="410"/>
      <c r="V2" s="410"/>
      <c r="W2" s="410"/>
      <c r="X2" s="410"/>
      <c r="Y2" s="410"/>
      <c r="Z2" s="241"/>
      <c r="AA2" s="241"/>
      <c r="AB2" s="241"/>
      <c r="AC2" s="241"/>
      <c r="AD2" s="241"/>
      <c r="AE2" s="241"/>
      <c r="AF2" s="241"/>
      <c r="AG2" s="241"/>
      <c r="BA2" s="299" t="s">
        <v>463</v>
      </c>
      <c r="BB2" s="299"/>
      <c r="BL2" s="275" t="s">
        <v>462</v>
      </c>
      <c r="BM2" s="275"/>
    </row>
    <row r="3" spans="1:65" s="175" customFormat="1" ht="38.25" customHeight="1" x14ac:dyDescent="0.25">
      <c r="A3" s="243" t="s">
        <v>311</v>
      </c>
      <c r="B3" s="407" t="s">
        <v>106</v>
      </c>
      <c r="C3" s="408"/>
      <c r="D3" s="409"/>
      <c r="E3" s="411" t="s">
        <v>296</v>
      </c>
      <c r="F3" s="412"/>
      <c r="G3" s="413"/>
      <c r="H3" s="411" t="s">
        <v>297</v>
      </c>
      <c r="I3" s="412"/>
      <c r="J3" s="413"/>
      <c r="K3" s="414" t="s">
        <v>298</v>
      </c>
      <c r="L3" s="415"/>
      <c r="M3" s="411" t="s">
        <v>370</v>
      </c>
      <c r="N3" s="412"/>
      <c r="O3" s="413"/>
      <c r="P3" s="411" t="s">
        <v>371</v>
      </c>
      <c r="Q3" s="412"/>
      <c r="R3" s="413"/>
      <c r="S3" s="411" t="s">
        <v>372</v>
      </c>
      <c r="T3" s="412"/>
      <c r="U3" s="413"/>
      <c r="V3" s="414" t="s">
        <v>290</v>
      </c>
      <c r="W3" s="415"/>
      <c r="X3" s="411" t="s">
        <v>373</v>
      </c>
      <c r="Y3" s="413"/>
      <c r="Z3" s="232"/>
      <c r="AA3" s="232"/>
      <c r="AB3" s="232"/>
      <c r="AC3" s="232"/>
      <c r="AD3" s="232"/>
      <c r="AE3" s="232"/>
      <c r="AF3" s="232"/>
      <c r="AG3" s="232"/>
      <c r="AJ3" s="234" t="s">
        <v>301</v>
      </c>
      <c r="AK3" s="234" t="s">
        <v>300</v>
      </c>
      <c r="AL3" s="235" t="s">
        <v>362</v>
      </c>
      <c r="AM3" s="234" t="str">
        <f>K3</f>
        <v>Clamping / laminations</v>
      </c>
      <c r="AO3" s="199"/>
      <c r="AP3" s="199" t="s">
        <v>422</v>
      </c>
      <c r="AQ3" s="262" t="s">
        <v>424</v>
      </c>
      <c r="AR3" s="199" t="s">
        <v>423</v>
      </c>
      <c r="AS3" s="175" t="s">
        <v>361</v>
      </c>
      <c r="AT3" s="295"/>
      <c r="AU3" s="295"/>
      <c r="AV3" s="295" t="s">
        <v>300</v>
      </c>
      <c r="AW3" s="295" t="s">
        <v>301</v>
      </c>
      <c r="AX3" s="295" t="s">
        <v>375</v>
      </c>
      <c r="AY3" s="295" t="s">
        <v>376</v>
      </c>
      <c r="AZ3" s="295" t="s">
        <v>421</v>
      </c>
      <c r="BA3" s="295" t="s">
        <v>382</v>
      </c>
      <c r="BC3" s="199" t="s">
        <v>422</v>
      </c>
      <c r="BD3" s="262" t="s">
        <v>424</v>
      </c>
      <c r="BE3" s="199" t="s">
        <v>423</v>
      </c>
      <c r="BF3" s="304" t="s">
        <v>12</v>
      </c>
      <c r="BG3" s="304" t="s">
        <v>404</v>
      </c>
      <c r="BH3" s="304" t="s">
        <v>206</v>
      </c>
      <c r="BI3" s="304" t="s">
        <v>193</v>
      </c>
      <c r="BJ3" s="304" t="s">
        <v>21</v>
      </c>
      <c r="BK3" s="304" t="s">
        <v>427</v>
      </c>
      <c r="BL3" s="304" t="s">
        <v>419</v>
      </c>
    </row>
    <row r="4" spans="1:65" s="175" customFormat="1" x14ac:dyDescent="0.25">
      <c r="A4" s="176"/>
      <c r="B4" s="177" t="s">
        <v>307</v>
      </c>
      <c r="C4" s="177" t="s">
        <v>51</v>
      </c>
      <c r="D4" s="191" t="s">
        <v>98</v>
      </c>
      <c r="E4" s="176" t="s">
        <v>357</v>
      </c>
      <c r="F4" s="176" t="s">
        <v>51</v>
      </c>
      <c r="G4" s="179" t="s">
        <v>98</v>
      </c>
      <c r="H4" s="176" t="s">
        <v>384</v>
      </c>
      <c r="I4" s="176" t="s">
        <v>51</v>
      </c>
      <c r="J4" s="179" t="s">
        <v>98</v>
      </c>
      <c r="K4" s="179" t="s">
        <v>307</v>
      </c>
      <c r="L4" s="179" t="s">
        <v>118</v>
      </c>
      <c r="M4" s="176" t="s">
        <v>385</v>
      </c>
      <c r="N4" s="176" t="s">
        <v>51</v>
      </c>
      <c r="O4" s="179" t="s">
        <v>98</v>
      </c>
      <c r="P4" s="176" t="s">
        <v>307</v>
      </c>
      <c r="Q4" s="176" t="s">
        <v>118</v>
      </c>
      <c r="R4" s="179" t="str">
        <f>O4</f>
        <v>€/kg</v>
      </c>
      <c r="S4" s="176" t="s">
        <v>307</v>
      </c>
      <c r="T4" s="176" t="s">
        <v>118</v>
      </c>
      <c r="U4" s="179" t="str">
        <f>R4</f>
        <v>€/kg</v>
      </c>
      <c r="V4" s="179" t="s">
        <v>307</v>
      </c>
      <c r="W4" s="198" t="s">
        <v>118</v>
      </c>
      <c r="X4" s="189" t="s">
        <v>307</v>
      </c>
      <c r="Y4" s="176" t="s">
        <v>118</v>
      </c>
      <c r="Z4" s="232"/>
      <c r="AA4" s="232"/>
      <c r="AB4" s="232"/>
      <c r="AC4" s="232"/>
      <c r="AD4" s="232"/>
      <c r="AE4" s="232"/>
      <c r="AF4" s="232"/>
      <c r="AG4" s="232"/>
      <c r="AH4" s="260">
        <v>2.4161124248797283</v>
      </c>
      <c r="AJ4" s="234"/>
      <c r="AK4" s="234"/>
      <c r="AL4" s="234"/>
      <c r="AM4" s="234"/>
      <c r="AO4" s="199"/>
      <c r="AQ4" s="264"/>
      <c r="AT4" s="295" t="s">
        <v>357</v>
      </c>
      <c r="AU4" s="295" t="s">
        <v>384</v>
      </c>
      <c r="AV4" s="295" t="s">
        <v>26</v>
      </c>
      <c r="AW4" s="295" t="s">
        <v>26</v>
      </c>
      <c r="AX4" s="295" t="s">
        <v>307</v>
      </c>
      <c r="AY4" s="296" t="s">
        <v>51</v>
      </c>
      <c r="AZ4" s="295"/>
      <c r="BA4" s="297" t="s">
        <v>98</v>
      </c>
      <c r="BC4" s="199"/>
      <c r="BD4" s="264"/>
      <c r="BE4" s="199"/>
      <c r="BF4" s="304"/>
      <c r="BG4" s="304"/>
      <c r="BH4" s="304"/>
      <c r="BI4" s="304"/>
      <c r="BJ4" s="304"/>
      <c r="BK4" s="304"/>
      <c r="BL4" s="304"/>
      <c r="BM4" s="276" t="s">
        <v>451</v>
      </c>
    </row>
    <row r="5" spans="1:65" x14ac:dyDescent="0.2">
      <c r="A5" s="107" t="s">
        <v>20</v>
      </c>
      <c r="B5" s="107">
        <v>38000</v>
      </c>
      <c r="C5" s="187">
        <v>167.75868</v>
      </c>
      <c r="D5" s="190">
        <f>C5*1000/B5</f>
        <v>4.4147021052631574</v>
      </c>
      <c r="E5" s="107">
        <v>112240</v>
      </c>
      <c r="F5" s="187">
        <v>348.94200000000001</v>
      </c>
      <c r="G5" s="196">
        <f>IF(F5*1000/E5=0,"0",F5*1000/E5)</f>
        <v>3.1088916607270134</v>
      </c>
      <c r="H5" s="107">
        <v>5342</v>
      </c>
      <c r="I5" s="187">
        <v>83.168000000000006</v>
      </c>
      <c r="J5" s="196">
        <f>IF(I5*1000/H5=0,"0",I5*1000/H5)</f>
        <v>15.56870086110071</v>
      </c>
      <c r="K5" s="180">
        <f>H5/E5</f>
        <v>4.7594440484675697E-2</v>
      </c>
      <c r="L5" s="180">
        <f>I5/F5</f>
        <v>0.2383433349955007</v>
      </c>
      <c r="M5" s="107">
        <f t="shared" ref="M5:M19" si="0">E5+H5</f>
        <v>117582</v>
      </c>
      <c r="N5" s="187">
        <v>432.11</v>
      </c>
      <c r="O5" s="190">
        <f>N5*1000/M5</f>
        <v>3.674967256893062</v>
      </c>
      <c r="P5" s="107">
        <v>24308</v>
      </c>
      <c r="Q5" s="187">
        <v>687.97799999999995</v>
      </c>
      <c r="R5" s="190">
        <f>Q5*1000/P5</f>
        <v>28.302534145137404</v>
      </c>
      <c r="S5" s="107">
        <v>6000</v>
      </c>
      <c r="T5" s="187">
        <v>183.21799999999999</v>
      </c>
      <c r="U5" s="196">
        <f>IF(T5*1000/S5=0,"0",T5*1000/S5)</f>
        <v>30.536333333333335</v>
      </c>
      <c r="V5" s="180">
        <f>S5/P5</f>
        <v>0.24683231857824584</v>
      </c>
      <c r="W5" s="180">
        <f>T5/Q5</f>
        <v>0.26631374840474548</v>
      </c>
      <c r="X5" s="107">
        <f>P5+S5</f>
        <v>30308</v>
      </c>
      <c r="Y5" s="187">
        <f>Q5+T5</f>
        <v>871.19599999999991</v>
      </c>
      <c r="Z5" s="242"/>
      <c r="AA5" s="242"/>
      <c r="AB5" s="242"/>
      <c r="AC5" s="242"/>
      <c r="AD5" s="242"/>
      <c r="AE5" s="242"/>
      <c r="AF5" s="242"/>
      <c r="AG5" s="242"/>
      <c r="AH5" s="45">
        <v>-0.79063180206211403</v>
      </c>
      <c r="AJ5" s="236">
        <f>Projects!AT5</f>
        <v>3500</v>
      </c>
      <c r="AK5" s="237">
        <f>Projects!AS5</f>
        <v>6193</v>
      </c>
      <c r="AL5" s="238">
        <f>POWER(AJ5,$AH$4)*POWER(AK5,$AH$5)/10</f>
        <v>36717.174409670457</v>
      </c>
      <c r="AM5" s="239">
        <f t="shared" ref="AM5:AM15" si="1">K5</f>
        <v>4.7594440484675697E-2</v>
      </c>
      <c r="AP5" s="200">
        <v>-1</v>
      </c>
      <c r="AQ5" s="260">
        <v>3.0442776858479414E-2</v>
      </c>
      <c r="AR5" s="200">
        <v>1</v>
      </c>
      <c r="AS5" s="200">
        <v>1</v>
      </c>
      <c r="AT5" s="298">
        <v>112240</v>
      </c>
      <c r="AU5" s="299">
        <v>5342</v>
      </c>
      <c r="AV5" s="299">
        <v>6193</v>
      </c>
      <c r="AW5" s="299">
        <v>3500</v>
      </c>
      <c r="AX5" s="300">
        <v>117582</v>
      </c>
      <c r="AY5" s="301">
        <v>432.11</v>
      </c>
      <c r="AZ5" s="302">
        <f t="shared" ref="AZ5:AZ17" si="2">AS5^$AQ$5*AT5^$AQ$6*AU5^$AQ$7*AV5^$AQ$8*AW5^$AQ$9*10000000</f>
        <v>13721211.816220138</v>
      </c>
      <c r="BA5" s="303">
        <f t="shared" ref="BA5:BA16" si="3">AY5*1000/AX5</f>
        <v>3.674967256893062</v>
      </c>
      <c r="BB5" s="230"/>
      <c r="BC5" s="200">
        <v>0.5</v>
      </c>
      <c r="BD5" s="260">
        <v>1.7182061914538309</v>
      </c>
      <c r="BE5" s="200">
        <v>4</v>
      </c>
      <c r="BF5" s="305">
        <v>145</v>
      </c>
      <c r="BG5" s="305">
        <v>32</v>
      </c>
      <c r="BH5" s="305">
        <v>6193</v>
      </c>
      <c r="BI5" s="275">
        <v>3500</v>
      </c>
      <c r="BJ5" s="275">
        <v>10.5</v>
      </c>
      <c r="BK5" s="306">
        <f>BH5^$BD$5*BI5^$BD$6*BG5^$BD$7*BF5^$BD$8*BJ5^$BD$9/1000000</f>
        <v>165.97095997230997</v>
      </c>
      <c r="BL5" s="275">
        <v>2.4550000000000001</v>
      </c>
      <c r="BM5" s="277">
        <v>2.3992665903117238</v>
      </c>
    </row>
    <row r="6" spans="1:65" x14ac:dyDescent="0.2">
      <c r="A6" s="107" t="s">
        <v>101</v>
      </c>
      <c r="B6" s="178"/>
      <c r="C6" s="188"/>
      <c r="D6" s="192"/>
      <c r="E6" s="107">
        <v>82237</v>
      </c>
      <c r="F6" s="187">
        <v>371.30399999999997</v>
      </c>
      <c r="G6" s="196">
        <f t="shared" ref="G6:G19" si="4">IF(F6*1000/E6=0,"0",F6*1000/E6)</f>
        <v>4.5150479711078955</v>
      </c>
      <c r="H6" s="107">
        <v>6720</v>
      </c>
      <c r="I6" s="187">
        <v>85.608999999999995</v>
      </c>
      <c r="J6" s="196">
        <f t="shared" ref="J6:J19" si="5">IF(I6*1000/H6=0,"0",I6*1000/H6)</f>
        <v>12.739434523809523</v>
      </c>
      <c r="K6" s="180">
        <f t="shared" ref="K6:K19" si="6">H6/E6</f>
        <v>8.1715043107117233E-2</v>
      </c>
      <c r="L6" s="180">
        <f t="shared" ref="L6:L16" si="7">I6/F6</f>
        <v>0.23056309654622628</v>
      </c>
      <c r="M6" s="107">
        <f t="shared" si="0"/>
        <v>88957</v>
      </c>
      <c r="N6" s="187">
        <v>456.91199999999998</v>
      </c>
      <c r="O6" s="190">
        <f t="shared" ref="O6:O19" si="8">N6*1000/M6</f>
        <v>5.1363242915116292</v>
      </c>
      <c r="P6" s="107">
        <v>18774</v>
      </c>
      <c r="Q6" s="187">
        <v>649.45152198421647</v>
      </c>
      <c r="R6" s="190">
        <f t="shared" ref="R6:R19" si="9">Q6*1000/P6</f>
        <v>34.593135292650288</v>
      </c>
      <c r="S6" s="107">
        <v>4073</v>
      </c>
      <c r="T6" s="187">
        <v>151.35499999999999</v>
      </c>
      <c r="U6" s="196">
        <f t="shared" ref="U6:U19" si="10">IF(T6*1000/S6=0,"0",T6*1000/S6)</f>
        <v>37.16056960471397</v>
      </c>
      <c r="V6" s="180">
        <f t="shared" ref="V6:V19" si="11">S6/P6</f>
        <v>0.21694897198252902</v>
      </c>
      <c r="W6" s="180">
        <f t="shared" ref="W6:W19" si="12">T6/Q6</f>
        <v>0.23305049703721897</v>
      </c>
      <c r="X6" s="107">
        <f t="shared" ref="X6:X19" si="13">P6+S6</f>
        <v>22847</v>
      </c>
      <c r="Y6" s="187">
        <f t="shared" ref="Y6:Y19" si="14">Q6+T6</f>
        <v>800.80652198421649</v>
      </c>
      <c r="Z6" s="242"/>
      <c r="AA6" s="242"/>
      <c r="AB6" s="242"/>
      <c r="AC6" s="242"/>
      <c r="AD6" s="242"/>
      <c r="AE6" s="242"/>
      <c r="AF6" s="242"/>
      <c r="AG6" s="242"/>
      <c r="AJ6" s="236">
        <f>Projects!AT6</f>
        <v>2170</v>
      </c>
      <c r="AK6" s="237">
        <f>Projects!AS6</f>
        <v>7100</v>
      </c>
      <c r="AL6" s="238">
        <f t="shared" ref="AL6:AL15" si="15">POWER(AJ6,$AH$4)*POWER(AK6,$AH$5)/10</f>
        <v>10383.278184495237</v>
      </c>
      <c r="AM6" s="239">
        <f t="shared" si="1"/>
        <v>8.1715043107117233E-2</v>
      </c>
      <c r="AP6" s="39">
        <v>1</v>
      </c>
      <c r="AQ6" s="261">
        <v>2.7550453811779794</v>
      </c>
      <c r="AR6" s="259">
        <v>3</v>
      </c>
      <c r="AS6" s="201">
        <v>2</v>
      </c>
      <c r="AT6" s="298">
        <v>82237</v>
      </c>
      <c r="AU6" s="299">
        <v>6720</v>
      </c>
      <c r="AV6" s="299">
        <v>7100</v>
      </c>
      <c r="AW6" s="299">
        <v>2170</v>
      </c>
      <c r="AX6" s="300">
        <v>88957</v>
      </c>
      <c r="AY6" s="301">
        <v>456.91199999999998</v>
      </c>
      <c r="AZ6" s="302">
        <f t="shared" si="2"/>
        <v>8593201.2564309165</v>
      </c>
      <c r="BA6" s="303">
        <f t="shared" si="3"/>
        <v>5.1363242915116292</v>
      </c>
      <c r="BB6" s="230"/>
      <c r="BC6" s="39">
        <v>0.5</v>
      </c>
      <c r="BD6" s="261">
        <v>1.6583868196214315</v>
      </c>
      <c r="BE6" s="42">
        <v>2</v>
      </c>
      <c r="BF6" s="307">
        <v>80</v>
      </c>
      <c r="BG6" s="307">
        <v>40</v>
      </c>
      <c r="BH6" s="307">
        <v>7100</v>
      </c>
      <c r="BI6" s="275">
        <v>2170</v>
      </c>
      <c r="BJ6" s="275">
        <v>15</v>
      </c>
      <c r="BK6" s="306">
        <f t="shared" ref="BK6:BK18" si="16">BH6^$BD$5*BI6^$BD$6*BG6^$BD$7*BF6^$BD$8*BJ6^$BD$9/1000000</f>
        <v>196.12425586483485</v>
      </c>
      <c r="BL6" s="275">
        <v>2.0960000000000001</v>
      </c>
      <c r="BM6" s="277">
        <v>2.1935661624739229</v>
      </c>
    </row>
    <row r="7" spans="1:65" x14ac:dyDescent="0.2">
      <c r="A7" s="107" t="s">
        <v>102</v>
      </c>
      <c r="B7" s="178"/>
      <c r="C7" s="188"/>
      <c r="D7" s="192"/>
      <c r="E7" s="107">
        <v>103223</v>
      </c>
      <c r="F7" s="187">
        <v>403.84399999999999</v>
      </c>
      <c r="G7" s="196">
        <f t="shared" si="4"/>
        <v>3.9123451168828653</v>
      </c>
      <c r="H7" s="107">
        <v>7203</v>
      </c>
      <c r="I7" s="187">
        <v>86.275000000000006</v>
      </c>
      <c r="J7" s="196">
        <f t="shared" si="5"/>
        <v>11.977648202137997</v>
      </c>
      <c r="K7" s="180">
        <f t="shared" si="6"/>
        <v>6.9780959669841019E-2</v>
      </c>
      <c r="L7" s="180">
        <f t="shared" si="7"/>
        <v>0.21363447271718783</v>
      </c>
      <c r="M7" s="107">
        <f t="shared" si="0"/>
        <v>110426</v>
      </c>
      <c r="N7" s="187">
        <v>490.11799999999999</v>
      </c>
      <c r="O7" s="190">
        <f t="shared" si="8"/>
        <v>4.4384293554054297</v>
      </c>
      <c r="P7" s="107">
        <v>17788</v>
      </c>
      <c r="Q7" s="187">
        <v>641.69179819616693</v>
      </c>
      <c r="R7" s="190">
        <f t="shared" si="9"/>
        <v>36.074420856541884</v>
      </c>
      <c r="S7" s="107">
        <v>4110</v>
      </c>
      <c r="T7" s="187">
        <v>150.095</v>
      </c>
      <c r="U7" s="196">
        <f t="shared" si="10"/>
        <v>36.519464720194648</v>
      </c>
      <c r="V7" s="180">
        <f t="shared" si="11"/>
        <v>0.23105464357994154</v>
      </c>
      <c r="W7" s="180">
        <f t="shared" si="12"/>
        <v>0.23390512458149815</v>
      </c>
      <c r="X7" s="107">
        <f t="shared" si="13"/>
        <v>21898</v>
      </c>
      <c r="Y7" s="187">
        <f t="shared" si="14"/>
        <v>791.78679819616696</v>
      </c>
      <c r="Z7" s="242"/>
      <c r="AA7" s="242"/>
      <c r="AB7" s="242"/>
      <c r="AC7" s="242"/>
      <c r="AD7" s="242"/>
      <c r="AE7" s="242"/>
      <c r="AF7" s="242"/>
      <c r="AG7" s="242"/>
      <c r="AH7" s="39">
        <v>1.7</v>
      </c>
      <c r="AJ7" s="236">
        <f>Projects!AT7</f>
        <v>1980</v>
      </c>
      <c r="AK7" s="237">
        <f>Projects!AS7</f>
        <v>7495</v>
      </c>
      <c r="AL7" s="238">
        <f t="shared" si="15"/>
        <v>7972.5278455600055</v>
      </c>
      <c r="AM7" s="239">
        <f t="shared" si="1"/>
        <v>6.9780959669841019E-2</v>
      </c>
      <c r="AP7" s="39">
        <v>-2</v>
      </c>
      <c r="AQ7" s="261">
        <v>-1.0560559757557475</v>
      </c>
      <c r="AR7" s="259">
        <v>2</v>
      </c>
      <c r="AS7" s="201">
        <v>2</v>
      </c>
      <c r="AT7" s="298">
        <v>103223</v>
      </c>
      <c r="AU7" s="299">
        <v>7203</v>
      </c>
      <c r="AV7" s="299">
        <v>7495</v>
      </c>
      <c r="AW7" s="299">
        <v>1980</v>
      </c>
      <c r="AX7" s="300">
        <v>110426</v>
      </c>
      <c r="AY7" s="301">
        <v>490.11799999999999</v>
      </c>
      <c r="AZ7" s="302">
        <f t="shared" si="2"/>
        <v>16279501.743370434</v>
      </c>
      <c r="BA7" s="303">
        <f t="shared" si="3"/>
        <v>4.4384293554054297</v>
      </c>
      <c r="BB7" s="231"/>
      <c r="BC7" s="39">
        <v>-2</v>
      </c>
      <c r="BD7" s="261">
        <v>-1.0979658138978592</v>
      </c>
      <c r="BE7" s="42">
        <v>2</v>
      </c>
      <c r="BF7" s="307">
        <v>80</v>
      </c>
      <c r="BG7" s="307">
        <v>40</v>
      </c>
      <c r="BH7" s="307">
        <v>7495</v>
      </c>
      <c r="BI7" s="275">
        <v>1980</v>
      </c>
      <c r="BJ7" s="275">
        <v>15</v>
      </c>
      <c r="BK7" s="306">
        <f t="shared" si="16"/>
        <v>184.90014002113276</v>
      </c>
      <c r="BL7" s="275">
        <v>2.246</v>
      </c>
      <c r="BM7" s="277">
        <v>2.2640974361230239</v>
      </c>
    </row>
    <row r="8" spans="1:65" x14ac:dyDescent="0.2">
      <c r="A8" s="107" t="s">
        <v>61</v>
      </c>
      <c r="B8" s="107">
        <v>9700</v>
      </c>
      <c r="C8" s="187">
        <v>121.669</v>
      </c>
      <c r="D8" s="190">
        <f t="shared" ref="D8:D19" si="17">C8*1000/B8</f>
        <v>12.54319587628866</v>
      </c>
      <c r="E8" s="197" t="s">
        <v>334</v>
      </c>
      <c r="F8" s="187"/>
      <c r="G8" s="196" t="str">
        <f t="shared" si="4"/>
        <v>0</v>
      </c>
      <c r="H8" s="107">
        <v>1410</v>
      </c>
      <c r="I8" s="187"/>
      <c r="J8" s="196" t="str">
        <f t="shared" si="5"/>
        <v>0</v>
      </c>
      <c r="K8" s="180">
        <f t="shared" si="6"/>
        <v>6.1158100195185423E-2</v>
      </c>
      <c r="L8" s="180"/>
      <c r="M8" s="107">
        <f t="shared" si="0"/>
        <v>24465</v>
      </c>
      <c r="N8" s="187">
        <v>138.834</v>
      </c>
      <c r="O8" s="190">
        <f t="shared" si="8"/>
        <v>5.6748007357449417</v>
      </c>
      <c r="P8" s="107">
        <v>4839</v>
      </c>
      <c r="Q8" s="187">
        <v>270.15899999999999</v>
      </c>
      <c r="R8" s="190">
        <f t="shared" si="9"/>
        <v>55.829510229386237</v>
      </c>
      <c r="S8" s="197" t="s">
        <v>319</v>
      </c>
      <c r="T8" s="187">
        <v>0</v>
      </c>
      <c r="U8" s="196" t="str">
        <f t="shared" si="10"/>
        <v>0</v>
      </c>
      <c r="V8" s="180">
        <f t="shared" si="11"/>
        <v>0.36019838809671417</v>
      </c>
      <c r="W8" s="180"/>
      <c r="X8" s="107">
        <f t="shared" si="13"/>
        <v>6582</v>
      </c>
      <c r="Y8" s="187">
        <f t="shared" si="14"/>
        <v>270.15899999999999</v>
      </c>
      <c r="Z8" s="242"/>
      <c r="AA8" s="242"/>
      <c r="AB8" s="242"/>
      <c r="AC8" s="242"/>
      <c r="AD8" s="242"/>
      <c r="AE8" s="242"/>
      <c r="AF8" s="242"/>
      <c r="AG8" s="242"/>
      <c r="AH8" s="39">
        <v>-0.55000000000000004</v>
      </c>
      <c r="AJ8" s="236">
        <f>Projects!AT8</f>
        <v>1750</v>
      </c>
      <c r="AK8" s="237">
        <f>Projects!AS8</f>
        <v>2300</v>
      </c>
      <c r="AL8" s="238">
        <f t="shared" si="15"/>
        <v>15054.127389481635</v>
      </c>
      <c r="AM8" s="239">
        <f t="shared" si="1"/>
        <v>6.1158100195185423E-2</v>
      </c>
      <c r="AP8" s="39">
        <v>-5</v>
      </c>
      <c r="AQ8" s="261">
        <v>-1.1061961428689644</v>
      </c>
      <c r="AR8" s="259">
        <v>-1</v>
      </c>
      <c r="AS8" s="201">
        <v>3</v>
      </c>
      <c r="AT8" s="298">
        <v>23055</v>
      </c>
      <c r="AU8" s="299">
        <v>1410</v>
      </c>
      <c r="AV8" s="299">
        <v>2300</v>
      </c>
      <c r="AW8" s="299">
        <v>1750</v>
      </c>
      <c r="AX8" s="300">
        <v>24465</v>
      </c>
      <c r="AY8" s="301">
        <v>138.834</v>
      </c>
      <c r="AZ8" s="302">
        <f t="shared" si="2"/>
        <v>6673828.7506309664</v>
      </c>
      <c r="BA8" s="303">
        <f t="shared" si="3"/>
        <v>5.6748007357449417</v>
      </c>
      <c r="BB8" s="231"/>
      <c r="BC8" s="39">
        <v>-2</v>
      </c>
      <c r="BD8" s="261">
        <v>-1.3708084458925658</v>
      </c>
      <c r="BE8" s="42">
        <v>2</v>
      </c>
      <c r="BF8" s="308">
        <v>68</v>
      </c>
      <c r="BG8" s="308">
        <v>56</v>
      </c>
      <c r="BH8" s="308">
        <v>8474</v>
      </c>
      <c r="BI8" s="309">
        <v>1425</v>
      </c>
      <c r="BJ8" s="309">
        <v>10.5</v>
      </c>
      <c r="BK8" s="310">
        <f t="shared" si="16"/>
        <v>97.902712222476325</v>
      </c>
      <c r="BL8" s="309">
        <v>3.117</v>
      </c>
      <c r="BM8" s="277">
        <v>3.1855773085849415</v>
      </c>
    </row>
    <row r="9" spans="1:65" x14ac:dyDescent="0.2">
      <c r="A9" s="107" t="s">
        <v>74</v>
      </c>
      <c r="B9" s="178"/>
      <c r="C9" s="188"/>
      <c r="D9" s="192"/>
      <c r="E9" s="107">
        <v>57222</v>
      </c>
      <c r="F9" s="187">
        <v>208.93</v>
      </c>
      <c r="G9" s="196">
        <f t="shared" si="4"/>
        <v>3.6512180629827689</v>
      </c>
      <c r="H9" s="107">
        <v>4754</v>
      </c>
      <c r="I9" s="187">
        <f>80.507*0.94</f>
        <v>75.676580000000001</v>
      </c>
      <c r="J9" s="196">
        <f t="shared" si="5"/>
        <v>15.91850652082457</v>
      </c>
      <c r="K9" s="180">
        <f t="shared" si="6"/>
        <v>8.3079934291006949E-2</v>
      </c>
      <c r="L9" s="180">
        <f t="shared" si="7"/>
        <v>0.36221021394725506</v>
      </c>
      <c r="M9" s="107">
        <f t="shared" si="0"/>
        <v>61976</v>
      </c>
      <c r="N9" s="187">
        <v>284.60599999999999</v>
      </c>
      <c r="O9" s="190">
        <f t="shared" si="8"/>
        <v>4.5921969794759265</v>
      </c>
      <c r="P9" s="107">
        <v>13131</v>
      </c>
      <c r="Q9" s="187">
        <v>391.32600000000002</v>
      </c>
      <c r="R9" s="190">
        <f t="shared" si="9"/>
        <v>29.801690655700252</v>
      </c>
      <c r="S9" s="107">
        <v>4615</v>
      </c>
      <c r="T9" s="187">
        <v>126.054</v>
      </c>
      <c r="U9" s="196">
        <f t="shared" si="10"/>
        <v>27.31397616468039</v>
      </c>
      <c r="V9" s="180">
        <f t="shared" si="11"/>
        <v>0.35145838093062221</v>
      </c>
      <c r="W9" s="180">
        <f t="shared" si="12"/>
        <v>0.32212017601692705</v>
      </c>
      <c r="X9" s="107">
        <f t="shared" si="13"/>
        <v>17746</v>
      </c>
      <c r="Y9" s="187">
        <f t="shared" si="14"/>
        <v>517.38</v>
      </c>
      <c r="Z9" s="242"/>
      <c r="AA9" s="242"/>
      <c r="AB9" s="242"/>
      <c r="AC9" s="242"/>
      <c r="AD9" s="242"/>
      <c r="AE9" s="242"/>
      <c r="AF9" s="242"/>
      <c r="AG9" s="242"/>
      <c r="AJ9" s="236">
        <f>Projects!AT9</f>
        <v>1425</v>
      </c>
      <c r="AK9" s="237">
        <f>Projects!AS9</f>
        <v>8474</v>
      </c>
      <c r="AL9" s="238">
        <f t="shared" si="15"/>
        <v>3268.1322453229009</v>
      </c>
      <c r="AM9" s="239">
        <f t="shared" si="1"/>
        <v>8.3079934291006949E-2</v>
      </c>
      <c r="AP9" s="39">
        <v>-3</v>
      </c>
      <c r="AQ9" s="45">
        <v>-1.5927299163412254</v>
      </c>
      <c r="AR9" s="39">
        <v>1</v>
      </c>
      <c r="AS9" s="201">
        <v>1</v>
      </c>
      <c r="AT9" s="298">
        <v>57222</v>
      </c>
      <c r="AU9" s="299">
        <v>4754</v>
      </c>
      <c r="AV9" s="299">
        <v>8474</v>
      </c>
      <c r="AW9" s="299">
        <v>1425</v>
      </c>
      <c r="AX9" s="300">
        <v>61976</v>
      </c>
      <c r="AY9" s="301">
        <v>284.60599999999999</v>
      </c>
      <c r="AZ9" s="302">
        <f t="shared" si="2"/>
        <v>7173153.9923605025</v>
      </c>
      <c r="BA9" s="303">
        <f t="shared" si="3"/>
        <v>4.5921969794759265</v>
      </c>
      <c r="BB9" s="231"/>
      <c r="BC9" s="39">
        <v>-2</v>
      </c>
      <c r="BD9" s="45">
        <v>0.4335662289426529</v>
      </c>
      <c r="BE9" s="39">
        <v>2</v>
      </c>
      <c r="BF9" s="307">
        <v>38</v>
      </c>
      <c r="BG9" s="307">
        <v>76</v>
      </c>
      <c r="BH9" s="307">
        <v>9290</v>
      </c>
      <c r="BI9" s="275">
        <v>1050</v>
      </c>
      <c r="BJ9" s="275">
        <v>10.5</v>
      </c>
      <c r="BK9" s="306">
        <f t="shared" si="16"/>
        <v>109.71680457631288</v>
      </c>
      <c r="BL9" s="275">
        <v>3.109</v>
      </c>
      <c r="BM9" s="277">
        <v>2.996559366097614</v>
      </c>
    </row>
    <row r="10" spans="1:65" x14ac:dyDescent="0.2">
      <c r="A10" s="107" t="s">
        <v>86</v>
      </c>
      <c r="B10" s="178"/>
      <c r="C10" s="188"/>
      <c r="D10" s="192"/>
      <c r="E10" s="107">
        <v>49656</v>
      </c>
      <c r="F10" s="187">
        <v>208.02199999999999</v>
      </c>
      <c r="G10" s="196">
        <f t="shared" si="4"/>
        <v>4.1892621234090539</v>
      </c>
      <c r="H10" s="107">
        <v>4893</v>
      </c>
      <c r="I10" s="187">
        <v>132.964</v>
      </c>
      <c r="J10" s="196">
        <f t="shared" si="5"/>
        <v>27.1743306764766</v>
      </c>
      <c r="K10" s="180">
        <f t="shared" si="6"/>
        <v>9.8537941034316096E-2</v>
      </c>
      <c r="L10" s="180">
        <f t="shared" si="7"/>
        <v>0.63918239416984746</v>
      </c>
      <c r="M10" s="107">
        <f t="shared" si="0"/>
        <v>54549</v>
      </c>
      <c r="N10" s="187">
        <v>340.98599999999999</v>
      </c>
      <c r="O10" s="190">
        <f t="shared" si="8"/>
        <v>6.2510036847604908</v>
      </c>
      <c r="P10" s="107">
        <v>7827</v>
      </c>
      <c r="Q10" s="187">
        <v>246.52099999999999</v>
      </c>
      <c r="R10" s="190">
        <f t="shared" si="9"/>
        <v>31.496230995272775</v>
      </c>
      <c r="S10" s="107">
        <v>3616</v>
      </c>
      <c r="T10" s="187">
        <v>142.61000000000001</v>
      </c>
      <c r="U10" s="196">
        <f t="shared" si="10"/>
        <v>39.438606194690266</v>
      </c>
      <c r="V10" s="180">
        <f t="shared" si="11"/>
        <v>0.46199054554746388</v>
      </c>
      <c r="W10" s="180">
        <f t="shared" si="12"/>
        <v>0.57849027060574965</v>
      </c>
      <c r="X10" s="107">
        <f t="shared" si="13"/>
        <v>11443</v>
      </c>
      <c r="Y10" s="187">
        <f t="shared" si="14"/>
        <v>389.13099999999997</v>
      </c>
      <c r="Z10" s="242"/>
      <c r="AA10" s="242"/>
      <c r="AB10" s="242"/>
      <c r="AC10" s="242"/>
      <c r="AD10" s="242"/>
      <c r="AE10" s="242"/>
      <c r="AF10" s="242"/>
      <c r="AG10" s="242"/>
      <c r="AJ10" s="236">
        <f>Projects!AT10</f>
        <v>1050</v>
      </c>
      <c r="AK10" s="237">
        <f>Projects!AS10</f>
        <v>9290</v>
      </c>
      <c r="AL10" s="238">
        <f t="shared" si="15"/>
        <v>1453.0935961823554</v>
      </c>
      <c r="AM10" s="239">
        <f t="shared" si="1"/>
        <v>9.8537941034316096E-2</v>
      </c>
      <c r="AS10" s="201">
        <v>1</v>
      </c>
      <c r="AT10" s="298">
        <v>49656</v>
      </c>
      <c r="AU10" s="299">
        <v>4893</v>
      </c>
      <c r="AV10" s="299">
        <v>9290</v>
      </c>
      <c r="AW10" s="299">
        <v>1050</v>
      </c>
      <c r="AX10" s="300">
        <v>54549</v>
      </c>
      <c r="AY10" s="301">
        <v>340.98599999999999</v>
      </c>
      <c r="AZ10" s="302">
        <f t="shared" si="2"/>
        <v>6916319.0583123332</v>
      </c>
      <c r="BA10" s="303">
        <f t="shared" si="3"/>
        <v>6.2510036847604908</v>
      </c>
      <c r="BB10" s="231"/>
      <c r="BC10" s="231"/>
      <c r="BD10" s="231"/>
      <c r="BF10" s="307">
        <v>39</v>
      </c>
      <c r="BG10" s="307">
        <v>72</v>
      </c>
      <c r="BH10" s="307">
        <v>9600</v>
      </c>
      <c r="BI10" s="275">
        <v>920</v>
      </c>
      <c r="BJ10" s="275">
        <v>10.3</v>
      </c>
      <c r="BK10" s="306">
        <f t="shared" si="16"/>
        <v>94.682428011382854</v>
      </c>
      <c r="BL10" s="275">
        <v>3.1230000000000002</v>
      </c>
      <c r="BM10" s="277">
        <v>3.2433431189715223</v>
      </c>
    </row>
    <row r="11" spans="1:65" x14ac:dyDescent="0.2">
      <c r="A11" s="107" t="s">
        <v>77</v>
      </c>
      <c r="B11" s="107">
        <v>16500</v>
      </c>
      <c r="C11" s="187">
        <v>88.444000000000003</v>
      </c>
      <c r="D11" s="190">
        <f t="shared" si="17"/>
        <v>5.3602424242424238</v>
      </c>
      <c r="E11" s="107">
        <v>45224</v>
      </c>
      <c r="F11" s="187">
        <v>203.28</v>
      </c>
      <c r="G11" s="196">
        <f t="shared" si="4"/>
        <v>4.4949584291526623</v>
      </c>
      <c r="H11" s="107">
        <v>5524</v>
      </c>
      <c r="I11" s="187">
        <v>76.11</v>
      </c>
      <c r="J11" s="196">
        <f t="shared" si="5"/>
        <v>13.778059377262853</v>
      </c>
      <c r="K11" s="180">
        <f t="shared" si="6"/>
        <v>0.12214753228374314</v>
      </c>
      <c r="L11" s="180">
        <f t="shared" si="7"/>
        <v>0.37440968122786306</v>
      </c>
      <c r="M11" s="107">
        <f t="shared" si="0"/>
        <v>50748</v>
      </c>
      <c r="N11" s="187">
        <v>279.39100000000002</v>
      </c>
      <c r="O11" s="190">
        <f t="shared" si="8"/>
        <v>5.5054583431859383</v>
      </c>
      <c r="P11" s="107">
        <v>10118</v>
      </c>
      <c r="Q11" s="187">
        <v>492.041</v>
      </c>
      <c r="R11" s="190">
        <f t="shared" si="9"/>
        <v>48.630262897805892</v>
      </c>
      <c r="S11" s="107">
        <v>4124</v>
      </c>
      <c r="T11" s="187">
        <v>134.94900000000001</v>
      </c>
      <c r="U11" s="196">
        <f t="shared" si="10"/>
        <v>32.722841901066928</v>
      </c>
      <c r="V11" s="180">
        <f t="shared" si="11"/>
        <v>0.40759043289187585</v>
      </c>
      <c r="W11" s="180">
        <f t="shared" si="12"/>
        <v>0.27426373005501575</v>
      </c>
      <c r="X11" s="107">
        <f t="shared" si="13"/>
        <v>14242</v>
      </c>
      <c r="Y11" s="187">
        <f t="shared" si="14"/>
        <v>626.99</v>
      </c>
      <c r="Z11" s="242"/>
      <c r="AA11" s="242"/>
      <c r="AB11" s="242"/>
      <c r="AC11" s="242"/>
      <c r="AD11" s="242"/>
      <c r="AE11" s="242"/>
      <c r="AF11" s="242"/>
      <c r="AG11" s="242"/>
      <c r="AJ11" s="236">
        <f>Projects!AT11</f>
        <v>920</v>
      </c>
      <c r="AK11" s="237">
        <f>Projects!AS11</f>
        <v>9600</v>
      </c>
      <c r="AL11" s="238">
        <f t="shared" si="15"/>
        <v>1028.8079536075354</v>
      </c>
      <c r="AM11" s="239">
        <f t="shared" si="1"/>
        <v>0.12214753228374314</v>
      </c>
      <c r="AS11" s="201">
        <v>1</v>
      </c>
      <c r="AT11" s="298">
        <v>45224</v>
      </c>
      <c r="AU11" s="299">
        <v>5524</v>
      </c>
      <c r="AV11" s="299">
        <v>9600</v>
      </c>
      <c r="AW11" s="299">
        <v>920</v>
      </c>
      <c r="AX11" s="300">
        <v>50748</v>
      </c>
      <c r="AY11" s="301">
        <v>279.39100000000002</v>
      </c>
      <c r="AZ11" s="302">
        <f t="shared" si="2"/>
        <v>5598050.5808160575</v>
      </c>
      <c r="BA11" s="303">
        <f t="shared" si="3"/>
        <v>5.5054583431859383</v>
      </c>
      <c r="BB11" s="231"/>
      <c r="BC11" s="231"/>
      <c r="BD11" s="231"/>
      <c r="BF11" s="307">
        <v>107</v>
      </c>
      <c r="BG11" s="307">
        <v>14</v>
      </c>
      <c r="BH11" s="307">
        <v>3508</v>
      </c>
      <c r="BI11" s="275">
        <v>2240</v>
      </c>
      <c r="BJ11" s="275">
        <v>10.3</v>
      </c>
      <c r="BK11" s="306">
        <f t="shared" si="16"/>
        <v>111.1672021956888</v>
      </c>
      <c r="BL11" s="275">
        <v>2.9420000000000002</v>
      </c>
      <c r="BM11" s="277">
        <v>2.9753690992547757</v>
      </c>
    </row>
    <row r="12" spans="1:65" x14ac:dyDescent="0.2">
      <c r="A12" s="107" t="s">
        <v>78</v>
      </c>
      <c r="B12" s="178"/>
      <c r="C12" s="188"/>
      <c r="D12" s="192"/>
      <c r="E12" s="107">
        <v>73431</v>
      </c>
      <c r="F12" s="187">
        <v>206.494</v>
      </c>
      <c r="G12" s="196">
        <f t="shared" si="4"/>
        <v>2.8120820906701529</v>
      </c>
      <c r="H12" s="107">
        <v>4156</v>
      </c>
      <c r="I12" s="187">
        <v>38.652000000000001</v>
      </c>
      <c r="J12" s="196">
        <f t="shared" si="5"/>
        <v>9.3002887391722808</v>
      </c>
      <c r="K12" s="180">
        <f t="shared" si="6"/>
        <v>5.6597349893096921E-2</v>
      </c>
      <c r="L12" s="180">
        <f t="shared" si="7"/>
        <v>0.1871821941557624</v>
      </c>
      <c r="M12" s="107">
        <f t="shared" si="0"/>
        <v>77587</v>
      </c>
      <c r="N12" s="187">
        <v>245.14599999999999</v>
      </c>
      <c r="O12" s="190">
        <f t="shared" si="8"/>
        <v>3.1596272571435935</v>
      </c>
      <c r="P12" s="107">
        <v>11126</v>
      </c>
      <c r="Q12" s="187">
        <v>313.11419999999998</v>
      </c>
      <c r="R12" s="190">
        <f t="shared" si="9"/>
        <v>28.142566960273228</v>
      </c>
      <c r="S12" s="107">
        <v>3039</v>
      </c>
      <c r="T12" s="187">
        <v>76.855999999999995</v>
      </c>
      <c r="U12" s="196">
        <f t="shared" si="10"/>
        <v>25.289897992760778</v>
      </c>
      <c r="V12" s="180">
        <f t="shared" si="11"/>
        <v>0.27314398705734316</v>
      </c>
      <c r="W12" s="180">
        <f t="shared" si="12"/>
        <v>0.24545676944705797</v>
      </c>
      <c r="X12" s="107">
        <f t="shared" si="13"/>
        <v>14165</v>
      </c>
      <c r="Y12" s="187">
        <f t="shared" si="14"/>
        <v>389.97019999999998</v>
      </c>
      <c r="Z12" s="242"/>
      <c r="AA12" s="242"/>
      <c r="AB12" s="242"/>
      <c r="AC12" s="242"/>
      <c r="AD12" s="242"/>
      <c r="AE12" s="242"/>
      <c r="AF12" s="242"/>
      <c r="AG12" s="242"/>
      <c r="AJ12" s="236">
        <f>Projects!AT12</f>
        <v>2240</v>
      </c>
      <c r="AK12" s="237">
        <f>Projects!AS12</f>
        <v>3508</v>
      </c>
      <c r="AL12" s="238">
        <f t="shared" si="15"/>
        <v>19576.678816635795</v>
      </c>
      <c r="AM12" s="239">
        <f t="shared" si="1"/>
        <v>5.6597349893096921E-2</v>
      </c>
      <c r="AS12" s="201">
        <v>4</v>
      </c>
      <c r="AT12" s="298">
        <v>73431</v>
      </c>
      <c r="AU12" s="299">
        <v>4156</v>
      </c>
      <c r="AV12" s="299">
        <v>3508</v>
      </c>
      <c r="AW12" s="299">
        <v>2240</v>
      </c>
      <c r="AX12" s="300">
        <v>77587</v>
      </c>
      <c r="AY12" s="301">
        <v>245.14599999999999</v>
      </c>
      <c r="AZ12" s="302">
        <f t="shared" si="2"/>
        <v>22128483.376536041</v>
      </c>
      <c r="BA12" s="303">
        <f t="shared" si="3"/>
        <v>3.1596272571435935</v>
      </c>
      <c r="BB12" s="231"/>
      <c r="BC12" s="231"/>
      <c r="BD12" s="274">
        <v>2.0677597330321777</v>
      </c>
      <c r="BF12" s="307">
        <v>25</v>
      </c>
      <c r="BG12" s="307">
        <v>40</v>
      </c>
      <c r="BH12" s="307">
        <v>5200</v>
      </c>
      <c r="BI12" s="275">
        <v>890</v>
      </c>
      <c r="BJ12" s="275">
        <v>5.65</v>
      </c>
      <c r="BK12" s="306">
        <f t="shared" si="16"/>
        <v>84.496204631421946</v>
      </c>
      <c r="BL12" s="275">
        <v>3.379</v>
      </c>
      <c r="BM12" s="277">
        <v>3.4477352826415024</v>
      </c>
    </row>
    <row r="13" spans="1:65" x14ac:dyDescent="0.2">
      <c r="A13" s="107" t="s">
        <v>79</v>
      </c>
      <c r="B13" s="107">
        <v>13694</v>
      </c>
      <c r="C13" s="187">
        <v>102.003</v>
      </c>
      <c r="D13" s="190">
        <f t="shared" si="17"/>
        <v>7.448736672995472</v>
      </c>
      <c r="E13" s="107">
        <v>25066</v>
      </c>
      <c r="F13" s="187">
        <v>147.364</v>
      </c>
      <c r="G13" s="196">
        <f t="shared" si="4"/>
        <v>5.879039336152557</v>
      </c>
      <c r="H13" s="107">
        <v>3327</v>
      </c>
      <c r="I13" s="187">
        <v>59.654000000000003</v>
      </c>
      <c r="J13" s="196">
        <f t="shared" si="5"/>
        <v>17.930267508265704</v>
      </c>
      <c r="K13" s="180">
        <f t="shared" si="6"/>
        <v>0.13272959387217745</v>
      </c>
      <c r="L13" s="180">
        <f t="shared" si="7"/>
        <v>0.40480714421432645</v>
      </c>
      <c r="M13" s="107">
        <f t="shared" si="0"/>
        <v>28393</v>
      </c>
      <c r="N13" s="187">
        <v>207.018</v>
      </c>
      <c r="O13" s="190">
        <f t="shared" si="8"/>
        <v>7.29116331490156</v>
      </c>
      <c r="P13" s="107">
        <v>5105</v>
      </c>
      <c r="Q13" s="187">
        <v>416.30900000000003</v>
      </c>
      <c r="R13" s="190">
        <f t="shared" si="9"/>
        <v>81.549265426052884</v>
      </c>
      <c r="S13" s="107">
        <v>2058</v>
      </c>
      <c r="T13" s="187">
        <v>112.068</v>
      </c>
      <c r="U13" s="196">
        <f t="shared" si="10"/>
        <v>54.454810495626823</v>
      </c>
      <c r="V13" s="180">
        <f t="shared" si="11"/>
        <v>0.40313418217433888</v>
      </c>
      <c r="W13" s="180">
        <f t="shared" si="12"/>
        <v>0.26919427636683324</v>
      </c>
      <c r="X13" s="107">
        <f t="shared" si="13"/>
        <v>7163</v>
      </c>
      <c r="Y13" s="187">
        <f t="shared" si="14"/>
        <v>528.37700000000007</v>
      </c>
      <c r="Z13" s="242"/>
      <c r="AA13" s="242"/>
      <c r="AB13" s="242"/>
      <c r="AC13" s="242"/>
      <c r="AD13" s="242"/>
      <c r="AE13" s="242"/>
      <c r="AF13" s="242"/>
      <c r="AG13" s="242"/>
      <c r="AJ13" s="236">
        <f>Projects!AT13</f>
        <v>890</v>
      </c>
      <c r="AK13" s="237">
        <f>Projects!AS13</f>
        <v>5200</v>
      </c>
      <c r="AL13" s="238">
        <f t="shared" si="15"/>
        <v>1541.9398084741679</v>
      </c>
      <c r="AM13" s="239">
        <f t="shared" si="1"/>
        <v>0.13272959387217745</v>
      </c>
      <c r="AQ13" s="39">
        <v>4.4088283868067075E-2</v>
      </c>
      <c r="AS13" s="201">
        <v>1</v>
      </c>
      <c r="AT13" s="298">
        <v>25066</v>
      </c>
      <c r="AU13" s="299">
        <v>3327</v>
      </c>
      <c r="AV13" s="299">
        <v>5200</v>
      </c>
      <c r="AW13" s="299">
        <v>890</v>
      </c>
      <c r="AX13" s="300">
        <v>28393</v>
      </c>
      <c r="AY13" s="301">
        <v>207.018</v>
      </c>
      <c r="AZ13" s="302">
        <f t="shared" si="2"/>
        <v>3908262.5987525503</v>
      </c>
      <c r="BA13" s="303">
        <f t="shared" si="3"/>
        <v>7.29116331490156</v>
      </c>
      <c r="BB13" s="231"/>
      <c r="BC13" s="231"/>
      <c r="BD13" s="274">
        <v>1.9296552860489622</v>
      </c>
      <c r="BF13" s="307">
        <v>55</v>
      </c>
      <c r="BG13" s="307">
        <v>40</v>
      </c>
      <c r="BH13" s="307">
        <v>5952</v>
      </c>
      <c r="BI13" s="275">
        <v>1530</v>
      </c>
      <c r="BJ13" s="275">
        <v>5.65</v>
      </c>
      <c r="BK13" s="306">
        <f t="shared" si="16"/>
        <v>88.807844891151788</v>
      </c>
      <c r="BL13" s="275">
        <v>3.3540000000000001</v>
      </c>
      <c r="BM13" s="277">
        <v>3.3567894567222489</v>
      </c>
    </row>
    <row r="14" spans="1:65" x14ac:dyDescent="0.2">
      <c r="A14" s="107" t="s">
        <v>81</v>
      </c>
      <c r="B14" s="107">
        <v>27796</v>
      </c>
      <c r="C14" s="187">
        <v>125.96</v>
      </c>
      <c r="D14" s="190">
        <f t="shared" si="17"/>
        <v>4.5315872787451434</v>
      </c>
      <c r="E14" s="107">
        <v>49628</v>
      </c>
      <c r="F14" s="187">
        <v>193</v>
      </c>
      <c r="G14" s="196">
        <f t="shared" si="4"/>
        <v>3.8889336664786009</v>
      </c>
      <c r="H14" s="107">
        <v>3634</v>
      </c>
      <c r="I14" s="187">
        <v>50.048999999999999</v>
      </c>
      <c r="J14" s="196">
        <f t="shared" si="5"/>
        <v>13.77242707760044</v>
      </c>
      <c r="K14" s="180">
        <f t="shared" si="6"/>
        <v>7.3224792455871685E-2</v>
      </c>
      <c r="L14" s="180">
        <f t="shared" si="7"/>
        <v>0.25932124352331604</v>
      </c>
      <c r="M14" s="107">
        <f t="shared" si="0"/>
        <v>53262</v>
      </c>
      <c r="N14" s="187">
        <v>243.04900000000001</v>
      </c>
      <c r="O14" s="190">
        <f t="shared" si="8"/>
        <v>4.5632721264691529</v>
      </c>
      <c r="P14" s="107">
        <v>11647</v>
      </c>
      <c r="Q14" s="187">
        <v>447.59999999999997</v>
      </c>
      <c r="R14" s="190">
        <f t="shared" si="9"/>
        <v>38.430497123722844</v>
      </c>
      <c r="S14" s="107">
        <v>4269</v>
      </c>
      <c r="T14" s="187">
        <v>140.304</v>
      </c>
      <c r="U14" s="196">
        <f t="shared" si="10"/>
        <v>32.865776528460998</v>
      </c>
      <c r="V14" s="180">
        <f t="shared" si="11"/>
        <v>0.366532154202799</v>
      </c>
      <c r="W14" s="180">
        <f t="shared" si="12"/>
        <v>0.31345844504021453</v>
      </c>
      <c r="X14" s="107">
        <f t="shared" si="13"/>
        <v>15916</v>
      </c>
      <c r="Y14" s="187">
        <f t="shared" si="14"/>
        <v>587.904</v>
      </c>
      <c r="Z14" s="242"/>
      <c r="AA14" s="242"/>
      <c r="AB14" s="242"/>
      <c r="AC14" s="242"/>
      <c r="AD14" s="242"/>
      <c r="AE14" s="242"/>
      <c r="AF14" s="242"/>
      <c r="AG14" s="242"/>
      <c r="AJ14" s="236">
        <f>Projects!AT14</f>
        <v>1530</v>
      </c>
      <c r="AK14" s="237">
        <f>Projects!AS14</f>
        <v>5952</v>
      </c>
      <c r="AL14" s="238">
        <f t="shared" si="15"/>
        <v>5131.0232998843103</v>
      </c>
      <c r="AM14" s="239">
        <f t="shared" si="1"/>
        <v>7.3224792455871685E-2</v>
      </c>
      <c r="AQ14" s="39">
        <v>3.9903755014114513</v>
      </c>
      <c r="AS14" s="201">
        <v>1</v>
      </c>
      <c r="AT14" s="298">
        <v>49628</v>
      </c>
      <c r="AU14" s="299">
        <v>3634</v>
      </c>
      <c r="AV14" s="299">
        <v>5952</v>
      </c>
      <c r="AW14" s="299">
        <v>1530</v>
      </c>
      <c r="AX14" s="300">
        <v>53262</v>
      </c>
      <c r="AY14" s="301">
        <v>243.04900000000001</v>
      </c>
      <c r="AZ14" s="302">
        <f t="shared" si="2"/>
        <v>8493832.7107174527</v>
      </c>
      <c r="BA14" s="303">
        <f t="shared" si="3"/>
        <v>4.5632721264691529</v>
      </c>
      <c r="BB14" s="231"/>
      <c r="BC14" s="231"/>
      <c r="BD14" s="274">
        <v>-1.0555624032365263</v>
      </c>
      <c r="BF14" s="307">
        <v>42</v>
      </c>
      <c r="BG14" s="307">
        <v>16</v>
      </c>
      <c r="BH14" s="307">
        <v>3638</v>
      </c>
      <c r="BI14" s="275">
        <v>1250</v>
      </c>
      <c r="BJ14" s="275">
        <v>10.3</v>
      </c>
      <c r="BK14" s="306">
        <f t="shared" si="16"/>
        <v>139.97699899450933</v>
      </c>
      <c r="BL14" s="275">
        <v>2.7210000000000001</v>
      </c>
      <c r="BM14" s="277">
        <v>2.6290729640944002</v>
      </c>
    </row>
    <row r="15" spans="1:65" x14ac:dyDescent="0.2">
      <c r="A15" s="107" t="s">
        <v>82</v>
      </c>
      <c r="B15" s="107">
        <v>16750</v>
      </c>
      <c r="C15" s="187">
        <v>101.943</v>
      </c>
      <c r="D15" s="190">
        <f t="shared" si="17"/>
        <v>6.0861492537313433</v>
      </c>
      <c r="E15" s="107">
        <v>43324</v>
      </c>
      <c r="F15" s="187">
        <v>133.91499999999999</v>
      </c>
      <c r="G15" s="196">
        <f t="shared" si="4"/>
        <v>3.0910119102575941</v>
      </c>
      <c r="H15" s="107">
        <v>3315</v>
      </c>
      <c r="I15" s="187">
        <v>36.473999999999997</v>
      </c>
      <c r="J15" s="196">
        <f t="shared" si="5"/>
        <v>11.002714932126697</v>
      </c>
      <c r="K15" s="180">
        <f t="shared" si="6"/>
        <v>7.6516480472717197E-2</v>
      </c>
      <c r="L15" s="180">
        <f t="shared" si="7"/>
        <v>0.27236679983571666</v>
      </c>
      <c r="M15" s="107">
        <f t="shared" si="0"/>
        <v>46639</v>
      </c>
      <c r="N15" s="187">
        <v>170.38900000000001</v>
      </c>
      <c r="O15" s="190">
        <f t="shared" si="8"/>
        <v>3.6533587769892151</v>
      </c>
      <c r="P15" s="107">
        <v>5558</v>
      </c>
      <c r="Q15" s="187">
        <v>154.39000000000001</v>
      </c>
      <c r="R15" s="190">
        <f t="shared" si="9"/>
        <v>27.777977689816485</v>
      </c>
      <c r="S15" s="107">
        <v>1744</v>
      </c>
      <c r="T15" s="187">
        <v>65.820999999999998</v>
      </c>
      <c r="U15" s="196">
        <f t="shared" si="10"/>
        <v>37.741399082568805</v>
      </c>
      <c r="V15" s="180">
        <f t="shared" si="11"/>
        <v>0.31378193594818282</v>
      </c>
      <c r="W15" s="180">
        <f t="shared" si="12"/>
        <v>0.4263294254809249</v>
      </c>
      <c r="X15" s="107">
        <f t="shared" si="13"/>
        <v>7302</v>
      </c>
      <c r="Y15" s="187">
        <f t="shared" si="14"/>
        <v>220.21100000000001</v>
      </c>
      <c r="Z15" s="242"/>
      <c r="AA15" s="242"/>
      <c r="AB15" s="242"/>
      <c r="AC15" s="242"/>
      <c r="AD15" s="242"/>
      <c r="AE15" s="242"/>
      <c r="AF15" s="242"/>
      <c r="AG15" s="242"/>
      <c r="AJ15" s="236">
        <f>Projects!AT15</f>
        <v>1250</v>
      </c>
      <c r="AK15" s="237">
        <f>Projects!AS15</f>
        <v>3638</v>
      </c>
      <c r="AL15" s="238">
        <f t="shared" si="15"/>
        <v>4646.7731573241144</v>
      </c>
      <c r="AM15" s="239">
        <f t="shared" si="1"/>
        <v>7.6516480472717197E-2</v>
      </c>
      <c r="AQ15" s="39">
        <v>-1.5295680807732761</v>
      </c>
      <c r="AS15" s="201">
        <v>1</v>
      </c>
      <c r="AT15" s="298">
        <v>43324</v>
      </c>
      <c r="AU15" s="299">
        <v>3315</v>
      </c>
      <c r="AV15" s="299">
        <v>3638</v>
      </c>
      <c r="AW15" s="299">
        <v>1250</v>
      </c>
      <c r="AX15" s="300">
        <v>46639</v>
      </c>
      <c r="AY15" s="301">
        <v>170.38900000000001</v>
      </c>
      <c r="AZ15" s="302">
        <f t="shared" si="2"/>
        <v>15311441.916246345</v>
      </c>
      <c r="BA15" s="303">
        <f t="shared" si="3"/>
        <v>3.6533587769892151</v>
      </c>
      <c r="BB15" s="231"/>
      <c r="BC15" s="231"/>
      <c r="BD15" s="274">
        <v>-1.2244862935673175</v>
      </c>
      <c r="BF15" s="307">
        <v>11</v>
      </c>
      <c r="BG15" s="307">
        <v>64</v>
      </c>
      <c r="BH15" s="307">
        <v>3853</v>
      </c>
      <c r="BI15" s="275">
        <v>935</v>
      </c>
      <c r="BJ15" s="275">
        <v>3.5</v>
      </c>
      <c r="BK15" s="306">
        <f t="shared" si="16"/>
        <v>81.86771225106267</v>
      </c>
      <c r="BL15" s="275">
        <v>3.5249999999999999</v>
      </c>
      <c r="BM15" s="277">
        <v>3.5067854522826232</v>
      </c>
    </row>
    <row r="16" spans="1:65" x14ac:dyDescent="0.2">
      <c r="A16" s="178" t="s">
        <v>62</v>
      </c>
      <c r="B16" s="178"/>
      <c r="C16" s="188"/>
      <c r="D16" s="192"/>
      <c r="E16" s="208" t="s">
        <v>338</v>
      </c>
      <c r="F16" s="188">
        <v>95.272999999999996</v>
      </c>
      <c r="G16" s="209">
        <f t="shared" si="4"/>
        <v>8.3135253054101224</v>
      </c>
      <c r="H16" s="178">
        <v>2015</v>
      </c>
      <c r="I16" s="188">
        <v>40.627000000000002</v>
      </c>
      <c r="J16" s="209">
        <f t="shared" si="5"/>
        <v>20.162282878411911</v>
      </c>
      <c r="K16" s="210">
        <f t="shared" si="6"/>
        <v>0.17582897033158812</v>
      </c>
      <c r="L16" s="210">
        <f t="shared" si="7"/>
        <v>0.42642721442591297</v>
      </c>
      <c r="M16" s="178">
        <f t="shared" si="0"/>
        <v>13475</v>
      </c>
      <c r="N16" s="188">
        <v>135.9</v>
      </c>
      <c r="O16" s="192">
        <f t="shared" si="8"/>
        <v>10.085343228200371</v>
      </c>
      <c r="P16" s="107">
        <v>3400</v>
      </c>
      <c r="Q16" s="187">
        <v>227.4</v>
      </c>
      <c r="R16" s="190">
        <f t="shared" si="9"/>
        <v>66.882352941176464</v>
      </c>
      <c r="S16" s="107">
        <v>1400</v>
      </c>
      <c r="T16" s="187">
        <v>64.108999999999995</v>
      </c>
      <c r="U16" s="196">
        <f t="shared" si="10"/>
        <v>45.792142857142849</v>
      </c>
      <c r="V16" s="180">
        <f t="shared" si="11"/>
        <v>0.41176470588235292</v>
      </c>
      <c r="W16" s="180">
        <f t="shared" si="12"/>
        <v>0.28192172383465258</v>
      </c>
      <c r="X16" s="107">
        <f t="shared" si="13"/>
        <v>4800</v>
      </c>
      <c r="Y16" s="187">
        <f t="shared" si="14"/>
        <v>291.50900000000001</v>
      </c>
      <c r="Z16" s="242"/>
      <c r="AA16" s="242"/>
      <c r="AB16" s="242"/>
      <c r="AC16" s="242"/>
      <c r="AD16" s="242"/>
      <c r="AE16" s="242"/>
      <c r="AF16" s="242"/>
      <c r="AG16" s="242"/>
      <c r="AJ16" s="236">
        <f>Projects!AT18</f>
        <v>700</v>
      </c>
      <c r="AK16" s="237">
        <f>Projects!AS18</f>
        <v>6310</v>
      </c>
      <c r="AL16" s="238">
        <f>POWER(AJ16,$AH$4)*POWER(AK16,$AH$5)/10</f>
        <v>740.71760061029477</v>
      </c>
      <c r="AM16" s="239">
        <f>K18</f>
        <v>0.14501072650315996</v>
      </c>
      <c r="AQ16" s="39">
        <v>-1.6022132684153945</v>
      </c>
      <c r="AS16" s="201">
        <v>2</v>
      </c>
      <c r="AT16" s="298" t="s">
        <v>336</v>
      </c>
      <c r="AU16" s="299">
        <v>2501</v>
      </c>
      <c r="AV16" s="299">
        <v>6310</v>
      </c>
      <c r="AW16" s="299">
        <v>700</v>
      </c>
      <c r="AX16" s="300">
        <v>19748</v>
      </c>
      <c r="AY16" s="301">
        <v>119.60899999999999</v>
      </c>
      <c r="AZ16" s="302">
        <f t="shared" si="2"/>
        <v>2279572.8163604629</v>
      </c>
      <c r="BA16" s="303">
        <f t="shared" si="3"/>
        <v>6.0567652420498277</v>
      </c>
      <c r="BB16" s="231"/>
      <c r="BC16" s="231"/>
      <c r="BD16" s="274">
        <v>0.76003004271759267</v>
      </c>
      <c r="BF16" s="307">
        <v>19</v>
      </c>
      <c r="BG16" s="307">
        <v>80</v>
      </c>
      <c r="BH16" s="307">
        <v>5070</v>
      </c>
      <c r="BI16" s="275">
        <v>1190</v>
      </c>
      <c r="BJ16" s="275">
        <v>3</v>
      </c>
      <c r="BK16" s="306">
        <f t="shared" si="16"/>
        <v>67.736669498004133</v>
      </c>
      <c r="BL16" s="275">
        <v>3.8610000000000002</v>
      </c>
      <c r="BM16" s="277">
        <v>3.8823866337378261</v>
      </c>
    </row>
    <row r="17" spans="1:65" x14ac:dyDescent="0.2">
      <c r="A17" s="178" t="s">
        <v>63</v>
      </c>
      <c r="B17" s="107">
        <v>56400</v>
      </c>
      <c r="C17" s="187">
        <v>402.55</v>
      </c>
      <c r="D17" s="190">
        <f t="shared" si="17"/>
        <v>7.1374113475177303</v>
      </c>
      <c r="E17" s="208" t="s">
        <v>335</v>
      </c>
      <c r="F17" s="188"/>
      <c r="G17" s="209" t="str">
        <f t="shared" si="4"/>
        <v>0</v>
      </c>
      <c r="H17" s="178">
        <v>1540</v>
      </c>
      <c r="I17" s="188"/>
      <c r="J17" s="209" t="str">
        <f t="shared" si="5"/>
        <v>0</v>
      </c>
      <c r="K17" s="210">
        <f t="shared" si="6"/>
        <v>6.6666666666666666E-2</v>
      </c>
      <c r="L17" s="210"/>
      <c r="M17" s="178">
        <f t="shared" si="0"/>
        <v>24640</v>
      </c>
      <c r="N17" s="188">
        <v>228.346</v>
      </c>
      <c r="O17" s="192">
        <f t="shared" si="8"/>
        <v>9.267288961038961</v>
      </c>
      <c r="P17" s="107">
        <v>5351</v>
      </c>
      <c r="Q17" s="187">
        <v>221.364</v>
      </c>
      <c r="R17" s="190">
        <f t="shared" si="9"/>
        <v>41.368716127826573</v>
      </c>
      <c r="S17" s="107">
        <v>1670</v>
      </c>
      <c r="T17" s="187">
        <v>86.409000000000006</v>
      </c>
      <c r="U17" s="196">
        <f t="shared" si="10"/>
        <v>51.74191616766467</v>
      </c>
      <c r="V17" s="180">
        <f t="shared" si="11"/>
        <v>0.31209119790693329</v>
      </c>
      <c r="W17" s="180">
        <f t="shared" si="12"/>
        <v>0.3903480240689543</v>
      </c>
      <c r="X17" s="107">
        <f t="shared" si="13"/>
        <v>7021</v>
      </c>
      <c r="Y17" s="187">
        <f t="shared" si="14"/>
        <v>307.77300000000002</v>
      </c>
      <c r="Z17" s="242"/>
      <c r="AA17" s="242"/>
      <c r="AB17" s="242"/>
      <c r="AC17" s="242"/>
      <c r="AD17" s="242"/>
      <c r="AE17" s="242"/>
      <c r="AF17" s="242"/>
      <c r="AG17" s="242"/>
      <c r="AJ17" s="236">
        <f>Projects!AT19</f>
        <v>1110</v>
      </c>
      <c r="AK17" s="237">
        <f>Projects!AS19</f>
        <v>10300</v>
      </c>
      <c r="AL17" s="238">
        <f>POWER(AJ17,$AH$4)*POWER(AK17,$AH$5)/10</f>
        <v>1531.6726603398633</v>
      </c>
      <c r="AM17" s="239">
        <f>K19</f>
        <v>0.13161970491536015</v>
      </c>
      <c r="AQ17" s="39">
        <v>-2.3068879891852401</v>
      </c>
      <c r="AS17" s="201">
        <v>1</v>
      </c>
      <c r="AT17" s="298" t="s">
        <v>337</v>
      </c>
      <c r="AU17" s="299">
        <v>9688</v>
      </c>
      <c r="AV17" s="299">
        <v>10300</v>
      </c>
      <c r="AW17" s="299">
        <v>1110</v>
      </c>
      <c r="AX17" s="300">
        <v>83294</v>
      </c>
      <c r="AY17" s="301">
        <v>358.92</v>
      </c>
      <c r="AZ17" s="302">
        <f t="shared" si="2"/>
        <v>8119295.2235604245</v>
      </c>
      <c r="BA17" s="303">
        <f>AY17*1000/AX17</f>
        <v>4.309073882872716</v>
      </c>
      <c r="BB17" s="231"/>
      <c r="BC17" s="231"/>
      <c r="BD17" s="231"/>
      <c r="BF17" s="307">
        <v>14.4</v>
      </c>
      <c r="BG17" s="307">
        <v>56</v>
      </c>
      <c r="BH17" s="307">
        <v>6310</v>
      </c>
      <c r="BI17" s="275">
        <v>700</v>
      </c>
      <c r="BJ17" s="275">
        <v>5.7</v>
      </c>
      <c r="BK17" s="306">
        <f t="shared" si="16"/>
        <v>116.91900104395532</v>
      </c>
      <c r="BL17" s="275">
        <v>2.8530000000000002</v>
      </c>
      <c r="BM17" s="277">
        <v>2.8959827662639057</v>
      </c>
    </row>
    <row r="18" spans="1:65" x14ac:dyDescent="0.2">
      <c r="A18" s="107" t="s">
        <v>80</v>
      </c>
      <c r="B18" s="107">
        <v>12340</v>
      </c>
      <c r="C18" s="187">
        <v>49.535499999999999</v>
      </c>
      <c r="D18" s="190">
        <f t="shared" si="17"/>
        <v>4.0142220421393837</v>
      </c>
      <c r="E18" s="197" t="s">
        <v>336</v>
      </c>
      <c r="F18" s="187"/>
      <c r="G18" s="196" t="str">
        <f t="shared" si="4"/>
        <v>0</v>
      </c>
      <c r="H18" s="107">
        <v>2501</v>
      </c>
      <c r="I18" s="187"/>
      <c r="J18" s="196" t="str">
        <f t="shared" si="5"/>
        <v>0</v>
      </c>
      <c r="K18" s="180">
        <f t="shared" si="6"/>
        <v>0.14501072650315996</v>
      </c>
      <c r="L18" s="180"/>
      <c r="M18" s="107">
        <f t="shared" si="0"/>
        <v>19748</v>
      </c>
      <c r="N18" s="187">
        <v>119.60899999999999</v>
      </c>
      <c r="O18" s="190">
        <f t="shared" si="8"/>
        <v>6.0567652420498277</v>
      </c>
      <c r="P18" s="107">
        <v>4723</v>
      </c>
      <c r="Q18" s="187">
        <v>192</v>
      </c>
      <c r="R18" s="190">
        <f t="shared" si="9"/>
        <v>40.652127884818974</v>
      </c>
      <c r="S18" s="107">
        <v>2587</v>
      </c>
      <c r="T18" s="187">
        <v>36.548999999999999</v>
      </c>
      <c r="U18" s="196">
        <f t="shared" si="10"/>
        <v>14.127947429454967</v>
      </c>
      <c r="V18" s="180">
        <f t="shared" si="11"/>
        <v>0.54774507728138899</v>
      </c>
      <c r="W18" s="180">
        <f t="shared" si="12"/>
        <v>0.190359375</v>
      </c>
      <c r="X18" s="107">
        <f t="shared" si="13"/>
        <v>7310</v>
      </c>
      <c r="Y18" s="187">
        <f t="shared" si="14"/>
        <v>228.54900000000001</v>
      </c>
      <c r="Z18" s="242"/>
      <c r="AA18" s="242"/>
      <c r="AB18" s="242"/>
      <c r="AC18" s="242"/>
      <c r="AD18" s="242"/>
      <c r="AE18" s="242"/>
      <c r="AF18" s="242"/>
      <c r="AG18" s="242"/>
      <c r="BA18" s="247">
        <f>MAX(BA5:BA15,BA16:BA17)</f>
        <v>7.29116331490156</v>
      </c>
      <c r="BB18" s="248" t="s">
        <v>309</v>
      </c>
      <c r="BC18" s="248"/>
      <c r="BD18" s="248"/>
      <c r="BF18" s="307">
        <v>45</v>
      </c>
      <c r="BG18" s="307">
        <v>80</v>
      </c>
      <c r="BH18" s="307">
        <v>10300</v>
      </c>
      <c r="BI18" s="275">
        <v>1110</v>
      </c>
      <c r="BJ18" s="275">
        <v>10.3</v>
      </c>
      <c r="BK18" s="306">
        <f t="shared" si="16"/>
        <v>106.80014617841002</v>
      </c>
      <c r="BL18" s="275">
        <v>3.2</v>
      </c>
      <c r="BM18" s="277">
        <v>3.040230818656493</v>
      </c>
    </row>
    <row r="19" spans="1:65" x14ac:dyDescent="0.2">
      <c r="A19" s="107" t="s">
        <v>76</v>
      </c>
      <c r="B19" s="107">
        <v>24636</v>
      </c>
      <c r="C19" s="187">
        <v>141.46</v>
      </c>
      <c r="D19" s="190">
        <f t="shared" si="17"/>
        <v>5.7420035720084428</v>
      </c>
      <c r="E19" s="197" t="s">
        <v>337</v>
      </c>
      <c r="F19" s="187"/>
      <c r="G19" s="196" t="str">
        <f t="shared" si="4"/>
        <v>0</v>
      </c>
      <c r="H19" s="107">
        <v>9688</v>
      </c>
      <c r="I19" s="187"/>
      <c r="J19" s="196" t="str">
        <f t="shared" si="5"/>
        <v>0</v>
      </c>
      <c r="K19" s="180">
        <f t="shared" si="6"/>
        <v>0.13161970491536015</v>
      </c>
      <c r="L19" s="180"/>
      <c r="M19" s="107">
        <f t="shared" si="0"/>
        <v>83294</v>
      </c>
      <c r="N19" s="187">
        <v>358.92</v>
      </c>
      <c r="O19" s="190">
        <f t="shared" si="8"/>
        <v>4.309073882872716</v>
      </c>
      <c r="P19" s="107">
        <v>10043</v>
      </c>
      <c r="Q19" s="187">
        <v>578.57000000000005</v>
      </c>
      <c r="R19" s="190">
        <f t="shared" si="9"/>
        <v>57.609280095588964</v>
      </c>
      <c r="S19" s="107">
        <v>4652</v>
      </c>
      <c r="T19" s="187">
        <v>134.11799999999999</v>
      </c>
      <c r="U19" s="196">
        <f t="shared" si="10"/>
        <v>28.830180567497852</v>
      </c>
      <c r="V19" s="180">
        <f t="shared" si="11"/>
        <v>0.46320820471970525</v>
      </c>
      <c r="W19" s="180">
        <f t="shared" si="12"/>
        <v>0.23180946125792901</v>
      </c>
      <c r="X19" s="107">
        <f t="shared" si="13"/>
        <v>14695</v>
      </c>
      <c r="Y19" s="187">
        <f t="shared" si="14"/>
        <v>712.6880000000001</v>
      </c>
      <c r="Z19" s="242"/>
      <c r="AA19" s="242"/>
      <c r="AB19" s="242"/>
      <c r="AC19" s="242"/>
      <c r="AD19" s="242"/>
      <c r="AE19" s="242"/>
      <c r="AF19" s="242"/>
      <c r="AG19" s="242"/>
      <c r="AI19" s="201" t="s">
        <v>420</v>
      </c>
      <c r="AJ19" s="291">
        <f>RSQ(LN(AM5:AM17),LN(AL5:AL17))</f>
        <v>0.90433147022243765</v>
      </c>
      <c r="AQ19" s="263"/>
      <c r="BA19" s="247">
        <f>MIN(BA5:BA15,BA16:BA17)</f>
        <v>3.1596272571435935</v>
      </c>
      <c r="BB19" s="248" t="s">
        <v>308</v>
      </c>
      <c r="BC19" s="248"/>
      <c r="BD19" s="248"/>
    </row>
    <row r="20" spans="1:65" x14ac:dyDescent="0.2">
      <c r="A20" s="194" t="s">
        <v>308</v>
      </c>
      <c r="D20" s="195">
        <f>MAX(D5:D19)</f>
        <v>12.54319587628866</v>
      </c>
      <c r="G20" s="195">
        <f>MAX(G5:G15)</f>
        <v>5.879039336152557</v>
      </c>
      <c r="J20" s="195">
        <f>MAX(J5:J15)</f>
        <v>27.1743306764766</v>
      </c>
      <c r="O20" s="195">
        <f>MAX(O5:O15,O18:O19)</f>
        <v>7.29116331490156</v>
      </c>
      <c r="R20" s="195">
        <f>MAX(R5:R19)</f>
        <v>81.549265426052884</v>
      </c>
      <c r="U20" s="195">
        <f>MAX(U5:U19)</f>
        <v>54.454810495626823</v>
      </c>
      <c r="W20" s="195"/>
      <c r="AW20" s="40" t="s">
        <v>425</v>
      </c>
      <c r="AX20" s="40" t="s">
        <v>426</v>
      </c>
      <c r="BA20" s="247">
        <f>(AX5*BA5+AX6*BA6+AX7*BA7+AX8*BA8+AX9*BA9+AX10*BA10+AX11*BA11+AX12*BA12+AX13*BA13+AX14*BA14+AX15*BA15+AX16*BA16+AX17*BA17)/SUM(AX5:AX15,AX16:AX17)</f>
        <v>4.6073485921435964</v>
      </c>
      <c r="BB20" s="248" t="s">
        <v>358</v>
      </c>
      <c r="BC20" s="248"/>
      <c r="BD20" s="248"/>
      <c r="BF20" s="39" t="s">
        <v>446</v>
      </c>
    </row>
    <row r="21" spans="1:65" x14ac:dyDescent="0.2">
      <c r="A21" s="194" t="s">
        <v>309</v>
      </c>
      <c r="D21" s="195">
        <f>MIN(D5:D19)</f>
        <v>4.0142220421393837</v>
      </c>
      <c r="G21" s="195">
        <f>MIN(G5:G15)</f>
        <v>2.8120820906701529</v>
      </c>
      <c r="J21" s="195">
        <f>MIN(J5:J15)</f>
        <v>9.3002887391722808</v>
      </c>
      <c r="O21" s="195">
        <f>MIN(O5:O15,O18:O19)</f>
        <v>3.1596272571435935</v>
      </c>
      <c r="R21" s="195">
        <f>MIN(R5:R19)</f>
        <v>27.777977689816485</v>
      </c>
      <c r="U21" s="195">
        <f>MIN(U5:U19)</f>
        <v>14.127947429454967</v>
      </c>
      <c r="W21" s="195"/>
      <c r="AT21" s="201" t="s">
        <v>420</v>
      </c>
      <c r="AU21" s="45">
        <f>RSQ(LN(BA5:BA17),LN(AZ5:AZ17))</f>
        <v>0.72302450991402456</v>
      </c>
      <c r="AW21" s="39">
        <v>0.72302</v>
      </c>
      <c r="AX21" s="39">
        <v>0.80549999999999999</v>
      </c>
    </row>
    <row r="22" spans="1:65" x14ac:dyDescent="0.2">
      <c r="A22" s="194" t="s">
        <v>310</v>
      </c>
      <c r="D22" s="195">
        <f>(B5*D5+B8*D8+B11*D11+B13*D13+B14*D14+B15*D15+B17*D17+B18*D18+B19*D19)/SUM(B5:B19)</f>
        <v>6.0297808318196982</v>
      </c>
      <c r="G22" s="195">
        <f>(E5*G5+E6*G6+E7*G7+E8*G8+E9*G9+E10*G10+E11*G11+E12*G12+E13*G13+E14*G14+E15*G15)/SUM(E5:E15)</f>
        <v>3.7818186638305438</v>
      </c>
      <c r="J22" s="195">
        <f>(H5*J5+H6*J6+H7*J7+H8*J8+H9*J9+H10*J10+H11*J11+H12*J12+H13*J13+H14*J14+H15*J15)/SUM(H5:H15)</f>
        <v>14.41249811050559</v>
      </c>
      <c r="O22" s="195">
        <f>(M5*O5+M6*O6+M7*O7+M8*O8+M9*O9+M10*O10+M11*O11+M12*O12+M13*O13+M14*O14+M15*O15+M18*O18+M19*O19)/SUM(M5:M15,M18:M19)</f>
        <v>4.6073485921435964</v>
      </c>
      <c r="R22" s="195">
        <f>(P5*R5+P6*R6+P7*R7+P8*R8+P9*R9+P10*R10+P11*R11+P12*R12+P13*R13+P14*R14+P15*R15+P16*R16+P17*R17+P18*R18+P19*R19)/SUM(P5:P19)</f>
        <v>38.571566692557361</v>
      </c>
      <c r="U22" s="195">
        <f>(S5*U5+S6*U6+S7*U7+S8*U8+S9*U9+S10*U10+S11*U11+S12*U12+S13*U13+S14*U14+S15*U15+S16*U16+S17*U17+S18*U18+S19*U19)/SUM(S5:S19)</f>
        <v>33.457368058886082</v>
      </c>
      <c r="W22" s="195"/>
      <c r="BF22" s="201" t="s">
        <v>420</v>
      </c>
      <c r="BG22" s="45">
        <f>RSQ(LN(BL5:BL18),LN(BK5:BK18))</f>
        <v>0.97281405737487958</v>
      </c>
      <c r="BH22" s="39" t="s">
        <v>452</v>
      </c>
      <c r="BI22" s="39">
        <v>0.73709999999999998</v>
      </c>
      <c r="BJ22" s="39" t="s">
        <v>447</v>
      </c>
    </row>
    <row r="23" spans="1:65" x14ac:dyDescent="0.2">
      <c r="A23" s="194"/>
      <c r="D23" s="195"/>
      <c r="G23" s="195"/>
      <c r="J23" s="195"/>
      <c r="O23" s="195"/>
      <c r="R23" s="195"/>
      <c r="U23" s="195"/>
      <c r="W23" s="195"/>
      <c r="AY23" s="247"/>
      <c r="AZ23" s="248"/>
    </row>
    <row r="24" spans="1:65" x14ac:dyDescent="0.2">
      <c r="A24" s="211" t="s">
        <v>348</v>
      </c>
      <c r="D24" s="195"/>
      <c r="G24" s="195"/>
      <c r="J24" s="195"/>
      <c r="O24" s="195"/>
      <c r="R24" s="195"/>
      <c r="U24" s="195"/>
      <c r="W24" s="195"/>
      <c r="AY24" s="247"/>
      <c r="AZ24" s="248"/>
    </row>
    <row r="25" spans="1:65" x14ac:dyDescent="0.2">
      <c r="D25" s="195"/>
      <c r="G25" s="195"/>
      <c r="J25" s="195"/>
      <c r="O25" s="195"/>
      <c r="R25" s="195"/>
      <c r="U25" s="195"/>
      <c r="W25" s="195"/>
    </row>
    <row r="26" spans="1:65" ht="15" customHeight="1" x14ac:dyDescent="0.2">
      <c r="A26" s="251" t="str">
        <f>E2</f>
        <v>MAGNETIC CORE</v>
      </c>
      <c r="B26" s="407" t="s">
        <v>350</v>
      </c>
      <c r="C26" s="408"/>
      <c r="D26" s="408"/>
      <c r="E26" s="408"/>
      <c r="F26" s="408"/>
      <c r="G26" s="408"/>
      <c r="H26" s="408"/>
      <c r="I26" s="408"/>
      <c r="J26" s="408"/>
      <c r="K26" s="408"/>
      <c r="L26" s="409"/>
      <c r="M26" s="407" t="s">
        <v>461</v>
      </c>
      <c r="N26" s="408"/>
      <c r="O26" s="408"/>
      <c r="P26" s="408"/>
      <c r="Q26" s="408"/>
      <c r="R26" s="408"/>
      <c r="S26" s="408"/>
      <c r="T26" s="408"/>
      <c r="U26" s="408"/>
      <c r="V26" s="408"/>
      <c r="W26" s="408"/>
      <c r="X26" s="408"/>
      <c r="Y26" s="408"/>
      <c r="Z26" s="408"/>
      <c r="AA26" s="408"/>
      <c r="AB26" s="408"/>
      <c r="AC26" s="408"/>
      <c r="AD26" s="408"/>
      <c r="AE26" s="409"/>
    </row>
    <row r="27" spans="1:65" x14ac:dyDescent="0.2">
      <c r="A27" s="194"/>
      <c r="B27" s="214" t="s">
        <v>361</v>
      </c>
      <c r="C27" s="249" t="s">
        <v>264</v>
      </c>
      <c r="D27" s="267" t="s">
        <v>12</v>
      </c>
      <c r="E27" s="267" t="s">
        <v>404</v>
      </c>
      <c r="F27" s="214" t="s">
        <v>340</v>
      </c>
      <c r="G27" s="214" t="s">
        <v>206</v>
      </c>
      <c r="H27" s="253" t="s">
        <v>193</v>
      </c>
      <c r="I27" s="214" t="s">
        <v>341</v>
      </c>
      <c r="J27" s="214" t="s">
        <v>212</v>
      </c>
      <c r="K27" s="215" t="s">
        <v>21</v>
      </c>
      <c r="L27" s="267" t="s">
        <v>353</v>
      </c>
      <c r="M27" s="214" t="s">
        <v>190</v>
      </c>
      <c r="N27" s="214" t="s">
        <v>349</v>
      </c>
      <c r="O27" s="214" t="s">
        <v>345</v>
      </c>
      <c r="P27" s="267" t="s">
        <v>450</v>
      </c>
      <c r="Q27" s="214" t="s">
        <v>419</v>
      </c>
      <c r="R27" s="215" t="s">
        <v>343</v>
      </c>
      <c r="S27" s="214" t="s">
        <v>344</v>
      </c>
      <c r="T27" s="214" t="s">
        <v>346</v>
      </c>
      <c r="U27" s="273" t="s">
        <v>450</v>
      </c>
      <c r="V27" s="245" t="s">
        <v>353</v>
      </c>
      <c r="W27" s="214" t="s">
        <v>347</v>
      </c>
      <c r="X27" s="246" t="s">
        <v>356</v>
      </c>
      <c r="Y27" s="278" t="s">
        <v>342</v>
      </c>
      <c r="Z27" s="279" t="s">
        <v>360</v>
      </c>
      <c r="AA27" s="215" t="s">
        <v>368</v>
      </c>
      <c r="AB27" s="214" t="s">
        <v>369</v>
      </c>
      <c r="AC27" s="214" t="s">
        <v>381</v>
      </c>
      <c r="AD27" s="214" t="s">
        <v>382</v>
      </c>
      <c r="AE27" s="214" t="s">
        <v>383</v>
      </c>
    </row>
    <row r="28" spans="1:65" x14ac:dyDescent="0.2">
      <c r="A28" s="107" t="s">
        <v>20</v>
      </c>
      <c r="B28" s="40">
        <v>1</v>
      </c>
      <c r="C28" s="40" t="s">
        <v>128</v>
      </c>
      <c r="D28" s="39">
        <v>145</v>
      </c>
      <c r="E28" s="39">
        <v>32</v>
      </c>
      <c r="F28" s="39">
        <v>6800</v>
      </c>
      <c r="G28" s="39">
        <v>6193</v>
      </c>
      <c r="H28" s="71">
        <v>3500</v>
      </c>
      <c r="I28" s="39">
        <v>384</v>
      </c>
      <c r="J28" s="39">
        <v>145</v>
      </c>
      <c r="K28" s="67">
        <v>10.5</v>
      </c>
      <c r="L28" s="39">
        <f>65*8</f>
        <v>520</v>
      </c>
      <c r="M28" s="222">
        <f t="shared" ref="M28:M42" si="18">J28*1000/K28/3^(1/2)</f>
        <v>7972.9322888091183</v>
      </c>
      <c r="N28" s="39">
        <f t="shared" ref="N28:N42" si="19">IF(J28&gt;60,IF(2*M28&gt;12000,4,IF(2*M28&gt;6000,2,1)),IF(2*M28&gt;10000,4,IF(2*M28&gt;5000,2,1)))</f>
        <v>4</v>
      </c>
      <c r="O28" s="43">
        <f>2*M28/N28</f>
        <v>3986.4661444045591</v>
      </c>
      <c r="P28" s="42">
        <f>G28^1.7182*H28^1.6584*E28^-1.098*D28^-1.3708*K28^0.43357/1000000</f>
        <v>165.96862314775447</v>
      </c>
      <c r="Q28" s="67">
        <f>37.345*P28^-0.537</f>
        <v>2.3992665903117238</v>
      </c>
      <c r="R28" s="43">
        <f t="shared" ref="R28:R42" si="20">O28/Q28</f>
        <v>1661.5353043725829</v>
      </c>
      <c r="S28" s="43">
        <f t="shared" ref="S28:S42" si="21">8.5*(R28/8)^(1/2)*K28/2.6*1.1</f>
        <v>544.17345798829433</v>
      </c>
      <c r="T28" s="43">
        <f>R28+S28</f>
        <v>2205.7087623608772</v>
      </c>
      <c r="U28" s="39">
        <f>G28^2*H28^1.304*E28^-1.2957*D28^0.14827*K28^0.53029/1000000000</f>
        <v>130.92921681221165</v>
      </c>
      <c r="V28" s="244">
        <f>3.3404*U28+83.899</f>
        <v>521.25495583951169</v>
      </c>
      <c r="W28" s="39">
        <f>0.92*(PI()/4*(F28^2-G28^2)-I28*T28)*(H28-V28)*0.0000076</f>
        <v>111369.18602528749</v>
      </c>
      <c r="X28" s="216">
        <f t="shared" ref="X28:X42" si="22">(W28-E5)/E5</f>
        <v>-7.7584994183224308E-3</v>
      </c>
      <c r="Y28" s="280">
        <f>W28*3.8/1000</f>
        <v>423.20290689609249</v>
      </c>
      <c r="Z28" s="281">
        <f>(Y28-F5)/F5</f>
        <v>0.21281733610769835</v>
      </c>
      <c r="AA28" s="42">
        <f t="shared" ref="AA28:AA38" si="23">POWER(H28,1.7)*POWER(G28,-0.55)/10</f>
        <v>869.70122419585061</v>
      </c>
      <c r="AB28" s="43">
        <f>(0.6687*AA28^(-0.391))*W28</f>
        <v>5280.8358357874167</v>
      </c>
      <c r="AC28" s="43">
        <f>W28+AB28</f>
        <v>116650.0218610749</v>
      </c>
    </row>
    <row r="29" spans="1:65" x14ac:dyDescent="0.2">
      <c r="A29" s="107" t="s">
        <v>101</v>
      </c>
      <c r="B29" s="40">
        <v>2</v>
      </c>
      <c r="C29" s="40" t="s">
        <v>128</v>
      </c>
      <c r="D29" s="39">
        <v>80</v>
      </c>
      <c r="E29" s="39">
        <v>40</v>
      </c>
      <c r="F29" s="39">
        <v>7736</v>
      </c>
      <c r="G29" s="39">
        <v>7100</v>
      </c>
      <c r="H29" s="71">
        <v>2170</v>
      </c>
      <c r="I29" s="39">
        <v>420</v>
      </c>
      <c r="J29" s="39">
        <v>80</v>
      </c>
      <c r="K29" s="39">
        <v>15</v>
      </c>
      <c r="L29" s="39">
        <f>40*8</f>
        <v>320</v>
      </c>
      <c r="M29" s="223">
        <f t="shared" si="18"/>
        <v>3079.2014356780041</v>
      </c>
      <c r="N29" s="39">
        <f t="shared" si="19"/>
        <v>2</v>
      </c>
      <c r="O29" s="43">
        <f t="shared" ref="O29:O42" si="24">2*M29/N29</f>
        <v>3079.2014356780041</v>
      </c>
      <c r="P29" s="42">
        <f t="shared" ref="P29:P42" si="25">G29^1.7182*H29^1.6584*E29^-1.098*D29^-1.3708*K29^0.43357/1000000</f>
        <v>196.11787547227317</v>
      </c>
      <c r="Q29" s="67">
        <f t="shared" ref="Q29:Q42" si="26">37.345*P29^-0.537</f>
        <v>2.1935661624739229</v>
      </c>
      <c r="R29" s="43">
        <f t="shared" si="20"/>
        <v>1403.7422204786631</v>
      </c>
      <c r="S29" s="43">
        <f t="shared" si="21"/>
        <v>714.54273781379072</v>
      </c>
      <c r="T29" s="43">
        <f t="shared" ref="T29:T42" si="27">R29+S29</f>
        <v>2118.2849582924537</v>
      </c>
      <c r="U29" s="39">
        <f t="shared" ref="U29:U42" si="28">G29^2*H29^1.304*E29^-1.2957*D29^0.14827*K29^0.53029/1000000000</f>
        <v>76.43841018618599</v>
      </c>
      <c r="V29" s="244">
        <f t="shared" ref="V29:V42" si="29">3.3404*U29+83.899</f>
        <v>339.2338653859357</v>
      </c>
      <c r="W29" s="39">
        <f t="shared" ref="W29:W42" si="30">0.92*(PI()/4*(F29^2-G29^2)-I29*T29)*(H29-V29)*0.0000076</f>
        <v>83474.73682627517</v>
      </c>
      <c r="X29" s="216">
        <f t="shared" si="22"/>
        <v>1.5050850909872317E-2</v>
      </c>
      <c r="Y29" s="280">
        <f t="shared" ref="Y29:Y42" si="31">W29*3.8/1000</f>
        <v>317.20399993984563</v>
      </c>
      <c r="Z29" s="281">
        <f>(Y29-F6)/F6</f>
        <v>-0.14570271276408103</v>
      </c>
      <c r="AA29" s="42">
        <f t="shared" si="23"/>
        <v>357.92287543582381</v>
      </c>
      <c r="AB29" s="43">
        <f t="shared" ref="AB29:AB42" si="32">(0.6687*AA29^(-0.391))*W29</f>
        <v>5600.8598375882148</v>
      </c>
      <c r="AC29" s="43">
        <f t="shared" ref="AC29:AC42" si="33">W29+AB29</f>
        <v>89075.596663863384</v>
      </c>
    </row>
    <row r="30" spans="1:65" x14ac:dyDescent="0.2">
      <c r="A30" s="107" t="s">
        <v>102</v>
      </c>
      <c r="B30" s="40">
        <v>2</v>
      </c>
      <c r="C30" s="40" t="s">
        <v>128</v>
      </c>
      <c r="D30" s="39">
        <v>80</v>
      </c>
      <c r="E30" s="39">
        <v>40</v>
      </c>
      <c r="F30" s="39">
        <v>8296</v>
      </c>
      <c r="G30" s="39">
        <v>7495</v>
      </c>
      <c r="H30" s="71">
        <v>1980</v>
      </c>
      <c r="I30" s="39">
        <v>420</v>
      </c>
      <c r="J30" s="39">
        <v>80</v>
      </c>
      <c r="K30" s="67">
        <v>15</v>
      </c>
      <c r="L30" s="39">
        <f>45*8</f>
        <v>360</v>
      </c>
      <c r="M30" s="223">
        <f t="shared" si="18"/>
        <v>3079.2014356780041</v>
      </c>
      <c r="N30" s="39">
        <f t="shared" si="19"/>
        <v>2</v>
      </c>
      <c r="O30" s="43">
        <f t="shared" si="24"/>
        <v>3079.2014356780041</v>
      </c>
      <c r="P30" s="42">
        <f t="shared" si="25"/>
        <v>184.89383949640626</v>
      </c>
      <c r="Q30" s="67">
        <f t="shared" si="26"/>
        <v>2.2640974361230239</v>
      </c>
      <c r="R30" s="43">
        <f t="shared" si="20"/>
        <v>1360.0127744284455</v>
      </c>
      <c r="S30" s="43">
        <f t="shared" si="21"/>
        <v>703.32494722876174</v>
      </c>
      <c r="T30" s="43">
        <f t="shared" si="27"/>
        <v>2063.3377216572071</v>
      </c>
      <c r="U30" s="39">
        <f t="shared" si="28"/>
        <v>75.586831007305065</v>
      </c>
      <c r="V30" s="244">
        <f t="shared" si="29"/>
        <v>336.38925029680183</v>
      </c>
      <c r="W30" s="39">
        <f t="shared" si="30"/>
        <v>104205.75559576254</v>
      </c>
      <c r="X30" s="216">
        <f t="shared" si="22"/>
        <v>9.5207036780808989E-3</v>
      </c>
      <c r="Y30" s="280">
        <f t="shared" si="31"/>
        <v>395.98187126389763</v>
      </c>
      <c r="Z30" s="281">
        <f>(Y30-F7)/F7</f>
        <v>-1.9468232129491496E-2</v>
      </c>
      <c r="AA30" s="42">
        <f t="shared" si="23"/>
        <v>297.30788196668402</v>
      </c>
      <c r="AB30" s="43">
        <f t="shared" si="32"/>
        <v>7517.9480233905288</v>
      </c>
      <c r="AC30" s="43">
        <f t="shared" si="33"/>
        <v>111723.70361915308</v>
      </c>
    </row>
    <row r="31" spans="1:65" x14ac:dyDescent="0.2">
      <c r="A31" s="107" t="s">
        <v>61</v>
      </c>
      <c r="B31" s="40">
        <v>3</v>
      </c>
      <c r="C31" s="40" t="s">
        <v>128</v>
      </c>
      <c r="D31" s="39">
        <v>25</v>
      </c>
      <c r="E31" s="39">
        <v>10</v>
      </c>
      <c r="F31" s="39">
        <v>2880</v>
      </c>
      <c r="G31" s="39">
        <v>2300</v>
      </c>
      <c r="H31" s="71">
        <v>1750</v>
      </c>
      <c r="I31" s="39">
        <v>192</v>
      </c>
      <c r="J31" s="39">
        <v>25</v>
      </c>
      <c r="K31" s="67">
        <v>12</v>
      </c>
      <c r="L31" s="39">
        <f>30*6</f>
        <v>180</v>
      </c>
      <c r="M31" s="223">
        <f t="shared" si="18"/>
        <v>1202.8130608117206</v>
      </c>
      <c r="N31" s="39">
        <f t="shared" si="19"/>
        <v>1</v>
      </c>
      <c r="O31" s="43">
        <f t="shared" si="24"/>
        <v>2405.6261216234411</v>
      </c>
      <c r="P31" s="42">
        <f t="shared" si="25"/>
        <v>405.48941032019468</v>
      </c>
      <c r="Q31" s="67">
        <f t="shared" si="26"/>
        <v>1.4850718407746195</v>
      </c>
      <c r="R31" s="43">
        <f t="shared" si="20"/>
        <v>1619.8718846952595</v>
      </c>
      <c r="S31" s="43">
        <f t="shared" si="21"/>
        <v>614.06571371212999</v>
      </c>
      <c r="T31" s="43">
        <f t="shared" si="27"/>
        <v>2233.9375984073895</v>
      </c>
      <c r="U31" s="39">
        <f t="shared" si="28"/>
        <v>27.304163481034163</v>
      </c>
      <c r="V31" s="244">
        <f t="shared" si="29"/>
        <v>175.10582769204652</v>
      </c>
      <c r="W31" s="39">
        <f t="shared" si="30"/>
        <v>21260.588918329304</v>
      </c>
      <c r="X31" s="216">
        <f t="shared" si="22"/>
        <v>-7.7831753705083329E-2</v>
      </c>
      <c r="Y31" s="280">
        <f t="shared" si="31"/>
        <v>80.790237889651351</v>
      </c>
      <c r="Z31" s="281"/>
      <c r="AA31" s="42">
        <f t="shared" si="23"/>
        <v>461.54534264944897</v>
      </c>
      <c r="AB31" s="43">
        <f t="shared" si="32"/>
        <v>1291.5130347040472</v>
      </c>
      <c r="AC31" s="43">
        <f t="shared" si="33"/>
        <v>22552.101953033351</v>
      </c>
    </row>
    <row r="32" spans="1:65" x14ac:dyDescent="0.2">
      <c r="A32" s="107" t="s">
        <v>74</v>
      </c>
      <c r="B32" s="40">
        <v>1</v>
      </c>
      <c r="C32" s="40" t="s">
        <v>128</v>
      </c>
      <c r="D32" s="39">
        <v>68</v>
      </c>
      <c r="E32" s="39">
        <v>56</v>
      </c>
      <c r="F32" s="39">
        <v>9026</v>
      </c>
      <c r="G32" s="39">
        <v>8474</v>
      </c>
      <c r="H32" s="71">
        <v>1425</v>
      </c>
      <c r="I32" s="39">
        <v>480</v>
      </c>
      <c r="J32" s="39">
        <v>68</v>
      </c>
      <c r="K32" s="67">
        <v>10.5</v>
      </c>
      <c r="L32" s="39">
        <f>33*6</f>
        <v>198</v>
      </c>
      <c r="M32" s="223">
        <f t="shared" si="18"/>
        <v>3739.0303147518621</v>
      </c>
      <c r="N32" s="39">
        <f t="shared" si="19"/>
        <v>2</v>
      </c>
      <c r="O32" s="43">
        <f t="shared" si="24"/>
        <v>3739.0303147518621</v>
      </c>
      <c r="P32" s="42">
        <f t="shared" si="25"/>
        <v>97.897485173960177</v>
      </c>
      <c r="Q32" s="67">
        <f t="shared" si="26"/>
        <v>3.1855773085849415</v>
      </c>
      <c r="R32" s="43">
        <f t="shared" si="20"/>
        <v>1173.737113419096</v>
      </c>
      <c r="S32" s="43">
        <f t="shared" si="21"/>
        <v>457.37032885165951</v>
      </c>
      <c r="T32" s="43">
        <f t="shared" si="27"/>
        <v>1631.1074422707554</v>
      </c>
      <c r="U32" s="39">
        <f t="shared" si="28"/>
        <v>32.874325106032479</v>
      </c>
      <c r="V32" s="244">
        <f t="shared" si="29"/>
        <v>193.71239558419089</v>
      </c>
      <c r="W32" s="39">
        <f t="shared" si="30"/>
        <v>58576.871011513314</v>
      </c>
      <c r="X32" s="216">
        <f t="shared" si="22"/>
        <v>2.3677449434016888E-2</v>
      </c>
      <c r="Y32" s="280">
        <f t="shared" si="31"/>
        <v>222.59210984375056</v>
      </c>
      <c r="Z32" s="281">
        <f t="shared" ref="Z32:Z39" si="34">(Y32-F9)/F9</f>
        <v>6.5390847861726678E-2</v>
      </c>
      <c r="AA32" s="42">
        <f t="shared" si="23"/>
        <v>158.86806890178684</v>
      </c>
      <c r="AB32" s="43">
        <f t="shared" si="32"/>
        <v>5399.482966574993</v>
      </c>
      <c r="AC32" s="43">
        <f t="shared" si="33"/>
        <v>63976.353978088307</v>
      </c>
    </row>
    <row r="33" spans="1:45" x14ac:dyDescent="0.2">
      <c r="A33" s="107" t="s">
        <v>86</v>
      </c>
      <c r="B33" s="40">
        <v>1</v>
      </c>
      <c r="C33" s="40" t="s">
        <v>128</v>
      </c>
      <c r="D33" s="39">
        <v>38</v>
      </c>
      <c r="E33" s="39">
        <v>76</v>
      </c>
      <c r="F33" s="39">
        <v>9850</v>
      </c>
      <c r="G33" s="39">
        <v>9290</v>
      </c>
      <c r="H33" s="71">
        <v>1050</v>
      </c>
      <c r="I33" s="39">
        <v>348</v>
      </c>
      <c r="J33" s="39">
        <v>38</v>
      </c>
      <c r="K33" s="67">
        <v>10.5</v>
      </c>
      <c r="L33" s="39">
        <f>24*6</f>
        <v>144</v>
      </c>
      <c r="M33" s="223">
        <f t="shared" si="18"/>
        <v>2089.4581170672172</v>
      </c>
      <c r="N33" s="39">
        <f t="shared" si="19"/>
        <v>1</v>
      </c>
      <c r="O33" s="43">
        <f t="shared" si="24"/>
        <v>4178.9162341344345</v>
      </c>
      <c r="P33" s="42">
        <f t="shared" si="25"/>
        <v>109.70875817784226</v>
      </c>
      <c r="Q33" s="67">
        <f t="shared" si="26"/>
        <v>2.996559366097614</v>
      </c>
      <c r="R33" s="43">
        <f t="shared" si="20"/>
        <v>1394.5714813508237</v>
      </c>
      <c r="S33" s="43">
        <f t="shared" si="21"/>
        <v>498.5433852530511</v>
      </c>
      <c r="T33" s="43">
        <f t="shared" si="27"/>
        <v>1893.1148666038748</v>
      </c>
      <c r="U33" s="39">
        <f t="shared" si="28"/>
        <v>16.385250666251835</v>
      </c>
      <c r="V33" s="244">
        <f t="shared" si="29"/>
        <v>138.63229132554761</v>
      </c>
      <c r="W33" s="39">
        <f t="shared" si="30"/>
        <v>49445.141930861158</v>
      </c>
      <c r="X33" s="216">
        <f t="shared" si="22"/>
        <v>-4.2463764527719012E-3</v>
      </c>
      <c r="Y33" s="280">
        <f t="shared" si="31"/>
        <v>187.89153933727241</v>
      </c>
      <c r="Z33" s="281">
        <f t="shared" si="34"/>
        <v>-9.6770825502723687E-2</v>
      </c>
      <c r="AA33" s="42">
        <f t="shared" si="23"/>
        <v>89.869673880246097</v>
      </c>
      <c r="AB33" s="43">
        <f t="shared" si="32"/>
        <v>5694.9800003576975</v>
      </c>
      <c r="AC33" s="43">
        <f t="shared" si="33"/>
        <v>55140.121931218855</v>
      </c>
    </row>
    <row r="34" spans="1:45" x14ac:dyDescent="0.2">
      <c r="A34" s="107" t="s">
        <v>77</v>
      </c>
      <c r="B34" s="40">
        <v>1</v>
      </c>
      <c r="C34" s="40" t="s">
        <v>128</v>
      </c>
      <c r="D34" s="39">
        <v>39</v>
      </c>
      <c r="E34" s="39">
        <v>72</v>
      </c>
      <c r="F34" s="39">
        <v>10180</v>
      </c>
      <c r="G34" s="39">
        <v>9600</v>
      </c>
      <c r="H34" s="71">
        <v>920</v>
      </c>
      <c r="I34" s="39">
        <v>405</v>
      </c>
      <c r="J34" s="39">
        <v>39</v>
      </c>
      <c r="K34" s="67">
        <v>10.3</v>
      </c>
      <c r="L34" s="39">
        <f>20*6</f>
        <v>120</v>
      </c>
      <c r="M34" s="223">
        <f t="shared" si="18"/>
        <v>2186.0835435335343</v>
      </c>
      <c r="N34" s="39">
        <f t="shared" si="19"/>
        <v>1</v>
      </c>
      <c r="O34" s="43">
        <f t="shared" si="24"/>
        <v>4372.1670870670687</v>
      </c>
      <c r="P34" s="42">
        <f t="shared" si="25"/>
        <v>94.675488927127617</v>
      </c>
      <c r="Q34" s="67">
        <f t="shared" si="26"/>
        <v>3.2433431189715223</v>
      </c>
      <c r="R34" s="43">
        <f t="shared" si="20"/>
        <v>1348.0433388291958</v>
      </c>
      <c r="S34" s="43">
        <f t="shared" si="21"/>
        <v>480.81988637566428</v>
      </c>
      <c r="T34" s="43">
        <f t="shared" si="27"/>
        <v>1828.8632252048601</v>
      </c>
      <c r="U34" s="39">
        <f t="shared" si="28"/>
        <v>15.695699611973227</v>
      </c>
      <c r="V34" s="244">
        <f t="shared" si="29"/>
        <v>136.32891498383538</v>
      </c>
      <c r="W34" s="39">
        <f t="shared" si="30"/>
        <v>45313.294910979741</v>
      </c>
      <c r="X34" s="216">
        <f t="shared" si="22"/>
        <v>1.9745027193468281E-3</v>
      </c>
      <c r="Y34" s="280">
        <f t="shared" si="31"/>
        <v>172.19052066172301</v>
      </c>
      <c r="Z34" s="281">
        <f t="shared" si="34"/>
        <v>-0.15293919391124058</v>
      </c>
      <c r="AA34" s="42">
        <f t="shared" si="23"/>
        <v>70.500164170736497</v>
      </c>
      <c r="AB34" s="43">
        <f t="shared" si="32"/>
        <v>5738.7145849943972</v>
      </c>
      <c r="AC34" s="43">
        <f t="shared" si="33"/>
        <v>51052.00949597414</v>
      </c>
    </row>
    <row r="35" spans="1:45" x14ac:dyDescent="0.2">
      <c r="A35" s="107" t="s">
        <v>78</v>
      </c>
      <c r="B35" s="40">
        <v>4</v>
      </c>
      <c r="C35" s="40" t="s">
        <v>128</v>
      </c>
      <c r="D35" s="39">
        <v>107</v>
      </c>
      <c r="E35" s="39">
        <v>14</v>
      </c>
      <c r="F35" s="39">
        <v>4430</v>
      </c>
      <c r="G35" s="39">
        <v>3508</v>
      </c>
      <c r="H35" s="71">
        <v>2240</v>
      </c>
      <c r="I35" s="39">
        <v>156</v>
      </c>
      <c r="J35" s="39">
        <v>107</v>
      </c>
      <c r="K35" s="67">
        <v>10.3</v>
      </c>
      <c r="L35" s="39">
        <f>50*6</f>
        <v>300</v>
      </c>
      <c r="M35" s="223">
        <f t="shared" si="18"/>
        <v>5997.7163886689277</v>
      </c>
      <c r="N35" s="39">
        <f t="shared" si="19"/>
        <v>2</v>
      </c>
      <c r="O35" s="43">
        <f t="shared" si="24"/>
        <v>5997.7163886689277</v>
      </c>
      <c r="P35" s="42">
        <f t="shared" si="25"/>
        <v>111.16822256570141</v>
      </c>
      <c r="Q35" s="67">
        <f t="shared" si="26"/>
        <v>2.9753690992547757</v>
      </c>
      <c r="R35" s="43">
        <f t="shared" si="20"/>
        <v>2015.7890293917292</v>
      </c>
      <c r="S35" s="43">
        <f t="shared" si="21"/>
        <v>587.96710971003574</v>
      </c>
      <c r="T35" s="43">
        <f t="shared" si="27"/>
        <v>2603.7561391017648</v>
      </c>
      <c r="U35" s="39">
        <f t="shared" si="28"/>
        <v>64.833381571828482</v>
      </c>
      <c r="V35" s="244">
        <f t="shared" si="29"/>
        <v>300.46842780253587</v>
      </c>
      <c r="W35" s="39">
        <f t="shared" si="30"/>
        <v>72444.151001767168</v>
      </c>
      <c r="X35" s="216">
        <f t="shared" si="22"/>
        <v>-1.3439133311991284E-2</v>
      </c>
      <c r="Y35" s="280">
        <f t="shared" si="31"/>
        <v>275.28777380671522</v>
      </c>
      <c r="Z35" s="281">
        <f t="shared" si="34"/>
        <v>0.33315144172089856</v>
      </c>
      <c r="AA35" s="42">
        <f t="shared" si="23"/>
        <v>556.72261007213228</v>
      </c>
      <c r="AB35" s="43">
        <f t="shared" si="32"/>
        <v>4089.6849776909789</v>
      </c>
      <c r="AC35" s="43">
        <f t="shared" si="33"/>
        <v>76533.835979458148</v>
      </c>
    </row>
    <row r="36" spans="1:45" x14ac:dyDescent="0.2">
      <c r="A36" s="107" t="s">
        <v>79</v>
      </c>
      <c r="B36" s="40">
        <v>1</v>
      </c>
      <c r="C36" s="40" t="s">
        <v>128</v>
      </c>
      <c r="D36" s="39">
        <v>25</v>
      </c>
      <c r="E36" s="39">
        <v>40</v>
      </c>
      <c r="F36" s="39">
        <v>5790</v>
      </c>
      <c r="G36" s="39">
        <v>5200</v>
      </c>
      <c r="H36" s="71">
        <v>890</v>
      </c>
      <c r="I36" s="39">
        <v>264</v>
      </c>
      <c r="J36" s="39">
        <v>25</v>
      </c>
      <c r="K36" s="39">
        <v>5.65</v>
      </c>
      <c r="L36" s="39">
        <f>20*6</f>
        <v>120</v>
      </c>
      <c r="M36" s="223">
        <f t="shared" si="18"/>
        <v>2554.6472088036535</v>
      </c>
      <c r="N36" s="39">
        <f t="shared" si="19"/>
        <v>2</v>
      </c>
      <c r="O36" s="43">
        <f t="shared" si="24"/>
        <v>2554.6472088036535</v>
      </c>
      <c r="P36" s="42">
        <f t="shared" si="25"/>
        <v>84.491484997064447</v>
      </c>
      <c r="Q36" s="67">
        <f t="shared" si="26"/>
        <v>3.4477352826415024</v>
      </c>
      <c r="R36" s="43">
        <f t="shared" si="20"/>
        <v>740.96384999906252</v>
      </c>
      <c r="S36" s="43">
        <f t="shared" si="21"/>
        <v>195.54207857267951</v>
      </c>
      <c r="T36" s="43">
        <f t="shared" si="27"/>
        <v>936.50592857174206</v>
      </c>
      <c r="U36" s="39">
        <f t="shared" si="28"/>
        <v>6.4312954555098809</v>
      </c>
      <c r="V36" s="244">
        <f t="shared" si="29"/>
        <v>105.38209933958521</v>
      </c>
      <c r="W36" s="39">
        <f t="shared" si="30"/>
        <v>26581.893915064924</v>
      </c>
      <c r="X36" s="216">
        <f t="shared" si="22"/>
        <v>6.0476099699390565E-2</v>
      </c>
      <c r="Y36" s="280">
        <f t="shared" si="31"/>
        <v>101.0111968772467</v>
      </c>
      <c r="Z36" s="281">
        <f t="shared" si="34"/>
        <v>-0.31454631472241051</v>
      </c>
      <c r="AA36" s="42">
        <f t="shared" si="23"/>
        <v>93.360070780811284</v>
      </c>
      <c r="AB36" s="43">
        <f t="shared" si="32"/>
        <v>3016.3673088286073</v>
      </c>
      <c r="AC36" s="43">
        <f t="shared" si="33"/>
        <v>29598.261223893533</v>
      </c>
    </row>
    <row r="37" spans="1:45" x14ac:dyDescent="0.2">
      <c r="A37" s="107" t="s">
        <v>81</v>
      </c>
      <c r="B37" s="40">
        <v>1</v>
      </c>
      <c r="C37" s="40" t="s">
        <v>128</v>
      </c>
      <c r="D37" s="39">
        <v>55</v>
      </c>
      <c r="E37" s="39">
        <v>40</v>
      </c>
      <c r="F37" s="39">
        <v>6520</v>
      </c>
      <c r="G37" s="39">
        <v>5952</v>
      </c>
      <c r="H37" s="71">
        <v>1530</v>
      </c>
      <c r="I37" s="39">
        <v>420</v>
      </c>
      <c r="J37" s="39">
        <v>55</v>
      </c>
      <c r="K37" s="67">
        <v>5.65</v>
      </c>
      <c r="L37" s="39">
        <f>26*6</f>
        <v>156</v>
      </c>
      <c r="M37" s="223">
        <f t="shared" si="18"/>
        <v>5620.2238593680386</v>
      </c>
      <c r="N37" s="39">
        <f t="shared" si="19"/>
        <v>4</v>
      </c>
      <c r="O37" s="43">
        <f t="shared" si="24"/>
        <v>2810.1119296840193</v>
      </c>
      <c r="P37" s="42">
        <f t="shared" si="25"/>
        <v>88.804035682399288</v>
      </c>
      <c r="Q37" s="67">
        <f t="shared" si="26"/>
        <v>3.3567894567222489</v>
      </c>
      <c r="R37" s="43">
        <f t="shared" si="20"/>
        <v>837.1427418709676</v>
      </c>
      <c r="S37" s="43">
        <f t="shared" si="21"/>
        <v>207.84590639349412</v>
      </c>
      <c r="T37" s="43">
        <f t="shared" si="27"/>
        <v>1044.9886482644617</v>
      </c>
      <c r="U37" s="39">
        <f t="shared" si="28"/>
        <v>19.196483832916144</v>
      </c>
      <c r="V37" s="244">
        <f t="shared" si="29"/>
        <v>148.02293459547309</v>
      </c>
      <c r="W37" s="39">
        <f t="shared" si="30"/>
        <v>49521.193694535184</v>
      </c>
      <c r="X37" s="216">
        <f t="shared" si="22"/>
        <v>-2.1521380161363649E-3</v>
      </c>
      <c r="Y37" s="280">
        <f t="shared" si="31"/>
        <v>188.18053603923371</v>
      </c>
      <c r="Z37" s="281">
        <f t="shared" si="34"/>
        <v>-2.497131585889267E-2</v>
      </c>
      <c r="AA37" s="42">
        <f t="shared" si="23"/>
        <v>217.72626624918507</v>
      </c>
      <c r="AB37" s="43">
        <f t="shared" si="32"/>
        <v>4035.5180607592492</v>
      </c>
      <c r="AC37" s="43">
        <f t="shared" si="33"/>
        <v>53556.711755294433</v>
      </c>
    </row>
    <row r="38" spans="1:45" x14ac:dyDescent="0.2">
      <c r="A38" s="107" t="s">
        <v>82</v>
      </c>
      <c r="B38" s="40">
        <v>1</v>
      </c>
      <c r="C38" s="40" t="s">
        <v>128</v>
      </c>
      <c r="D38" s="39">
        <v>42</v>
      </c>
      <c r="E38" s="39">
        <v>16</v>
      </c>
      <c r="F38" s="39">
        <v>4550</v>
      </c>
      <c r="G38" s="39">
        <v>3638</v>
      </c>
      <c r="H38" s="71">
        <v>1250</v>
      </c>
      <c r="I38" s="39">
        <v>156</v>
      </c>
      <c r="J38" s="39">
        <v>42</v>
      </c>
      <c r="K38" s="67">
        <v>10.3</v>
      </c>
      <c r="L38" s="39">
        <f>25*6</f>
        <v>150</v>
      </c>
      <c r="M38" s="223">
        <f t="shared" si="18"/>
        <v>2354.2438161130372</v>
      </c>
      <c r="N38" s="39">
        <f t="shared" si="19"/>
        <v>1</v>
      </c>
      <c r="O38" s="43">
        <f t="shared" si="24"/>
        <v>4708.4876322260743</v>
      </c>
      <c r="P38" s="42">
        <f t="shared" si="25"/>
        <v>139.97543149142695</v>
      </c>
      <c r="Q38" s="67">
        <f t="shared" si="26"/>
        <v>2.6290729640944002</v>
      </c>
      <c r="R38" s="43">
        <f t="shared" si="20"/>
        <v>1790.9307564036897</v>
      </c>
      <c r="S38" s="43">
        <f t="shared" si="21"/>
        <v>554.2043005584577</v>
      </c>
      <c r="T38" s="43">
        <f t="shared" si="27"/>
        <v>2345.1350569621472</v>
      </c>
      <c r="U38" s="39">
        <f t="shared" si="28"/>
        <v>23.861316925756977</v>
      </c>
      <c r="V38" s="244">
        <f t="shared" si="29"/>
        <v>163.60534305879861</v>
      </c>
      <c r="W38" s="39">
        <f t="shared" si="30"/>
        <v>41771.443727953534</v>
      </c>
      <c r="X38" s="216">
        <f t="shared" si="22"/>
        <v>-3.5835940172801818E-2</v>
      </c>
      <c r="Y38" s="280">
        <f t="shared" si="31"/>
        <v>158.73148616622342</v>
      </c>
      <c r="Z38" s="281">
        <f t="shared" si="34"/>
        <v>0.18531520864894468</v>
      </c>
      <c r="AA38" s="42">
        <f t="shared" si="23"/>
        <v>202.42891158607131</v>
      </c>
      <c r="AB38" s="43">
        <f t="shared" si="32"/>
        <v>3502.339529793891</v>
      </c>
      <c r="AC38" s="43">
        <f t="shared" si="33"/>
        <v>45273.783257747426</v>
      </c>
    </row>
    <row r="39" spans="1:45" x14ac:dyDescent="0.2">
      <c r="A39" s="178" t="s">
        <v>62</v>
      </c>
      <c r="B39" s="225">
        <v>5</v>
      </c>
      <c r="C39" s="225" t="s">
        <v>127</v>
      </c>
      <c r="D39" s="218">
        <v>11</v>
      </c>
      <c r="E39" s="39">
        <v>64</v>
      </c>
      <c r="F39" s="218">
        <v>4230</v>
      </c>
      <c r="G39" s="218">
        <v>3853</v>
      </c>
      <c r="H39" s="219">
        <v>935</v>
      </c>
      <c r="I39" s="218">
        <v>240</v>
      </c>
      <c r="J39" s="218">
        <v>11</v>
      </c>
      <c r="K39" s="220">
        <v>3.5</v>
      </c>
      <c r="L39" s="218">
        <f>0</f>
        <v>0</v>
      </c>
      <c r="M39" s="224">
        <f t="shared" si="18"/>
        <v>1814.5294174531095</v>
      </c>
      <c r="N39" s="218">
        <f t="shared" si="19"/>
        <v>1</v>
      </c>
      <c r="O39" s="219">
        <f t="shared" si="24"/>
        <v>3629.0588349062191</v>
      </c>
      <c r="P39" s="226">
        <f t="shared" si="25"/>
        <v>81.861313818528501</v>
      </c>
      <c r="Q39" s="220">
        <f t="shared" si="26"/>
        <v>3.5067854522826232</v>
      </c>
      <c r="R39" s="219">
        <f t="shared" si="20"/>
        <v>1034.8676542341666</v>
      </c>
      <c r="S39" s="219">
        <f t="shared" si="21"/>
        <v>143.15407668283018</v>
      </c>
      <c r="T39" s="219">
        <f t="shared" si="27"/>
        <v>1178.0217309169968</v>
      </c>
      <c r="U39" s="218">
        <f t="shared" si="28"/>
        <v>1.4066631256278217</v>
      </c>
      <c r="V39" s="219">
        <v>0</v>
      </c>
      <c r="W39" s="39">
        <f t="shared" si="30"/>
        <v>13798.165150518906</v>
      </c>
      <c r="X39" s="221">
        <f t="shared" si="22"/>
        <v>0.20402837264562876</v>
      </c>
      <c r="Y39" s="282">
        <f t="shared" si="31"/>
        <v>52.433027571971841</v>
      </c>
      <c r="Z39" s="283">
        <f t="shared" si="34"/>
        <v>-0.44965491196905899</v>
      </c>
      <c r="AA39" s="226"/>
      <c r="AB39" s="219"/>
      <c r="AC39" s="219"/>
      <c r="AD39" s="218"/>
      <c r="AE39" s="218"/>
    </row>
    <row r="40" spans="1:45" x14ac:dyDescent="0.2">
      <c r="A40" s="178" t="s">
        <v>63</v>
      </c>
      <c r="B40" s="225">
        <v>1</v>
      </c>
      <c r="C40" s="225" t="s">
        <v>127</v>
      </c>
      <c r="D40" s="218">
        <v>19</v>
      </c>
      <c r="E40" s="39">
        <v>80</v>
      </c>
      <c r="F40" s="218">
        <v>5480</v>
      </c>
      <c r="G40" s="218">
        <v>5070</v>
      </c>
      <c r="H40" s="219">
        <v>1190</v>
      </c>
      <c r="I40" s="218">
        <v>336</v>
      </c>
      <c r="J40" s="218">
        <v>19</v>
      </c>
      <c r="K40" s="220">
        <v>3</v>
      </c>
      <c r="L40" s="218">
        <f>0</f>
        <v>0</v>
      </c>
      <c r="M40" s="224">
        <f t="shared" si="18"/>
        <v>3656.5517048676297</v>
      </c>
      <c r="N40" s="218">
        <f t="shared" si="19"/>
        <v>2</v>
      </c>
      <c r="O40" s="219">
        <f t="shared" si="24"/>
        <v>3656.5517048676297</v>
      </c>
      <c r="P40" s="226">
        <f t="shared" si="25"/>
        <v>67.73123226669702</v>
      </c>
      <c r="Q40" s="220">
        <f t="shared" si="26"/>
        <v>3.8823866337378261</v>
      </c>
      <c r="R40" s="219">
        <f t="shared" si="20"/>
        <v>941.83090192313728</v>
      </c>
      <c r="S40" s="219">
        <f t="shared" si="21"/>
        <v>117.05797097583275</v>
      </c>
      <c r="T40" s="219">
        <f t="shared" si="27"/>
        <v>1058.88887289897</v>
      </c>
      <c r="U40" s="218">
        <f t="shared" si="28"/>
        <v>2.49636960871142</v>
      </c>
      <c r="V40" s="219">
        <v>0</v>
      </c>
      <c r="W40" s="39">
        <f t="shared" si="30"/>
        <v>25306.349643572339</v>
      </c>
      <c r="X40" s="221">
        <f t="shared" si="22"/>
        <v>9.5512971583218143E-2</v>
      </c>
      <c r="Y40" s="282">
        <f t="shared" si="31"/>
        <v>96.164128645574877</v>
      </c>
      <c r="Z40" s="284"/>
      <c r="AA40" s="226"/>
      <c r="AB40" s="219"/>
      <c r="AC40" s="219"/>
      <c r="AD40" s="218"/>
      <c r="AE40" s="218"/>
      <c r="AG40" s="71"/>
      <c r="AH40" s="48"/>
    </row>
    <row r="41" spans="1:45" x14ac:dyDescent="0.2">
      <c r="A41" s="107" t="s">
        <v>80</v>
      </c>
      <c r="B41" s="40">
        <v>2</v>
      </c>
      <c r="C41" s="40" t="s">
        <v>128</v>
      </c>
      <c r="D41" s="39">
        <v>14.4</v>
      </c>
      <c r="E41" s="39">
        <v>56</v>
      </c>
      <c r="F41" s="39">
        <v>6757</v>
      </c>
      <c r="G41" s="39">
        <v>6310</v>
      </c>
      <c r="H41" s="71">
        <v>700</v>
      </c>
      <c r="I41" s="39">
        <v>312</v>
      </c>
      <c r="J41" s="39">
        <v>14.4</v>
      </c>
      <c r="K41" s="67">
        <v>5.7</v>
      </c>
      <c r="L41" s="39">
        <f>12*8</f>
        <v>96</v>
      </c>
      <c r="M41" s="223">
        <f t="shared" si="18"/>
        <v>1458.5691011106335</v>
      </c>
      <c r="N41" s="39">
        <f t="shared" si="19"/>
        <v>1</v>
      </c>
      <c r="O41" s="43">
        <f t="shared" si="24"/>
        <v>2917.138202221267</v>
      </c>
      <c r="P41" s="42">
        <f t="shared" si="25"/>
        <v>116.91007469025955</v>
      </c>
      <c r="Q41" s="67">
        <f t="shared" si="26"/>
        <v>2.8959827662639057</v>
      </c>
      <c r="R41" s="43">
        <f t="shared" si="20"/>
        <v>1007.3050973244063</v>
      </c>
      <c r="S41" s="43">
        <f t="shared" si="21"/>
        <v>230.01101841627849</v>
      </c>
      <c r="T41" s="43">
        <f t="shared" si="27"/>
        <v>1237.3161157406848</v>
      </c>
      <c r="U41" s="39">
        <f t="shared" si="28"/>
        <v>4.1449817238813909</v>
      </c>
      <c r="V41" s="244">
        <f t="shared" si="29"/>
        <v>97.744896950453395</v>
      </c>
      <c r="W41" s="39">
        <f t="shared" si="30"/>
        <v>17692.077473666894</v>
      </c>
      <c r="X41" s="216">
        <f t="shared" si="22"/>
        <v>2.580608069037477E-2</v>
      </c>
      <c r="Y41" s="280">
        <f t="shared" si="31"/>
        <v>67.229894399934182</v>
      </c>
      <c r="Z41" s="285"/>
      <c r="AA41" s="42">
        <f>POWER(H41,1.7)*POWER(G41,-0.55)/10</f>
        <v>55.802097095368993</v>
      </c>
      <c r="AB41" s="43">
        <f t="shared" si="32"/>
        <v>2455.1034816474107</v>
      </c>
      <c r="AC41" s="43">
        <f t="shared" si="33"/>
        <v>20147.180955314303</v>
      </c>
      <c r="AG41" s="71" t="s">
        <v>454</v>
      </c>
      <c r="AH41" s="48" t="s">
        <v>424</v>
      </c>
      <c r="AI41" s="39" t="s">
        <v>455</v>
      </c>
      <c r="AJ41" s="292" t="s">
        <v>206</v>
      </c>
      <c r="AK41" s="292" t="s">
        <v>193</v>
      </c>
      <c r="AL41" s="292" t="s">
        <v>404</v>
      </c>
      <c r="AM41" s="292" t="s">
        <v>12</v>
      </c>
      <c r="AN41" s="292" t="s">
        <v>21</v>
      </c>
      <c r="AO41" s="292" t="s">
        <v>450</v>
      </c>
      <c r="AP41" s="292" t="s">
        <v>353</v>
      </c>
    </row>
    <row r="42" spans="1:45" x14ac:dyDescent="0.2">
      <c r="A42" s="107" t="s">
        <v>76</v>
      </c>
      <c r="B42" s="40">
        <v>1</v>
      </c>
      <c r="C42" s="40" t="s">
        <v>128</v>
      </c>
      <c r="D42" s="39">
        <v>45</v>
      </c>
      <c r="E42" s="39">
        <v>80</v>
      </c>
      <c r="F42" s="39">
        <v>10980</v>
      </c>
      <c r="G42" s="39">
        <v>10300</v>
      </c>
      <c r="H42" s="71">
        <v>1110</v>
      </c>
      <c r="I42" s="39">
        <v>600</v>
      </c>
      <c r="J42" s="39">
        <v>45</v>
      </c>
      <c r="K42" s="67">
        <v>10.3</v>
      </c>
      <c r="L42" s="39">
        <f>24*6</f>
        <v>144</v>
      </c>
      <c r="M42" s="223">
        <f t="shared" si="18"/>
        <v>2522.40408869254</v>
      </c>
      <c r="N42" s="39">
        <f t="shared" si="19"/>
        <v>2</v>
      </c>
      <c r="O42" s="43">
        <f t="shared" si="24"/>
        <v>2522.40408869254</v>
      </c>
      <c r="P42" s="42">
        <f t="shared" si="25"/>
        <v>106.79228115264178</v>
      </c>
      <c r="Q42" s="67">
        <f t="shared" si="26"/>
        <v>3.040230818656493</v>
      </c>
      <c r="R42" s="43">
        <f t="shared" si="20"/>
        <v>829.67519216426285</v>
      </c>
      <c r="S42" s="43">
        <f t="shared" si="21"/>
        <v>377.2111715613654</v>
      </c>
      <c r="T42" s="43">
        <f t="shared" si="27"/>
        <v>1206.8863637256281</v>
      </c>
      <c r="U42" s="39">
        <f t="shared" si="28"/>
        <v>20.566537838233373</v>
      </c>
      <c r="V42" s="244">
        <f t="shared" si="29"/>
        <v>152.59946299483477</v>
      </c>
      <c r="W42" s="39">
        <f t="shared" si="30"/>
        <v>71231.681057160604</v>
      </c>
      <c r="X42" s="216">
        <f t="shared" si="22"/>
        <v>-3.22571385870635E-2</v>
      </c>
      <c r="Y42" s="280">
        <f t="shared" si="31"/>
        <v>270.6803880172103</v>
      </c>
      <c r="Z42" s="285"/>
      <c r="AA42" s="42">
        <f>POWER(H42,1.7)*POWER(G42,-0.55)/10</f>
        <v>93.322978295023432</v>
      </c>
      <c r="AB42" s="43">
        <f t="shared" si="32"/>
        <v>8084.235905138522</v>
      </c>
      <c r="AC42" s="43">
        <f t="shared" si="33"/>
        <v>79315.916962299132</v>
      </c>
      <c r="AG42" s="71"/>
      <c r="AH42" s="48"/>
      <c r="AJ42" s="293">
        <v>6193</v>
      </c>
      <c r="AK42" s="293">
        <v>3500</v>
      </c>
      <c r="AL42" s="293">
        <v>32</v>
      </c>
      <c r="AM42" s="293">
        <v>145</v>
      </c>
      <c r="AN42" s="293">
        <v>10.5</v>
      </c>
      <c r="AO42" s="294">
        <f t="shared" ref="AO42:AO54" si="35">AJ42^$AH$43*AK42^$AH$44*AL42^$AH$45*AM42^$AH$46*AN42^$AH$47/1000000000</f>
        <v>130.88790323488988</v>
      </c>
      <c r="AP42" s="293">
        <v>520</v>
      </c>
      <c r="AR42" s="286" t="s">
        <v>347</v>
      </c>
      <c r="AS42" s="287" t="s">
        <v>98</v>
      </c>
    </row>
    <row r="43" spans="1:45" x14ac:dyDescent="0.2">
      <c r="W43" s="194" t="s">
        <v>358</v>
      </c>
      <c r="X43" s="240">
        <f>(E5*X28+E6*X29+E7*X30+E8*X31+E9*X32+E10*X33+E11*X34+E12*X35+E13*X36+E14*X37+E15*X38+E18*X41+E19*X42)/SUM(E5:E15,E18:E19)</f>
        <v>-3.541489854741699E-3</v>
      </c>
      <c r="Y43" s="417" t="s">
        <v>453</v>
      </c>
      <c r="Z43" s="417"/>
      <c r="AG43" s="71">
        <v>-1</v>
      </c>
      <c r="AH43" s="311">
        <v>2</v>
      </c>
      <c r="AI43" s="39">
        <v>2</v>
      </c>
      <c r="AJ43" s="293">
        <v>7100</v>
      </c>
      <c r="AK43" s="293">
        <v>2170</v>
      </c>
      <c r="AL43" s="293">
        <v>40</v>
      </c>
      <c r="AM43" s="293">
        <v>80</v>
      </c>
      <c r="AN43" s="293">
        <v>15</v>
      </c>
      <c r="AO43" s="294">
        <f t="shared" si="35"/>
        <v>76.416199324201884</v>
      </c>
      <c r="AP43" s="293">
        <v>320</v>
      </c>
      <c r="AR43" s="288">
        <f>E5</f>
        <v>112240</v>
      </c>
      <c r="AS43" s="289">
        <v>3.1088916607270134</v>
      </c>
    </row>
    <row r="44" spans="1:45" x14ac:dyDescent="0.2">
      <c r="W44" s="194" t="s">
        <v>359</v>
      </c>
      <c r="X44" s="217">
        <f>AVERAGE(X28:X38,X41:X42)</f>
        <v>-2.8473301948529505E-3</v>
      </c>
      <c r="AG44" s="71">
        <v>-1</v>
      </c>
      <c r="AH44" s="311">
        <v>1.3039560123190983</v>
      </c>
      <c r="AI44" s="39">
        <v>2</v>
      </c>
      <c r="AJ44" s="293">
        <v>7495</v>
      </c>
      <c r="AK44" s="293">
        <v>1980</v>
      </c>
      <c r="AL44" s="293">
        <v>40</v>
      </c>
      <c r="AM44" s="293">
        <v>80</v>
      </c>
      <c r="AN44" s="293">
        <v>15</v>
      </c>
      <c r="AO44" s="294">
        <f t="shared" si="35"/>
        <v>75.565172163166423</v>
      </c>
      <c r="AP44" s="293">
        <v>360</v>
      </c>
      <c r="AR44" s="288">
        <f>E6</f>
        <v>82237</v>
      </c>
      <c r="AS44" s="289">
        <v>4.5150479711078955</v>
      </c>
    </row>
    <row r="45" spans="1:45" x14ac:dyDescent="0.2">
      <c r="Q45" s="194"/>
      <c r="R45" s="217"/>
      <c r="AG45" s="71">
        <v>-2</v>
      </c>
      <c r="AH45" s="311">
        <v>-1.2956846940188838</v>
      </c>
      <c r="AI45" s="39">
        <v>1</v>
      </c>
      <c r="AJ45" s="293">
        <v>2300</v>
      </c>
      <c r="AK45" s="293">
        <v>1750</v>
      </c>
      <c r="AL45" s="293">
        <v>10</v>
      </c>
      <c r="AM45" s="293">
        <v>25</v>
      </c>
      <c r="AN45" s="293">
        <v>12</v>
      </c>
      <c r="AO45" s="294">
        <f t="shared" si="35"/>
        <v>27.295961780946435</v>
      </c>
      <c r="AP45" s="293">
        <v>180</v>
      </c>
      <c r="AR45" s="288">
        <f>E7</f>
        <v>103223</v>
      </c>
      <c r="AS45" s="290">
        <v>3.9123451168828653</v>
      </c>
    </row>
    <row r="46" spans="1:45" x14ac:dyDescent="0.2">
      <c r="A46" s="252" t="str">
        <f>P2</f>
        <v>WINDING</v>
      </c>
      <c r="B46" s="387" t="s">
        <v>350</v>
      </c>
      <c r="C46" s="387"/>
      <c r="D46" s="387"/>
      <c r="E46" s="387"/>
      <c r="F46" s="387"/>
      <c r="G46" s="387"/>
      <c r="H46" s="387"/>
      <c r="I46" s="387"/>
      <c r="J46" s="387"/>
      <c r="K46" s="407" t="s">
        <v>348</v>
      </c>
      <c r="L46" s="408"/>
      <c r="M46" s="408"/>
      <c r="N46" s="408"/>
      <c r="O46" s="408"/>
      <c r="P46" s="408"/>
      <c r="Q46" s="408"/>
      <c r="R46" s="409"/>
      <c r="AG46" s="71">
        <v>-1</v>
      </c>
      <c r="AH46" s="311">
        <v>0.14826851706577476</v>
      </c>
      <c r="AI46" s="39">
        <v>1</v>
      </c>
      <c r="AJ46" s="293">
        <v>8474</v>
      </c>
      <c r="AK46" s="293">
        <v>1425</v>
      </c>
      <c r="AL46" s="293">
        <v>56</v>
      </c>
      <c r="AM46" s="293">
        <v>68</v>
      </c>
      <c r="AN46" s="293">
        <v>10.5</v>
      </c>
      <c r="AO46" s="294">
        <f t="shared" si="35"/>
        <v>32.865569348149336</v>
      </c>
      <c r="AP46" s="293">
        <v>198</v>
      </c>
      <c r="AR46" s="288"/>
      <c r="AS46" s="290"/>
    </row>
    <row r="47" spans="1:45" x14ac:dyDescent="0.2">
      <c r="A47" s="194"/>
      <c r="B47" s="107" t="s">
        <v>418</v>
      </c>
      <c r="C47" s="214" t="s">
        <v>341</v>
      </c>
      <c r="D47" s="214" t="s">
        <v>343</v>
      </c>
      <c r="E47" s="253" t="s">
        <v>193</v>
      </c>
      <c r="F47" s="215" t="s">
        <v>21</v>
      </c>
      <c r="G47" s="214" t="s">
        <v>206</v>
      </c>
      <c r="H47" s="214" t="s">
        <v>404</v>
      </c>
      <c r="I47" s="214" t="s">
        <v>344</v>
      </c>
      <c r="J47" s="257"/>
      <c r="K47" s="227" t="s">
        <v>405</v>
      </c>
      <c r="L47" s="227" t="s">
        <v>408</v>
      </c>
      <c r="M47" s="227" t="s">
        <v>410</v>
      </c>
      <c r="N47" s="227" t="s">
        <v>411</v>
      </c>
      <c r="O47" s="227" t="s">
        <v>412</v>
      </c>
      <c r="P47" s="249" t="s">
        <v>413</v>
      </c>
      <c r="Q47" s="249" t="s">
        <v>414</v>
      </c>
      <c r="R47" s="256" t="s">
        <v>415</v>
      </c>
      <c r="AG47" s="71">
        <v>-1</v>
      </c>
      <c r="AH47" s="311">
        <v>0.53028902390907717</v>
      </c>
      <c r="AI47" s="39">
        <v>1</v>
      </c>
      <c r="AJ47" s="293">
        <v>9290</v>
      </c>
      <c r="AK47" s="293">
        <v>1050</v>
      </c>
      <c r="AL47" s="293">
        <v>76</v>
      </c>
      <c r="AM47" s="293">
        <v>38</v>
      </c>
      <c r="AN47" s="293">
        <v>10.5</v>
      </c>
      <c r="AO47" s="294">
        <f t="shared" si="35"/>
        <v>16.381197364324052</v>
      </c>
      <c r="AP47" s="293">
        <v>144</v>
      </c>
      <c r="AR47" s="288">
        <f t="shared" ref="AR47:AR53" si="36">E9</f>
        <v>57222</v>
      </c>
      <c r="AS47" s="289">
        <v>3.6512180629827689</v>
      </c>
    </row>
    <row r="48" spans="1:45" x14ac:dyDescent="0.2">
      <c r="A48" s="107" t="s">
        <v>20</v>
      </c>
      <c r="B48" s="40" t="s">
        <v>128</v>
      </c>
      <c r="C48" s="201">
        <v>384</v>
      </c>
      <c r="D48" s="43">
        <v>1374.6434980705376</v>
      </c>
      <c r="E48" s="71">
        <v>3500</v>
      </c>
      <c r="F48" s="67">
        <v>10.5</v>
      </c>
      <c r="G48" s="39">
        <v>6193</v>
      </c>
      <c r="H48" s="39">
        <v>32</v>
      </c>
      <c r="I48" s="43">
        <v>486.64916347992011</v>
      </c>
      <c r="K48" s="223">
        <f>1.01*PI()*G48*INT(5/6*C48/H48+0.5)/C48/COS(37)+200</f>
        <v>868.56659173743947</v>
      </c>
      <c r="L48" s="39">
        <f>IF(F48&gt;16,95,IF(F48&gt;11.5,80,IF(F48&gt;7,65,50)))</f>
        <v>65</v>
      </c>
      <c r="M48" s="39">
        <f>E48+2*L48</f>
        <v>3630</v>
      </c>
      <c r="N48" s="43">
        <f>M48+K48</f>
        <v>4498.566591737439</v>
      </c>
      <c r="O48" s="39">
        <f>C48*D48*N48*0.0000089</f>
        <v>21134.183159856366</v>
      </c>
      <c r="P48" s="43">
        <f>C48*I48/1.1/2*(N48-100)*0.0000023</f>
        <v>859.33704095536052</v>
      </c>
      <c r="Q48" s="43">
        <f>O48+P48</f>
        <v>21993.520200811727</v>
      </c>
      <c r="R48" s="255">
        <f t="shared" ref="R48:R62" si="37">(Q48-P5)/P5</f>
        <v>-9.5214735856025731E-2</v>
      </c>
      <c r="AG48" s="71"/>
      <c r="AH48" s="48"/>
      <c r="AJ48" s="293">
        <v>9600</v>
      </c>
      <c r="AK48" s="293">
        <v>920</v>
      </c>
      <c r="AL48" s="293">
        <v>72</v>
      </c>
      <c r="AM48" s="293">
        <v>39</v>
      </c>
      <c r="AN48" s="293">
        <v>10.3</v>
      </c>
      <c r="AO48" s="294">
        <f t="shared" si="35"/>
        <v>15.691894823395112</v>
      </c>
      <c r="AP48" s="293">
        <v>120</v>
      </c>
      <c r="AR48" s="288">
        <f t="shared" si="36"/>
        <v>49656</v>
      </c>
      <c r="AS48" s="290">
        <v>4.1892621234090539</v>
      </c>
    </row>
    <row r="49" spans="1:45" x14ac:dyDescent="0.2">
      <c r="A49" s="107" t="s">
        <v>101</v>
      </c>
      <c r="B49" s="40" t="s">
        <v>128</v>
      </c>
      <c r="C49" s="201">
        <v>420</v>
      </c>
      <c r="D49" s="43">
        <v>1061.7935985096567</v>
      </c>
      <c r="E49" s="71">
        <v>2170</v>
      </c>
      <c r="F49" s="39">
        <v>15</v>
      </c>
      <c r="G49" s="39">
        <v>7100</v>
      </c>
      <c r="H49" s="39">
        <v>40</v>
      </c>
      <c r="I49" s="43">
        <v>611.00244958925373</v>
      </c>
      <c r="K49" s="223">
        <f t="shared" ref="K49:K62" si="38">1.01*PI()*G49*INT(5/6*C49/H49+0.5)/C49/COS(37)+200</f>
        <v>830.70515872054466</v>
      </c>
      <c r="L49" s="39">
        <f t="shared" ref="L49:L62" si="39">IF(F49&gt;16,95,IF(F49&gt;11.5,80,IF(F49&gt;7,65,50)))</f>
        <v>80</v>
      </c>
      <c r="M49" s="39">
        <f t="shared" ref="M49:M62" si="40">E49+2*L49</f>
        <v>2330</v>
      </c>
      <c r="N49" s="43">
        <f t="shared" ref="N49:N62" si="41">M49+K49</f>
        <v>3160.7051587205447</v>
      </c>
      <c r="O49" s="39">
        <f t="shared" ref="O49:O62" si="42">C49*D49*N49*0.0000089</f>
        <v>12544.789693095538</v>
      </c>
      <c r="P49" s="43">
        <f t="shared" ref="P49:P62" si="43">C49*I49/1.1/2*(N49-100)*0.0000023</f>
        <v>821.14318434884638</v>
      </c>
      <c r="Q49" s="43">
        <f t="shared" ref="Q49:Q62" si="44">O49+P49</f>
        <v>13365.932877444384</v>
      </c>
      <c r="R49" s="255">
        <f t="shared" si="37"/>
        <v>-0.28806152778074018</v>
      </c>
      <c r="AG49" s="71"/>
      <c r="AH49" s="48"/>
      <c r="AJ49" s="293">
        <v>3508</v>
      </c>
      <c r="AK49" s="293">
        <v>2240</v>
      </c>
      <c r="AL49" s="293">
        <v>14</v>
      </c>
      <c r="AM49" s="293">
        <v>107</v>
      </c>
      <c r="AN49" s="293">
        <v>10.3</v>
      </c>
      <c r="AO49" s="294">
        <f t="shared" si="35"/>
        <v>64.813406654158939</v>
      </c>
      <c r="AP49" s="293">
        <v>300</v>
      </c>
      <c r="AR49" s="288">
        <f t="shared" si="36"/>
        <v>45224</v>
      </c>
      <c r="AS49" s="290">
        <v>4.4949584291526623</v>
      </c>
    </row>
    <row r="50" spans="1:45" x14ac:dyDescent="0.2">
      <c r="A50" s="107" t="s">
        <v>102</v>
      </c>
      <c r="B50" s="40" t="s">
        <v>128</v>
      </c>
      <c r="C50" s="201">
        <v>420</v>
      </c>
      <c r="D50" s="43">
        <v>1061.7935985096567</v>
      </c>
      <c r="E50" s="71">
        <v>1980</v>
      </c>
      <c r="F50" s="67">
        <v>15</v>
      </c>
      <c r="G50" s="39">
        <v>7495</v>
      </c>
      <c r="H50" s="39">
        <v>40</v>
      </c>
      <c r="I50" s="43">
        <v>611.00244958925373</v>
      </c>
      <c r="K50" s="223">
        <f t="shared" si="38"/>
        <v>865.79368515640601</v>
      </c>
      <c r="L50" s="39">
        <f t="shared" si="39"/>
        <v>80</v>
      </c>
      <c r="M50" s="39">
        <f t="shared" si="40"/>
        <v>2140</v>
      </c>
      <c r="N50" s="43">
        <f t="shared" si="41"/>
        <v>3005.7936851564059</v>
      </c>
      <c r="O50" s="39">
        <f t="shared" si="42"/>
        <v>11929.948460104255</v>
      </c>
      <c r="P50" s="43">
        <f t="shared" si="43"/>
        <v>779.58266345639811</v>
      </c>
      <c r="Q50" s="43">
        <f t="shared" si="44"/>
        <v>12709.531123560653</v>
      </c>
      <c r="R50" s="255">
        <f t="shared" si="37"/>
        <v>-0.28549971196533319</v>
      </c>
      <c r="AG50" s="71"/>
      <c r="AH50" s="48"/>
      <c r="AJ50" s="293">
        <v>5200</v>
      </c>
      <c r="AK50" s="293">
        <v>890</v>
      </c>
      <c r="AL50" s="293">
        <v>40</v>
      </c>
      <c r="AM50" s="293">
        <v>25</v>
      </c>
      <c r="AN50" s="293">
        <v>5.65</v>
      </c>
      <c r="AO50" s="294">
        <f t="shared" si="35"/>
        <v>6.4296959867569434</v>
      </c>
      <c r="AP50" s="293">
        <v>120</v>
      </c>
      <c r="AR50" s="288">
        <f t="shared" si="36"/>
        <v>73431</v>
      </c>
      <c r="AS50" s="289">
        <v>2.8120820906701529</v>
      </c>
    </row>
    <row r="51" spans="1:45" x14ac:dyDescent="0.2">
      <c r="A51" s="107" t="s">
        <v>61</v>
      </c>
      <c r="B51" s="40" t="s">
        <v>128</v>
      </c>
      <c r="C51" s="201">
        <v>192</v>
      </c>
      <c r="D51" s="43">
        <v>829.52624883566932</v>
      </c>
      <c r="E51" s="71">
        <v>1750</v>
      </c>
      <c r="F51" s="67">
        <v>12</v>
      </c>
      <c r="G51" s="39">
        <v>2300</v>
      </c>
      <c r="H51" s="39">
        <v>10</v>
      </c>
      <c r="I51" s="43">
        <v>432.04397542615305</v>
      </c>
      <c r="K51" s="223">
        <f t="shared" si="38"/>
        <v>994.5503173240038</v>
      </c>
      <c r="L51" s="39">
        <f t="shared" si="39"/>
        <v>80</v>
      </c>
      <c r="M51" s="39">
        <f t="shared" si="40"/>
        <v>1910</v>
      </c>
      <c r="N51" s="43">
        <f t="shared" si="41"/>
        <v>2904.550317324004</v>
      </c>
      <c r="O51" s="39">
        <f t="shared" si="42"/>
        <v>4117.1839662008988</v>
      </c>
      <c r="P51" s="43">
        <f t="shared" si="43"/>
        <v>243.2190420892351</v>
      </c>
      <c r="Q51" s="43">
        <f t="shared" si="44"/>
        <v>4360.4030082901336</v>
      </c>
      <c r="R51" s="255">
        <f t="shared" si="37"/>
        <v>-9.8904110706729984E-2</v>
      </c>
      <c r="AG51" s="71"/>
      <c r="AH51" s="48"/>
      <c r="AJ51" s="293">
        <v>5952</v>
      </c>
      <c r="AK51" s="293">
        <v>1530</v>
      </c>
      <c r="AL51" s="293">
        <v>40</v>
      </c>
      <c r="AM51" s="293">
        <v>55</v>
      </c>
      <c r="AN51" s="293">
        <v>5.65</v>
      </c>
      <c r="AO51" s="294">
        <f t="shared" si="35"/>
        <v>19.191229828999845</v>
      </c>
      <c r="AP51" s="293">
        <v>156</v>
      </c>
      <c r="AR51" s="288">
        <f t="shared" si="36"/>
        <v>25066</v>
      </c>
      <c r="AS51" s="289">
        <v>5.879039336152557</v>
      </c>
    </row>
    <row r="52" spans="1:45" x14ac:dyDescent="0.2">
      <c r="A52" s="107" t="s">
        <v>74</v>
      </c>
      <c r="B52" s="40" t="s">
        <v>128</v>
      </c>
      <c r="C52" s="201">
        <v>480</v>
      </c>
      <c r="D52" s="43">
        <v>1289.3207981902974</v>
      </c>
      <c r="E52" s="71">
        <v>1425</v>
      </c>
      <c r="F52" s="67">
        <v>10.5</v>
      </c>
      <c r="G52" s="39">
        <v>8474</v>
      </c>
      <c r="H52" s="39">
        <v>56</v>
      </c>
      <c r="I52" s="43">
        <v>471.30433487866492</v>
      </c>
      <c r="K52" s="223">
        <f t="shared" si="38"/>
        <v>712.29495351114417</v>
      </c>
      <c r="L52" s="39">
        <f t="shared" si="39"/>
        <v>65</v>
      </c>
      <c r="M52" s="39">
        <f t="shared" si="40"/>
        <v>1555</v>
      </c>
      <c r="N52" s="43">
        <f t="shared" si="41"/>
        <v>2267.2949535111443</v>
      </c>
      <c r="O52" s="39">
        <f t="shared" si="42"/>
        <v>12488.211743436006</v>
      </c>
      <c r="P52" s="43">
        <f t="shared" si="43"/>
        <v>512.58494510532012</v>
      </c>
      <c r="Q52" s="43">
        <f t="shared" si="44"/>
        <v>13000.796688541326</v>
      </c>
      <c r="R52" s="255">
        <f t="shared" si="37"/>
        <v>-9.9157194013155016E-3</v>
      </c>
      <c r="AG52" s="71"/>
      <c r="AH52" s="48"/>
      <c r="AJ52" s="293">
        <v>3638</v>
      </c>
      <c r="AK52" s="293">
        <v>1250</v>
      </c>
      <c r="AL52" s="293">
        <v>16</v>
      </c>
      <c r="AM52" s="293">
        <v>42</v>
      </c>
      <c r="AN52" s="293">
        <v>10.3</v>
      </c>
      <c r="AO52" s="294">
        <f t="shared" si="35"/>
        <v>23.854659267990641</v>
      </c>
      <c r="AP52" s="293">
        <v>150</v>
      </c>
      <c r="AR52" s="288">
        <f t="shared" si="36"/>
        <v>49628</v>
      </c>
      <c r="AS52" s="290">
        <v>3.8889336664786009</v>
      </c>
    </row>
    <row r="53" spans="1:45" x14ac:dyDescent="0.2">
      <c r="A53" s="107" t="s">
        <v>86</v>
      </c>
      <c r="B53" s="40" t="s">
        <v>128</v>
      </c>
      <c r="C53" s="201">
        <v>348</v>
      </c>
      <c r="D53" s="43">
        <v>1441.0055979773913</v>
      </c>
      <c r="E53" s="71">
        <v>1050</v>
      </c>
      <c r="F53" s="67">
        <v>10.5</v>
      </c>
      <c r="G53" s="39">
        <v>9290</v>
      </c>
      <c r="H53" s="39">
        <v>76</v>
      </c>
      <c r="I53" s="43">
        <v>498.25741902525203</v>
      </c>
      <c r="K53" s="223">
        <f t="shared" si="38"/>
        <v>642.66101636821554</v>
      </c>
      <c r="L53" s="39">
        <f t="shared" si="39"/>
        <v>65</v>
      </c>
      <c r="M53" s="39">
        <f t="shared" si="40"/>
        <v>1180</v>
      </c>
      <c r="N53" s="43">
        <f t="shared" si="41"/>
        <v>1822.6610163682155</v>
      </c>
      <c r="O53" s="39">
        <f t="shared" si="42"/>
        <v>8134.6865549476115</v>
      </c>
      <c r="P53" s="43">
        <f t="shared" si="43"/>
        <v>312.27556224981089</v>
      </c>
      <c r="Q53" s="43">
        <f t="shared" si="44"/>
        <v>8446.9621171974231</v>
      </c>
      <c r="R53" s="255">
        <f t="shared" si="37"/>
        <v>7.9208140692145546E-2</v>
      </c>
      <c r="AG53" s="71"/>
      <c r="AH53" s="48"/>
      <c r="AJ53" s="293">
        <v>6310</v>
      </c>
      <c r="AK53" s="293">
        <v>700</v>
      </c>
      <c r="AL53" s="293">
        <v>56</v>
      </c>
      <c r="AM53" s="293">
        <v>14.4</v>
      </c>
      <c r="AN53" s="293">
        <v>5.7</v>
      </c>
      <c r="AO53" s="294">
        <f t="shared" si="35"/>
        <v>4.144019333348596</v>
      </c>
      <c r="AP53" s="293">
        <v>96</v>
      </c>
      <c r="AR53" s="288">
        <f t="shared" si="36"/>
        <v>43324</v>
      </c>
      <c r="AS53" s="290">
        <v>3.0910119102575941</v>
      </c>
    </row>
    <row r="54" spans="1:45" x14ac:dyDescent="0.2">
      <c r="A54" s="107" t="s">
        <v>77</v>
      </c>
      <c r="B54" s="40" t="s">
        <v>128</v>
      </c>
      <c r="C54" s="201">
        <v>405</v>
      </c>
      <c r="D54" s="43">
        <v>1507.6438231265754</v>
      </c>
      <c r="E54" s="71">
        <v>920</v>
      </c>
      <c r="F54" s="67">
        <v>10.3</v>
      </c>
      <c r="G54" s="39">
        <v>9600</v>
      </c>
      <c r="H54" s="39">
        <v>72</v>
      </c>
      <c r="I54" s="43">
        <v>499.94041003305978</v>
      </c>
      <c r="K54" s="223">
        <f t="shared" si="38"/>
        <v>691.31613824865929</v>
      </c>
      <c r="L54" s="39">
        <f t="shared" si="39"/>
        <v>65</v>
      </c>
      <c r="M54" s="39">
        <f t="shared" si="40"/>
        <v>1050</v>
      </c>
      <c r="N54" s="43">
        <f t="shared" si="41"/>
        <v>1741.3161382486592</v>
      </c>
      <c r="O54" s="39">
        <f t="shared" si="42"/>
        <v>9462.8380521280997</v>
      </c>
      <c r="P54" s="43">
        <f t="shared" si="43"/>
        <v>347.43267505642899</v>
      </c>
      <c r="Q54" s="43">
        <f t="shared" si="44"/>
        <v>9810.2707271845284</v>
      </c>
      <c r="R54" s="255">
        <f t="shared" si="37"/>
        <v>-3.0414041590776007E-2</v>
      </c>
      <c r="AJ54" s="293">
        <v>10300</v>
      </c>
      <c r="AK54" s="293">
        <v>1110</v>
      </c>
      <c r="AL54" s="293">
        <v>80</v>
      </c>
      <c r="AM54" s="293">
        <v>45</v>
      </c>
      <c r="AN54" s="293">
        <v>10.3</v>
      </c>
      <c r="AO54" s="294">
        <f t="shared" si="35"/>
        <v>20.561411303401322</v>
      </c>
      <c r="AP54" s="293">
        <v>144</v>
      </c>
    </row>
    <row r="55" spans="1:45" x14ac:dyDescent="0.2">
      <c r="A55" s="107" t="s">
        <v>78</v>
      </c>
      <c r="B55" s="40" t="s">
        <v>128</v>
      </c>
      <c r="C55" s="201">
        <v>156</v>
      </c>
      <c r="D55" s="43">
        <v>2068.1780650582509</v>
      </c>
      <c r="E55" s="71">
        <v>2240</v>
      </c>
      <c r="F55" s="67">
        <v>10.3</v>
      </c>
      <c r="G55" s="39">
        <v>3508</v>
      </c>
      <c r="H55" s="39">
        <v>14</v>
      </c>
      <c r="I55" s="43">
        <v>585.54844172694482</v>
      </c>
      <c r="K55" s="223">
        <f t="shared" si="38"/>
        <v>1038.9813584800484</v>
      </c>
      <c r="L55" s="39">
        <f t="shared" si="39"/>
        <v>65</v>
      </c>
      <c r="M55" s="39">
        <f t="shared" si="40"/>
        <v>2370</v>
      </c>
      <c r="N55" s="43">
        <f t="shared" si="41"/>
        <v>3408.9813584800486</v>
      </c>
      <c r="O55" s="39">
        <f t="shared" si="42"/>
        <v>9788.74824427159</v>
      </c>
      <c r="P55" s="43">
        <f t="shared" si="43"/>
        <v>315.99986976561212</v>
      </c>
      <c r="Q55" s="43">
        <f t="shared" si="44"/>
        <v>10104.748114037202</v>
      </c>
      <c r="R55" s="255">
        <f t="shared" si="37"/>
        <v>-9.1789671576738993E-2</v>
      </c>
    </row>
    <row r="56" spans="1:45" x14ac:dyDescent="0.2">
      <c r="A56" s="107" t="s">
        <v>79</v>
      </c>
      <c r="B56" s="40" t="s">
        <v>128</v>
      </c>
      <c r="C56" s="201">
        <v>264</v>
      </c>
      <c r="D56" s="43">
        <v>880.91283062194952</v>
      </c>
      <c r="E56" s="71">
        <v>890</v>
      </c>
      <c r="F56" s="39">
        <v>5.65</v>
      </c>
      <c r="G56" s="39">
        <v>5200</v>
      </c>
      <c r="H56" s="39">
        <v>40</v>
      </c>
      <c r="I56" s="43">
        <v>209.62668021255598</v>
      </c>
      <c r="K56" s="223">
        <f t="shared" si="38"/>
        <v>689.92035376499848</v>
      </c>
      <c r="L56" s="39">
        <f t="shared" si="39"/>
        <v>50</v>
      </c>
      <c r="M56" s="39">
        <f t="shared" si="40"/>
        <v>990</v>
      </c>
      <c r="N56" s="43">
        <f t="shared" si="41"/>
        <v>1679.9203537649985</v>
      </c>
      <c r="O56" s="39">
        <f t="shared" si="42"/>
        <v>3477.0870306705747</v>
      </c>
      <c r="P56" s="43">
        <f t="shared" si="43"/>
        <v>91.409394617760995</v>
      </c>
      <c r="Q56" s="43">
        <f t="shared" si="44"/>
        <v>3568.4964252883356</v>
      </c>
      <c r="R56" s="255">
        <f t="shared" si="37"/>
        <v>-0.30098013216682945</v>
      </c>
      <c r="AJ56" s="40" t="s">
        <v>457</v>
      </c>
      <c r="AK56" s="40" t="s">
        <v>458</v>
      </c>
    </row>
    <row r="57" spans="1:45" x14ac:dyDescent="0.2">
      <c r="A57" s="107" t="s">
        <v>81</v>
      </c>
      <c r="B57" s="40" t="s">
        <v>128</v>
      </c>
      <c r="C57" s="201">
        <v>420</v>
      </c>
      <c r="D57" s="43">
        <v>969.00411368414461</v>
      </c>
      <c r="E57" s="71">
        <v>1530</v>
      </c>
      <c r="F57" s="67">
        <v>5.65</v>
      </c>
      <c r="G57" s="39">
        <v>5952</v>
      </c>
      <c r="H57" s="39">
        <v>40</v>
      </c>
      <c r="I57" s="43">
        <v>219.85831701946358</v>
      </c>
      <c r="K57" s="223">
        <f t="shared" si="38"/>
        <v>728.7263527753073</v>
      </c>
      <c r="L57" s="39">
        <f t="shared" si="39"/>
        <v>50</v>
      </c>
      <c r="M57" s="39">
        <f t="shared" si="40"/>
        <v>1630</v>
      </c>
      <c r="N57" s="43">
        <f t="shared" si="41"/>
        <v>2358.7263527753075</v>
      </c>
      <c r="O57" s="39">
        <f t="shared" si="42"/>
        <v>8543.6308843875358</v>
      </c>
      <c r="P57" s="43">
        <f t="shared" si="43"/>
        <v>218.05244645214307</v>
      </c>
      <c r="Q57" s="43">
        <f t="shared" si="44"/>
        <v>8761.6833308396781</v>
      </c>
      <c r="R57" s="255">
        <f t="shared" si="37"/>
        <v>-0.24773046013225053</v>
      </c>
      <c r="AI57" s="201" t="s">
        <v>456</v>
      </c>
      <c r="AJ57" s="48">
        <f>RSQ(LN(AP42:AP54),LN(AO42:AO54))</f>
        <v>0.90715915758511501</v>
      </c>
      <c r="AK57" s="45">
        <f>RSQ(AP42:AP54,AO42:AO54)</f>
        <v>0.99017209797043304</v>
      </c>
    </row>
    <row r="58" spans="1:45" x14ac:dyDescent="0.2">
      <c r="A58" s="107" t="s">
        <v>82</v>
      </c>
      <c r="B58" s="40" t="s">
        <v>127</v>
      </c>
      <c r="C58" s="201">
        <v>156</v>
      </c>
      <c r="D58" s="43">
        <v>1623.616424905543</v>
      </c>
      <c r="E58" s="71">
        <v>1250</v>
      </c>
      <c r="F58" s="67">
        <v>10.3</v>
      </c>
      <c r="G58" s="39">
        <v>3638</v>
      </c>
      <c r="H58" s="39">
        <v>16</v>
      </c>
      <c r="I58" s="43">
        <v>518.8126822315869</v>
      </c>
      <c r="K58" s="223">
        <f t="shared" si="38"/>
        <v>973.39774031430784</v>
      </c>
      <c r="L58" s="39">
        <f t="shared" si="39"/>
        <v>65</v>
      </c>
      <c r="M58" s="39">
        <f t="shared" si="40"/>
        <v>1380</v>
      </c>
      <c r="N58" s="43">
        <f t="shared" si="41"/>
        <v>2353.3977403143081</v>
      </c>
      <c r="O58" s="39">
        <f t="shared" si="42"/>
        <v>5305.0975390979456</v>
      </c>
      <c r="P58" s="43">
        <f t="shared" si="43"/>
        <v>190.66816713290825</v>
      </c>
      <c r="Q58" s="43">
        <f t="shared" si="44"/>
        <v>5495.7657062308535</v>
      </c>
      <c r="R58" s="255">
        <f t="shared" si="37"/>
        <v>-1.1197246090166689E-2</v>
      </c>
      <c r="AG58" s="185"/>
      <c r="AH58" s="185"/>
      <c r="AI58" s="185"/>
      <c r="AJ58" s="185"/>
      <c r="AK58" s="185"/>
      <c r="AL58" s="185"/>
      <c r="AM58" s="185"/>
      <c r="AN58" s="185"/>
      <c r="AO58" s="185"/>
      <c r="AP58" s="185"/>
    </row>
    <row r="59" spans="1:45" x14ac:dyDescent="0.2">
      <c r="A59" s="113" t="s">
        <v>62</v>
      </c>
      <c r="B59" s="40" t="s">
        <v>127</v>
      </c>
      <c r="C59" s="258">
        <v>240</v>
      </c>
      <c r="D59" s="71">
        <v>1067.3702455606526</v>
      </c>
      <c r="E59" s="71">
        <v>935</v>
      </c>
      <c r="F59" s="254">
        <v>3.5</v>
      </c>
      <c r="G59" s="48">
        <v>3853</v>
      </c>
      <c r="H59" s="48">
        <v>64</v>
      </c>
      <c r="I59" s="71">
        <v>154.7738874727508</v>
      </c>
      <c r="J59" s="48"/>
      <c r="K59" s="223">
        <f t="shared" si="38"/>
        <v>399.65667647713394</v>
      </c>
      <c r="L59" s="39">
        <f t="shared" si="39"/>
        <v>50</v>
      </c>
      <c r="M59" s="39">
        <f t="shared" si="40"/>
        <v>1035</v>
      </c>
      <c r="N59" s="43">
        <f t="shared" si="41"/>
        <v>1434.6566764771339</v>
      </c>
      <c r="O59" s="39">
        <f t="shared" si="42"/>
        <v>3270.8778376063178</v>
      </c>
      <c r="P59" s="43">
        <f t="shared" si="43"/>
        <v>51.830291476102175</v>
      </c>
      <c r="Q59" s="43">
        <f t="shared" si="44"/>
        <v>3322.7081290824199</v>
      </c>
      <c r="R59" s="255">
        <f t="shared" si="37"/>
        <v>-2.2732903211052979E-2</v>
      </c>
      <c r="AG59" s="185"/>
      <c r="AH59" s="185"/>
      <c r="AI59" s="185"/>
      <c r="AJ59" s="185"/>
      <c r="AK59" s="185"/>
      <c r="AL59" s="185"/>
      <c r="AM59" s="185"/>
      <c r="AN59" s="185"/>
      <c r="AO59" s="185"/>
      <c r="AP59" s="185"/>
    </row>
    <row r="60" spans="1:45" x14ac:dyDescent="0.2">
      <c r="A60" s="113" t="s">
        <v>63</v>
      </c>
      <c r="B60" s="40" t="s">
        <v>128</v>
      </c>
      <c r="C60" s="258">
        <v>336</v>
      </c>
      <c r="D60" s="71">
        <v>1075.4563837845969</v>
      </c>
      <c r="E60" s="71">
        <v>1190</v>
      </c>
      <c r="F60" s="254">
        <v>3</v>
      </c>
      <c r="G60" s="48">
        <v>5070</v>
      </c>
      <c r="H60" s="48">
        <v>80</v>
      </c>
      <c r="I60" s="71">
        <v>133.16489660076809</v>
      </c>
      <c r="J60" s="48"/>
      <c r="K60" s="223">
        <f t="shared" si="38"/>
        <v>450.20932352998136</v>
      </c>
      <c r="L60" s="39">
        <f t="shared" si="39"/>
        <v>50</v>
      </c>
      <c r="M60" s="39">
        <f t="shared" si="40"/>
        <v>1290</v>
      </c>
      <c r="N60" s="43">
        <f t="shared" si="41"/>
        <v>1740.2093235299812</v>
      </c>
      <c r="O60" s="39">
        <f t="shared" si="42"/>
        <v>5596.5910937647068</v>
      </c>
      <c r="P60" s="43">
        <f t="shared" si="43"/>
        <v>76.724393673620057</v>
      </c>
      <c r="Q60" s="43">
        <f t="shared" si="44"/>
        <v>5673.3154874383272</v>
      </c>
      <c r="R60" s="255">
        <f t="shared" si="37"/>
        <v>6.0234626693763255E-2</v>
      </c>
      <c r="AG60" s="185"/>
      <c r="AH60" s="185"/>
      <c r="AI60" s="185"/>
      <c r="AJ60" s="185"/>
      <c r="AK60" s="185"/>
      <c r="AL60" s="185"/>
      <c r="AM60" s="185"/>
      <c r="AN60" s="185"/>
      <c r="AO60" s="185"/>
      <c r="AP60" s="185"/>
    </row>
    <row r="61" spans="1:45" x14ac:dyDescent="0.2">
      <c r="A61" s="107" t="s">
        <v>80</v>
      </c>
      <c r="B61" s="40" t="s">
        <v>128</v>
      </c>
      <c r="C61" s="201">
        <v>312</v>
      </c>
      <c r="D61" s="43">
        <v>1005.9097249038851</v>
      </c>
      <c r="E61" s="71">
        <v>700</v>
      </c>
      <c r="F61" s="67">
        <v>5.7</v>
      </c>
      <c r="G61" s="39">
        <v>6310</v>
      </c>
      <c r="H61" s="39">
        <v>56</v>
      </c>
      <c r="I61" s="43">
        <v>225.9883233657805</v>
      </c>
      <c r="K61" s="223">
        <f t="shared" si="38"/>
        <v>619.19836975873432</v>
      </c>
      <c r="L61" s="39">
        <f t="shared" si="39"/>
        <v>50</v>
      </c>
      <c r="M61" s="39">
        <f t="shared" si="40"/>
        <v>800</v>
      </c>
      <c r="N61" s="43">
        <f t="shared" si="41"/>
        <v>1419.1983697587343</v>
      </c>
      <c r="O61" s="39">
        <f t="shared" si="42"/>
        <v>3964.1192545349149</v>
      </c>
      <c r="P61" s="43">
        <f t="shared" si="43"/>
        <v>97.242441712173303</v>
      </c>
      <c r="Q61" s="43">
        <f t="shared" si="44"/>
        <v>4061.3616962470883</v>
      </c>
      <c r="R61" s="255">
        <f t="shared" si="37"/>
        <v>-0.14008856738363576</v>
      </c>
      <c r="AG61" s="184"/>
      <c r="AH61" s="184"/>
      <c r="AI61" s="184"/>
      <c r="AJ61" s="184"/>
      <c r="AK61" s="184"/>
      <c r="AL61" s="184"/>
      <c r="AM61" s="184"/>
      <c r="AN61" s="184"/>
      <c r="AO61" s="184"/>
      <c r="AP61" s="184"/>
    </row>
    <row r="62" spans="1:45" x14ac:dyDescent="0.2">
      <c r="A62" s="107" t="s">
        <v>76</v>
      </c>
      <c r="B62" s="40" t="s">
        <v>128</v>
      </c>
      <c r="C62" s="201">
        <v>600</v>
      </c>
      <c r="D62" s="43">
        <v>869.79451334225519</v>
      </c>
      <c r="E62" s="71">
        <v>1110</v>
      </c>
      <c r="F62" s="67">
        <v>10.3</v>
      </c>
      <c r="G62" s="39">
        <v>10300</v>
      </c>
      <c r="H62" s="39">
        <v>80</v>
      </c>
      <c r="I62" s="43">
        <v>379.73200082732228</v>
      </c>
      <c r="K62" s="223">
        <f t="shared" si="38"/>
        <v>626.98443139672554</v>
      </c>
      <c r="L62" s="39">
        <f t="shared" si="39"/>
        <v>65</v>
      </c>
      <c r="M62" s="39">
        <f t="shared" si="40"/>
        <v>1240</v>
      </c>
      <c r="N62" s="43">
        <f t="shared" si="41"/>
        <v>1866.9844313967255</v>
      </c>
      <c r="O62" s="39">
        <f t="shared" si="42"/>
        <v>8671.5876316956637</v>
      </c>
      <c r="P62" s="43">
        <f t="shared" si="43"/>
        <v>420.88778923623164</v>
      </c>
      <c r="Q62" s="43">
        <f t="shared" si="44"/>
        <v>9092.4754209318962</v>
      </c>
      <c r="R62" s="255">
        <f t="shared" si="37"/>
        <v>-9.4645482332779432E-2</v>
      </c>
    </row>
    <row r="63" spans="1:45" x14ac:dyDescent="0.2">
      <c r="A63" s="250"/>
      <c r="B63" s="40"/>
      <c r="E63" s="71"/>
      <c r="H63" s="67"/>
      <c r="Q63" s="194"/>
      <c r="R63" s="217"/>
      <c r="AG63" s="184"/>
      <c r="AH63" s="184"/>
      <c r="AI63" s="184"/>
      <c r="AJ63" s="184"/>
      <c r="AK63" s="184"/>
      <c r="AL63" s="184"/>
      <c r="AM63" s="184"/>
      <c r="AN63" s="184"/>
      <c r="AO63" s="184"/>
      <c r="AP63" s="184"/>
    </row>
    <row r="64" spans="1:45" x14ac:dyDescent="0.2">
      <c r="A64" s="250"/>
      <c r="B64" s="40"/>
      <c r="E64" s="71"/>
      <c r="H64" s="67"/>
      <c r="Q64" s="194"/>
      <c r="R64" s="217"/>
    </row>
    <row r="65" spans="1:42" x14ac:dyDescent="0.2">
      <c r="A65" s="250"/>
      <c r="B65" s="40"/>
      <c r="E65" s="71"/>
      <c r="H65" s="67"/>
      <c r="Q65" s="194"/>
      <c r="R65" s="217"/>
    </row>
    <row r="66" spans="1:42" x14ac:dyDescent="0.2">
      <c r="A66" s="250"/>
      <c r="B66" s="40"/>
      <c r="E66" s="71"/>
      <c r="H66" s="67"/>
      <c r="Q66" s="194"/>
      <c r="R66" s="217"/>
      <c r="AG66" s="184"/>
      <c r="AH66" s="184"/>
      <c r="AI66" s="184"/>
      <c r="AJ66" s="184"/>
      <c r="AK66" s="184"/>
      <c r="AL66" s="184"/>
      <c r="AM66" s="184"/>
      <c r="AN66" s="184"/>
      <c r="AO66" s="184"/>
      <c r="AP66" s="184"/>
    </row>
    <row r="67" spans="1:42" x14ac:dyDescent="0.2">
      <c r="A67" s="250"/>
      <c r="B67" s="40"/>
      <c r="E67" s="71"/>
      <c r="H67" s="67"/>
      <c r="Q67" s="194"/>
      <c r="R67" s="217"/>
    </row>
    <row r="68" spans="1:42" x14ac:dyDescent="0.2">
      <c r="A68" s="250"/>
      <c r="B68" s="40"/>
      <c r="E68" s="71"/>
      <c r="H68" s="67"/>
      <c r="Q68" s="194"/>
      <c r="R68" s="217"/>
    </row>
    <row r="69" spans="1:42" x14ac:dyDescent="0.2">
      <c r="A69" s="250"/>
      <c r="B69" s="40"/>
      <c r="E69" s="71"/>
      <c r="H69" s="67"/>
      <c r="Q69" s="194"/>
      <c r="R69" s="217"/>
    </row>
    <row r="70" spans="1:42" x14ac:dyDescent="0.2">
      <c r="A70" s="250"/>
      <c r="B70" s="40"/>
      <c r="E70" s="71"/>
      <c r="H70" s="67"/>
      <c r="Q70" s="194"/>
      <c r="R70" s="217"/>
    </row>
    <row r="71" spans="1:42" x14ac:dyDescent="0.2">
      <c r="A71" s="250"/>
      <c r="B71" s="40"/>
      <c r="E71" s="71"/>
      <c r="H71" s="67"/>
      <c r="Q71" s="194"/>
      <c r="R71" s="217"/>
    </row>
    <row r="72" spans="1:42" x14ac:dyDescent="0.2">
      <c r="A72" s="250"/>
      <c r="B72" s="40"/>
      <c r="E72" s="71"/>
      <c r="H72" s="67"/>
      <c r="Q72" s="194"/>
      <c r="R72" s="217"/>
    </row>
    <row r="73" spans="1:42" x14ac:dyDescent="0.2">
      <c r="A73" s="68" t="s">
        <v>314</v>
      </c>
    </row>
    <row r="74" spans="1:42" x14ac:dyDescent="0.2">
      <c r="A74" s="68"/>
      <c r="H74" s="399" t="s">
        <v>328</v>
      </c>
      <c r="I74" s="400"/>
      <c r="J74" s="400"/>
      <c r="K74" s="400"/>
      <c r="L74" s="400"/>
      <c r="M74" s="400"/>
      <c r="N74" s="400"/>
      <c r="O74" s="400"/>
      <c r="P74" s="401"/>
    </row>
    <row r="75" spans="1:42" x14ac:dyDescent="0.2">
      <c r="A75" s="68" t="s">
        <v>312</v>
      </c>
      <c r="B75" s="186"/>
      <c r="C75" s="186"/>
      <c r="D75" s="186"/>
      <c r="E75" s="186"/>
      <c r="F75" s="186"/>
      <c r="G75" s="186"/>
      <c r="H75" s="186"/>
      <c r="I75" s="186"/>
      <c r="J75" s="186"/>
      <c r="K75" s="186"/>
      <c r="L75" s="186"/>
      <c r="M75" s="186"/>
      <c r="N75" s="186"/>
      <c r="O75" s="186"/>
      <c r="P75" s="186"/>
      <c r="Q75" s="186"/>
      <c r="R75" s="186"/>
      <c r="S75" s="186"/>
      <c r="T75" s="186"/>
      <c r="U75" s="186"/>
    </row>
    <row r="76" spans="1:42" s="185" customFormat="1" ht="41.25" customHeight="1" x14ac:dyDescent="0.25">
      <c r="A76" s="389" t="s">
        <v>316</v>
      </c>
      <c r="B76" s="203" t="s">
        <v>322</v>
      </c>
      <c r="C76" s="233" t="s">
        <v>317</v>
      </c>
      <c r="D76" s="204"/>
      <c r="E76" s="204"/>
      <c r="F76" s="204"/>
      <c r="G76" s="204"/>
      <c r="H76" s="404" t="s">
        <v>363</v>
      </c>
      <c r="I76" s="405"/>
      <c r="J76" s="405"/>
      <c r="K76" s="405"/>
      <c r="L76" s="405"/>
      <c r="M76" s="405"/>
      <c r="N76" s="405"/>
      <c r="O76" s="405"/>
      <c r="P76" s="405"/>
      <c r="Q76" s="405"/>
      <c r="R76" s="406"/>
    </row>
    <row r="77" spans="1:42" s="185" customFormat="1" x14ac:dyDescent="0.25">
      <c r="A77" s="390"/>
      <c r="B77" s="402" t="s">
        <v>318</v>
      </c>
      <c r="C77" s="402"/>
      <c r="D77" s="402"/>
      <c r="E77" s="402"/>
      <c r="F77" s="402"/>
      <c r="G77" s="402"/>
      <c r="H77" s="403"/>
      <c r="I77" s="403"/>
      <c r="J77" s="403"/>
      <c r="K77" s="403"/>
      <c r="L77" s="403"/>
      <c r="M77" s="403"/>
      <c r="N77" s="403"/>
      <c r="O77" s="403"/>
      <c r="P77" s="403"/>
    </row>
    <row r="78" spans="1:42" s="185" customFormat="1" x14ac:dyDescent="0.25">
      <c r="A78" s="391"/>
      <c r="B78" s="402" t="s">
        <v>339</v>
      </c>
      <c r="C78" s="402"/>
      <c r="D78" s="402"/>
      <c r="E78" s="402"/>
      <c r="F78" s="402"/>
      <c r="G78" s="402"/>
      <c r="H78" s="402"/>
      <c r="I78" s="402"/>
      <c r="J78" s="402"/>
      <c r="K78" s="402"/>
      <c r="L78" s="402"/>
      <c r="M78" s="402"/>
      <c r="N78" s="402"/>
      <c r="O78" s="402"/>
      <c r="P78" s="402"/>
    </row>
    <row r="79" spans="1:42" s="184" customFormat="1" ht="51.75" customHeight="1" x14ac:dyDescent="0.25">
      <c r="A79" s="383" t="s">
        <v>364</v>
      </c>
      <c r="B79" s="176" t="s">
        <v>299</v>
      </c>
      <c r="C79" s="176" t="s">
        <v>300</v>
      </c>
      <c r="D79" s="203" t="s">
        <v>306</v>
      </c>
      <c r="E79" s="176" t="s">
        <v>302</v>
      </c>
      <c r="F79" s="203" t="s">
        <v>303</v>
      </c>
      <c r="G79" s="206"/>
      <c r="H79" s="386" t="s">
        <v>464</v>
      </c>
      <c r="I79" s="386"/>
      <c r="J79" s="386"/>
      <c r="K79" s="386"/>
      <c r="L79" s="386"/>
      <c r="M79" s="386"/>
      <c r="N79" s="386"/>
      <c r="O79" s="386"/>
      <c r="P79" s="386"/>
      <c r="V79" s="185"/>
      <c r="W79" s="185"/>
    </row>
    <row r="80" spans="1:42" x14ac:dyDescent="0.2">
      <c r="A80" s="385"/>
      <c r="B80" s="388" t="s">
        <v>465</v>
      </c>
      <c r="C80" s="388"/>
      <c r="D80" s="388"/>
      <c r="E80" s="388"/>
      <c r="F80" s="388"/>
      <c r="G80" s="388"/>
      <c r="H80" s="388"/>
      <c r="I80" s="388"/>
      <c r="J80" s="388"/>
      <c r="K80" s="388"/>
      <c r="L80" s="388"/>
      <c r="M80" s="388"/>
      <c r="N80" s="388"/>
      <c r="O80" s="388"/>
      <c r="P80" s="388"/>
    </row>
    <row r="81" spans="1:23" s="184" customFormat="1" ht="51.75" customHeight="1" x14ac:dyDescent="0.25">
      <c r="A81" s="392" t="s">
        <v>306</v>
      </c>
      <c r="B81" s="205" t="s">
        <v>301</v>
      </c>
      <c r="C81" s="205" t="s">
        <v>354</v>
      </c>
      <c r="D81" s="205"/>
      <c r="E81" s="205"/>
      <c r="F81" s="207"/>
      <c r="G81" s="207"/>
      <c r="H81" s="386" t="s">
        <v>459</v>
      </c>
      <c r="I81" s="386"/>
      <c r="J81" s="386"/>
      <c r="K81" s="386"/>
      <c r="L81" s="386"/>
      <c r="M81" s="386"/>
      <c r="N81" s="386"/>
      <c r="O81" s="386"/>
      <c r="P81" s="386"/>
      <c r="V81" s="185"/>
      <c r="W81" s="185"/>
    </row>
    <row r="82" spans="1:23" x14ac:dyDescent="0.2">
      <c r="A82" s="393"/>
      <c r="B82" s="388" t="s">
        <v>355</v>
      </c>
      <c r="C82" s="388"/>
      <c r="D82" s="388"/>
      <c r="E82" s="388"/>
      <c r="F82" s="388"/>
      <c r="G82" s="388"/>
      <c r="H82" s="388"/>
      <c r="I82" s="388"/>
      <c r="J82" s="388"/>
      <c r="K82" s="388"/>
      <c r="L82" s="388"/>
      <c r="M82" s="388"/>
      <c r="N82" s="388"/>
      <c r="O82" s="388"/>
      <c r="P82" s="388"/>
    </row>
    <row r="83" spans="1:23" x14ac:dyDescent="0.2">
      <c r="A83" s="394"/>
      <c r="B83" s="388" t="s">
        <v>460</v>
      </c>
      <c r="C83" s="388"/>
      <c r="D83" s="388"/>
      <c r="E83" s="388"/>
      <c r="F83" s="388"/>
      <c r="G83" s="388"/>
      <c r="H83" s="388"/>
      <c r="I83" s="388"/>
      <c r="J83" s="388"/>
      <c r="K83" s="388"/>
      <c r="L83" s="388"/>
      <c r="M83" s="388"/>
      <c r="N83" s="388"/>
      <c r="O83" s="388"/>
      <c r="P83" s="388"/>
    </row>
    <row r="84" spans="1:23" s="184" customFormat="1" ht="51.75" customHeight="1" x14ac:dyDescent="0.25">
      <c r="A84" s="392" t="s">
        <v>303</v>
      </c>
      <c r="B84" s="203" t="s">
        <v>323</v>
      </c>
      <c r="C84" s="203" t="s">
        <v>324</v>
      </c>
      <c r="D84" s="206"/>
      <c r="E84" s="204"/>
      <c r="F84" s="204"/>
      <c r="G84" s="204"/>
      <c r="H84" s="416"/>
      <c r="I84" s="416"/>
      <c r="J84" s="416"/>
      <c r="K84" s="416"/>
      <c r="L84" s="416"/>
      <c r="M84" s="416"/>
      <c r="N84" s="416"/>
      <c r="O84" s="416"/>
      <c r="P84" s="416"/>
      <c r="V84" s="185"/>
      <c r="W84" s="185"/>
    </row>
    <row r="85" spans="1:23" x14ac:dyDescent="0.2">
      <c r="A85" s="394"/>
      <c r="B85" s="388" t="s">
        <v>325</v>
      </c>
      <c r="C85" s="388"/>
      <c r="D85" s="388"/>
      <c r="E85" s="388"/>
      <c r="F85" s="388"/>
      <c r="G85" s="388"/>
      <c r="H85" s="388"/>
      <c r="I85" s="388"/>
      <c r="J85" s="388"/>
      <c r="K85" s="388"/>
      <c r="L85" s="388"/>
      <c r="M85" s="388"/>
      <c r="N85" s="388"/>
      <c r="O85" s="388"/>
      <c r="P85" s="388"/>
    </row>
    <row r="86" spans="1:23" s="184" customFormat="1" ht="51.75" customHeight="1" x14ac:dyDescent="0.25">
      <c r="A86" s="392" t="s">
        <v>323</v>
      </c>
      <c r="B86" s="203" t="s">
        <v>304</v>
      </c>
      <c r="C86" s="206" t="s">
        <v>305</v>
      </c>
      <c r="D86" s="206"/>
      <c r="E86" s="204"/>
      <c r="F86" s="204"/>
      <c r="G86" s="204"/>
      <c r="H86" s="416" t="s">
        <v>448</v>
      </c>
      <c r="I86" s="416"/>
      <c r="J86" s="416"/>
      <c r="K86" s="416"/>
      <c r="L86" s="416"/>
      <c r="M86" s="416"/>
      <c r="N86" s="416"/>
      <c r="O86" s="416"/>
      <c r="P86" s="416"/>
      <c r="V86" s="185"/>
      <c r="W86" s="185"/>
    </row>
    <row r="87" spans="1:23" x14ac:dyDescent="0.2">
      <c r="A87" s="393"/>
      <c r="B87" s="388" t="s">
        <v>326</v>
      </c>
      <c r="C87" s="388"/>
      <c r="D87" s="388"/>
      <c r="E87" s="388"/>
      <c r="F87" s="388"/>
      <c r="G87" s="388"/>
      <c r="H87" s="388"/>
      <c r="I87" s="388"/>
      <c r="J87" s="388"/>
      <c r="K87" s="388"/>
      <c r="L87" s="388"/>
      <c r="M87" s="388"/>
      <c r="N87" s="388"/>
      <c r="O87" s="388"/>
      <c r="P87" s="388"/>
    </row>
    <row r="88" spans="1:23" x14ac:dyDescent="0.2">
      <c r="A88" s="394"/>
      <c r="B88" s="388" t="s">
        <v>449</v>
      </c>
      <c r="C88" s="388"/>
      <c r="D88" s="388"/>
      <c r="E88" s="388"/>
      <c r="F88" s="388"/>
      <c r="G88" s="388"/>
      <c r="H88" s="388"/>
      <c r="I88" s="388"/>
      <c r="J88" s="388"/>
      <c r="K88" s="388"/>
      <c r="L88" s="388"/>
      <c r="M88" s="388"/>
      <c r="N88" s="388"/>
      <c r="O88" s="388"/>
      <c r="P88" s="388"/>
    </row>
    <row r="89" spans="1:23" s="184" customFormat="1" ht="51.75" customHeight="1" x14ac:dyDescent="0.25">
      <c r="A89" s="392" t="s">
        <v>304</v>
      </c>
      <c r="B89" s="206" t="s">
        <v>329</v>
      </c>
      <c r="C89" s="206" t="s">
        <v>315</v>
      </c>
      <c r="D89" s="206" t="s">
        <v>330</v>
      </c>
      <c r="E89" s="202"/>
      <c r="F89" s="204"/>
      <c r="G89" s="204"/>
      <c r="H89" s="398"/>
      <c r="I89" s="398"/>
      <c r="J89" s="398"/>
      <c r="K89" s="398"/>
      <c r="L89" s="398"/>
      <c r="M89" s="398"/>
      <c r="N89" s="398"/>
      <c r="O89" s="398"/>
      <c r="P89" s="398"/>
      <c r="V89" s="185"/>
      <c r="W89" s="185"/>
    </row>
    <row r="90" spans="1:23" x14ac:dyDescent="0.2">
      <c r="A90" s="393"/>
      <c r="B90" s="388" t="s">
        <v>331</v>
      </c>
      <c r="C90" s="388"/>
      <c r="D90" s="388"/>
      <c r="E90" s="388"/>
      <c r="F90" s="388"/>
      <c r="G90" s="388"/>
      <c r="H90" s="388"/>
      <c r="I90" s="388"/>
      <c r="J90" s="388"/>
      <c r="K90" s="388"/>
      <c r="L90" s="388"/>
      <c r="M90" s="388"/>
      <c r="N90" s="388"/>
      <c r="O90" s="388"/>
      <c r="P90" s="388"/>
    </row>
    <row r="91" spans="1:23" x14ac:dyDescent="0.2">
      <c r="A91" s="394"/>
      <c r="B91" s="388" t="s">
        <v>332</v>
      </c>
      <c r="C91" s="388"/>
      <c r="D91" s="388"/>
      <c r="E91" s="388"/>
      <c r="F91" s="388"/>
      <c r="G91" s="388"/>
      <c r="H91" s="388"/>
      <c r="I91" s="388"/>
      <c r="J91" s="388"/>
      <c r="K91" s="388"/>
      <c r="L91" s="388"/>
      <c r="M91" s="388"/>
      <c r="N91" s="388"/>
      <c r="O91" s="388"/>
      <c r="P91" s="388"/>
    </row>
    <row r="92" spans="1:23" s="184" customFormat="1" ht="51.75" customHeight="1" x14ac:dyDescent="0.25">
      <c r="A92" s="392" t="s">
        <v>324</v>
      </c>
      <c r="B92" s="206" t="s">
        <v>323</v>
      </c>
      <c r="C92" s="206" t="s">
        <v>315</v>
      </c>
      <c r="D92" s="176" t="s">
        <v>327</v>
      </c>
      <c r="E92" s="202"/>
      <c r="F92" s="204"/>
      <c r="G92" s="204"/>
      <c r="H92" s="398" t="s">
        <v>351</v>
      </c>
      <c r="I92" s="398"/>
      <c r="J92" s="398"/>
      <c r="K92" s="398"/>
      <c r="L92" s="398"/>
      <c r="M92" s="398"/>
      <c r="N92" s="398"/>
      <c r="O92" s="398"/>
      <c r="P92" s="398"/>
      <c r="V92" s="185"/>
      <c r="W92" s="185"/>
    </row>
    <row r="93" spans="1:23" x14ac:dyDescent="0.2">
      <c r="A93" s="393"/>
      <c r="B93" s="388" t="s">
        <v>352</v>
      </c>
      <c r="C93" s="388"/>
      <c r="D93" s="388"/>
      <c r="E93" s="388"/>
      <c r="F93" s="388"/>
      <c r="G93" s="388"/>
      <c r="H93" s="388"/>
      <c r="I93" s="388"/>
      <c r="J93" s="388"/>
      <c r="K93" s="388"/>
      <c r="L93" s="388"/>
      <c r="M93" s="388"/>
      <c r="N93" s="388"/>
      <c r="O93" s="388"/>
      <c r="P93" s="388"/>
    </row>
    <row r="94" spans="1:23" x14ac:dyDescent="0.2">
      <c r="A94" s="394"/>
      <c r="B94" s="388" t="s">
        <v>333</v>
      </c>
      <c r="C94" s="388"/>
      <c r="D94" s="388"/>
      <c r="E94" s="388"/>
      <c r="F94" s="388"/>
      <c r="G94" s="388"/>
      <c r="H94" s="388"/>
      <c r="I94" s="388"/>
      <c r="J94" s="388"/>
      <c r="K94" s="388"/>
      <c r="L94" s="388"/>
      <c r="M94" s="388"/>
      <c r="N94" s="388"/>
      <c r="O94" s="388"/>
      <c r="P94" s="388"/>
    </row>
    <row r="95" spans="1:23" s="185" customFormat="1" x14ac:dyDescent="0.2">
      <c r="A95" s="39"/>
    </row>
    <row r="96" spans="1:23" x14ac:dyDescent="0.2">
      <c r="A96" s="68" t="s">
        <v>313</v>
      </c>
      <c r="B96" s="183"/>
      <c r="C96" s="183"/>
      <c r="D96" s="183"/>
    </row>
    <row r="97" spans="1:23" s="184" customFormat="1" ht="51.75" customHeight="1" x14ac:dyDescent="0.25">
      <c r="A97" s="383" t="s">
        <v>365</v>
      </c>
      <c r="B97" s="213" t="s">
        <v>364</v>
      </c>
      <c r="C97" s="213" t="s">
        <v>301</v>
      </c>
      <c r="D97" s="213" t="s">
        <v>300</v>
      </c>
      <c r="E97" s="213"/>
      <c r="F97" s="212"/>
      <c r="G97" s="212"/>
      <c r="H97" s="386"/>
      <c r="I97" s="386"/>
      <c r="J97" s="386"/>
      <c r="K97" s="386"/>
      <c r="L97" s="386"/>
      <c r="M97" s="386"/>
      <c r="N97" s="386"/>
      <c r="O97" s="386"/>
      <c r="P97" s="386"/>
      <c r="V97" s="185"/>
      <c r="W97" s="185"/>
    </row>
    <row r="98" spans="1:23" x14ac:dyDescent="0.2">
      <c r="A98" s="384"/>
      <c r="B98" s="388" t="s">
        <v>366</v>
      </c>
      <c r="C98" s="388"/>
      <c r="D98" s="388"/>
      <c r="E98" s="388"/>
      <c r="F98" s="388"/>
      <c r="G98" s="388"/>
      <c r="H98" s="388"/>
      <c r="I98" s="388"/>
      <c r="J98" s="388"/>
      <c r="K98" s="388"/>
      <c r="L98" s="388"/>
      <c r="M98" s="388"/>
      <c r="N98" s="388"/>
      <c r="O98" s="388"/>
      <c r="P98" s="388"/>
    </row>
    <row r="99" spans="1:23" x14ac:dyDescent="0.2">
      <c r="A99" s="385"/>
      <c r="B99" s="388" t="s">
        <v>367</v>
      </c>
      <c r="C99" s="388"/>
      <c r="D99" s="388"/>
      <c r="E99" s="388"/>
      <c r="F99" s="388"/>
      <c r="G99" s="388"/>
      <c r="H99" s="388"/>
      <c r="I99" s="388"/>
      <c r="J99" s="388"/>
      <c r="K99" s="388"/>
      <c r="L99" s="388"/>
      <c r="M99" s="388"/>
      <c r="N99" s="388"/>
      <c r="O99" s="388"/>
      <c r="P99" s="388"/>
    </row>
    <row r="101" spans="1:23" x14ac:dyDescent="0.2">
      <c r="A101" s="68" t="s">
        <v>374</v>
      </c>
      <c r="B101" s="183"/>
      <c r="C101" s="183"/>
      <c r="D101" s="183"/>
    </row>
    <row r="102" spans="1:23" s="184" customFormat="1" ht="54" customHeight="1" x14ac:dyDescent="0.25">
      <c r="A102" s="383" t="s">
        <v>376</v>
      </c>
      <c r="B102" s="203" t="s">
        <v>375</v>
      </c>
      <c r="C102" s="212" t="s">
        <v>377</v>
      </c>
      <c r="D102" s="202"/>
      <c r="E102" s="213"/>
      <c r="F102" s="212"/>
      <c r="G102" s="212"/>
      <c r="H102" s="386"/>
      <c r="I102" s="386"/>
      <c r="J102" s="386"/>
      <c r="K102" s="386"/>
      <c r="L102" s="386"/>
      <c r="M102" s="386"/>
      <c r="N102" s="386"/>
      <c r="O102" s="386"/>
      <c r="P102" s="386"/>
      <c r="V102" s="185"/>
      <c r="W102" s="185"/>
    </row>
    <row r="103" spans="1:23" x14ac:dyDescent="0.2">
      <c r="A103" s="384"/>
      <c r="B103" s="388" t="s">
        <v>378</v>
      </c>
      <c r="C103" s="388"/>
      <c r="D103" s="388"/>
      <c r="E103" s="388"/>
      <c r="F103" s="388"/>
      <c r="G103" s="388"/>
      <c r="H103" s="388"/>
      <c r="I103" s="388"/>
      <c r="J103" s="388"/>
      <c r="K103" s="388"/>
      <c r="L103" s="388"/>
      <c r="M103" s="388"/>
      <c r="N103" s="388"/>
      <c r="O103" s="388"/>
      <c r="P103" s="388"/>
    </row>
    <row r="104" spans="1:23" x14ac:dyDescent="0.2">
      <c r="A104" s="385"/>
      <c r="B104" s="388" t="s">
        <v>380</v>
      </c>
      <c r="C104" s="388"/>
      <c r="D104" s="388"/>
      <c r="E104" s="388"/>
      <c r="F104" s="388"/>
      <c r="G104" s="388"/>
      <c r="H104" s="388"/>
      <c r="I104" s="388"/>
      <c r="J104" s="388"/>
      <c r="K104" s="388"/>
      <c r="L104" s="388"/>
      <c r="M104" s="388"/>
      <c r="N104" s="388"/>
      <c r="O104" s="388"/>
      <c r="P104" s="388"/>
    </row>
    <row r="105" spans="1:23" s="184" customFormat="1" ht="54" customHeight="1" x14ac:dyDescent="0.25">
      <c r="A105" s="383" t="s">
        <v>375</v>
      </c>
      <c r="B105" s="213" t="s">
        <v>364</v>
      </c>
      <c r="C105" s="213" t="s">
        <v>365</v>
      </c>
      <c r="D105" s="213"/>
      <c r="E105" s="213"/>
      <c r="F105" s="212"/>
      <c r="G105" s="212"/>
      <c r="H105" s="386"/>
      <c r="I105" s="386"/>
      <c r="J105" s="386"/>
      <c r="K105" s="386"/>
      <c r="L105" s="386"/>
      <c r="M105" s="386"/>
      <c r="N105" s="386"/>
      <c r="O105" s="386"/>
      <c r="P105" s="386"/>
      <c r="V105" s="185"/>
      <c r="W105" s="185"/>
    </row>
    <row r="106" spans="1:23" x14ac:dyDescent="0.2">
      <c r="A106" s="385"/>
      <c r="B106" s="388" t="s">
        <v>379</v>
      </c>
      <c r="C106" s="388"/>
      <c r="D106" s="388"/>
      <c r="E106" s="388"/>
      <c r="F106" s="388"/>
      <c r="G106" s="388"/>
      <c r="H106" s="388"/>
      <c r="I106" s="388"/>
      <c r="J106" s="388"/>
      <c r="K106" s="388"/>
      <c r="L106" s="388"/>
      <c r="M106" s="388"/>
      <c r="N106" s="388"/>
      <c r="O106" s="388"/>
      <c r="P106" s="388"/>
    </row>
    <row r="107" spans="1:23" s="184" customFormat="1" x14ac:dyDescent="0.25">
      <c r="A107" s="199"/>
      <c r="B107" s="175"/>
      <c r="C107" s="175"/>
      <c r="D107" s="185"/>
      <c r="F107" s="185"/>
      <c r="G107" s="185"/>
    </row>
    <row r="108" spans="1:23" x14ac:dyDescent="0.2">
      <c r="A108" s="68" t="s">
        <v>386</v>
      </c>
      <c r="B108" s="183"/>
      <c r="C108" s="183"/>
      <c r="D108" s="183"/>
    </row>
    <row r="109" spans="1:23" s="184" customFormat="1" ht="54" customHeight="1" x14ac:dyDescent="0.25">
      <c r="A109" s="383" t="s">
        <v>387</v>
      </c>
      <c r="B109" s="203" t="s">
        <v>388</v>
      </c>
      <c r="C109" s="203" t="s">
        <v>389</v>
      </c>
      <c r="D109" s="229" t="s">
        <v>390</v>
      </c>
      <c r="E109" s="229" t="s">
        <v>391</v>
      </c>
      <c r="F109" s="228"/>
      <c r="G109" s="228"/>
      <c r="H109" s="386"/>
      <c r="I109" s="386"/>
      <c r="J109" s="386"/>
      <c r="K109" s="386"/>
      <c r="L109" s="386"/>
      <c r="M109" s="386"/>
      <c r="N109" s="386"/>
      <c r="O109" s="386"/>
      <c r="P109" s="386"/>
      <c r="V109" s="185"/>
      <c r="W109" s="185"/>
    </row>
    <row r="110" spans="1:23" x14ac:dyDescent="0.2">
      <c r="A110" s="384"/>
      <c r="B110" s="388" t="s">
        <v>392</v>
      </c>
      <c r="C110" s="388"/>
      <c r="D110" s="388"/>
      <c r="E110" s="388"/>
      <c r="F110" s="388"/>
      <c r="G110" s="388"/>
      <c r="H110" s="388"/>
      <c r="I110" s="388"/>
      <c r="J110" s="388"/>
      <c r="K110" s="388"/>
      <c r="L110" s="388"/>
      <c r="M110" s="388"/>
      <c r="N110" s="388"/>
      <c r="O110" s="388"/>
      <c r="P110" s="388"/>
    </row>
    <row r="111" spans="1:23" x14ac:dyDescent="0.2">
      <c r="A111" s="384"/>
      <c r="B111" s="388" t="s">
        <v>393</v>
      </c>
      <c r="C111" s="388"/>
      <c r="D111" s="388"/>
      <c r="E111" s="388"/>
      <c r="F111" s="388"/>
      <c r="G111" s="388"/>
      <c r="H111" s="388"/>
      <c r="I111" s="388"/>
      <c r="J111" s="388"/>
      <c r="K111" s="388"/>
      <c r="L111" s="388"/>
      <c r="M111" s="388"/>
      <c r="N111" s="388"/>
      <c r="O111" s="388"/>
      <c r="P111" s="388"/>
    </row>
    <row r="112" spans="1:23" x14ac:dyDescent="0.2">
      <c r="A112" s="385"/>
      <c r="B112" s="388" t="s">
        <v>394</v>
      </c>
      <c r="C112" s="388"/>
      <c r="D112" s="388"/>
      <c r="E112" s="388"/>
      <c r="F112" s="388"/>
      <c r="G112" s="388"/>
      <c r="H112" s="388"/>
      <c r="I112" s="388"/>
      <c r="J112" s="388"/>
      <c r="K112" s="388"/>
      <c r="L112" s="388"/>
      <c r="M112" s="388"/>
      <c r="N112" s="388"/>
      <c r="O112" s="388"/>
      <c r="P112" s="388"/>
    </row>
    <row r="113" spans="1:23" s="184" customFormat="1" ht="54" customHeight="1" x14ac:dyDescent="0.25">
      <c r="A113" s="383" t="str">
        <f>B109</f>
        <v>Bars copper weight (WBC)</v>
      </c>
      <c r="B113" s="229" t="str">
        <f>E79</f>
        <v>Slot number (NS)</v>
      </c>
      <c r="C113" s="229" t="str">
        <f>A86</f>
        <v>Copper section (CS)</v>
      </c>
      <c r="D113" s="203" t="s">
        <v>396</v>
      </c>
      <c r="E113" s="229"/>
      <c r="F113" s="228"/>
      <c r="G113" s="228"/>
      <c r="H113" s="386"/>
      <c r="I113" s="386"/>
      <c r="J113" s="386"/>
      <c r="K113" s="386"/>
      <c r="L113" s="386"/>
      <c r="M113" s="386"/>
      <c r="N113" s="386"/>
      <c r="O113" s="386"/>
      <c r="P113" s="386"/>
      <c r="V113" s="185"/>
      <c r="W113" s="185"/>
    </row>
    <row r="114" spans="1:23" x14ac:dyDescent="0.2">
      <c r="A114" s="385"/>
      <c r="B114" s="388" t="s">
        <v>395</v>
      </c>
      <c r="C114" s="388"/>
      <c r="D114" s="388"/>
      <c r="E114" s="388"/>
      <c r="F114" s="388"/>
      <c r="G114" s="388"/>
      <c r="H114" s="388"/>
      <c r="I114" s="388"/>
      <c r="J114" s="388"/>
      <c r="K114" s="388"/>
      <c r="L114" s="388"/>
      <c r="M114" s="388"/>
      <c r="N114" s="388"/>
      <c r="O114" s="388"/>
      <c r="P114" s="388"/>
    </row>
    <row r="115" spans="1:23" s="184" customFormat="1" ht="54" customHeight="1" x14ac:dyDescent="0.25">
      <c r="A115" s="383" t="str">
        <f>D113</f>
        <v>Bars length (LB)</v>
      </c>
      <c r="B115" s="203" t="s">
        <v>397</v>
      </c>
      <c r="C115" s="203" t="s">
        <v>398</v>
      </c>
      <c r="E115" s="229"/>
      <c r="F115" s="228"/>
      <c r="G115" s="228"/>
      <c r="H115" s="386"/>
      <c r="I115" s="386"/>
      <c r="J115" s="386"/>
      <c r="K115" s="386"/>
      <c r="L115" s="386"/>
      <c r="M115" s="386"/>
      <c r="N115" s="386"/>
      <c r="O115" s="386"/>
      <c r="P115" s="386"/>
      <c r="V115" s="185"/>
      <c r="W115" s="185"/>
    </row>
    <row r="116" spans="1:23" x14ac:dyDescent="0.2">
      <c r="A116" s="385"/>
      <c r="B116" s="388" t="s">
        <v>403</v>
      </c>
      <c r="C116" s="388"/>
      <c r="D116" s="388"/>
      <c r="E116" s="388"/>
      <c r="F116" s="388"/>
      <c r="G116" s="388"/>
      <c r="H116" s="388"/>
      <c r="I116" s="388"/>
      <c r="J116" s="388"/>
      <c r="K116" s="388"/>
      <c r="L116" s="388"/>
      <c r="M116" s="388"/>
      <c r="N116" s="388"/>
      <c r="O116" s="388"/>
      <c r="P116" s="388"/>
    </row>
    <row r="117" spans="1:23" s="184" customFormat="1" ht="54" customHeight="1" x14ac:dyDescent="0.25">
      <c r="A117" s="383" t="str">
        <f>B115</f>
        <v>Straight part length (LSP)</v>
      </c>
      <c r="B117" s="229" t="str">
        <f>B81</f>
        <v>Iron length (L)</v>
      </c>
      <c r="C117" s="229" t="s">
        <v>400</v>
      </c>
      <c r="D117" s="229" t="str">
        <f>C89</f>
        <v>Voltage (V)</v>
      </c>
      <c r="E117" s="229"/>
      <c r="F117" s="228"/>
      <c r="G117" s="228"/>
      <c r="H117" s="418" t="s">
        <v>399</v>
      </c>
      <c r="I117" s="419"/>
      <c r="J117" s="419"/>
      <c r="K117" s="419"/>
      <c r="L117" s="419"/>
      <c r="M117" s="419"/>
      <c r="N117" s="419"/>
      <c r="O117" s="419"/>
      <c r="P117" s="420"/>
      <c r="V117" s="185"/>
      <c r="W117" s="185"/>
    </row>
    <row r="118" spans="1:23" x14ac:dyDescent="0.2">
      <c r="A118" s="384"/>
      <c r="B118" s="421" t="s">
        <v>409</v>
      </c>
      <c r="C118" s="422"/>
      <c r="D118" s="422"/>
      <c r="E118" s="422"/>
      <c r="F118" s="422"/>
      <c r="G118" s="422"/>
      <c r="H118" s="422"/>
      <c r="I118" s="422"/>
      <c r="J118" s="422"/>
      <c r="K118" s="422"/>
      <c r="L118" s="422"/>
      <c r="M118" s="422"/>
      <c r="N118" s="422"/>
      <c r="O118" s="422"/>
      <c r="P118" s="423"/>
    </row>
    <row r="119" spans="1:23" x14ac:dyDescent="0.2">
      <c r="A119" s="385"/>
      <c r="B119" s="421" t="s">
        <v>401</v>
      </c>
      <c r="C119" s="422"/>
      <c r="D119" s="422"/>
      <c r="E119" s="422"/>
      <c r="F119" s="422"/>
      <c r="G119" s="422"/>
      <c r="H119" s="422"/>
      <c r="I119" s="422"/>
      <c r="J119" s="422"/>
      <c r="K119" s="422"/>
      <c r="L119" s="422"/>
      <c r="M119" s="422"/>
      <c r="N119" s="422"/>
      <c r="O119" s="422"/>
      <c r="P119" s="423"/>
    </row>
    <row r="120" spans="1:23" s="184" customFormat="1" ht="54" customHeight="1" x14ac:dyDescent="0.25">
      <c r="A120" s="383" t="str">
        <f>C115</f>
        <v>End part length (LEP)</v>
      </c>
      <c r="B120" s="229" t="str">
        <f>C79</f>
        <v>Bore Ø (D)</v>
      </c>
      <c r="C120" s="229" t="str">
        <f>E79</f>
        <v>Slot number (NS)</v>
      </c>
      <c r="D120" s="229" t="s">
        <v>402</v>
      </c>
      <c r="E120" s="229"/>
      <c r="F120" s="228"/>
      <c r="G120" s="228"/>
      <c r="H120" s="386" t="s">
        <v>406</v>
      </c>
      <c r="I120" s="386"/>
      <c r="J120" s="386"/>
      <c r="K120" s="386"/>
      <c r="L120" s="386"/>
      <c r="M120" s="386"/>
      <c r="N120" s="386"/>
      <c r="O120" s="386"/>
      <c r="P120" s="386"/>
      <c r="V120" s="185"/>
      <c r="W120" s="185"/>
    </row>
    <row r="121" spans="1:23" x14ac:dyDescent="0.2">
      <c r="A121" s="385"/>
      <c r="B121" s="388" t="s">
        <v>407</v>
      </c>
      <c r="C121" s="388"/>
      <c r="D121" s="388"/>
      <c r="E121" s="388"/>
      <c r="F121" s="388"/>
      <c r="G121" s="388"/>
      <c r="H121" s="388"/>
      <c r="I121" s="388"/>
      <c r="J121" s="388"/>
      <c r="K121" s="388"/>
      <c r="L121" s="388"/>
      <c r="M121" s="388"/>
      <c r="N121" s="388"/>
      <c r="O121" s="388"/>
      <c r="P121" s="388"/>
    </row>
    <row r="122" spans="1:23" s="184" customFormat="1" ht="54" customHeight="1" x14ac:dyDescent="0.25">
      <c r="A122" s="383" t="str">
        <f>C109</f>
        <v>Bars insulation weight (WBI)</v>
      </c>
      <c r="B122" s="199" t="str">
        <f>E79</f>
        <v>Slot number (NS)</v>
      </c>
      <c r="C122" s="229" t="str">
        <f>A92</f>
        <v>Insulation section (IS)</v>
      </c>
      <c r="D122" s="229" t="str">
        <f>A115</f>
        <v>Bars length (LB)</v>
      </c>
      <c r="E122" s="229"/>
      <c r="F122" s="228"/>
      <c r="G122" s="228"/>
      <c r="H122" s="386" t="s">
        <v>417</v>
      </c>
      <c r="I122" s="386"/>
      <c r="J122" s="386"/>
      <c r="K122" s="386"/>
      <c r="L122" s="386"/>
      <c r="M122" s="386"/>
      <c r="N122" s="386"/>
      <c r="O122" s="386"/>
      <c r="P122" s="386"/>
      <c r="V122" s="185"/>
      <c r="W122" s="185"/>
    </row>
    <row r="123" spans="1:23" x14ac:dyDescent="0.2">
      <c r="A123" s="385"/>
      <c r="B123" s="388" t="s">
        <v>416</v>
      </c>
      <c r="C123" s="388"/>
      <c r="D123" s="388"/>
      <c r="E123" s="388"/>
      <c r="F123" s="388"/>
      <c r="G123" s="388"/>
      <c r="H123" s="388"/>
      <c r="I123" s="388"/>
      <c r="J123" s="388"/>
      <c r="K123" s="388"/>
      <c r="L123" s="388"/>
      <c r="M123" s="388"/>
      <c r="N123" s="388"/>
      <c r="O123" s="388"/>
      <c r="P123" s="388"/>
    </row>
  </sheetData>
  <scenarios current="1">
    <scenario name="Clamping/Laminations (kg)" count="2" user="WAQUET Yves" comment="Créé par WAQUET Yves le 9/10/2014">
      <inputCells r="AH4" val="2.41611242487973"/>
      <inputCells r="AH5" val="-0.790631802062114"/>
    </scenario>
    <scenario name="Clamping kg" count="2" user="WAQUET Yves" comment="Créé par WAQUET Yves le 9/10/2014">
      <inputCells r="AH4" val="2.41611242487973"/>
      <inputCells r="AH5" val="-0.790631802062114"/>
    </scenario>
  </scenarios>
  <mergeCells count="75">
    <mergeCell ref="K46:R46"/>
    <mergeCell ref="A122:A123"/>
    <mergeCell ref="H122:P122"/>
    <mergeCell ref="B123:P123"/>
    <mergeCell ref="A115:A116"/>
    <mergeCell ref="H115:P115"/>
    <mergeCell ref="B116:P116"/>
    <mergeCell ref="A120:A121"/>
    <mergeCell ref="H120:P120"/>
    <mergeCell ref="B121:P121"/>
    <mergeCell ref="H117:P117"/>
    <mergeCell ref="B119:P119"/>
    <mergeCell ref="B118:P118"/>
    <mergeCell ref="A117:A119"/>
    <mergeCell ref="A113:A114"/>
    <mergeCell ref="H113:P113"/>
    <mergeCell ref="B114:P114"/>
    <mergeCell ref="B111:P111"/>
    <mergeCell ref="A109:A112"/>
    <mergeCell ref="B112:P112"/>
    <mergeCell ref="H109:P109"/>
    <mergeCell ref="B110:P110"/>
    <mergeCell ref="B106:P106"/>
    <mergeCell ref="H97:P97"/>
    <mergeCell ref="B99:P99"/>
    <mergeCell ref="B98:P98"/>
    <mergeCell ref="X3:Y3"/>
    <mergeCell ref="B91:P91"/>
    <mergeCell ref="B94:P94"/>
    <mergeCell ref="H92:P92"/>
    <mergeCell ref="B88:P88"/>
    <mergeCell ref="B90:P90"/>
    <mergeCell ref="H86:P86"/>
    <mergeCell ref="H84:P84"/>
    <mergeCell ref="B26:L26"/>
    <mergeCell ref="Y43:Z43"/>
    <mergeCell ref="M26:AE26"/>
    <mergeCell ref="H3:J3"/>
    <mergeCell ref="K3:L3"/>
    <mergeCell ref="P3:R3"/>
    <mergeCell ref="S3:U3"/>
    <mergeCell ref="V3:W3"/>
    <mergeCell ref="M3:O3"/>
    <mergeCell ref="A81:A83"/>
    <mergeCell ref="E2:O2"/>
    <mergeCell ref="H89:P89"/>
    <mergeCell ref="H79:P79"/>
    <mergeCell ref="H74:P74"/>
    <mergeCell ref="B77:P77"/>
    <mergeCell ref="H76:R76"/>
    <mergeCell ref="H81:P81"/>
    <mergeCell ref="B83:P83"/>
    <mergeCell ref="B82:P82"/>
    <mergeCell ref="B3:D3"/>
    <mergeCell ref="B78:P78"/>
    <mergeCell ref="B80:P80"/>
    <mergeCell ref="B85:P85"/>
    <mergeCell ref="P2:Y2"/>
    <mergeCell ref="E3:G3"/>
    <mergeCell ref="A97:A99"/>
    <mergeCell ref="H105:P105"/>
    <mergeCell ref="B46:J46"/>
    <mergeCell ref="A102:A104"/>
    <mergeCell ref="H102:P102"/>
    <mergeCell ref="B103:P103"/>
    <mergeCell ref="B104:P104"/>
    <mergeCell ref="A105:A106"/>
    <mergeCell ref="A76:A78"/>
    <mergeCell ref="B87:P87"/>
    <mergeCell ref="A86:A88"/>
    <mergeCell ref="B93:P93"/>
    <mergeCell ref="A92:A94"/>
    <mergeCell ref="A79:A80"/>
    <mergeCell ref="A84:A85"/>
    <mergeCell ref="A89:A91"/>
  </mergeCells>
  <pageMargins left="0.7" right="0.7" top="0.75" bottom="0.75" header="0.3" footer="0.3"/>
  <pageSetup orientation="portrait" r:id="rId1"/>
  <ignoredErrors>
    <ignoredError sqref="J22" formulaRange="1"/>
  </ignoredErrors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Projects</vt:lpstr>
      <vt:lpstr>Material Analysis</vt:lpstr>
      <vt:lpstr>Analysis - Belfort (old)</vt:lpstr>
      <vt:lpstr>Curves - Belfort (old)</vt:lpstr>
      <vt:lpstr>Global analysis (old)</vt:lpstr>
      <vt:lpstr>Material curves "DL" (old)</vt:lpstr>
      <vt:lpstr>Material curves "D²L" (old)</vt:lpstr>
      <vt:lpstr>Material costs per kg (old)</vt:lpstr>
      <vt:lpstr>Parameters (old)</vt:lpstr>
      <vt:lpstr>Feuil1</vt:lpstr>
      <vt:lpstr>xMC</vt:lpstr>
      <vt:lpstr>yMC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WAQUET Yves</dc:creator>
  <cp:lastModifiedBy>WAQUET Yves</cp:lastModifiedBy>
  <cp:lastPrinted>2014-05-16T12:45:26Z</cp:lastPrinted>
  <dcterms:created xsi:type="dcterms:W3CDTF">2014-05-15T06:39:00Z</dcterms:created>
  <dcterms:modified xsi:type="dcterms:W3CDTF">2015-01-21T12:15:01Z</dcterms:modified>
</cp:coreProperties>
</file>