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DB1283E-2C1B-46AA-A6F9-F15A6D0B8792}" xr6:coauthVersionLast="47" xr6:coauthVersionMax="47" xr10:uidLastSave="{00000000-0000-0000-0000-000000000000}"/>
  <bookViews>
    <workbookView xWindow="-120" yWindow="-120" windowWidth="29040" windowHeight="15720" xr2:uid="{2B9C02B5-62C2-4994-AB0D-FF1E115F3A38}"/>
  </bookViews>
  <sheets>
    <sheet name="Data" sheetId="2" r:id="rId1"/>
    <sheet name="CALCUL" sheetId="1" r:id="rId2"/>
  </sheets>
  <definedNames>
    <definedName name="_xlnm._FilterDatabase" localSheetId="0" hidden="1">Data!$A$1:$F$27</definedName>
    <definedName name="employe">CALCUL!$B$15</definedName>
    <definedName name="salaire">CALCUL!$G$15</definedName>
    <definedName name="total">CALCUL!$L$32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L2" i="2" l="1" a="1"/>
  <c r="AL2" i="2" s="1"/>
  <c r="AL3" i="2" a="1"/>
  <c r="AL3" i="2"/>
  <c r="AN3" i="2" s="1"/>
  <c r="AO3" i="2" s="1"/>
  <c r="AL4" i="2" a="1"/>
  <c r="AL4" i="2" s="1"/>
  <c r="AN4" i="2" s="1"/>
  <c r="AO4" i="2" s="1"/>
  <c r="AL5" i="2" a="1"/>
  <c r="AL5" i="2"/>
  <c r="AN5" i="2" s="1"/>
  <c r="AL6" i="2" a="1"/>
  <c r="AL6" i="2" s="1"/>
  <c r="AN6" i="2" s="1"/>
  <c r="AO6" i="2" s="1"/>
  <c r="AL7" i="2" a="1"/>
  <c r="AL7" i="2"/>
  <c r="AN7" i="2" s="1"/>
  <c r="AO7" i="2" s="1"/>
  <c r="AL8" i="2" a="1"/>
  <c r="AL8" i="2" s="1"/>
  <c r="AL9" i="2" a="1"/>
  <c r="AL9" i="2"/>
  <c r="AN9" i="2" s="1"/>
  <c r="AL10" i="2" a="1"/>
  <c r="AL10" i="2" s="1"/>
  <c r="AN10" i="2" s="1"/>
  <c r="AO10" i="2" s="1"/>
  <c r="AL11" i="2" a="1"/>
  <c r="AL11" i="2"/>
  <c r="AL12" i="2" a="1"/>
  <c r="AL12" i="2" s="1"/>
  <c r="AN12" i="2" s="1"/>
  <c r="AL13" i="2" a="1"/>
  <c r="AL13" i="2"/>
  <c r="AN13" i="2" s="1"/>
  <c r="AL14" i="2" a="1"/>
  <c r="AL14" i="2" s="1"/>
  <c r="AN14" i="2" s="1"/>
  <c r="AO14" i="2" s="1"/>
  <c r="AL15" i="2" a="1"/>
  <c r="AL15" i="2"/>
  <c r="AL16" i="2" a="1"/>
  <c r="AL16" i="2" s="1"/>
  <c r="AN16" i="2" s="1"/>
  <c r="AO16" i="2" s="1"/>
  <c r="AL17" i="2" a="1"/>
  <c r="AL17" i="2"/>
  <c r="AN17" i="2" s="1"/>
  <c r="AO17" i="2" s="1"/>
  <c r="AP17" i="2" s="1"/>
  <c r="AL18" i="2" a="1"/>
  <c r="AL18" i="2" s="1"/>
  <c r="AN18" i="2" s="1"/>
  <c r="AL19" i="2" a="1"/>
  <c r="AL19" i="2"/>
  <c r="AL20" i="2" a="1"/>
  <c r="AL20" i="2" s="1"/>
  <c r="AN20" i="2" s="1"/>
  <c r="AO20" i="2" s="1"/>
  <c r="AL21" i="2" a="1"/>
  <c r="AL21" i="2"/>
  <c r="AN21" i="2" s="1"/>
  <c r="AL22" i="2" a="1"/>
  <c r="AL22" i="2" s="1"/>
  <c r="AN22" i="2" s="1"/>
  <c r="AO22" i="2" s="1"/>
  <c r="AL23" i="2" a="1"/>
  <c r="AL23" i="2"/>
  <c r="AL24" i="2" a="1"/>
  <c r="AL24" i="2" s="1"/>
  <c r="AN24" i="2" s="1"/>
  <c r="AL25" i="2" a="1"/>
  <c r="AL25" i="2"/>
  <c r="AN25" i="2" s="1"/>
  <c r="AO25" i="2" s="1"/>
  <c r="AP25" i="2" s="1"/>
  <c r="AL26" i="2" a="1"/>
  <c r="AL26" i="2" s="1"/>
  <c r="AN26" i="2" s="1"/>
  <c r="AO26" i="2" s="1"/>
  <c r="AL27" i="2" a="1"/>
  <c r="AL27" i="2"/>
  <c r="AN11" i="2"/>
  <c r="AO11" i="2" s="1"/>
  <c r="AN15" i="2"/>
  <c r="AN19" i="2"/>
  <c r="AO19" i="2" s="1"/>
  <c r="AN23" i="2"/>
  <c r="AO23" i="2" s="1"/>
  <c r="AN27" i="2"/>
  <c r="AP27" i="2" s="1"/>
  <c r="AG2" i="2" a="1"/>
  <c r="AG2" i="2" s="1"/>
  <c r="AO5" i="2"/>
  <c r="AO9" i="2"/>
  <c r="AO12" i="2"/>
  <c r="AO15" i="2"/>
  <c r="AO18" i="2"/>
  <c r="AO21" i="2"/>
  <c r="AO24" i="2"/>
  <c r="AO27" i="2"/>
  <c r="AN8" i="2"/>
  <c r="AO8" i="2" s="1"/>
  <c r="AM2" i="2" a="1"/>
  <c r="AM2" i="2" s="1"/>
  <c r="AM3" i="2" a="1"/>
  <c r="AM3" i="2" s="1"/>
  <c r="AM4" i="2" a="1"/>
  <c r="AM4" i="2" s="1"/>
  <c r="AM5" i="2" a="1"/>
  <c r="AM5" i="2" s="1"/>
  <c r="AM6" i="2" a="1"/>
  <c r="AM6" i="2" s="1"/>
  <c r="AM7" i="2" a="1"/>
  <c r="AM7" i="2" s="1"/>
  <c r="AM8" i="2" a="1"/>
  <c r="AM8" i="2" s="1"/>
  <c r="AM9" i="2" a="1"/>
  <c r="AM9" i="2" s="1"/>
  <c r="AM10" i="2" a="1"/>
  <c r="AM10" i="2" s="1"/>
  <c r="AM11" i="2" a="1"/>
  <c r="AM11" i="2" s="1"/>
  <c r="AM12" i="2" a="1"/>
  <c r="AM12" i="2" s="1"/>
  <c r="AM13" i="2" a="1"/>
  <c r="AM13" i="2" s="1"/>
  <c r="AM14" i="2" a="1"/>
  <c r="AM14" i="2" s="1"/>
  <c r="AM15" i="2" a="1"/>
  <c r="AM15" i="2" s="1"/>
  <c r="AM16" i="2" a="1"/>
  <c r="AM16" i="2" s="1"/>
  <c r="AM17" i="2" a="1"/>
  <c r="AM17" i="2" s="1"/>
  <c r="AM18" i="2" a="1"/>
  <c r="AM18" i="2" s="1"/>
  <c r="AM19" i="2" a="1"/>
  <c r="AM19" i="2" s="1"/>
  <c r="AM20" i="2" a="1"/>
  <c r="AM20" i="2" s="1"/>
  <c r="AM21" i="2" a="1"/>
  <c r="AM21" i="2" s="1"/>
  <c r="AM22" i="2" a="1"/>
  <c r="AM22" i="2" s="1"/>
  <c r="AM23" i="2" a="1"/>
  <c r="AM23" i="2" s="1"/>
  <c r="AM24" i="2" a="1"/>
  <c r="AM24" i="2" s="1"/>
  <c r="AM25" i="2" a="1"/>
  <c r="AM25" i="2" s="1"/>
  <c r="AM26" i="2" a="1"/>
  <c r="AM26" i="2" s="1"/>
  <c r="AM27" i="2" a="1"/>
  <c r="AM27" i="2" s="1"/>
  <c r="AP12" i="2" l="1"/>
  <c r="AP15" i="2"/>
  <c r="AP18" i="2"/>
  <c r="AN2" i="2"/>
  <c r="AO2" i="2" s="1"/>
  <c r="AP2" i="2" s="1"/>
  <c r="AP21" i="2"/>
  <c r="AP5" i="2"/>
  <c r="AO13" i="2"/>
  <c r="AP13" i="2" s="1"/>
  <c r="AP24" i="2"/>
  <c r="AP9" i="2"/>
  <c r="AP20" i="2"/>
  <c r="AP16" i="2"/>
  <c r="AP8" i="2"/>
  <c r="AP4" i="2"/>
  <c r="AP23" i="2"/>
  <c r="AP19" i="2"/>
  <c r="AP11" i="2"/>
  <c r="AP7" i="2"/>
  <c r="AP3" i="2"/>
  <c r="AP26" i="2"/>
  <c r="AP22" i="2"/>
  <c r="AP14" i="2"/>
  <c r="AP10" i="2"/>
  <c r="AP6" i="2"/>
  <c r="AK2" i="2" l="1" a="1"/>
  <c r="AK2" i="2" s="1"/>
  <c r="AK3" i="2" a="1"/>
  <c r="AK3" i="2" s="1"/>
  <c r="AK4" i="2" a="1"/>
  <c r="AK4" i="2" s="1"/>
  <c r="AK5" i="2" a="1"/>
  <c r="AK5" i="2" s="1"/>
  <c r="AK6" i="2" a="1"/>
  <c r="AK6" i="2" s="1"/>
  <c r="AK7" i="2" a="1"/>
  <c r="AK7" i="2" s="1"/>
  <c r="AK8" i="2" a="1"/>
  <c r="AK8" i="2" s="1"/>
  <c r="AK9" i="2" a="1"/>
  <c r="AK9" i="2" s="1"/>
  <c r="AK10" i="2" a="1"/>
  <c r="AK10" i="2" s="1"/>
  <c r="AK11" i="2" a="1"/>
  <c r="AK11" i="2" s="1"/>
  <c r="AK12" i="2" a="1"/>
  <c r="AK12" i="2" s="1"/>
  <c r="AK13" i="2" a="1"/>
  <c r="AK13" i="2" s="1"/>
  <c r="AK14" i="2" a="1"/>
  <c r="AK14" i="2" s="1"/>
  <c r="AK15" i="2" a="1"/>
  <c r="AK15" i="2" s="1"/>
  <c r="AK16" i="2" a="1"/>
  <c r="AK16" i="2" s="1"/>
  <c r="AK17" i="2" a="1"/>
  <c r="AK17" i="2" s="1"/>
  <c r="AK18" i="2" a="1"/>
  <c r="AK18" i="2" s="1"/>
  <c r="AK19" i="2" a="1"/>
  <c r="AK19" i="2" s="1"/>
  <c r="AK20" i="2" a="1"/>
  <c r="AK20" i="2" s="1"/>
  <c r="AK21" i="2" a="1"/>
  <c r="AK21" i="2" s="1"/>
  <c r="AK22" i="2" a="1"/>
  <c r="AK22" i="2" s="1"/>
  <c r="AK23" i="2" a="1"/>
  <c r="AK23" i="2" s="1"/>
  <c r="AK24" i="2" a="1"/>
  <c r="AK24" i="2" s="1"/>
  <c r="AK25" i="2" a="1"/>
  <c r="AK25" i="2" s="1"/>
  <c r="AK26" i="2" a="1"/>
  <c r="AK26" i="2" s="1"/>
  <c r="AK27" i="2" a="1"/>
  <c r="AK27" i="2" s="1"/>
  <c r="AJ2" i="2" a="1"/>
  <c r="AJ2" i="2" s="1"/>
  <c r="AJ3" i="2" a="1"/>
  <c r="AJ3" i="2" s="1"/>
  <c r="AJ4" i="2" a="1"/>
  <c r="AJ4" i="2" s="1"/>
  <c r="AJ5" i="2" a="1"/>
  <c r="AJ5" i="2" s="1"/>
  <c r="AJ6" i="2" a="1"/>
  <c r="AJ6" i="2" s="1"/>
  <c r="AJ7" i="2" a="1"/>
  <c r="AJ7" i="2" s="1"/>
  <c r="AJ8" i="2" a="1"/>
  <c r="AJ8" i="2" s="1"/>
  <c r="AJ9" i="2" a="1"/>
  <c r="AJ9" i="2" s="1"/>
  <c r="AJ10" i="2" a="1"/>
  <c r="AJ10" i="2" s="1"/>
  <c r="AJ11" i="2" a="1"/>
  <c r="AJ11" i="2" s="1"/>
  <c r="AJ12" i="2" a="1"/>
  <c r="AJ12" i="2" s="1"/>
  <c r="AJ13" i="2" a="1"/>
  <c r="AJ13" i="2" s="1"/>
  <c r="AJ14" i="2" a="1"/>
  <c r="AJ14" i="2" s="1"/>
  <c r="AJ15" i="2" a="1"/>
  <c r="AJ15" i="2" s="1"/>
  <c r="AJ16" i="2" a="1"/>
  <c r="AJ16" i="2" s="1"/>
  <c r="AJ17" i="2" a="1"/>
  <c r="AJ17" i="2" s="1"/>
  <c r="AJ18" i="2" a="1"/>
  <c r="AJ18" i="2" s="1"/>
  <c r="AJ19" i="2" a="1"/>
  <c r="AJ19" i="2" s="1"/>
  <c r="AJ20" i="2" a="1"/>
  <c r="AJ20" i="2" s="1"/>
  <c r="AJ21" i="2" a="1"/>
  <c r="AJ21" i="2" s="1"/>
  <c r="AJ22" i="2" a="1"/>
  <c r="AJ22" i="2" s="1"/>
  <c r="AJ23" i="2" a="1"/>
  <c r="AJ23" i="2" s="1"/>
  <c r="AJ24" i="2" a="1"/>
  <c r="AJ24" i="2" s="1"/>
  <c r="AJ25" i="2" a="1"/>
  <c r="AJ25" i="2" s="1"/>
  <c r="AJ26" i="2" a="1"/>
  <c r="AJ26" i="2" s="1"/>
  <c r="AJ27" i="2" a="1"/>
  <c r="AJ27" i="2" s="1"/>
  <c r="AH2" i="2" a="1"/>
  <c r="AH2" i="2"/>
  <c r="AH3" i="2" a="1"/>
  <c r="AH3" i="2" s="1"/>
  <c r="AH4" i="2" a="1"/>
  <c r="AH4" i="2" s="1"/>
  <c r="AH5" i="2" a="1"/>
  <c r="AH5" i="2" s="1"/>
  <c r="AH6" i="2" a="1"/>
  <c r="AH6" i="2" s="1"/>
  <c r="AH7" i="2" a="1"/>
  <c r="AH7" i="2" s="1"/>
  <c r="AH8" i="2" a="1"/>
  <c r="AH8" i="2" s="1"/>
  <c r="AH9" i="2" a="1"/>
  <c r="AH9" i="2" s="1"/>
  <c r="AH10" i="2" a="1"/>
  <c r="AH10" i="2" s="1"/>
  <c r="AH11" i="2" a="1"/>
  <c r="AH11" i="2" s="1"/>
  <c r="AH12" i="2" a="1"/>
  <c r="AH12" i="2" s="1"/>
  <c r="AH13" i="2" a="1"/>
  <c r="AH13" i="2" s="1"/>
  <c r="AH14" i="2" a="1"/>
  <c r="AH14" i="2" s="1"/>
  <c r="AH15" i="2" a="1"/>
  <c r="AH15" i="2" s="1"/>
  <c r="AH16" i="2" a="1"/>
  <c r="AH16" i="2" s="1"/>
  <c r="AH17" i="2" a="1"/>
  <c r="AH17" i="2" s="1"/>
  <c r="AH18" i="2" a="1"/>
  <c r="AH18" i="2" s="1"/>
  <c r="AH19" i="2" a="1"/>
  <c r="AH19" i="2" s="1"/>
  <c r="AH20" i="2" a="1"/>
  <c r="AH20" i="2" s="1"/>
  <c r="AH21" i="2" a="1"/>
  <c r="AH21" i="2" s="1"/>
  <c r="AH22" i="2" a="1"/>
  <c r="AH22" i="2" s="1"/>
  <c r="AH23" i="2" a="1"/>
  <c r="AH23" i="2" s="1"/>
  <c r="AH24" i="2" a="1"/>
  <c r="AH24" i="2" s="1"/>
  <c r="AH25" i="2" a="1"/>
  <c r="AH25" i="2" s="1"/>
  <c r="AH26" i="2" a="1"/>
  <c r="AH26" i="2" s="1"/>
  <c r="AH27" i="2" a="1"/>
  <c r="AH27" i="2" s="1"/>
  <c r="AG3" i="2" a="1"/>
  <c r="AG3" i="2" s="1"/>
  <c r="AG4" i="2" a="1"/>
  <c r="AG4" i="2" s="1"/>
  <c r="AG5" i="2" a="1"/>
  <c r="AG5" i="2" s="1"/>
  <c r="AG6" i="2" a="1"/>
  <c r="AG6" i="2" s="1"/>
  <c r="AG7" i="2" a="1"/>
  <c r="AG7" i="2" s="1"/>
  <c r="AG8" i="2" a="1"/>
  <c r="AG8" i="2" s="1"/>
  <c r="AG9" i="2" a="1"/>
  <c r="AG9" i="2" s="1"/>
  <c r="AG10" i="2" a="1"/>
  <c r="AG10" i="2" s="1"/>
  <c r="AG11" i="2" a="1"/>
  <c r="AG11" i="2" s="1"/>
  <c r="AG12" i="2" a="1"/>
  <c r="AG12" i="2" s="1"/>
  <c r="AG13" i="2" a="1"/>
  <c r="AG13" i="2" s="1"/>
  <c r="AG14" i="2" a="1"/>
  <c r="AG14" i="2" s="1"/>
  <c r="AG15" i="2" a="1"/>
  <c r="AG15" i="2" s="1"/>
  <c r="AG16" i="2" a="1"/>
  <c r="AG16" i="2" s="1"/>
  <c r="AG17" i="2" a="1"/>
  <c r="AG17" i="2" s="1"/>
  <c r="AG18" i="2" a="1"/>
  <c r="AG18" i="2" s="1"/>
  <c r="AG19" i="2" a="1"/>
  <c r="AG19" i="2" s="1"/>
  <c r="AG20" i="2" a="1"/>
  <c r="AG20" i="2" s="1"/>
  <c r="AG21" i="2" a="1"/>
  <c r="AG21" i="2" s="1"/>
  <c r="AG22" i="2" a="1"/>
  <c r="AG22" i="2" s="1"/>
  <c r="AG23" i="2" a="1"/>
  <c r="AG23" i="2" s="1"/>
  <c r="AG24" i="2" a="1"/>
  <c r="AG24" i="2" s="1"/>
  <c r="AG25" i="2" a="1"/>
  <c r="AG25" i="2" s="1"/>
  <c r="AG26" i="2" a="1"/>
  <c r="AG26" i="2" s="1"/>
  <c r="AG27" i="2" a="1"/>
  <c r="AG27" i="2" s="1"/>
  <c r="AI2" i="2" a="1"/>
  <c r="AI2" i="2" s="1"/>
  <c r="AI3" i="2" a="1"/>
  <c r="AI3" i="2" s="1"/>
  <c r="AI4" i="2" a="1"/>
  <c r="AI4" i="2" s="1"/>
  <c r="AI5" i="2" a="1"/>
  <c r="AI5" i="2" s="1"/>
  <c r="AI6" i="2" a="1"/>
  <c r="AI6" i="2" s="1"/>
  <c r="AI7" i="2" a="1"/>
  <c r="AI7" i="2" s="1"/>
  <c r="AI8" i="2" a="1"/>
  <c r="AI8" i="2" s="1"/>
  <c r="AI9" i="2" a="1"/>
  <c r="AI9" i="2" s="1"/>
  <c r="AI10" i="2" a="1"/>
  <c r="AI10" i="2" s="1"/>
  <c r="AI11" i="2" a="1"/>
  <c r="AI11" i="2" s="1"/>
  <c r="AI12" i="2" a="1"/>
  <c r="AI12" i="2" s="1"/>
  <c r="AI13" i="2" a="1"/>
  <c r="AI13" i="2" s="1"/>
  <c r="AI14" i="2" a="1"/>
  <c r="AI14" i="2" s="1"/>
  <c r="AI15" i="2" a="1"/>
  <c r="AI15" i="2" s="1"/>
  <c r="AI16" i="2" a="1"/>
  <c r="AI16" i="2" s="1"/>
  <c r="AI17" i="2" a="1"/>
  <c r="AI17" i="2" s="1"/>
  <c r="AI18" i="2" a="1"/>
  <c r="AI18" i="2" s="1"/>
  <c r="AI19" i="2" a="1"/>
  <c r="AI19" i="2" s="1"/>
  <c r="AI20" i="2" a="1"/>
  <c r="AI20" i="2" s="1"/>
  <c r="AI21" i="2" a="1"/>
  <c r="AI21" i="2" s="1"/>
  <c r="AI22" i="2" a="1"/>
  <c r="AI22" i="2" s="1"/>
  <c r="AI23" i="2" a="1"/>
  <c r="AI23" i="2" s="1"/>
  <c r="AI24" i="2" a="1"/>
  <c r="AI24" i="2" s="1"/>
  <c r="AI25" i="2" a="1"/>
  <c r="AI25" i="2" s="1"/>
  <c r="AI26" i="2" a="1"/>
  <c r="AI26" i="2" s="1"/>
  <c r="AI27" i="2" a="1"/>
  <c r="AI27" i="2" s="1"/>
  <c r="AF2" i="2" a="1"/>
  <c r="AF2" i="2" s="1"/>
  <c r="AF3" i="2" a="1"/>
  <c r="AF3" i="2" s="1"/>
  <c r="AF4" i="2" a="1"/>
  <c r="AF4" i="2" s="1"/>
  <c r="AF5" i="2" a="1"/>
  <c r="AF5" i="2" s="1"/>
  <c r="AF6" i="2" a="1"/>
  <c r="AF6" i="2" s="1"/>
  <c r="AF7" i="2" a="1"/>
  <c r="AF7" i="2" s="1"/>
  <c r="AF8" i="2" a="1"/>
  <c r="AF8" i="2" s="1"/>
  <c r="AF9" i="2" a="1"/>
  <c r="AF9" i="2" s="1"/>
  <c r="AF10" i="2" a="1"/>
  <c r="AF10" i="2" s="1"/>
  <c r="AF11" i="2" a="1"/>
  <c r="AF11" i="2" s="1"/>
  <c r="AF12" i="2" a="1"/>
  <c r="AF12" i="2" s="1"/>
  <c r="AF13" i="2" a="1"/>
  <c r="AF13" i="2" s="1"/>
  <c r="AF14" i="2" a="1"/>
  <c r="AF14" i="2" s="1"/>
  <c r="AF15" i="2" a="1"/>
  <c r="AF15" i="2" s="1"/>
  <c r="AF16" i="2" a="1"/>
  <c r="AF16" i="2" s="1"/>
  <c r="AF17" i="2" a="1"/>
  <c r="AF17" i="2" s="1"/>
  <c r="AF18" i="2" a="1"/>
  <c r="AF18" i="2" s="1"/>
  <c r="AF19" i="2" a="1"/>
  <c r="AF19" i="2" s="1"/>
  <c r="AF20" i="2" a="1"/>
  <c r="AF20" i="2" s="1"/>
  <c r="AF21" i="2" a="1"/>
  <c r="AF21" i="2" s="1"/>
  <c r="AF22" i="2" a="1"/>
  <c r="AF22" i="2" s="1"/>
  <c r="AF23" i="2" a="1"/>
  <c r="AF23" i="2" s="1"/>
  <c r="AF24" i="2" a="1"/>
  <c r="AF24" i="2" s="1"/>
  <c r="AF25" i="2" a="1"/>
  <c r="AF25" i="2" s="1"/>
  <c r="AF26" i="2" a="1"/>
  <c r="AF26" i="2" s="1"/>
  <c r="AF27" i="2" a="1"/>
  <c r="AF27" i="2" s="1"/>
  <c r="E15" i="1"/>
  <c r="H15" i="1"/>
  <c r="G15" i="1"/>
  <c r="F15" i="1"/>
  <c r="D15" i="1"/>
  <c r="C15" i="1"/>
  <c r="L24" i="1" l="1" a="1"/>
  <c r="L24" i="1" s="1"/>
  <c r="L23" i="1" a="1"/>
  <c r="L23" i="1" s="1"/>
  <c r="L22" i="1" a="1"/>
  <c r="L22" i="1" s="1"/>
  <c r="L21" i="1" a="1"/>
  <c r="L21" i="1" s="1"/>
  <c r="L19" i="1" a="1"/>
  <c r="L19" i="1" s="1"/>
  <c r="L17" i="1" a="1"/>
  <c r="L17" i="1" s="1"/>
  <c r="L18" i="1" a="1"/>
  <c r="L18" i="1" s="1"/>
  <c r="L20" i="1" a="1"/>
  <c r="L20" i="1" s="1"/>
  <c r="L25" i="1" l="1"/>
  <c r="L28" i="1" l="1"/>
  <c r="L32" i="1" s="1"/>
  <c r="L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<sst xmlns="http://schemas.openxmlformats.org/spreadsheetml/2006/main" count="264" uniqueCount="134">
  <si>
    <t>Médical</t>
  </si>
  <si>
    <t>Dentaire</t>
  </si>
  <si>
    <t>Vie</t>
  </si>
  <si>
    <t>Vie PAC</t>
  </si>
  <si>
    <t>MMA</t>
  </si>
  <si>
    <t>Maladies Graves</t>
  </si>
  <si>
    <t>ICD</t>
  </si>
  <si>
    <t>ILD</t>
  </si>
  <si>
    <t>Exécutif</t>
  </si>
  <si>
    <t>IND</t>
  </si>
  <si>
    <t>FAM</t>
  </si>
  <si>
    <t>Permanent syndiqué</t>
  </si>
  <si>
    <t>Permanent non-syndiqué</t>
  </si>
  <si>
    <t>Temporaire syndiqué</t>
  </si>
  <si>
    <t>s/o</t>
  </si>
  <si>
    <t>Temporaire non-syndiqué</t>
  </si>
  <si>
    <t>1x revenu annuel arrondi au 1000$ suivant, multipliqué par le facteur indiqué dans Vie par tranche de 1000$</t>
  </si>
  <si>
    <t>Québec</t>
  </si>
  <si>
    <t>Ontario</t>
  </si>
  <si>
    <t>Autre province</t>
  </si>
  <si>
    <t>1x revenu annuel arrondi au 1000$ suivant, multipliqué par le facteur indiqué dans MMA par tranche de 1000$</t>
  </si>
  <si>
    <t>maximum 30000$ multiplié le facteur indiqué dans Maladies Graves par tranche de 1000$</t>
  </si>
  <si>
    <t>66.67% du revenu hebdomadaire arrondi au dollar le plus près, multiplié par le facteur indiqué dans ICD par tranche de 10$, maximum 1500$</t>
  </si>
  <si>
    <t>75% du revenu mensuel arrondi au dollar le plus près, multiplié par le facteur indiqué dans ILD par tranche de 100$, maximum 15000$</t>
  </si>
  <si>
    <t>9% de taxes à ajouter sur le résultat attendu</t>
  </si>
  <si>
    <t>8% de taxes à ajouter sur le résultat attendu</t>
  </si>
  <si>
    <t>aucune taxe  à ajouter sur le résultat attendu</t>
  </si>
  <si>
    <t>prime totale</t>
  </si>
  <si>
    <t>taxes</t>
  </si>
  <si>
    <t>Coût total</t>
  </si>
  <si>
    <t>Langue</t>
  </si>
  <si>
    <t>Prénom</t>
  </si>
  <si>
    <t>Nom</t>
  </si>
  <si>
    <t>Contrat</t>
  </si>
  <si>
    <t>Salaire assurable</t>
  </si>
  <si>
    <t>Couverture assurance</t>
  </si>
  <si>
    <t>Permanent</t>
  </si>
  <si>
    <t>Fam</t>
  </si>
  <si>
    <t>Ind</t>
  </si>
  <si>
    <t>Syndiqué</t>
  </si>
  <si>
    <t>exécutif</t>
  </si>
  <si>
    <t>Temporaire</t>
  </si>
  <si>
    <t>Province</t>
  </si>
  <si>
    <t>fam</t>
  </si>
  <si>
    <t>Coût assurances</t>
  </si>
  <si>
    <t>Employé</t>
  </si>
  <si>
    <t>Statut</t>
  </si>
  <si>
    <t>non-syndiqué</t>
  </si>
  <si>
    <t>Autre</t>
  </si>
  <si>
    <t>Catégorie</t>
  </si>
  <si>
    <t>Couverture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</si>
  <si>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</si>
  <si>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</si>
  <si>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</si>
  <si>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</si>
  <si>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</si>
  <si>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</si>
  <si>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</si>
  <si>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</si>
  <si>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</si>
  <si>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</si>
  <si>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</si>
  <si>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</si>
  <si>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</si>
  <si>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</si>
  <si>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</si>
  <si>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</si>
  <si>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</si>
  <si>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</si>
  <si>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</si>
  <si>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</si>
  <si>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</si>
  <si>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</si>
  <si>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prenom1</t>
  </si>
  <si>
    <t>prenom5</t>
  </si>
  <si>
    <t>prenom6</t>
  </si>
  <si>
    <t>prenom8</t>
  </si>
  <si>
    <t>prenom21</t>
  </si>
  <si>
    <t>prenom22</t>
  </si>
  <si>
    <t>prenom26</t>
  </si>
  <si>
    <t>nom1</t>
  </si>
  <si>
    <t>prenom2</t>
  </si>
  <si>
    <t>nom2</t>
  </si>
  <si>
    <t>prenom3</t>
  </si>
  <si>
    <t>nom3</t>
  </si>
  <si>
    <t>prenom4</t>
  </si>
  <si>
    <t>nom4</t>
  </si>
  <si>
    <t>nom5</t>
  </si>
  <si>
    <t>nom6</t>
  </si>
  <si>
    <t>prenom7</t>
  </si>
  <si>
    <t>nom7</t>
  </si>
  <si>
    <t>nom8</t>
  </si>
  <si>
    <t>prenom9</t>
  </si>
  <si>
    <t>nom9</t>
  </si>
  <si>
    <t>prenom10</t>
  </si>
  <si>
    <t>nom10</t>
  </si>
  <si>
    <t>prenom11</t>
  </si>
  <si>
    <t>nom11</t>
  </si>
  <si>
    <t>prenom12</t>
  </si>
  <si>
    <t>nom12</t>
  </si>
  <si>
    <t>prenom13</t>
  </si>
  <si>
    <t>nom13</t>
  </si>
  <si>
    <t>prenom14</t>
  </si>
  <si>
    <t>nom14</t>
  </si>
  <si>
    <t>prenom15</t>
  </si>
  <si>
    <t>nom15</t>
  </si>
  <si>
    <t>prenom16</t>
  </si>
  <si>
    <t>nom16</t>
  </si>
  <si>
    <t>prenom17</t>
  </si>
  <si>
    <t>nom17</t>
  </si>
  <si>
    <t>prenom18</t>
  </si>
  <si>
    <t>nom18</t>
  </si>
  <si>
    <t>prenom19</t>
  </si>
  <si>
    <t>nom19</t>
  </si>
  <si>
    <t>prenom20</t>
  </si>
  <si>
    <t>nom20</t>
  </si>
  <si>
    <t>nom21</t>
  </si>
  <si>
    <t>nom22</t>
  </si>
  <si>
    <t>prenom23</t>
  </si>
  <si>
    <t>nom23</t>
  </si>
  <si>
    <t>prenom24</t>
  </si>
  <si>
    <t>nom24</t>
  </si>
  <si>
    <t>prenom25</t>
  </si>
  <si>
    <t>nom25</t>
  </si>
  <si>
    <t>nom26</t>
  </si>
  <si>
    <t>employe</t>
  </si>
  <si>
    <t>nom</t>
  </si>
  <si>
    <t>prenom</t>
  </si>
  <si>
    <t>catégorie</t>
  </si>
  <si>
    <t xml:space="preserve">Résultat </t>
  </si>
  <si>
    <t>choisir l'employé en B15 sur la feuille calcul</t>
  </si>
  <si>
    <t>Si vous acceptez les macros je peux faire sur selection ligne....</t>
  </si>
  <si>
    <t>Taxe</t>
  </si>
  <si>
    <t>Prime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</si>
</sst>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\-0.00;;@"/>
  </numFmts>
  <fonts count="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sz val="15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4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</fills>
  <borders count="5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3" xfId="0" applyNumberFormat="1" applyBorder="1"/>
    <xf numFmtId="0" fontId="3" fillId="0" borderId="0" xfId="0" applyFont="1" applyAlignment="1">
      <alignment wrapText="1"/>
    </xf>
    <xf numFmtId="2" fontId="4" fillId="0" borderId="4" xfId="0" applyNumberFormat="1" applyFont="1" applyBorder="1"/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quotePrefix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/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4" borderId="0" xfId="0" quotePrefix="1" applyNumberFormat="1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30"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FF0000"/>
        <name val="Aptos Narrow"/>
        <family val="2"/>
        <scheme val="minor"/>
      </font>
      <numFmt numFmtId="164" formatCode="0.00;\-0.00;;@"/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FDC876-439A-470D-A398-B4E7157072C4}" name="T_data" displayName="T_data" ref="A1:AP27" totalsRowShown="0" headerRowDxfId="29">
  <tableColumns count="42">
    <tableColumn id="2" xr3:uid="{F412DFC4-5D9C-4008-A7FC-740C7D9D95A2}" name="Employé" dataDxfId="28"/>
    <tableColumn id="3" xr3:uid="{9F8599D7-00E9-44B1-AE13-04288FE69302}" name="Prénom"/>
    <tableColumn id="4" xr3:uid="{DE257538-726D-458F-8B5A-AE48B0460A2C}" name="Nom"/>
    <tableColumn id="1" xr3:uid="{D76F6362-8F98-4E71-8A80-5038641DA7D5}" name="Langue"/>
    <tableColumn id="5" xr3:uid="{CE7D4170-D5DB-42E7-825C-92CB47C594E4}" name="Statut" dataDxfId="27"/>
    <tableColumn id="6" xr3:uid="{7FA6EDAA-6C78-4D98-AB5D-5F4CC4C2D600}" name="Province" dataDxfId="26"/>
    <tableColumn id="7" xr3:uid="{5AEF536E-5A60-441A-9FB6-CC8F9815C3F8}" name="Colonne1"/>
    <tableColumn id="8" xr3:uid="{2E80C3D9-7FB7-4475-A019-50816D5B1376}" name="Colonne2"/>
    <tableColumn id="9" xr3:uid="{A1D311C7-AECF-466E-A0B1-64FEC36D2937}" name="Colonne3"/>
    <tableColumn id="10" xr3:uid="{97229399-1CE3-4ED2-95E3-8CAAFF5534E3}" name="Colonne4"/>
    <tableColumn id="11" xr3:uid="{5C0B760E-7D81-41E4-A6F8-5E750FECA553}" name="Colonne5"/>
    <tableColumn id="12" xr3:uid="{4A0BDEAA-1A9C-4045-AC09-E821BEFE6114}" name="Colonne6"/>
    <tableColumn id="13" xr3:uid="{929D46A5-5764-44CD-83C2-72205D25EB7C}" name="Colonne7"/>
    <tableColumn id="14" xr3:uid="{9035BF48-1201-4307-BF54-96917D86861E}" name="Colonne8"/>
    <tableColumn id="15" xr3:uid="{E456B908-DB7F-4E82-AA0F-2CEC617DC29B}" name="Colonne9"/>
    <tableColumn id="16" xr3:uid="{85237A3C-191C-4EA9-9BEB-A29FE37618B1}" name="Colonne10"/>
    <tableColumn id="17" xr3:uid="{F648CFCE-44AB-4F6D-935D-F62D2441D5D7}" name="Contrat" dataDxfId="25"/>
    <tableColumn id="18" xr3:uid="{8DD0056E-6011-4859-A1AF-49A9FF57B2A5}" name="Colonne11"/>
    <tableColumn id="19" xr3:uid="{08D59F35-5447-4CA2-B8D6-C24AEB2AE4B3}" name="Colonne12"/>
    <tableColumn id="20" xr3:uid="{A32BE39F-E638-499F-BB24-977301631735}" name="Colonne13"/>
    <tableColumn id="21" xr3:uid="{6D6F8F3A-E96B-48A9-9B45-0FECA1BCC07D}" name="Colonne14"/>
    <tableColumn id="22" xr3:uid="{53E7E921-EB14-4087-936B-7D692E23EFF7}" name="Colonne15"/>
    <tableColumn id="23" xr3:uid="{DC8507E6-E8CB-4988-802F-1CE611F11B59}" name="Colonne16"/>
    <tableColumn id="24" xr3:uid="{83D8AEF7-3121-49E2-8A76-CF1680DCB1D1}" name="Colonne17"/>
    <tableColumn id="25" xr3:uid="{8924DB98-B95B-4BD8-9036-FD5532625F5D}" name="Colonne18"/>
    <tableColumn id="26" xr3:uid="{177DCEEE-3C41-4E38-80BC-A3B959454AE0}" name="Colonne19"/>
    <tableColumn id="27" xr3:uid="{E2DB8115-4891-4B71-A23D-7C03A92998E3}" name="Colonne20"/>
    <tableColumn id="28" xr3:uid="{147A2232-6C88-466C-B014-5FDC597C357A}" name="Colonne21"/>
    <tableColumn id="29" xr3:uid="{63B4FB4C-70F4-4693-88EB-5EDD6E7A3BC6}" name="Colonne22"/>
    <tableColumn id="30" xr3:uid="{DBFAC9B5-0F5C-4C76-A524-798AC747D0CA}" name="Salaire assurable" dataDxfId="24"/>
    <tableColumn id="31" xr3:uid="{0ADADF5A-F4E4-463A-8D10-6812056E9C26}" name="Couverture assurance" dataDxfId="23"/>
    <tableColumn id="40" xr3:uid="{B16CFBE7-F962-4234-B207-12429F56B1D5}" name="Médical" dataDxfId="10">
      <calculatedColumnFormula array="1">INDEX(T_bareme[Médical], MATCH(1, (T_data[[#This Row],[Contrat]]&amp; " " &amp;T_data[[#This Row],[Statut]]=T_bareme[Catégorie]) * (T_data[[#This Row],[Couverture assurance]]=T_bareme[Couverture]), 0))</calculatedColumnFormula>
    </tableColumn>
    <tableColumn id="39" xr3:uid="{152EA482-20C7-4B2C-ADEC-0775B618FE58}" name="Dentaire" dataDxfId="8">
      <calculatedColumnFormula array="1">INDEX(T_bareme[Dentaire], MATCH(1, (T_data[[#This Row],[Contrat]]&amp; " " &amp;T_data[[#This Row],[Statut]]=T_bareme[Catégorie]) * (T_data[[#This Row],[Couverture assurance]]=T_bareme[Couverture]), 0))</calculatedColumnFormula>
    </tableColumn>
    <tableColumn id="38" xr3:uid="{2BA3C09B-F299-4336-833F-D4AF7E9BAE9A}" name="Vie" dataDxfId="7">
      <calculatedColumnFormula array="1">(ROUND(T_data[[#This Row],[Salaire assurable]],-3))*INDEX(T_bareme[Vie], MATCH(1, (T_data[[#This Row],[Contrat]]&amp; " " &amp;T_data[[#This Row],[Statut]]=T_bareme[Catégorie]) * (T_data[[#This Row],[Couverture assurance]]=T_bareme[Couverture]), 0))/1000</calculatedColumnFormula>
    </tableColumn>
    <tableColumn id="37" xr3:uid="{BCBB7080-FC75-4280-83F0-43BC7143836A}" name="Vie PAC" dataDxfId="9">
      <calculatedColumnFormula array="1">INDEX(T_bareme[Vie PAC], MATCH(1, (T_data[[#This Row],[Contrat]]&amp; " " &amp;T_data[[#This Row],[Statut]]=T_bareme[Catégorie]) * (T_data[[#This Row],[Couverture assurance]]=T_bareme[Couverture]), 0))</calculatedColumnFormula>
    </tableColumn>
    <tableColumn id="36" xr3:uid="{B23DCD2C-3374-4B5D-AFEC-16A9601D1463}" name="MMA" dataDxfId="6">
      <calculatedColumnFormula array="1">ROUND((ROUND(T_data[[#This Row],[Salaire assurable]],-3))*INDEX(T_bareme[MMA], MATCH(1, (T_data[[#This Row],[Contrat]]&amp; " " &amp;T_data[[#This Row],[Statut]]=T_bareme[Catégorie]) * (T_data[[#This Row],[Couverture assurance]]=T_bareme[Couverture]), 0))/1000,2)</calculatedColumnFormula>
    </tableColumn>
    <tableColumn id="35" xr3:uid="{B205DD81-D705-477B-B6A2-0AB1DEB710B4}" name="Maladies Graves" dataDxfId="5">
      <calculatedColumnFormula array="1">30000*INDEX(T_bareme[Maladies Graves], MATCH(1, (T_data[[#This Row],[Contrat]]&amp; " " &amp;T_data[[#This Row],[Statut]]=T_bareme[Catégorie]) * (T_data[[#This Row],[Couverture assurance]]=T_bareme[Couverture]), 0))/1000</calculatedColumnFormula>
    </tableColumn>
    <tableColumn id="34" xr3:uid="{CA0173FA-CB72-4F66-B3B9-B28519A879D0}" name="ICD" dataDxfId="0">
      <calculatedColumnFormula array="1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calculatedColumnFormula>
    </tableColumn>
    <tableColumn id="33" xr3:uid="{0BCB98C6-BC2C-49C5-9AC5-378418E779D1}" name="ILD" dataDxfId="4">
      <calculatedColumnFormula array="1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calculatedColumnFormula>
    </tableColumn>
    <tableColumn id="42" xr3:uid="{B00164F0-21A2-4FB4-B962-07AD499A101D}" name="Prime total" dataDxfId="3">
      <calculatedColumnFormula>SUM(T_data[[#This Row],[Médical]:[ILD]])</calculatedColumnFormula>
    </tableColumn>
    <tableColumn id="41" xr3:uid="{65AF3462-6FF9-4F90-B2D8-A2EEAFD592CB}" name="Taxe" dataDxfId="2">
      <calculatedColumnFormula>IF(T_data[[#This Row],[Province]]="Québec",ROUND(T_data[[#This Row],[Prime total]]*0.09,2),IF(T_data[[#This Row],[Province]]="Ontario",ROUND(T_data[[#This Row],[Prime total]]*0.08,2),0))</calculatedColumnFormula>
    </tableColumn>
    <tableColumn id="32" xr3:uid="{3C56C7AA-F84F-4208-B35F-71D76D3F4997}" name="Coût assurances" dataDxfId="1">
      <calculatedColumnFormula>T_data[[#This Row],[Prime total]]+T_data[[#This Row],[Taxe]]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0C5D6-C442-4BAA-BBF9-27EDCE71C862}" name="T_bareme" displayName="T_bareme" ref="A1:J11" totalsRowShown="0" headerRowDxfId="22" dataDxfId="21">
  <tableColumns count="10">
    <tableColumn id="9" xr3:uid="{A801ED5E-2153-4999-9D17-A85BCF4364D0}" name="Catégorie" dataDxfId="20"/>
    <tableColumn id="10" xr3:uid="{E5A18BB2-D904-486E-B2C2-D9C0BBBC1481}" name="Couverture" dataDxfId="19"/>
    <tableColumn id="1" xr3:uid="{28597CE5-189B-4453-8A14-10B4C243796C}" name="Médical" dataDxfId="18"/>
    <tableColumn id="2" xr3:uid="{B185118B-F025-4CAE-8F73-F478C3476A75}" name="Dentaire" dataDxfId="17"/>
    <tableColumn id="3" xr3:uid="{98A6D3D3-7999-4653-B9FA-382E37A35DB5}" name="Vie" dataDxfId="16"/>
    <tableColumn id="4" xr3:uid="{DE7721C1-E372-421D-B8D4-BC2DACCE56CF}" name="Vie PAC" dataDxfId="15"/>
    <tableColumn id="5" xr3:uid="{6728A123-30D0-457C-A521-9C5C153A8CD8}" name="MMA" dataDxfId="14"/>
    <tableColumn id="6" xr3:uid="{09923385-D490-4BC4-9775-018CD07D3D20}" name="Maladies Graves" dataDxfId="13"/>
    <tableColumn id="7" xr3:uid="{5E73CCC2-3755-4AD6-B62C-22927DD3C025}" name="ICD" dataDxfId="12"/>
    <tableColumn id="8" xr3:uid="{B0F5BAF9-C297-448E-96AC-2FBBAFE54FB1}" name="ILD" dataDxfId="1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B9030D-9522-449A-BD80-6CE842426237}">
  <we:reference id="423757af-ae26-401a-a513-5da03cc67526" version="2.0.0.1" store="EXCatalog" storeType="EXCatalog"/>
  <we:alternateReferences/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_xldudf_PROPHIX_GETVALUE</we:customFunctionIds>
        <we:customFunctionIds>_xldudf_PROPHIX_GETCOMMENT</we:customFunctionIds>
        <we:customFunctionIds>_xldudf_PROPHIX_GETMEMBER</we:customFunctionIds>
        <we:customFunctionIds>_xldudf_PROPHIX_SETVALUE</we:customFunctionIds>
        <we:customFunctionIds>_xldudf_PROPHIX_GETMEMBERKEY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3CF75-9EA3-440B-A5B9-9FAD7FD4D737}">
  <dimension ref="A1:AY33"/>
  <sheetViews>
    <sheetView tabSelected="1" topLeftCell="W7" workbookViewId="0">
      <selection activeCell="AD29" sqref="AD29"/>
    </sheetView>
  </sheetViews>
  <sheetFormatPr baseColWidth="10" defaultColWidth="17.375" defaultRowHeight="14.25"/>
  <cols>
    <col min="1" max="1" width="10.75" customWidth="1"/>
    <col min="2" max="2" width="17.375" style="1"/>
    <col min="6" max="6" width="17.375" style="1"/>
    <col min="7" max="7" width="17.375" style="13"/>
    <col min="18" max="18" width="17.375" style="1"/>
    <col min="31" max="41" width="17.375" style="1"/>
  </cols>
  <sheetData>
    <row r="1" spans="1:42" s="14" customFormat="1" ht="30">
      <c r="A1" s="14" t="s">
        <v>45</v>
      </c>
      <c r="B1" s="14" t="s">
        <v>31</v>
      </c>
      <c r="C1" s="14" t="s">
        <v>32</v>
      </c>
      <c r="D1" s="14" t="s">
        <v>30</v>
      </c>
      <c r="E1" s="14" t="s">
        <v>46</v>
      </c>
      <c r="F1" s="15" t="s">
        <v>42</v>
      </c>
      <c r="G1" s="14" t="s">
        <v>51</v>
      </c>
      <c r="H1" s="14" t="s">
        <v>52</v>
      </c>
      <c r="I1" s="14" t="s">
        <v>53</v>
      </c>
      <c r="J1" s="14" t="s">
        <v>54</v>
      </c>
      <c r="K1" s="14" t="s">
        <v>55</v>
      </c>
      <c r="L1" s="14" t="s">
        <v>56</v>
      </c>
      <c r="M1" s="14" t="s">
        <v>57</v>
      </c>
      <c r="N1" s="14" t="s">
        <v>58</v>
      </c>
      <c r="O1" s="14" t="s">
        <v>59</v>
      </c>
      <c r="P1" s="14" t="s">
        <v>60</v>
      </c>
      <c r="Q1" s="14" t="s">
        <v>33</v>
      </c>
      <c r="R1" s="14" t="s">
        <v>61</v>
      </c>
      <c r="S1" s="14" t="s">
        <v>62</v>
      </c>
      <c r="T1" s="14" t="s">
        <v>63</v>
      </c>
      <c r="U1" s="14" t="s">
        <v>64</v>
      </c>
      <c r="V1" s="14" t="s">
        <v>65</v>
      </c>
      <c r="W1" s="14" t="s">
        <v>66</v>
      </c>
      <c r="X1" s="14" t="s">
        <v>67</v>
      </c>
      <c r="Y1" s="14" t="s">
        <v>68</v>
      </c>
      <c r="Z1" s="14" t="s">
        <v>69</v>
      </c>
      <c r="AA1" s="14" t="s">
        <v>70</v>
      </c>
      <c r="AB1" s="14" t="s">
        <v>71</v>
      </c>
      <c r="AC1" s="14" t="s">
        <v>72</v>
      </c>
      <c r="AD1" s="14" t="s">
        <v>34</v>
      </c>
      <c r="AE1" s="14" t="s">
        <v>35</v>
      </c>
      <c r="AF1" s="31" t="s">
        <v>0</v>
      </c>
      <c r="AG1" s="32" t="s">
        <v>1</v>
      </c>
      <c r="AH1" s="32" t="s">
        <v>2</v>
      </c>
      <c r="AI1" s="32" t="s">
        <v>3</v>
      </c>
      <c r="AJ1" s="32" t="s">
        <v>4</v>
      </c>
      <c r="AK1" s="32" t="s">
        <v>5</v>
      </c>
      <c r="AL1" s="32" t="s">
        <v>6</v>
      </c>
      <c r="AM1" s="32" t="s">
        <v>7</v>
      </c>
      <c r="AN1" s="33" t="s">
        <v>133</v>
      </c>
      <c r="AO1" s="33" t="s">
        <v>132</v>
      </c>
      <c r="AP1" s="16" t="s">
        <v>44</v>
      </c>
    </row>
    <row r="2" spans="1:42" ht="18">
      <c r="A2" s="22">
        <v>1</v>
      </c>
      <c r="B2" t="s">
        <v>73</v>
      </c>
      <c r="C2" t="s">
        <v>80</v>
      </c>
      <c r="E2" s="1" t="s">
        <v>47</v>
      </c>
      <c r="F2" s="13" t="s">
        <v>17</v>
      </c>
      <c r="G2"/>
      <c r="Q2" s="1" t="s">
        <v>36</v>
      </c>
      <c r="R2"/>
      <c r="AD2" s="1">
        <v>99911</v>
      </c>
      <c r="AE2" s="1" t="s">
        <v>37</v>
      </c>
      <c r="AF2" s="1" cm="1">
        <f t="array" ref="AF2">INDEX(T_bareme[Médical], MATCH(1, (T_data[[#This Row],[Contrat]]&amp; " " &amp;T_data[[#This Row],[Statut]]=T_bareme[Catégorie]) * (T_data[[#This Row],[Couverture assurance]]=T_bareme[Couverture]), 0))</f>
        <v>364.98</v>
      </c>
      <c r="AG2" s="1" cm="1">
        <f t="array" ref="AG2">INDEX(T_bareme[Dentaire], MATCH(1, (T_data[[#This Row],[Contrat]]&amp; " " &amp;T_data[[#This Row],[Statut]]=T_bareme[Catégorie]) * (T_data[[#This Row],[Couverture assurance]]=T_bareme[Couverture]), 0))</f>
        <v>179.88</v>
      </c>
      <c r="AH2" s="1" cm="1">
        <f t="array" ref="AH2">(ROUND(T_data[[#This Row],[Salaire assurable]],-3))*INDEX(T_bareme[Vie], MATCH(1, (T_data[[#This Row],[Contrat]]&amp; " " &amp;T_data[[#This Row],[Statut]]=T_bareme[Catégorie]) * (T_data[[#This Row],[Couverture assurance]]=T_bareme[Couverture]), 0))/1000</f>
        <v>20</v>
      </c>
      <c r="AI2" s="1" cm="1">
        <f t="array" ref="AI2">INDEX(T_bareme[Vie PAC], MATCH(1, (T_data[[#This Row],[Contrat]]&amp; " " &amp;T_data[[#This Row],[Statut]]=T_bareme[Catégorie]) * (T_data[[#This Row],[Couverture assurance]]=T_bareme[Couverture]), 0))</f>
        <v>1.64</v>
      </c>
      <c r="AJ2" s="1" cm="1">
        <f t="array" ref="AJ2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4.8</v>
      </c>
      <c r="AK2" s="1" cm="1">
        <f t="array" ref="AK2">30000*INDEX(T_bareme[Maladies Graves], MATCH(1, (T_data[[#This Row],[Contrat]]&amp; " " &amp;T_data[[#This Row],[Statut]]=T_bareme[Catégorie]) * (T_data[[#This Row],[Couverture assurance]]=T_bareme[Couverture]), 0))/1000</f>
        <v>11.31</v>
      </c>
      <c r="AL2" s="34" cm="1">
        <f t="array" ref="AL2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125.54</v>
      </c>
      <c r="AM2" s="34" cm="1">
        <f t="array" ref="AM2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201.06</v>
      </c>
      <c r="AN2" s="34">
        <f>SUM(T_data[[#This Row],[Médical]:[ILD]])</f>
        <v>909.20999999999981</v>
      </c>
      <c r="AO2" s="1">
        <f>IF(T_data[[#This Row],[Province]]="Québec",ROUND(T_data[[#This Row],[Prime total]]*0.09,2),IF(T_data[[#This Row],[Province]]="Ontario",ROUND(T_data[[#This Row],[Prime total]]*0.08,2),0))</f>
        <v>81.83</v>
      </c>
      <c r="AP2" s="29">
        <f>T_data[[#This Row],[Prime total]]+T_data[[#This Row],[Taxe]]</f>
        <v>991.03999999999985</v>
      </c>
    </row>
    <row r="3" spans="1:42" ht="18">
      <c r="A3" s="22">
        <v>2</v>
      </c>
      <c r="B3" t="s">
        <v>81</v>
      </c>
      <c r="C3" t="s">
        <v>82</v>
      </c>
      <c r="E3" s="1" t="s">
        <v>39</v>
      </c>
      <c r="F3" s="13" t="s">
        <v>17</v>
      </c>
      <c r="G3"/>
      <c r="Q3" s="1" t="s">
        <v>36</v>
      </c>
      <c r="R3"/>
      <c r="AD3" s="1">
        <v>102585</v>
      </c>
      <c r="AE3" s="1" t="s">
        <v>37</v>
      </c>
      <c r="AF3" s="1" cm="1">
        <f t="array" ref="AF3">INDEX(T_bareme[Médical], MATCH(1, (T_data[[#This Row],[Contrat]]&amp; " " &amp;T_data[[#This Row],[Statut]]=T_bareme[Catégorie]) * (T_data[[#This Row],[Couverture assurance]]=T_bareme[Couverture]), 0))</f>
        <v>403.1</v>
      </c>
      <c r="AG3" s="1" cm="1">
        <f t="array" ref="AG3">INDEX(T_bareme[Dentaire], MATCH(1, (T_data[[#This Row],[Contrat]]&amp; " " &amp;T_data[[#This Row],[Statut]]=T_bareme[Catégorie]) * (T_data[[#This Row],[Couverture assurance]]=T_bareme[Couverture]), 0))</f>
        <v>160.16999999999999</v>
      </c>
      <c r="AH3" s="1" cm="1">
        <f t="array" ref="AH3">(ROUND(T_data[[#This Row],[Salaire assurable]],-3))*INDEX(T_bareme[Vie], MATCH(1, (T_data[[#This Row],[Contrat]]&amp; " " &amp;T_data[[#This Row],[Statut]]=T_bareme[Catégorie]) * (T_data[[#This Row],[Couverture assurance]]=T_bareme[Couverture]), 0))/1000</f>
        <v>23.69</v>
      </c>
      <c r="AI3" s="1" cm="1">
        <f t="array" ref="AI3">INDEX(T_bareme[Vie PAC], MATCH(1, (T_data[[#This Row],[Contrat]]&amp; " " &amp;T_data[[#This Row],[Statut]]=T_bareme[Catégorie]) * (T_data[[#This Row],[Couverture assurance]]=T_bareme[Couverture]), 0))</f>
        <v>1.64</v>
      </c>
      <c r="AJ3" s="1" cm="1">
        <f t="array" ref="AJ3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3" s="1" cm="1">
        <f t="array" ref="AK3">30000*INDEX(T_bareme[Maladies Graves], MATCH(1, (T_data[[#This Row],[Contrat]]&amp; " " &amp;T_data[[#This Row],[Statut]]=T_bareme[Catégorie]) * (T_data[[#This Row],[Couverture assurance]]=T_bareme[Couverture]), 0))/1000</f>
        <v>11.31</v>
      </c>
      <c r="AL3" s="1" cm="1">
        <f t="array" ref="AL3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240.25</v>
      </c>
      <c r="AM3" s="1" cm="1">
        <f t="array" ref="AM3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212.88</v>
      </c>
      <c r="AN3" s="1">
        <f>SUM(T_data[[#This Row],[Médical]:[ILD]])</f>
        <v>1057.98</v>
      </c>
      <c r="AO3" s="1">
        <f>IF(T_data[[#This Row],[Province]]="Québec",ROUND(T_data[[#This Row],[Prime total]]*0.09,2),IF(T_data[[#This Row],[Province]]="Ontario",ROUND(T_data[[#This Row],[Prime total]]*0.08,2),0))</f>
        <v>95.22</v>
      </c>
      <c r="AP3" s="29">
        <f>T_data[[#This Row],[Prime total]]+T_data[[#This Row],[Taxe]]</f>
        <v>1153.2</v>
      </c>
    </row>
    <row r="4" spans="1:42" ht="18">
      <c r="A4" s="22">
        <v>3</v>
      </c>
      <c r="B4" t="s">
        <v>83</v>
      </c>
      <c r="C4" t="s">
        <v>84</v>
      </c>
      <c r="E4" s="1" t="s">
        <v>39</v>
      </c>
      <c r="F4" s="13" t="s">
        <v>18</v>
      </c>
      <c r="G4"/>
      <c r="Q4" s="1" t="s">
        <v>36</v>
      </c>
      <c r="R4"/>
      <c r="AD4" s="1">
        <v>117219</v>
      </c>
      <c r="AE4" s="1" t="s">
        <v>38</v>
      </c>
      <c r="AF4" s="1" cm="1">
        <f t="array" ref="AF4">INDEX(T_bareme[Médical], MATCH(1, (T_data[[#This Row],[Contrat]]&amp; " " &amp;T_data[[#This Row],[Statut]]=T_bareme[Catégorie]) * (T_data[[#This Row],[Couverture assurance]]=T_bareme[Couverture]), 0))</f>
        <v>196.95</v>
      </c>
      <c r="AG4" s="1" cm="1">
        <f t="array" ref="AG4">INDEX(T_bareme[Dentaire], MATCH(1, (T_data[[#This Row],[Contrat]]&amp; " " &amp;T_data[[#This Row],[Statut]]=T_bareme[Catégorie]) * (T_data[[#This Row],[Couverture assurance]]=T_bareme[Couverture]), 0))</f>
        <v>71.02</v>
      </c>
      <c r="AH4" s="1" cm="1">
        <f t="array" ref="AH4">(ROUND(T_data[[#This Row],[Salaire assurable]],-3))*INDEX(T_bareme[Vie], MATCH(1, (T_data[[#This Row],[Contrat]]&amp; " " &amp;T_data[[#This Row],[Statut]]=T_bareme[Catégorie]) * (T_data[[#This Row],[Couverture assurance]]=T_bareme[Couverture]), 0))/1000</f>
        <v>26.91</v>
      </c>
      <c r="AI4" s="1" cm="1">
        <f t="array" ref="AI4">INDEX(T_bareme[Vie PAC], MATCH(1, (T_data[[#This Row],[Contrat]]&amp; " " &amp;T_data[[#This Row],[Statut]]=T_bareme[Catégorie]) * (T_data[[#This Row],[Couverture assurance]]=T_bareme[Couverture]), 0))</f>
        <v>0</v>
      </c>
      <c r="AJ4" s="1" cm="1">
        <f t="array" ref="AJ4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5.62</v>
      </c>
      <c r="AK4" s="1" cm="1">
        <f t="array" ref="AK4">30000*INDEX(T_bareme[Maladies Graves], MATCH(1, (T_data[[#This Row],[Contrat]]&amp; " " &amp;T_data[[#This Row],[Statut]]=T_bareme[Catégorie]) * (T_data[[#This Row],[Couverture assurance]]=T_bareme[Couverture]), 0))/1000</f>
        <v>11.31</v>
      </c>
      <c r="AL4" s="1" cm="1">
        <f t="array" ref="AL4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274.05</v>
      </c>
      <c r="AM4" s="1" cm="1">
        <f t="array" ref="AM4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243.22</v>
      </c>
      <c r="AN4" s="1">
        <f>SUM(T_data[[#This Row],[Médical]:[ILD]])</f>
        <v>829.08</v>
      </c>
      <c r="AO4" s="1">
        <f>IF(T_data[[#This Row],[Province]]="Québec",ROUND(T_data[[#This Row],[Prime total]]*0.09,2),IF(T_data[[#This Row],[Province]]="Ontario",ROUND(T_data[[#This Row],[Prime total]]*0.08,2),0))</f>
        <v>66.33</v>
      </c>
      <c r="AP4" s="29">
        <f>T_data[[#This Row],[Prime total]]+T_data[[#This Row],[Taxe]]</f>
        <v>895.41000000000008</v>
      </c>
    </row>
    <row r="5" spans="1:42" ht="18">
      <c r="A5" s="22">
        <v>4</v>
      </c>
      <c r="B5" t="s">
        <v>85</v>
      </c>
      <c r="C5" t="s">
        <v>86</v>
      </c>
      <c r="E5" s="1" t="s">
        <v>39</v>
      </c>
      <c r="F5" s="13" t="s">
        <v>48</v>
      </c>
      <c r="G5"/>
      <c r="Q5" s="1" t="s">
        <v>36</v>
      </c>
      <c r="R5"/>
      <c r="AD5" s="1">
        <v>102585</v>
      </c>
      <c r="AE5" s="1" t="s">
        <v>38</v>
      </c>
      <c r="AF5" s="1" cm="1">
        <f t="array" ref="AF5">INDEX(T_bareme[Médical], MATCH(1, (T_data[[#This Row],[Contrat]]&amp; " " &amp;T_data[[#This Row],[Statut]]=T_bareme[Catégorie]) * (T_data[[#This Row],[Couverture assurance]]=T_bareme[Couverture]), 0))</f>
        <v>196.95</v>
      </c>
      <c r="AG5" s="1" cm="1">
        <f t="array" ref="AG5">INDEX(T_bareme[Dentaire], MATCH(1, (T_data[[#This Row],[Contrat]]&amp; " " &amp;T_data[[#This Row],[Statut]]=T_bareme[Catégorie]) * (T_data[[#This Row],[Couverture assurance]]=T_bareme[Couverture]), 0))</f>
        <v>71.02</v>
      </c>
      <c r="AH5" s="1" cm="1">
        <f t="array" ref="AH5">(ROUND(T_data[[#This Row],[Salaire assurable]],-3))*INDEX(T_bareme[Vie], MATCH(1, (T_data[[#This Row],[Contrat]]&amp; " " &amp;T_data[[#This Row],[Statut]]=T_bareme[Catégorie]) * (T_data[[#This Row],[Couverture assurance]]=T_bareme[Couverture]), 0))/1000</f>
        <v>23.69</v>
      </c>
      <c r="AI5" s="1" cm="1">
        <f t="array" ref="AI5">INDEX(T_bareme[Vie PAC], MATCH(1, (T_data[[#This Row],[Contrat]]&amp; " " &amp;T_data[[#This Row],[Statut]]=T_bareme[Catégorie]) * (T_data[[#This Row],[Couverture assurance]]=T_bareme[Couverture]), 0))</f>
        <v>0</v>
      </c>
      <c r="AJ5" s="1" cm="1">
        <f t="array" ref="AJ5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5" s="1" cm="1">
        <f t="array" ref="AK5">30000*INDEX(T_bareme[Maladies Graves], MATCH(1, (T_data[[#This Row],[Contrat]]&amp; " " &amp;T_data[[#This Row],[Statut]]=T_bareme[Catégorie]) * (T_data[[#This Row],[Couverture assurance]]=T_bareme[Couverture]), 0))/1000</f>
        <v>11.31</v>
      </c>
      <c r="AL5" s="1" cm="1">
        <f t="array" ref="AL5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240.25</v>
      </c>
      <c r="AM5" s="1" cm="1">
        <f t="array" ref="AM5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212.88</v>
      </c>
      <c r="AN5" s="1">
        <f>SUM(T_data[[#This Row],[Médical]:[ILD]])</f>
        <v>761.04</v>
      </c>
      <c r="AO5" s="1">
        <f>IF(T_data[[#This Row],[Province]]="Québec",ROUND(T_data[[#This Row],[Prime total]]*0.09,2),IF(T_data[[#This Row],[Province]]="Ontario",ROUND(T_data[[#This Row],[Prime total]]*0.08,2),0))</f>
        <v>0</v>
      </c>
      <c r="AP5" s="29">
        <f>T_data[[#This Row],[Prime total]]+T_data[[#This Row],[Taxe]]</f>
        <v>761.04</v>
      </c>
    </row>
    <row r="6" spans="1:42" ht="18">
      <c r="A6" s="22">
        <v>5</v>
      </c>
      <c r="B6" t="s">
        <v>74</v>
      </c>
      <c r="C6" t="s">
        <v>87</v>
      </c>
      <c r="E6" s="1" t="s">
        <v>47</v>
      </c>
      <c r="F6" s="13" t="s">
        <v>17</v>
      </c>
      <c r="G6"/>
      <c r="Q6" s="1" t="s">
        <v>36</v>
      </c>
      <c r="R6"/>
      <c r="AD6" s="1">
        <v>150000</v>
      </c>
      <c r="AE6" s="1" t="s">
        <v>37</v>
      </c>
      <c r="AF6" s="1" cm="1">
        <f t="array" ref="AF6">INDEX(T_bareme[Médical], MATCH(1, (T_data[[#This Row],[Contrat]]&amp; " " &amp;T_data[[#This Row],[Statut]]=T_bareme[Catégorie]) * (T_data[[#This Row],[Couverture assurance]]=T_bareme[Couverture]), 0))</f>
        <v>364.98</v>
      </c>
      <c r="AG6" s="1" cm="1">
        <f t="array" ref="AG6">INDEX(T_bareme[Dentaire], MATCH(1, (T_data[[#This Row],[Contrat]]&amp; " " &amp;T_data[[#This Row],[Statut]]=T_bareme[Catégorie]) * (T_data[[#This Row],[Couverture assurance]]=T_bareme[Couverture]), 0))</f>
        <v>179.88</v>
      </c>
      <c r="AH6" s="1" cm="1">
        <f t="array" ref="AH6">(ROUND(T_data[[#This Row],[Salaire assurable]],-3))*INDEX(T_bareme[Vie], MATCH(1, (T_data[[#This Row],[Contrat]]&amp; " " &amp;T_data[[#This Row],[Statut]]=T_bareme[Catégorie]) * (T_data[[#This Row],[Couverture assurance]]=T_bareme[Couverture]), 0))/1000</f>
        <v>30</v>
      </c>
      <c r="AI6" s="1" cm="1">
        <f t="array" ref="AI6">INDEX(T_bareme[Vie PAC], MATCH(1, (T_data[[#This Row],[Contrat]]&amp; " " &amp;T_data[[#This Row],[Statut]]=T_bareme[Catégorie]) * (T_data[[#This Row],[Couverture assurance]]=T_bareme[Couverture]), 0))</f>
        <v>1.64</v>
      </c>
      <c r="AJ6" s="1" cm="1">
        <f t="array" ref="AJ6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7.2</v>
      </c>
      <c r="AK6" s="1" cm="1">
        <f t="array" ref="AK6">30000*INDEX(T_bareme[Maladies Graves], MATCH(1, (T_data[[#This Row],[Contrat]]&amp; " " &amp;T_data[[#This Row],[Statut]]=T_bareme[Catégorie]) * (T_data[[#This Row],[Couverture assurance]]=T_bareme[Couverture]), 0))/1000</f>
        <v>11.31</v>
      </c>
      <c r="AL6" s="1" cm="1">
        <f t="array" ref="AL6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147</v>
      </c>
      <c r="AM6" s="1" cm="1">
        <f t="array" ref="AM6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301.88</v>
      </c>
      <c r="AN6" s="1">
        <f>SUM(T_data[[#This Row],[Médical]:[ILD]])</f>
        <v>1043.8899999999999</v>
      </c>
      <c r="AO6" s="1">
        <f>IF(T_data[[#This Row],[Province]]="Québec",ROUND(T_data[[#This Row],[Prime total]]*0.09,2),IF(T_data[[#This Row],[Province]]="Ontario",ROUND(T_data[[#This Row],[Prime total]]*0.08,2),0))</f>
        <v>93.95</v>
      </c>
      <c r="AP6" s="29">
        <f>T_data[[#This Row],[Prime total]]+T_data[[#This Row],[Taxe]]</f>
        <v>1137.8399999999999</v>
      </c>
    </row>
    <row r="7" spans="1:42" ht="18">
      <c r="A7" s="22">
        <v>6</v>
      </c>
      <c r="B7" t="s">
        <v>75</v>
      </c>
      <c r="C7" t="s">
        <v>88</v>
      </c>
      <c r="E7" s="1" t="s">
        <v>47</v>
      </c>
      <c r="F7" s="13" t="s">
        <v>18</v>
      </c>
      <c r="G7"/>
      <c r="Q7" s="1" t="s">
        <v>36</v>
      </c>
      <c r="R7"/>
      <c r="AD7" s="1">
        <v>137583</v>
      </c>
      <c r="AE7" s="1" t="s">
        <v>37</v>
      </c>
      <c r="AF7" s="1" cm="1">
        <f t="array" ref="AF7">INDEX(T_bareme[Médical], MATCH(1, (T_data[[#This Row],[Contrat]]&amp; " " &amp;T_data[[#This Row],[Statut]]=T_bareme[Catégorie]) * (T_data[[#This Row],[Couverture assurance]]=T_bareme[Couverture]), 0))</f>
        <v>364.98</v>
      </c>
      <c r="AG7" s="1" cm="1">
        <f t="array" ref="AG7">INDEX(T_bareme[Dentaire], MATCH(1, (T_data[[#This Row],[Contrat]]&amp; " " &amp;T_data[[#This Row],[Statut]]=T_bareme[Catégorie]) * (T_data[[#This Row],[Couverture assurance]]=T_bareme[Couverture]), 0))</f>
        <v>179.88</v>
      </c>
      <c r="AH7" s="1" cm="1">
        <f t="array" ref="AH7">(ROUND(T_data[[#This Row],[Salaire assurable]],-3))*INDEX(T_bareme[Vie], MATCH(1, (T_data[[#This Row],[Contrat]]&amp; " " &amp;T_data[[#This Row],[Statut]]=T_bareme[Catégorie]) * (T_data[[#This Row],[Couverture assurance]]=T_bareme[Couverture]), 0))/1000</f>
        <v>27.6</v>
      </c>
      <c r="AI7" s="1" cm="1">
        <f t="array" ref="AI7">INDEX(T_bareme[Vie PAC], MATCH(1, (T_data[[#This Row],[Contrat]]&amp; " " &amp;T_data[[#This Row],[Statut]]=T_bareme[Catégorie]) * (T_data[[#This Row],[Couverture assurance]]=T_bareme[Couverture]), 0))</f>
        <v>1.64</v>
      </c>
      <c r="AJ7" s="1" cm="1">
        <f t="array" ref="AJ7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6.62</v>
      </c>
      <c r="AK7" s="1" cm="1">
        <f t="array" ref="AK7">30000*INDEX(T_bareme[Maladies Graves], MATCH(1, (T_data[[#This Row],[Contrat]]&amp; " " &amp;T_data[[#This Row],[Statut]]=T_bareme[Catégorie]) * (T_data[[#This Row],[Couverture assurance]]=T_bareme[Couverture]), 0))/1000</f>
        <v>11.31</v>
      </c>
      <c r="AL7" s="1" cm="1">
        <f t="array" ref="AL7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147</v>
      </c>
      <c r="AM7" s="1" cm="1">
        <f t="array" ref="AM7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276.89</v>
      </c>
      <c r="AN7" s="1">
        <f>SUM(T_data[[#This Row],[Médical]:[ILD]])</f>
        <v>1015.92</v>
      </c>
      <c r="AO7" s="1">
        <f>IF(T_data[[#This Row],[Province]]="Québec",ROUND(T_data[[#This Row],[Prime total]]*0.09,2),IF(T_data[[#This Row],[Province]]="Ontario",ROUND(T_data[[#This Row],[Prime total]]*0.08,2),0))</f>
        <v>81.27</v>
      </c>
      <c r="AP7" s="29">
        <f>T_data[[#This Row],[Prime total]]+T_data[[#This Row],[Taxe]]</f>
        <v>1097.19</v>
      </c>
    </row>
    <row r="8" spans="1:42" ht="18">
      <c r="A8" s="22">
        <v>7</v>
      </c>
      <c r="B8" t="s">
        <v>89</v>
      </c>
      <c r="C8" t="s">
        <v>90</v>
      </c>
      <c r="E8" s="1" t="s">
        <v>40</v>
      </c>
      <c r="F8" s="13" t="s">
        <v>17</v>
      </c>
      <c r="G8"/>
      <c r="Q8" s="1" t="s">
        <v>36</v>
      </c>
      <c r="R8"/>
      <c r="AD8" s="1">
        <v>150000</v>
      </c>
      <c r="AE8" s="1" t="s">
        <v>37</v>
      </c>
      <c r="AF8" s="1" t="e" cm="1">
        <f t="array" ref="AF8">INDEX(T_bareme[Médical], MATCH(1, (T_data[[#This Row],[Contrat]]&amp; " " &amp;T_data[[#This Row],[Statut]]=T_bareme[Catégorie]) * (T_data[[#This Row],[Couverture assurance]]=T_bareme[Couverture]), 0))</f>
        <v>#N/A</v>
      </c>
      <c r="AG8" s="1" t="e" cm="1">
        <f t="array" ref="AG8">INDEX(T_bareme[Dentaire], MATCH(1, (T_data[[#This Row],[Contrat]]&amp; " " &amp;T_data[[#This Row],[Statut]]=T_bareme[Catégorie]) * (T_data[[#This Row],[Couverture assurance]]=T_bareme[Couverture]), 0))</f>
        <v>#N/A</v>
      </c>
      <c r="AH8" s="1" t="e" cm="1">
        <f t="array" ref="AH8">(ROUND(T_data[[#This Row],[Salaire assurable]],-3))*INDEX(T_bareme[Vie], MATCH(1, (T_data[[#This Row],[Contrat]]&amp; " " &amp;T_data[[#This Row],[Statut]]=T_bareme[Catégorie]) * (T_data[[#This Row],[Couverture assurance]]=T_bareme[Couverture]), 0))/1000</f>
        <v>#N/A</v>
      </c>
      <c r="AI8" s="1" t="e" cm="1">
        <f t="array" ref="AI8">INDEX(T_bareme[Vie PAC], MATCH(1, (T_data[[#This Row],[Contrat]]&amp; " " &amp;T_data[[#This Row],[Statut]]=T_bareme[Catégorie]) * (T_data[[#This Row],[Couverture assurance]]=T_bareme[Couverture]), 0))</f>
        <v>#N/A</v>
      </c>
      <c r="AJ8" s="1" t="e" cm="1">
        <f t="array" ref="AJ8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#N/A</v>
      </c>
      <c r="AK8" s="1" t="e" cm="1">
        <f t="array" ref="AK8">30000*INDEX(T_bareme[Maladies Graves], MATCH(1, (T_data[[#This Row],[Contrat]]&amp; " " &amp;T_data[[#This Row],[Statut]]=T_bareme[Catégorie]) * (T_data[[#This Row],[Couverture assurance]]=T_bareme[Couverture]), 0))/1000</f>
        <v>#N/A</v>
      </c>
      <c r="AL8" s="1" cm="1">
        <f t="array" ref="AL8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8" s="1" t="e" cm="1">
        <f t="array" ref="AM8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#N/A</v>
      </c>
      <c r="AN8" s="1" t="e">
        <f>SUM(T_data[[#This Row],[Médical]:[ILD]])</f>
        <v>#N/A</v>
      </c>
      <c r="AO8" s="1" t="e">
        <f>IF(T_data[[#This Row],[Province]]="Québec",ROUND(T_data[[#This Row],[Prime total]]*0.09,2),IF(T_data[[#This Row],[Province]]="Ontario",ROUND(T_data[[#This Row],[Prime total]]*0.08,2),0))</f>
        <v>#N/A</v>
      </c>
      <c r="AP8" s="29" t="e">
        <f>T_data[[#This Row],[Prime total]]+T_data[[#This Row],[Taxe]]</f>
        <v>#N/A</v>
      </c>
    </row>
    <row r="9" spans="1:42" ht="18">
      <c r="A9" s="22">
        <v>8</v>
      </c>
      <c r="B9" t="s">
        <v>76</v>
      </c>
      <c r="C9" t="s">
        <v>91</v>
      </c>
      <c r="E9" s="1" t="s">
        <v>47</v>
      </c>
      <c r="F9" s="13" t="s">
        <v>48</v>
      </c>
      <c r="G9"/>
      <c r="Q9" s="1" t="s">
        <v>36</v>
      </c>
      <c r="R9"/>
      <c r="AD9" s="1">
        <v>103246</v>
      </c>
      <c r="AE9" s="1" t="s">
        <v>38</v>
      </c>
      <c r="AF9" s="1" cm="1">
        <f t="array" ref="AF9">INDEX(T_bareme[Médical], MATCH(1, (T_data[[#This Row],[Contrat]]&amp; " " &amp;T_data[[#This Row],[Statut]]=T_bareme[Catégorie]) * (T_data[[#This Row],[Couverture assurance]]=T_bareme[Couverture]), 0))</f>
        <v>178.47</v>
      </c>
      <c r="AG9" s="1" cm="1">
        <f t="array" ref="AG9">INDEX(T_bareme[Dentaire], MATCH(1, (T_data[[#This Row],[Contrat]]&amp; " " &amp;T_data[[#This Row],[Statut]]=T_bareme[Catégorie]) * (T_data[[#This Row],[Couverture assurance]]=T_bareme[Couverture]), 0))</f>
        <v>79.77</v>
      </c>
      <c r="AH9" s="1" cm="1">
        <f t="array" ref="AH9">(ROUND(T_data[[#This Row],[Salaire assurable]],-3))*INDEX(T_bareme[Vie], MATCH(1, (T_data[[#This Row],[Contrat]]&amp; " " &amp;T_data[[#This Row],[Statut]]=T_bareme[Catégorie]) * (T_data[[#This Row],[Couverture assurance]]=T_bareme[Couverture]), 0))/1000</f>
        <v>20.6</v>
      </c>
      <c r="AI9" s="1" cm="1">
        <f t="array" ref="AI9">INDEX(T_bareme[Vie PAC], MATCH(1, (T_data[[#This Row],[Contrat]]&amp; " " &amp;T_data[[#This Row],[Statut]]=T_bareme[Catégorie]) * (T_data[[#This Row],[Couverture assurance]]=T_bareme[Couverture]), 0))</f>
        <v>0</v>
      </c>
      <c r="AJ9" s="1" cm="1">
        <f t="array" ref="AJ9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9" s="1" cm="1">
        <f t="array" ref="AK9">30000*INDEX(T_bareme[Maladies Graves], MATCH(1, (T_data[[#This Row],[Contrat]]&amp; " " &amp;T_data[[#This Row],[Statut]]=T_bareme[Catégorie]) * (T_data[[#This Row],[Couverture assurance]]=T_bareme[Couverture]), 0))/1000</f>
        <v>11.31</v>
      </c>
      <c r="AL9" s="1" cm="1">
        <f t="array" ref="AL9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129.75</v>
      </c>
      <c r="AM9" s="1" cm="1">
        <f t="array" ref="AM9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207.79</v>
      </c>
      <c r="AN9" s="1">
        <f>SUM(T_data[[#This Row],[Médical]:[ILD]])</f>
        <v>632.63</v>
      </c>
      <c r="AO9" s="1">
        <f>IF(T_data[[#This Row],[Province]]="Québec",ROUND(T_data[[#This Row],[Prime total]]*0.09,2),IF(T_data[[#This Row],[Province]]="Ontario",ROUND(T_data[[#This Row],[Prime total]]*0.08,2),0))</f>
        <v>0</v>
      </c>
      <c r="AP9" s="29">
        <f>T_data[[#This Row],[Prime total]]+T_data[[#This Row],[Taxe]]</f>
        <v>632.63</v>
      </c>
    </row>
    <row r="10" spans="1:42" ht="18">
      <c r="A10" s="22">
        <v>9</v>
      </c>
      <c r="B10" t="s">
        <v>92</v>
      </c>
      <c r="C10" t="s">
        <v>93</v>
      </c>
      <c r="E10" s="1" t="s">
        <v>39</v>
      </c>
      <c r="F10" s="13" t="s">
        <v>17</v>
      </c>
      <c r="G10"/>
      <c r="Q10" s="1" t="s">
        <v>41</v>
      </c>
      <c r="R10"/>
      <c r="AD10" s="1">
        <v>99911</v>
      </c>
      <c r="AE10" s="1" t="s">
        <v>38</v>
      </c>
      <c r="AF10" s="1" cm="1">
        <f t="array" ref="AF10">INDEX(T_bareme[Médical], MATCH(1, (T_data[[#This Row],[Contrat]]&amp; " " &amp;T_data[[#This Row],[Statut]]=T_bareme[Catégorie]) * (T_data[[#This Row],[Couverture assurance]]=T_bareme[Couverture]), 0))</f>
        <v>196.95</v>
      </c>
      <c r="AG10" s="1" cm="1">
        <f t="array" ref="AG10">INDEX(T_bareme[Dentaire], MATCH(1, (T_data[[#This Row],[Contrat]]&amp; " " &amp;T_data[[#This Row],[Statut]]=T_bareme[Catégorie]) * (T_data[[#This Row],[Couverture assurance]]=T_bareme[Couverture]), 0))</f>
        <v>53.83</v>
      </c>
      <c r="AH10" s="1" cm="1">
        <f t="array" ref="AH10">(ROUND(T_data[[#This Row],[Salaire assurable]],-3))*INDEX(T_bareme[Vie], MATCH(1, (T_data[[#This Row],[Contrat]]&amp; " " &amp;T_data[[#This Row],[Statut]]=T_bareme[Catégorie]) * (T_data[[#This Row],[Couverture assurance]]=T_bareme[Couverture]), 0))/1000</f>
        <v>23</v>
      </c>
      <c r="AI10" s="1" cm="1">
        <f t="array" ref="AI10">INDEX(T_bareme[Vie PAC], MATCH(1, (T_data[[#This Row],[Contrat]]&amp; " " &amp;T_data[[#This Row],[Statut]]=T_bareme[Catégorie]) * (T_data[[#This Row],[Couverture assurance]]=T_bareme[Couverture]), 0))</f>
        <v>0</v>
      </c>
      <c r="AJ10" s="1" cm="1">
        <f t="array" ref="AJ10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4.8</v>
      </c>
      <c r="AK10" s="1" cm="1">
        <f t="array" ref="AK10">30000*INDEX(T_bareme[Maladies Graves], MATCH(1, (T_data[[#This Row],[Contrat]]&amp; " " &amp;T_data[[#This Row],[Statut]]=T_bareme[Catégorie]) * (T_data[[#This Row],[Couverture assurance]]=T_bareme[Couverture]), 0))/1000</f>
        <v>11.31</v>
      </c>
      <c r="AL10" s="1" cm="1">
        <f t="array" ref="AL10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0" s="1" cm="1">
        <f t="array" ref="AM10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95.53</v>
      </c>
      <c r="AN10" s="1">
        <f>SUM(T_data[[#This Row],[Médical]:[ILD]])</f>
        <v>385.41999999999996</v>
      </c>
      <c r="AO10" s="1">
        <f>IF(T_data[[#This Row],[Province]]="Québec",ROUND(T_data[[#This Row],[Prime total]]*0.09,2),IF(T_data[[#This Row],[Province]]="Ontario",ROUND(T_data[[#This Row],[Prime total]]*0.08,2),0))</f>
        <v>34.69</v>
      </c>
      <c r="AP10" s="29">
        <f>T_data[[#This Row],[Prime total]]+T_data[[#This Row],[Taxe]]</f>
        <v>420.10999999999996</v>
      </c>
    </row>
    <row r="11" spans="1:42" ht="18">
      <c r="A11" s="22">
        <v>10</v>
      </c>
      <c r="B11" t="s">
        <v>94</v>
      </c>
      <c r="C11" t="s">
        <v>95</v>
      </c>
      <c r="E11" s="1" t="s">
        <v>39</v>
      </c>
      <c r="F11" s="13" t="s">
        <v>18</v>
      </c>
      <c r="G11"/>
      <c r="Q11" s="1" t="s">
        <v>41</v>
      </c>
      <c r="R11"/>
      <c r="AD11" s="1">
        <v>102585</v>
      </c>
      <c r="AE11" s="1" t="s">
        <v>38</v>
      </c>
      <c r="AF11" s="1" cm="1">
        <f t="array" ref="AF11">INDEX(T_bareme[Médical], MATCH(1, (T_data[[#This Row],[Contrat]]&amp; " " &amp;T_data[[#This Row],[Statut]]=T_bareme[Catégorie]) * (T_data[[#This Row],[Couverture assurance]]=T_bareme[Couverture]), 0))</f>
        <v>196.95</v>
      </c>
      <c r="AG11" s="1" cm="1">
        <f t="array" ref="AG11">INDEX(T_bareme[Dentaire], MATCH(1, (T_data[[#This Row],[Contrat]]&amp; " " &amp;T_data[[#This Row],[Statut]]=T_bareme[Catégorie]) * (T_data[[#This Row],[Couverture assurance]]=T_bareme[Couverture]), 0))</f>
        <v>53.83</v>
      </c>
      <c r="AH11" s="1" cm="1">
        <f t="array" ref="AH11">(ROUND(T_data[[#This Row],[Salaire assurable]],-3))*INDEX(T_bareme[Vie], MATCH(1, (T_data[[#This Row],[Contrat]]&amp; " " &amp;T_data[[#This Row],[Statut]]=T_bareme[Catégorie]) * (T_data[[#This Row],[Couverture assurance]]=T_bareme[Couverture]), 0))/1000</f>
        <v>23.69</v>
      </c>
      <c r="AI11" s="1" cm="1">
        <f t="array" ref="AI11">INDEX(T_bareme[Vie PAC], MATCH(1, (T_data[[#This Row],[Contrat]]&amp; " " &amp;T_data[[#This Row],[Statut]]=T_bareme[Catégorie]) * (T_data[[#This Row],[Couverture assurance]]=T_bareme[Couverture]), 0))</f>
        <v>0</v>
      </c>
      <c r="AJ11" s="1" cm="1">
        <f t="array" ref="AJ11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11" s="1" cm="1">
        <f t="array" ref="AK11">30000*INDEX(T_bareme[Maladies Graves], MATCH(1, (T_data[[#This Row],[Contrat]]&amp; " " &amp;T_data[[#This Row],[Statut]]=T_bareme[Catégorie]) * (T_data[[#This Row],[Couverture assurance]]=T_bareme[Couverture]), 0))/1000</f>
        <v>11.31</v>
      </c>
      <c r="AL11" s="1" cm="1">
        <f t="array" ref="AL11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1" s="1" cm="1">
        <f t="array" ref="AM11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98.1</v>
      </c>
      <c r="AN11" s="1">
        <f>SUM(T_data[[#This Row],[Médical]:[ILD]])</f>
        <v>388.81999999999994</v>
      </c>
      <c r="AO11" s="1">
        <f>IF(T_data[[#This Row],[Province]]="Québec",ROUND(T_data[[#This Row],[Prime total]]*0.09,2),IF(T_data[[#This Row],[Province]]="Ontario",ROUND(T_data[[#This Row],[Prime total]]*0.08,2),0))</f>
        <v>31.11</v>
      </c>
      <c r="AP11" s="29">
        <f>T_data[[#This Row],[Prime total]]+T_data[[#This Row],[Taxe]]</f>
        <v>419.92999999999995</v>
      </c>
    </row>
    <row r="12" spans="1:42" ht="18">
      <c r="A12" s="22">
        <v>11</v>
      </c>
      <c r="B12" t="s">
        <v>96</v>
      </c>
      <c r="C12" t="s">
        <v>97</v>
      </c>
      <c r="E12" s="1" t="s">
        <v>39</v>
      </c>
      <c r="F12" s="13" t="s">
        <v>48</v>
      </c>
      <c r="G12"/>
      <c r="Q12" s="1" t="s">
        <v>41</v>
      </c>
      <c r="R12"/>
      <c r="AD12" s="1">
        <v>117219</v>
      </c>
      <c r="AE12" s="1" t="s">
        <v>38</v>
      </c>
      <c r="AF12" s="1" cm="1">
        <f t="array" ref="AF12">INDEX(T_bareme[Médical], MATCH(1, (T_data[[#This Row],[Contrat]]&amp; " " &amp;T_data[[#This Row],[Statut]]=T_bareme[Catégorie]) * (T_data[[#This Row],[Couverture assurance]]=T_bareme[Couverture]), 0))</f>
        <v>196.95</v>
      </c>
      <c r="AG12" s="1" cm="1">
        <f t="array" ref="AG12">INDEX(T_bareme[Dentaire], MATCH(1, (T_data[[#This Row],[Contrat]]&amp; " " &amp;T_data[[#This Row],[Statut]]=T_bareme[Catégorie]) * (T_data[[#This Row],[Couverture assurance]]=T_bareme[Couverture]), 0))</f>
        <v>53.83</v>
      </c>
      <c r="AH12" s="1" cm="1">
        <f t="array" ref="AH12">(ROUND(T_data[[#This Row],[Salaire assurable]],-3))*INDEX(T_bareme[Vie], MATCH(1, (T_data[[#This Row],[Contrat]]&amp; " " &amp;T_data[[#This Row],[Statut]]=T_bareme[Catégorie]) * (T_data[[#This Row],[Couverture assurance]]=T_bareme[Couverture]), 0))/1000</f>
        <v>26.91</v>
      </c>
      <c r="AI12" s="1" cm="1">
        <f t="array" ref="AI12">INDEX(T_bareme[Vie PAC], MATCH(1, (T_data[[#This Row],[Contrat]]&amp; " " &amp;T_data[[#This Row],[Statut]]=T_bareme[Catégorie]) * (T_data[[#This Row],[Couverture assurance]]=T_bareme[Couverture]), 0))</f>
        <v>0</v>
      </c>
      <c r="AJ12" s="1" cm="1">
        <f t="array" ref="AJ12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5.62</v>
      </c>
      <c r="AK12" s="1" cm="1">
        <f t="array" ref="AK12">30000*INDEX(T_bareme[Maladies Graves], MATCH(1, (T_data[[#This Row],[Contrat]]&amp; " " &amp;T_data[[#This Row],[Statut]]=T_bareme[Catégorie]) * (T_data[[#This Row],[Couverture assurance]]=T_bareme[Couverture]), 0))/1000</f>
        <v>11.31</v>
      </c>
      <c r="AL12" s="1" cm="1">
        <f t="array" ref="AL12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2" s="1" cm="1">
        <f t="array" ref="AM12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112.09</v>
      </c>
      <c r="AN12" s="1">
        <f>SUM(T_data[[#This Row],[Médical]:[ILD]])</f>
        <v>406.71000000000004</v>
      </c>
      <c r="AO12" s="1">
        <f>IF(T_data[[#This Row],[Province]]="Québec",ROUND(T_data[[#This Row],[Prime total]]*0.09,2),IF(T_data[[#This Row],[Province]]="Ontario",ROUND(T_data[[#This Row],[Prime total]]*0.08,2),0))</f>
        <v>0</v>
      </c>
      <c r="AP12" s="29">
        <f>T_data[[#This Row],[Prime total]]+T_data[[#This Row],[Taxe]]</f>
        <v>406.71000000000004</v>
      </c>
    </row>
    <row r="13" spans="1:42" ht="18">
      <c r="A13" s="22">
        <v>12</v>
      </c>
      <c r="B13" t="s">
        <v>98</v>
      </c>
      <c r="C13" t="s">
        <v>99</v>
      </c>
      <c r="E13" s="1" t="s">
        <v>47</v>
      </c>
      <c r="F13" s="13" t="s">
        <v>17</v>
      </c>
      <c r="G13"/>
      <c r="Q13" s="1" t="s">
        <v>41</v>
      </c>
      <c r="R13"/>
      <c r="AD13" s="1">
        <v>102585</v>
      </c>
      <c r="AE13" s="1" t="s">
        <v>38</v>
      </c>
      <c r="AF13" s="1" cm="1">
        <f t="array" ref="AF13">INDEX(T_bareme[Médical], MATCH(1, (T_data[[#This Row],[Contrat]]&amp; " " &amp;T_data[[#This Row],[Statut]]=T_bareme[Catégorie]) * (T_data[[#This Row],[Couverture assurance]]=T_bareme[Couverture]), 0))</f>
        <v>178.47</v>
      </c>
      <c r="AG13" s="1" cm="1">
        <f t="array" ref="AG13">INDEX(T_bareme[Dentaire], MATCH(1, (T_data[[#This Row],[Contrat]]&amp; " " &amp;T_data[[#This Row],[Statut]]=T_bareme[Catégorie]) * (T_data[[#This Row],[Couverture assurance]]=T_bareme[Couverture]), 0))</f>
        <v>60.47</v>
      </c>
      <c r="AH13" s="1" cm="1">
        <f t="array" ref="AH13">(ROUND(T_data[[#This Row],[Salaire assurable]],-3))*INDEX(T_bareme[Vie], MATCH(1, (T_data[[#This Row],[Contrat]]&amp; " " &amp;T_data[[#This Row],[Statut]]=T_bareme[Catégorie]) * (T_data[[#This Row],[Couverture assurance]]=T_bareme[Couverture]), 0))/1000</f>
        <v>20.6</v>
      </c>
      <c r="AI13" s="1" cm="1">
        <f t="array" ref="AI13">INDEX(T_bareme[Vie PAC], MATCH(1, (T_data[[#This Row],[Contrat]]&amp; " " &amp;T_data[[#This Row],[Statut]]=T_bareme[Catégorie]) * (T_data[[#This Row],[Couverture assurance]]=T_bareme[Couverture]), 0))</f>
        <v>0</v>
      </c>
      <c r="AJ13" s="1" cm="1">
        <f t="array" ref="AJ13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13" s="1" cm="1">
        <f t="array" ref="AK13">30000*INDEX(T_bareme[Maladies Graves], MATCH(1, (T_data[[#This Row],[Contrat]]&amp; " " &amp;T_data[[#This Row],[Statut]]=T_bareme[Catégorie]) * (T_data[[#This Row],[Couverture assurance]]=T_bareme[Couverture]), 0))/1000</f>
        <v>11.31</v>
      </c>
      <c r="AL13" s="1" cm="1">
        <f t="array" ref="AL13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3" s="1" cm="1">
        <f t="array" ref="AM13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105.61</v>
      </c>
      <c r="AN13" s="1">
        <f>SUM(T_data[[#This Row],[Médical]:[ILD]])</f>
        <v>381.40000000000003</v>
      </c>
      <c r="AO13" s="1">
        <f>IF(T_data[[#This Row],[Province]]="Québec",ROUND(T_data[[#This Row],[Prime total]]*0.09,2),IF(T_data[[#This Row],[Province]]="Ontario",ROUND(T_data[[#This Row],[Prime total]]*0.08,2),0))</f>
        <v>34.33</v>
      </c>
      <c r="AP13" s="29">
        <f>T_data[[#This Row],[Prime total]]+T_data[[#This Row],[Taxe]]</f>
        <v>415.73</v>
      </c>
    </row>
    <row r="14" spans="1:42" ht="18">
      <c r="A14" s="22">
        <v>13</v>
      </c>
      <c r="B14" t="s">
        <v>100</v>
      </c>
      <c r="C14" t="s">
        <v>101</v>
      </c>
      <c r="E14" s="1" t="s">
        <v>47</v>
      </c>
      <c r="F14" s="13" t="s">
        <v>18</v>
      </c>
      <c r="G14"/>
      <c r="Q14" s="1" t="s">
        <v>41</v>
      </c>
      <c r="R14"/>
      <c r="AD14" s="1">
        <v>150000</v>
      </c>
      <c r="AE14" s="1" t="s">
        <v>38</v>
      </c>
      <c r="AF14" s="1" cm="1">
        <f t="array" ref="AF14">INDEX(T_bareme[Médical], MATCH(1, (T_data[[#This Row],[Contrat]]&amp; " " &amp;T_data[[#This Row],[Statut]]=T_bareme[Catégorie]) * (T_data[[#This Row],[Couverture assurance]]=T_bareme[Couverture]), 0))</f>
        <v>178.47</v>
      </c>
      <c r="AG14" s="1" cm="1">
        <f t="array" ref="AG14">INDEX(T_bareme[Dentaire], MATCH(1, (T_data[[#This Row],[Contrat]]&amp; " " &amp;T_data[[#This Row],[Statut]]=T_bareme[Catégorie]) * (T_data[[#This Row],[Couverture assurance]]=T_bareme[Couverture]), 0))</f>
        <v>60.47</v>
      </c>
      <c r="AH14" s="1" cm="1">
        <f t="array" ref="AH14">(ROUND(T_data[[#This Row],[Salaire assurable]],-3))*INDEX(T_bareme[Vie], MATCH(1, (T_data[[#This Row],[Contrat]]&amp; " " &amp;T_data[[#This Row],[Statut]]=T_bareme[Catégorie]) * (T_data[[#This Row],[Couverture assurance]]=T_bareme[Couverture]), 0))/1000</f>
        <v>30</v>
      </c>
      <c r="AI14" s="1" cm="1">
        <f t="array" ref="AI14">INDEX(T_bareme[Vie PAC], MATCH(1, (T_data[[#This Row],[Contrat]]&amp; " " &amp;T_data[[#This Row],[Statut]]=T_bareme[Catégorie]) * (T_data[[#This Row],[Couverture assurance]]=T_bareme[Couverture]), 0))</f>
        <v>0</v>
      </c>
      <c r="AJ14" s="1" cm="1">
        <f t="array" ref="AJ14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7.2</v>
      </c>
      <c r="AK14" s="1" cm="1">
        <f t="array" ref="AK14">30000*INDEX(T_bareme[Maladies Graves], MATCH(1, (T_data[[#This Row],[Contrat]]&amp; " " &amp;T_data[[#This Row],[Statut]]=T_bareme[Catégorie]) * (T_data[[#This Row],[Couverture assurance]]=T_bareme[Couverture]), 0))/1000</f>
        <v>11.31</v>
      </c>
      <c r="AL14" s="1" cm="1">
        <f t="array" ref="AL14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4" s="1" cm="1">
        <f t="array" ref="AM14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154.41</v>
      </c>
      <c r="AN14" s="1">
        <f>SUM(T_data[[#This Row],[Médical]:[ILD]])</f>
        <v>441.86</v>
      </c>
      <c r="AO14" s="1">
        <f>IF(T_data[[#This Row],[Province]]="Québec",ROUND(T_data[[#This Row],[Prime total]]*0.09,2),IF(T_data[[#This Row],[Province]]="Ontario",ROUND(T_data[[#This Row],[Prime total]]*0.08,2),0))</f>
        <v>35.35</v>
      </c>
      <c r="AP14" s="29">
        <f>T_data[[#This Row],[Prime total]]+T_data[[#This Row],[Taxe]]</f>
        <v>477.21000000000004</v>
      </c>
    </row>
    <row r="15" spans="1:42" ht="18">
      <c r="A15" s="22">
        <v>14</v>
      </c>
      <c r="B15" t="s">
        <v>102</v>
      </c>
      <c r="C15" t="s">
        <v>103</v>
      </c>
      <c r="E15" s="1" t="s">
        <v>47</v>
      </c>
      <c r="F15" s="13" t="s">
        <v>48</v>
      </c>
      <c r="G15"/>
      <c r="Q15" s="1" t="s">
        <v>41</v>
      </c>
      <c r="R15"/>
      <c r="AD15" s="1">
        <v>137583</v>
      </c>
      <c r="AE15" s="1" t="s">
        <v>38</v>
      </c>
      <c r="AF15" s="1" cm="1">
        <f t="array" ref="AF15">INDEX(T_bareme[Médical], MATCH(1, (T_data[[#This Row],[Contrat]]&amp; " " &amp;T_data[[#This Row],[Statut]]=T_bareme[Catégorie]) * (T_data[[#This Row],[Couverture assurance]]=T_bareme[Couverture]), 0))</f>
        <v>178.47</v>
      </c>
      <c r="AG15" s="1" cm="1">
        <f t="array" ref="AG15">INDEX(T_bareme[Dentaire], MATCH(1, (T_data[[#This Row],[Contrat]]&amp; " " &amp;T_data[[#This Row],[Statut]]=T_bareme[Catégorie]) * (T_data[[#This Row],[Couverture assurance]]=T_bareme[Couverture]), 0))</f>
        <v>60.47</v>
      </c>
      <c r="AH15" s="1" cm="1">
        <f t="array" ref="AH15">(ROUND(T_data[[#This Row],[Salaire assurable]],-3))*INDEX(T_bareme[Vie], MATCH(1, (T_data[[#This Row],[Contrat]]&amp; " " &amp;T_data[[#This Row],[Statut]]=T_bareme[Catégorie]) * (T_data[[#This Row],[Couverture assurance]]=T_bareme[Couverture]), 0))/1000</f>
        <v>27.6</v>
      </c>
      <c r="AI15" s="1" cm="1">
        <f t="array" ref="AI15">INDEX(T_bareme[Vie PAC], MATCH(1, (T_data[[#This Row],[Contrat]]&amp; " " &amp;T_data[[#This Row],[Statut]]=T_bareme[Catégorie]) * (T_data[[#This Row],[Couverture assurance]]=T_bareme[Couverture]), 0))</f>
        <v>0</v>
      </c>
      <c r="AJ15" s="1" cm="1">
        <f t="array" ref="AJ15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6.62</v>
      </c>
      <c r="AK15" s="1" cm="1">
        <f t="array" ref="AK15">30000*INDEX(T_bareme[Maladies Graves], MATCH(1, (T_data[[#This Row],[Contrat]]&amp; " " &amp;T_data[[#This Row],[Statut]]=T_bareme[Catégorie]) * (T_data[[#This Row],[Couverture assurance]]=T_bareme[Couverture]), 0))/1000</f>
        <v>11.31</v>
      </c>
      <c r="AL15" s="1" cm="1">
        <f t="array" ref="AL15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5" s="1" cm="1">
        <f t="array" ref="AM15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141.63</v>
      </c>
      <c r="AN15" s="1">
        <f>SUM(T_data[[#This Row],[Médical]:[ILD]])</f>
        <v>426.1</v>
      </c>
      <c r="AO15" s="1">
        <f>IF(T_data[[#This Row],[Province]]="Québec",ROUND(T_data[[#This Row],[Prime total]]*0.09,2),IF(T_data[[#This Row],[Province]]="Ontario",ROUND(T_data[[#This Row],[Prime total]]*0.08,2),0))</f>
        <v>0</v>
      </c>
      <c r="AP15" s="29">
        <f>T_data[[#This Row],[Prime total]]+T_data[[#This Row],[Taxe]]</f>
        <v>426.1</v>
      </c>
    </row>
    <row r="16" spans="1:42" ht="18">
      <c r="A16" s="22">
        <v>15</v>
      </c>
      <c r="B16" t="s">
        <v>104</v>
      </c>
      <c r="C16" t="s">
        <v>105</v>
      </c>
      <c r="E16" s="1" t="s">
        <v>39</v>
      </c>
      <c r="F16" s="13" t="s">
        <v>17</v>
      </c>
      <c r="G16"/>
      <c r="Q16" s="1" t="s">
        <v>41</v>
      </c>
      <c r="R16"/>
      <c r="AD16" s="1">
        <v>150000</v>
      </c>
      <c r="AE16" s="1" t="s">
        <v>43</v>
      </c>
      <c r="AF16" s="1" cm="1">
        <f t="array" ref="AF16">INDEX(T_bareme[Médical], MATCH(1, (T_data[[#This Row],[Contrat]]&amp; " " &amp;T_data[[#This Row],[Statut]]=T_bareme[Catégorie]) * (T_data[[#This Row],[Couverture assurance]]=T_bareme[Couverture]), 0))</f>
        <v>403.1</v>
      </c>
      <c r="AG16" s="1" cm="1">
        <f t="array" ref="AG16">INDEX(T_bareme[Dentaire], MATCH(1, (T_data[[#This Row],[Contrat]]&amp; " " &amp;T_data[[#This Row],[Statut]]=T_bareme[Catégorie]) * (T_data[[#This Row],[Couverture assurance]]=T_bareme[Couverture]), 0))</f>
        <v>121.43</v>
      </c>
      <c r="AH16" s="1" cm="1">
        <f t="array" ref="AH16">(ROUND(T_data[[#This Row],[Salaire assurable]],-3))*INDEX(T_bareme[Vie], MATCH(1, (T_data[[#This Row],[Contrat]]&amp; " " &amp;T_data[[#This Row],[Statut]]=T_bareme[Catégorie]) * (T_data[[#This Row],[Couverture assurance]]=T_bareme[Couverture]), 0))/1000</f>
        <v>34.5</v>
      </c>
      <c r="AI16" s="1" cm="1">
        <f t="array" ref="AI16">INDEX(T_bareme[Vie PAC], MATCH(1, (T_data[[#This Row],[Contrat]]&amp; " " &amp;T_data[[#This Row],[Statut]]=T_bareme[Catégorie]) * (T_data[[#This Row],[Couverture assurance]]=T_bareme[Couverture]), 0))</f>
        <v>1.64</v>
      </c>
      <c r="AJ16" s="1" cm="1">
        <f t="array" ref="AJ16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7.2</v>
      </c>
      <c r="AK16" s="1" cm="1">
        <f t="array" ref="AK16">30000*INDEX(T_bareme[Maladies Graves], MATCH(1, (T_data[[#This Row],[Contrat]]&amp; " " &amp;T_data[[#This Row],[Statut]]=T_bareme[Catégorie]) * (T_data[[#This Row],[Couverture assurance]]=T_bareme[Couverture]), 0))/1000</f>
        <v>11.31</v>
      </c>
      <c r="AL16" s="1" cm="1">
        <f t="array" ref="AL16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6" s="1" cm="1">
        <f t="array" ref="AM16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143.44</v>
      </c>
      <c r="AN16" s="1">
        <f>SUM(T_data[[#This Row],[Médical]:[ILD]])</f>
        <v>722.61999999999989</v>
      </c>
      <c r="AO16" s="1">
        <f>IF(T_data[[#This Row],[Province]]="Québec",ROUND(T_data[[#This Row],[Prime total]]*0.09,2),IF(T_data[[#This Row],[Province]]="Ontario",ROUND(T_data[[#This Row],[Prime total]]*0.08,2),0))</f>
        <v>65.040000000000006</v>
      </c>
      <c r="AP16" s="29">
        <f>T_data[[#This Row],[Prime total]]+T_data[[#This Row],[Taxe]]</f>
        <v>787.65999999999985</v>
      </c>
    </row>
    <row r="17" spans="1:51" ht="18">
      <c r="A17" s="22">
        <v>16</v>
      </c>
      <c r="B17" t="s">
        <v>106</v>
      </c>
      <c r="C17" t="s">
        <v>107</v>
      </c>
      <c r="E17" s="1" t="s">
        <v>39</v>
      </c>
      <c r="F17" s="13" t="s">
        <v>18</v>
      </c>
      <c r="G17"/>
      <c r="Q17" s="1" t="s">
        <v>41</v>
      </c>
      <c r="R17"/>
      <c r="AD17" s="1">
        <v>103246</v>
      </c>
      <c r="AE17" s="1" t="s">
        <v>43</v>
      </c>
      <c r="AF17" s="1" cm="1">
        <f t="array" ref="AF17">INDEX(T_bareme[Médical], MATCH(1, (T_data[[#This Row],[Contrat]]&amp; " " &amp;T_data[[#This Row],[Statut]]=T_bareme[Catégorie]) * (T_data[[#This Row],[Couverture assurance]]=T_bareme[Couverture]), 0))</f>
        <v>403.1</v>
      </c>
      <c r="AG17" s="1" cm="1">
        <f t="array" ref="AG17">INDEX(T_bareme[Dentaire], MATCH(1, (T_data[[#This Row],[Contrat]]&amp; " " &amp;T_data[[#This Row],[Statut]]=T_bareme[Catégorie]) * (T_data[[#This Row],[Couverture assurance]]=T_bareme[Couverture]), 0))</f>
        <v>121.43</v>
      </c>
      <c r="AH17" s="1" cm="1">
        <f t="array" ref="AH17">(ROUND(T_data[[#This Row],[Salaire assurable]],-3))*INDEX(T_bareme[Vie], MATCH(1, (T_data[[#This Row],[Contrat]]&amp; " " &amp;T_data[[#This Row],[Statut]]=T_bareme[Catégorie]) * (T_data[[#This Row],[Couverture assurance]]=T_bareme[Couverture]), 0))/1000</f>
        <v>23.69</v>
      </c>
      <c r="AI17" s="1" cm="1">
        <f t="array" ref="AI17">INDEX(T_bareme[Vie PAC], MATCH(1, (T_data[[#This Row],[Contrat]]&amp; " " &amp;T_data[[#This Row],[Statut]]=T_bareme[Catégorie]) * (T_data[[#This Row],[Couverture assurance]]=T_bareme[Couverture]), 0))</f>
        <v>1.64</v>
      </c>
      <c r="AJ17" s="1" cm="1">
        <f t="array" ref="AJ17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17" s="1" cm="1">
        <f t="array" ref="AK17">30000*INDEX(T_bareme[Maladies Graves], MATCH(1, (T_data[[#This Row],[Contrat]]&amp; " " &amp;T_data[[#This Row],[Statut]]=T_bareme[Catégorie]) * (T_data[[#This Row],[Couverture assurance]]=T_bareme[Couverture]), 0))/1000</f>
        <v>11.31</v>
      </c>
      <c r="AL17" s="1" cm="1">
        <f t="array" ref="AL17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7" s="1" cm="1">
        <f t="array" ref="AM17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98.73</v>
      </c>
      <c r="AN17" s="1">
        <f>SUM(T_data[[#This Row],[Médical]:[ILD]])</f>
        <v>664.84</v>
      </c>
      <c r="AO17" s="1">
        <f>IF(T_data[[#This Row],[Province]]="Québec",ROUND(T_data[[#This Row],[Prime total]]*0.09,2),IF(T_data[[#This Row],[Province]]="Ontario",ROUND(T_data[[#This Row],[Prime total]]*0.08,2),0))</f>
        <v>53.19</v>
      </c>
      <c r="AP17" s="29">
        <f>T_data[[#This Row],[Prime total]]+T_data[[#This Row],[Taxe]]</f>
        <v>718.03</v>
      </c>
    </row>
    <row r="18" spans="1:51" ht="18">
      <c r="A18" s="22">
        <v>17</v>
      </c>
      <c r="B18" t="s">
        <v>108</v>
      </c>
      <c r="C18" t="s">
        <v>109</v>
      </c>
      <c r="E18" s="1" t="s">
        <v>39</v>
      </c>
      <c r="F18" s="13" t="s">
        <v>48</v>
      </c>
      <c r="G18"/>
      <c r="Q18" s="1" t="s">
        <v>41</v>
      </c>
      <c r="R18"/>
      <c r="AD18" s="1">
        <v>121000</v>
      </c>
      <c r="AE18" s="1" t="s">
        <v>43</v>
      </c>
      <c r="AF18" s="1" cm="1">
        <f t="array" ref="AF18">INDEX(T_bareme[Médical], MATCH(1, (T_data[[#This Row],[Contrat]]&amp; " " &amp;T_data[[#This Row],[Statut]]=T_bareme[Catégorie]) * (T_data[[#This Row],[Couverture assurance]]=T_bareme[Couverture]), 0))</f>
        <v>403.1</v>
      </c>
      <c r="AG18" s="1" cm="1">
        <f t="array" ref="AG18">INDEX(T_bareme[Dentaire], MATCH(1, (T_data[[#This Row],[Contrat]]&amp; " " &amp;T_data[[#This Row],[Statut]]=T_bareme[Catégorie]) * (T_data[[#This Row],[Couverture assurance]]=T_bareme[Couverture]), 0))</f>
        <v>121.43</v>
      </c>
      <c r="AH18" s="1" cm="1">
        <f t="array" ref="AH18">(ROUND(T_data[[#This Row],[Salaire assurable]],-3))*INDEX(T_bareme[Vie], MATCH(1, (T_data[[#This Row],[Contrat]]&amp; " " &amp;T_data[[#This Row],[Statut]]=T_bareme[Catégorie]) * (T_data[[#This Row],[Couverture assurance]]=T_bareme[Couverture]), 0))/1000</f>
        <v>27.83</v>
      </c>
      <c r="AI18" s="1" cm="1">
        <f t="array" ref="AI18">INDEX(T_bareme[Vie PAC], MATCH(1, (T_data[[#This Row],[Contrat]]&amp; " " &amp;T_data[[#This Row],[Statut]]=T_bareme[Catégorie]) * (T_data[[#This Row],[Couverture assurance]]=T_bareme[Couverture]), 0))</f>
        <v>1.64</v>
      </c>
      <c r="AJ18" s="1" cm="1">
        <f t="array" ref="AJ18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5.81</v>
      </c>
      <c r="AK18" s="1" cm="1">
        <f t="array" ref="AK18">30000*INDEX(T_bareme[Maladies Graves], MATCH(1, (T_data[[#This Row],[Contrat]]&amp; " " &amp;T_data[[#This Row],[Statut]]=T_bareme[Catégorie]) * (T_data[[#This Row],[Couverture assurance]]=T_bareme[Couverture]), 0))/1000</f>
        <v>11.31</v>
      </c>
      <c r="AL18" s="1" cm="1">
        <f t="array" ref="AL18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8" s="1" cm="1">
        <f t="array" ref="AM18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115.71</v>
      </c>
      <c r="AN18" s="1">
        <f>SUM(T_data[[#This Row],[Médical]:[ILD]])</f>
        <v>686.82999999999993</v>
      </c>
      <c r="AO18" s="1">
        <f>IF(T_data[[#This Row],[Province]]="Québec",ROUND(T_data[[#This Row],[Prime total]]*0.09,2),IF(T_data[[#This Row],[Province]]="Ontario",ROUND(T_data[[#This Row],[Prime total]]*0.08,2),0))</f>
        <v>0</v>
      </c>
      <c r="AP18" s="29">
        <f>T_data[[#This Row],[Prime total]]+T_data[[#This Row],[Taxe]]</f>
        <v>686.82999999999993</v>
      </c>
    </row>
    <row r="19" spans="1:51" ht="18">
      <c r="A19" s="22">
        <v>18</v>
      </c>
      <c r="B19" t="s">
        <v>110</v>
      </c>
      <c r="C19" t="s">
        <v>111</v>
      </c>
      <c r="E19" s="1" t="s">
        <v>47</v>
      </c>
      <c r="F19" s="13" t="s">
        <v>17</v>
      </c>
      <c r="G19"/>
      <c r="Q19" s="1" t="s">
        <v>41</v>
      </c>
      <c r="R19"/>
      <c r="AD19" s="1">
        <v>99911</v>
      </c>
      <c r="AE19" s="1" t="s">
        <v>43</v>
      </c>
      <c r="AF19" s="1" cm="1">
        <f t="array" ref="AF19">INDEX(T_bareme[Médical], MATCH(1, (T_data[[#This Row],[Contrat]]&amp; " " &amp;T_data[[#This Row],[Statut]]=T_bareme[Catégorie]) * (T_data[[#This Row],[Couverture assurance]]=T_bareme[Couverture]), 0))</f>
        <v>364.98</v>
      </c>
      <c r="AG19" s="1" cm="1">
        <f t="array" ref="AG19">INDEX(T_bareme[Dentaire], MATCH(1, (T_data[[#This Row],[Contrat]]&amp; " " &amp;T_data[[#This Row],[Statut]]=T_bareme[Catégorie]) * (T_data[[#This Row],[Couverture assurance]]=T_bareme[Couverture]), 0))</f>
        <v>135.15</v>
      </c>
      <c r="AH19" s="1" cm="1">
        <f t="array" ref="AH19">(ROUND(T_data[[#This Row],[Salaire assurable]],-3))*INDEX(T_bareme[Vie], MATCH(1, (T_data[[#This Row],[Contrat]]&amp; " " &amp;T_data[[#This Row],[Statut]]=T_bareme[Catégorie]) * (T_data[[#This Row],[Couverture assurance]]=T_bareme[Couverture]), 0))/1000</f>
        <v>20</v>
      </c>
      <c r="AI19" s="1" cm="1">
        <f t="array" ref="AI19">INDEX(T_bareme[Vie PAC], MATCH(1, (T_data[[#This Row],[Contrat]]&amp; " " &amp;T_data[[#This Row],[Statut]]=T_bareme[Catégorie]) * (T_data[[#This Row],[Couverture assurance]]=T_bareme[Couverture]), 0))</f>
        <v>1.64</v>
      </c>
      <c r="AJ19" s="1" cm="1">
        <f t="array" ref="AJ19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4.8</v>
      </c>
      <c r="AK19" s="1" cm="1">
        <f t="array" ref="AK19">30000*INDEX(T_bareme[Maladies Graves], MATCH(1, (T_data[[#This Row],[Contrat]]&amp; " " &amp;T_data[[#This Row],[Statut]]=T_bareme[Catégorie]) * (T_data[[#This Row],[Couverture assurance]]=T_bareme[Couverture]), 0))/1000</f>
        <v>11.31</v>
      </c>
      <c r="AL19" s="1" cm="1">
        <f t="array" ref="AL19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19" s="1" cm="1">
        <f t="array" ref="AM19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102.84</v>
      </c>
      <c r="AN19" s="1">
        <f>SUM(T_data[[#This Row],[Médical]:[ILD]])</f>
        <v>640.71999999999991</v>
      </c>
      <c r="AO19" s="1">
        <f>IF(T_data[[#This Row],[Province]]="Québec",ROUND(T_data[[#This Row],[Prime total]]*0.09,2),IF(T_data[[#This Row],[Province]]="Ontario",ROUND(T_data[[#This Row],[Prime total]]*0.08,2),0))</f>
        <v>57.66</v>
      </c>
      <c r="AP19" s="29">
        <f>T_data[[#This Row],[Prime total]]+T_data[[#This Row],[Taxe]]</f>
        <v>698.37999999999988</v>
      </c>
    </row>
    <row r="20" spans="1:51" ht="18">
      <c r="A20" s="22">
        <v>19</v>
      </c>
      <c r="B20" t="s">
        <v>112</v>
      </c>
      <c r="C20" t="s">
        <v>113</v>
      </c>
      <c r="E20" s="1" t="s">
        <v>47</v>
      </c>
      <c r="F20" s="13" t="s">
        <v>18</v>
      </c>
      <c r="G20"/>
      <c r="Q20" s="1" t="s">
        <v>41</v>
      </c>
      <c r="R20"/>
      <c r="AD20" s="1">
        <v>102585</v>
      </c>
      <c r="AE20" s="1" t="s">
        <v>43</v>
      </c>
      <c r="AF20" s="1" cm="1">
        <f t="array" ref="AF20">INDEX(T_bareme[Médical], MATCH(1, (T_data[[#This Row],[Contrat]]&amp; " " &amp;T_data[[#This Row],[Statut]]=T_bareme[Catégorie]) * (T_data[[#This Row],[Couverture assurance]]=T_bareme[Couverture]), 0))</f>
        <v>364.98</v>
      </c>
      <c r="AG20" s="1" cm="1">
        <f t="array" ref="AG20">INDEX(T_bareme[Dentaire], MATCH(1, (T_data[[#This Row],[Contrat]]&amp; " " &amp;T_data[[#This Row],[Statut]]=T_bareme[Catégorie]) * (T_data[[#This Row],[Couverture assurance]]=T_bareme[Couverture]), 0))</f>
        <v>135.15</v>
      </c>
      <c r="AH20" s="1" cm="1">
        <f t="array" ref="AH20">(ROUND(T_data[[#This Row],[Salaire assurable]],-3))*INDEX(T_bareme[Vie], MATCH(1, (T_data[[#This Row],[Contrat]]&amp; " " &amp;T_data[[#This Row],[Statut]]=T_bareme[Catégorie]) * (T_data[[#This Row],[Couverture assurance]]=T_bareme[Couverture]), 0))/1000</f>
        <v>20.6</v>
      </c>
      <c r="AI20" s="1" cm="1">
        <f t="array" ref="AI20">INDEX(T_bareme[Vie PAC], MATCH(1, (T_data[[#This Row],[Contrat]]&amp; " " &amp;T_data[[#This Row],[Statut]]=T_bareme[Catégorie]) * (T_data[[#This Row],[Couverture assurance]]=T_bareme[Couverture]), 0))</f>
        <v>1.64</v>
      </c>
      <c r="AJ20" s="1" cm="1">
        <f t="array" ref="AJ20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20" s="1" cm="1">
        <f t="array" ref="AK20">30000*INDEX(T_bareme[Maladies Graves], MATCH(1, (T_data[[#This Row],[Contrat]]&amp; " " &amp;T_data[[#This Row],[Statut]]=T_bareme[Catégorie]) * (T_data[[#This Row],[Couverture assurance]]=T_bareme[Couverture]), 0))/1000</f>
        <v>11.31</v>
      </c>
      <c r="AL20" s="1" cm="1">
        <f t="array" ref="AL20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20" s="1" cm="1">
        <f t="array" ref="AM20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105.61</v>
      </c>
      <c r="AN20" s="1">
        <f>SUM(T_data[[#This Row],[Médical]:[ILD]])</f>
        <v>644.23</v>
      </c>
      <c r="AO20" s="1">
        <f>IF(T_data[[#This Row],[Province]]="Québec",ROUND(T_data[[#This Row],[Prime total]]*0.09,2),IF(T_data[[#This Row],[Province]]="Ontario",ROUND(T_data[[#This Row],[Prime total]]*0.08,2),0))</f>
        <v>51.54</v>
      </c>
      <c r="AP20" s="29">
        <f>T_data[[#This Row],[Prime total]]+T_data[[#This Row],[Taxe]]</f>
        <v>695.77</v>
      </c>
    </row>
    <row r="21" spans="1:51" ht="18">
      <c r="A21" s="22">
        <v>20</v>
      </c>
      <c r="B21" t="s">
        <v>114</v>
      </c>
      <c r="C21" t="s">
        <v>115</v>
      </c>
      <c r="E21" s="1" t="s">
        <v>47</v>
      </c>
      <c r="F21" s="13" t="s">
        <v>48</v>
      </c>
      <c r="G21"/>
      <c r="Q21" s="1" t="s">
        <v>41</v>
      </c>
      <c r="R21"/>
      <c r="AD21" s="1">
        <v>117219</v>
      </c>
      <c r="AE21" s="1" t="s">
        <v>43</v>
      </c>
      <c r="AF21" s="1" cm="1">
        <f t="array" ref="AF21">INDEX(T_bareme[Médical], MATCH(1, (T_data[[#This Row],[Contrat]]&amp; " " &amp;T_data[[#This Row],[Statut]]=T_bareme[Catégorie]) * (T_data[[#This Row],[Couverture assurance]]=T_bareme[Couverture]), 0))</f>
        <v>364.98</v>
      </c>
      <c r="AG21" s="1" cm="1">
        <f t="array" ref="AG21">INDEX(T_bareme[Dentaire], MATCH(1, (T_data[[#This Row],[Contrat]]&amp; " " &amp;T_data[[#This Row],[Statut]]=T_bareme[Catégorie]) * (T_data[[#This Row],[Couverture assurance]]=T_bareme[Couverture]), 0))</f>
        <v>135.15</v>
      </c>
      <c r="AH21" s="1" cm="1">
        <f t="array" ref="AH21">(ROUND(T_data[[#This Row],[Salaire assurable]],-3))*INDEX(T_bareme[Vie], MATCH(1, (T_data[[#This Row],[Contrat]]&amp; " " &amp;T_data[[#This Row],[Statut]]=T_bareme[Catégorie]) * (T_data[[#This Row],[Couverture assurance]]=T_bareme[Couverture]), 0))/1000</f>
        <v>23.4</v>
      </c>
      <c r="AI21" s="1" cm="1">
        <f t="array" ref="AI21">INDEX(T_bareme[Vie PAC], MATCH(1, (T_data[[#This Row],[Contrat]]&amp; " " &amp;T_data[[#This Row],[Statut]]=T_bareme[Catégorie]) * (T_data[[#This Row],[Couverture assurance]]=T_bareme[Couverture]), 0))</f>
        <v>1.64</v>
      </c>
      <c r="AJ21" s="1" cm="1">
        <f t="array" ref="AJ21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5.62</v>
      </c>
      <c r="AK21" s="1" cm="1">
        <f t="array" ref="AK21">30000*INDEX(T_bareme[Maladies Graves], MATCH(1, (T_data[[#This Row],[Contrat]]&amp; " " &amp;T_data[[#This Row],[Statut]]=T_bareme[Catégorie]) * (T_data[[#This Row],[Couverture assurance]]=T_bareme[Couverture]), 0))/1000</f>
        <v>11.31</v>
      </c>
      <c r="AL21" s="1" cm="1">
        <f t="array" ref="AL21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0</v>
      </c>
      <c r="AM21" s="1" cm="1">
        <f t="array" ref="AM21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120.66</v>
      </c>
      <c r="AN21" s="1">
        <f>SUM(T_data[[#This Row],[Médical]:[ILD]])</f>
        <v>662.75999999999988</v>
      </c>
      <c r="AO21" s="1">
        <f>IF(T_data[[#This Row],[Province]]="Québec",ROUND(T_data[[#This Row],[Prime total]]*0.09,2),IF(T_data[[#This Row],[Province]]="Ontario",ROUND(T_data[[#This Row],[Prime total]]*0.08,2),0))</f>
        <v>0</v>
      </c>
      <c r="AP21" s="29">
        <f>T_data[[#This Row],[Prime total]]+T_data[[#This Row],[Taxe]]</f>
        <v>662.75999999999988</v>
      </c>
    </row>
    <row r="22" spans="1:51" ht="18">
      <c r="A22" s="22">
        <v>21</v>
      </c>
      <c r="B22" t="s">
        <v>77</v>
      </c>
      <c r="C22" t="s">
        <v>116</v>
      </c>
      <c r="E22" s="1" t="s">
        <v>47</v>
      </c>
      <c r="F22" s="13" t="s">
        <v>18</v>
      </c>
      <c r="G22"/>
      <c r="Q22" s="1" t="s">
        <v>36</v>
      </c>
      <c r="R22"/>
      <c r="AD22" s="1">
        <v>102585</v>
      </c>
      <c r="AE22" s="1" t="s">
        <v>38</v>
      </c>
      <c r="AF22" s="1" cm="1">
        <f t="array" ref="AF22">INDEX(T_bareme[Médical], MATCH(1, (T_data[[#This Row],[Contrat]]&amp; " " &amp;T_data[[#This Row],[Statut]]=T_bareme[Catégorie]) * (T_data[[#This Row],[Couverture assurance]]=T_bareme[Couverture]), 0))</f>
        <v>178.47</v>
      </c>
      <c r="AG22" s="1" cm="1">
        <f t="array" ref="AG22">INDEX(T_bareme[Dentaire], MATCH(1, (T_data[[#This Row],[Contrat]]&amp; " " &amp;T_data[[#This Row],[Statut]]=T_bareme[Catégorie]) * (T_data[[#This Row],[Couverture assurance]]=T_bareme[Couverture]), 0))</f>
        <v>79.77</v>
      </c>
      <c r="AH22" s="1" cm="1">
        <f t="array" ref="AH22">(ROUND(T_data[[#This Row],[Salaire assurable]],-3))*INDEX(T_bareme[Vie], MATCH(1, (T_data[[#This Row],[Contrat]]&amp; " " &amp;T_data[[#This Row],[Statut]]=T_bareme[Catégorie]) * (T_data[[#This Row],[Couverture assurance]]=T_bareme[Couverture]), 0))/1000</f>
        <v>20.6</v>
      </c>
      <c r="AI22" s="1" cm="1">
        <f t="array" ref="AI22">INDEX(T_bareme[Vie PAC], MATCH(1, (T_data[[#This Row],[Contrat]]&amp; " " &amp;T_data[[#This Row],[Statut]]=T_bareme[Catégorie]) * (T_data[[#This Row],[Couverture assurance]]=T_bareme[Couverture]), 0))</f>
        <v>0</v>
      </c>
      <c r="AJ22" s="1" cm="1">
        <f t="array" ref="AJ22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22" s="1" cm="1">
        <f t="array" ref="AK22">30000*INDEX(T_bareme[Maladies Graves], MATCH(1, (T_data[[#This Row],[Contrat]]&amp; " " &amp;T_data[[#This Row],[Statut]]=T_bareme[Catégorie]) * (T_data[[#This Row],[Couverture assurance]]=T_bareme[Couverture]), 0))/1000</f>
        <v>11.31</v>
      </c>
      <c r="AL22" s="1" cm="1">
        <f t="array" ref="AL22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128.87</v>
      </c>
      <c r="AM22" s="1" cm="1">
        <f t="array" ref="AM22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206.47</v>
      </c>
      <c r="AN22" s="1">
        <f>SUM(T_data[[#This Row],[Médical]:[ILD]])</f>
        <v>630.43000000000006</v>
      </c>
      <c r="AO22" s="1">
        <f>IF(T_data[[#This Row],[Province]]="Québec",ROUND(T_data[[#This Row],[Prime total]]*0.09,2),IF(T_data[[#This Row],[Province]]="Ontario",ROUND(T_data[[#This Row],[Prime total]]*0.08,2),0))</f>
        <v>50.43</v>
      </c>
      <c r="AP22" s="29">
        <f>T_data[[#This Row],[Prime total]]+T_data[[#This Row],[Taxe]]</f>
        <v>680.86</v>
      </c>
    </row>
    <row r="23" spans="1:51" ht="18">
      <c r="A23" s="22">
        <v>22</v>
      </c>
      <c r="B23" t="s">
        <v>78</v>
      </c>
      <c r="C23" t="s">
        <v>117</v>
      </c>
      <c r="E23" s="1" t="s">
        <v>47</v>
      </c>
      <c r="F23" s="13" t="s">
        <v>17</v>
      </c>
      <c r="G23"/>
      <c r="Q23" s="1" t="s">
        <v>36</v>
      </c>
      <c r="R23"/>
      <c r="AD23" s="1">
        <v>150000</v>
      </c>
      <c r="AE23" s="1" t="s">
        <v>38</v>
      </c>
      <c r="AF23" s="1" cm="1">
        <f t="array" ref="AF23">INDEX(T_bareme[Médical], MATCH(1, (T_data[[#This Row],[Contrat]]&amp; " " &amp;T_data[[#This Row],[Statut]]=T_bareme[Catégorie]) * (T_data[[#This Row],[Couverture assurance]]=T_bareme[Couverture]), 0))</f>
        <v>178.47</v>
      </c>
      <c r="AG23" s="1" cm="1">
        <f t="array" ref="AG23">INDEX(T_bareme[Dentaire], MATCH(1, (T_data[[#This Row],[Contrat]]&amp; " " &amp;T_data[[#This Row],[Statut]]=T_bareme[Catégorie]) * (T_data[[#This Row],[Couverture assurance]]=T_bareme[Couverture]), 0))</f>
        <v>79.77</v>
      </c>
      <c r="AH23" s="1" cm="1">
        <f t="array" ref="AH23">(ROUND(T_data[[#This Row],[Salaire assurable]],-3))*INDEX(T_bareme[Vie], MATCH(1, (T_data[[#This Row],[Contrat]]&amp; " " &amp;T_data[[#This Row],[Statut]]=T_bareme[Catégorie]) * (T_data[[#This Row],[Couverture assurance]]=T_bareme[Couverture]), 0))/1000</f>
        <v>30</v>
      </c>
      <c r="AI23" s="1" cm="1">
        <f t="array" ref="AI23">INDEX(T_bareme[Vie PAC], MATCH(1, (T_data[[#This Row],[Contrat]]&amp; " " &amp;T_data[[#This Row],[Statut]]=T_bareme[Catégorie]) * (T_data[[#This Row],[Couverture assurance]]=T_bareme[Couverture]), 0))</f>
        <v>0</v>
      </c>
      <c r="AJ23" s="1" cm="1">
        <f t="array" ref="AJ23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7.2</v>
      </c>
      <c r="AK23" s="1" cm="1">
        <f t="array" ref="AK23">30000*INDEX(T_bareme[Maladies Graves], MATCH(1, (T_data[[#This Row],[Contrat]]&amp; " " &amp;T_data[[#This Row],[Statut]]=T_bareme[Catégorie]) * (T_data[[#This Row],[Couverture assurance]]=T_bareme[Couverture]), 0))/1000</f>
        <v>11.31</v>
      </c>
      <c r="AL23" s="1" cm="1">
        <f t="array" ref="AL23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147</v>
      </c>
      <c r="AM23" s="1" cm="1">
        <f t="array" ref="AM23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301.88</v>
      </c>
      <c r="AN23" s="1">
        <f>SUM(T_data[[#This Row],[Médical]:[ILD]])</f>
        <v>755.63</v>
      </c>
      <c r="AO23" s="1">
        <f>IF(T_data[[#This Row],[Province]]="Québec",ROUND(T_data[[#This Row],[Prime total]]*0.09,2),IF(T_data[[#This Row],[Province]]="Ontario",ROUND(T_data[[#This Row],[Prime total]]*0.08,2),0))</f>
        <v>68.010000000000005</v>
      </c>
      <c r="AP23" s="29">
        <f>T_data[[#This Row],[Prime total]]+T_data[[#This Row],[Taxe]]</f>
        <v>823.64</v>
      </c>
    </row>
    <row r="24" spans="1:51" ht="18">
      <c r="A24" s="22">
        <v>23</v>
      </c>
      <c r="B24" t="s">
        <v>118</v>
      </c>
      <c r="C24" t="s">
        <v>119</v>
      </c>
      <c r="E24" s="1" t="s">
        <v>39</v>
      </c>
      <c r="F24" s="13" t="s">
        <v>48</v>
      </c>
      <c r="G24"/>
      <c r="Q24" s="1" t="s">
        <v>36</v>
      </c>
      <c r="R24"/>
      <c r="AD24" s="1">
        <v>137583</v>
      </c>
      <c r="AE24" s="1" t="s">
        <v>37</v>
      </c>
      <c r="AF24" s="1" cm="1">
        <f t="array" ref="AF24">INDEX(T_bareme[Médical], MATCH(1, (T_data[[#This Row],[Contrat]]&amp; " " &amp;T_data[[#This Row],[Statut]]=T_bareme[Catégorie]) * (T_data[[#This Row],[Couverture assurance]]=T_bareme[Couverture]), 0))</f>
        <v>403.1</v>
      </c>
      <c r="AG24" s="1" cm="1">
        <f t="array" ref="AG24">INDEX(T_bareme[Dentaire], MATCH(1, (T_data[[#This Row],[Contrat]]&amp; " " &amp;T_data[[#This Row],[Statut]]=T_bareme[Catégorie]) * (T_data[[#This Row],[Couverture assurance]]=T_bareme[Couverture]), 0))</f>
        <v>160.16999999999999</v>
      </c>
      <c r="AH24" s="1" cm="1">
        <f t="array" ref="AH24">(ROUND(T_data[[#This Row],[Salaire assurable]],-3))*INDEX(T_bareme[Vie], MATCH(1, (T_data[[#This Row],[Contrat]]&amp; " " &amp;T_data[[#This Row],[Statut]]=T_bareme[Catégorie]) * (T_data[[#This Row],[Couverture assurance]]=T_bareme[Couverture]), 0))/1000</f>
        <v>31.74</v>
      </c>
      <c r="AI24" s="1" cm="1">
        <f t="array" ref="AI24">INDEX(T_bareme[Vie PAC], MATCH(1, (T_data[[#This Row],[Contrat]]&amp; " " &amp;T_data[[#This Row],[Statut]]=T_bareme[Catégorie]) * (T_data[[#This Row],[Couverture assurance]]=T_bareme[Couverture]), 0))</f>
        <v>1.64</v>
      </c>
      <c r="AJ24" s="1" cm="1">
        <f t="array" ref="AJ24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6.62</v>
      </c>
      <c r="AK24" s="1" cm="1">
        <f t="array" ref="AK24">30000*INDEX(T_bareme[Maladies Graves], MATCH(1, (T_data[[#This Row],[Contrat]]&amp; " " &amp;T_data[[#This Row],[Statut]]=T_bareme[Catégorie]) * (T_data[[#This Row],[Couverture assurance]]=T_bareme[Couverture]), 0))/1000</f>
        <v>11.31</v>
      </c>
      <c r="AL24" s="1" cm="1">
        <f t="array" ref="AL24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274.05</v>
      </c>
      <c r="AM24" s="1" cm="1">
        <f t="array" ref="AM24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285.49</v>
      </c>
      <c r="AN24" s="1">
        <f>SUM(T_data[[#This Row],[Médical]:[ILD]])</f>
        <v>1174.1199999999999</v>
      </c>
      <c r="AO24" s="1">
        <f>IF(T_data[[#This Row],[Province]]="Québec",ROUND(T_data[[#This Row],[Prime total]]*0.09,2),IF(T_data[[#This Row],[Province]]="Ontario",ROUND(T_data[[#This Row],[Prime total]]*0.08,2),0))</f>
        <v>0</v>
      </c>
      <c r="AP24" s="29">
        <f>T_data[[#This Row],[Prime total]]+T_data[[#This Row],[Taxe]]</f>
        <v>1174.1199999999999</v>
      </c>
    </row>
    <row r="25" spans="1:51" ht="18">
      <c r="A25" s="22">
        <v>24</v>
      </c>
      <c r="B25" t="s">
        <v>120</v>
      </c>
      <c r="C25" t="s">
        <v>121</v>
      </c>
      <c r="E25" s="1" t="s">
        <v>39</v>
      </c>
      <c r="F25" s="13" t="s">
        <v>18</v>
      </c>
      <c r="G25"/>
      <c r="Q25" s="1" t="s">
        <v>36</v>
      </c>
      <c r="R25"/>
      <c r="AD25" s="1">
        <v>150000</v>
      </c>
      <c r="AE25" s="1" t="s">
        <v>37</v>
      </c>
      <c r="AF25" s="1" cm="1">
        <f t="array" ref="AF25">INDEX(T_bareme[Médical], MATCH(1, (T_data[[#This Row],[Contrat]]&amp; " " &amp;T_data[[#This Row],[Statut]]=T_bareme[Catégorie]) * (T_data[[#This Row],[Couverture assurance]]=T_bareme[Couverture]), 0))</f>
        <v>403.1</v>
      </c>
      <c r="AG25" s="1" cm="1">
        <f t="array" ref="AG25">INDEX(T_bareme[Dentaire], MATCH(1, (T_data[[#This Row],[Contrat]]&amp; " " &amp;T_data[[#This Row],[Statut]]=T_bareme[Catégorie]) * (T_data[[#This Row],[Couverture assurance]]=T_bareme[Couverture]), 0))</f>
        <v>160.16999999999999</v>
      </c>
      <c r="AH25" s="1" cm="1">
        <f t="array" ref="AH25">(ROUND(T_data[[#This Row],[Salaire assurable]],-3))*INDEX(T_bareme[Vie], MATCH(1, (T_data[[#This Row],[Contrat]]&amp; " " &amp;T_data[[#This Row],[Statut]]=T_bareme[Catégorie]) * (T_data[[#This Row],[Couverture assurance]]=T_bareme[Couverture]), 0))/1000</f>
        <v>34.5</v>
      </c>
      <c r="AI25" s="1" cm="1">
        <f t="array" ref="AI25">INDEX(T_bareme[Vie PAC], MATCH(1, (T_data[[#This Row],[Contrat]]&amp; " " &amp;T_data[[#This Row],[Statut]]=T_bareme[Catégorie]) * (T_data[[#This Row],[Couverture assurance]]=T_bareme[Couverture]), 0))</f>
        <v>1.64</v>
      </c>
      <c r="AJ25" s="1" cm="1">
        <f t="array" ref="AJ25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7.2</v>
      </c>
      <c r="AK25" s="1" cm="1">
        <f t="array" ref="AK25">30000*INDEX(T_bareme[Maladies Graves], MATCH(1, (T_data[[#This Row],[Contrat]]&amp; " " &amp;T_data[[#This Row],[Statut]]=T_bareme[Catégorie]) * (T_data[[#This Row],[Couverture assurance]]=T_bareme[Couverture]), 0))/1000</f>
        <v>11.31</v>
      </c>
      <c r="AL25" s="1" cm="1">
        <f t="array" ref="AL25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274.05</v>
      </c>
      <c r="AM25" s="1" cm="1">
        <f t="array" ref="AM25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311.25</v>
      </c>
      <c r="AN25" s="1">
        <f>SUM(T_data[[#This Row],[Médical]:[ILD]])</f>
        <v>1203.22</v>
      </c>
      <c r="AO25" s="1">
        <f>IF(T_data[[#This Row],[Province]]="Québec",ROUND(T_data[[#This Row],[Prime total]]*0.09,2),IF(T_data[[#This Row],[Province]]="Ontario",ROUND(T_data[[#This Row],[Prime total]]*0.08,2),0))</f>
        <v>96.26</v>
      </c>
      <c r="AP25" s="29">
        <f>T_data[[#This Row],[Prime total]]+T_data[[#This Row],[Taxe]]</f>
        <v>1299.48</v>
      </c>
    </row>
    <row r="26" spans="1:51" ht="18">
      <c r="A26" s="22">
        <v>25</v>
      </c>
      <c r="B26" t="s">
        <v>122</v>
      </c>
      <c r="C26" t="s">
        <v>123</v>
      </c>
      <c r="E26" s="1" t="s">
        <v>39</v>
      </c>
      <c r="F26" s="13" t="s">
        <v>17</v>
      </c>
      <c r="G26"/>
      <c r="Q26" s="1" t="s">
        <v>36</v>
      </c>
      <c r="R26"/>
      <c r="AD26" s="1">
        <v>103246</v>
      </c>
      <c r="AE26" s="1" t="s">
        <v>38</v>
      </c>
      <c r="AF26" s="1" cm="1">
        <f t="array" ref="AF26">INDEX(T_bareme[Médical], MATCH(1, (T_data[[#This Row],[Contrat]]&amp; " " &amp;T_data[[#This Row],[Statut]]=T_bareme[Catégorie]) * (T_data[[#This Row],[Couverture assurance]]=T_bareme[Couverture]), 0))</f>
        <v>196.95</v>
      </c>
      <c r="AG26" s="1" cm="1">
        <f t="array" ref="AG26">INDEX(T_bareme[Dentaire], MATCH(1, (T_data[[#This Row],[Contrat]]&amp; " " &amp;T_data[[#This Row],[Statut]]=T_bareme[Catégorie]) * (T_data[[#This Row],[Couverture assurance]]=T_bareme[Couverture]), 0))</f>
        <v>71.02</v>
      </c>
      <c r="AH26" s="1" cm="1">
        <f t="array" ref="AH26">(ROUND(T_data[[#This Row],[Salaire assurable]],-3))*INDEX(T_bareme[Vie], MATCH(1, (T_data[[#This Row],[Contrat]]&amp; " " &amp;T_data[[#This Row],[Statut]]=T_bareme[Catégorie]) * (T_data[[#This Row],[Couverture assurance]]=T_bareme[Couverture]), 0))/1000</f>
        <v>23.69</v>
      </c>
      <c r="AI26" s="1" cm="1">
        <f t="array" ref="AI26">INDEX(T_bareme[Vie PAC], MATCH(1, (T_data[[#This Row],[Contrat]]&amp; " " &amp;T_data[[#This Row],[Statut]]=T_bareme[Catégorie]) * (T_data[[#This Row],[Couverture assurance]]=T_bareme[Couverture]), 0))</f>
        <v>0</v>
      </c>
      <c r="AJ26" s="1" cm="1">
        <f t="array" ref="AJ26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4.9400000000000004</v>
      </c>
      <c r="AK26" s="1" cm="1">
        <f t="array" ref="AK26">30000*INDEX(T_bareme[Maladies Graves], MATCH(1, (T_data[[#This Row],[Contrat]]&amp; " " &amp;T_data[[#This Row],[Statut]]=T_bareme[Catégorie]) * (T_data[[#This Row],[Couverture assurance]]=T_bareme[Couverture]), 0))/1000</f>
        <v>11.31</v>
      </c>
      <c r="AL26" s="1" cm="1">
        <f t="array" ref="AL26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241.89</v>
      </c>
      <c r="AM26" s="1" cm="1">
        <f t="array" ref="AM26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214.24</v>
      </c>
      <c r="AN26" s="1">
        <f>SUM(T_data[[#This Row],[Médical]:[ILD]])</f>
        <v>764.04</v>
      </c>
      <c r="AO26" s="1">
        <f>IF(T_data[[#This Row],[Province]]="Québec",ROUND(T_data[[#This Row],[Prime total]]*0.09,2),IF(T_data[[#This Row],[Province]]="Ontario",ROUND(T_data[[#This Row],[Prime total]]*0.08,2),0))</f>
        <v>68.760000000000005</v>
      </c>
      <c r="AP26" s="29">
        <f>T_data[[#This Row],[Prime total]]+T_data[[#This Row],[Taxe]]</f>
        <v>832.8</v>
      </c>
    </row>
    <row r="27" spans="1:51" ht="18">
      <c r="A27" s="22">
        <v>26</v>
      </c>
      <c r="B27" t="s">
        <v>79</v>
      </c>
      <c r="C27" t="s">
        <v>124</v>
      </c>
      <c r="E27" s="1" t="s">
        <v>47</v>
      </c>
      <c r="F27" s="13" t="s">
        <v>48</v>
      </c>
      <c r="G27"/>
      <c r="Q27" s="1" t="s">
        <v>36</v>
      </c>
      <c r="R27"/>
      <c r="AD27" s="1">
        <v>100000</v>
      </c>
      <c r="AE27" s="1" t="s">
        <v>37</v>
      </c>
      <c r="AF27" s="1" cm="1">
        <f t="array" ref="AF27">INDEX(T_bareme[Médical], MATCH(1, (T_data[[#This Row],[Contrat]]&amp; " " &amp;T_data[[#This Row],[Statut]]=T_bareme[Catégorie]) * (T_data[[#This Row],[Couverture assurance]]=T_bareme[Couverture]), 0))</f>
        <v>364.98</v>
      </c>
      <c r="AG27" s="1" cm="1">
        <f t="array" ref="AG27">INDEX(T_bareme[Dentaire], MATCH(1, (T_data[[#This Row],[Contrat]]&amp; " " &amp;T_data[[#This Row],[Statut]]=T_bareme[Catégorie]) * (T_data[[#This Row],[Couverture assurance]]=T_bareme[Couverture]), 0))</f>
        <v>179.88</v>
      </c>
      <c r="AH27" s="1" cm="1">
        <f t="array" ref="AH27">(ROUND(T_data[[#This Row],[Salaire assurable]],-3))*INDEX(T_bareme[Vie], MATCH(1, (T_data[[#This Row],[Contrat]]&amp; " " &amp;T_data[[#This Row],[Statut]]=T_bareme[Catégorie]) * (T_data[[#This Row],[Couverture assurance]]=T_bareme[Couverture]), 0))/1000</f>
        <v>20</v>
      </c>
      <c r="AI27" s="1" cm="1">
        <f t="array" ref="AI27">INDEX(T_bareme[Vie PAC], MATCH(1, (T_data[[#This Row],[Contrat]]&amp; " " &amp;T_data[[#This Row],[Statut]]=T_bareme[Catégorie]) * (T_data[[#This Row],[Couverture assurance]]=T_bareme[Couverture]), 0))</f>
        <v>1.64</v>
      </c>
      <c r="AJ27" s="1" cm="1">
        <f t="array" ref="AJ27">ROUND((ROUND(T_data[[#This Row],[Salaire assurable]],-3))*INDEX(T_bareme[MMA], MATCH(1, (T_data[[#This Row],[Contrat]]&amp; " " &amp;T_data[[#This Row],[Statut]]=T_bareme[Catégorie]) * (T_data[[#This Row],[Couverture assurance]]=T_bareme[Couverture]), 0))/1000,2)</f>
        <v>4.8</v>
      </c>
      <c r="AK27" s="1" cm="1">
        <f t="array" ref="AK27">30000*INDEX(T_bareme[Maladies Graves], MATCH(1, (T_data[[#This Row],[Contrat]]&amp; " " &amp;T_data[[#This Row],[Statut]]=T_bareme[Catégorie]) * (T_data[[#This Row],[Couverture assurance]]=T_bareme[Couverture]), 0))/1000</f>
        <v>11.31</v>
      </c>
      <c r="AL27" s="1" cm="1">
        <f t="array" ref="AL27">IFERROR(ROUND(IF(T_data[[#This Row],[Salaire assurable]]/52*0.6667&gt;1500,1500,(ROUND(T_data[[#This Row],[Salaire assurable]]/52*0.6667,0)))*INDEX(T_bareme[ICD], MATCH(1, (T_data[[#This Row],[Contrat]]&amp; " " &amp;T_data[[#This Row],[Statut]]=T_bareme[Catégorie]) * (T_data[[#This Row],[Couverture assurance]]=T_bareme[Couverture]), 0))/10,2),0)</f>
        <v>125.64</v>
      </c>
      <c r="AM27" s="1" cm="1">
        <f t="array" ref="AM27">ROUND(IF(T_data[[#This Row],[Salaire assurable]]/12*0.75&gt;15000,15000,(ROUND(T_data[[#This Row],[Salaire assurable]]/12*0.75,0)))*INDEX(T_bareme[ILD], MATCH(1, (T_data[[#This Row],[Contrat]]&amp; " " &amp;T_data[[#This Row],[Statut]]=T_bareme[Catégorie]) * (T_data[[#This Row],[Couverture assurance]]=T_bareme[Couverture]), 0))/100,2)</f>
        <v>201.25</v>
      </c>
      <c r="AN27" s="1">
        <f>SUM(T_data[[#This Row],[Médical]:[ILD]])</f>
        <v>909.49999999999989</v>
      </c>
      <c r="AO27" s="1">
        <f>IF(T_data[[#This Row],[Province]]="Québec",ROUND(T_data[[#This Row],[Prime total]]*0.09,2),IF(T_data[[#This Row],[Province]]="Ontario",ROUND(T_data[[#This Row],[Prime total]]*0.08,2),0))</f>
        <v>0</v>
      </c>
      <c r="AP27" s="29">
        <f>T_data[[#This Row],[Prime total]]+T_data[[#This Row],[Taxe]]</f>
        <v>909.49999999999989</v>
      </c>
    </row>
    <row r="29" spans="1:51">
      <c r="AF29"/>
      <c r="AG29"/>
      <c r="AH29"/>
      <c r="AI29"/>
      <c r="AJ29"/>
      <c r="AK29"/>
      <c r="AL29"/>
      <c r="AM29"/>
      <c r="AN29"/>
    </row>
    <row r="30" spans="1:51">
      <c r="B30" s="27" t="s">
        <v>130</v>
      </c>
    </row>
    <row r="31" spans="1:51">
      <c r="B31" s="30" t="s">
        <v>131</v>
      </c>
      <c r="D31" s="1"/>
      <c r="G31"/>
      <c r="H31" s="1"/>
      <c r="J31" s="1"/>
      <c r="L31" s="1"/>
      <c r="N31" s="1"/>
      <c r="P31" s="1"/>
      <c r="T31" s="1"/>
      <c r="V31" s="1"/>
      <c r="X31" s="1"/>
      <c r="Z31" s="1"/>
      <c r="AB31" s="1"/>
      <c r="AD31" s="1"/>
      <c r="AE31"/>
      <c r="AG31"/>
      <c r="AH31"/>
      <c r="AI31"/>
      <c r="AJ31"/>
      <c r="AK31"/>
      <c r="AL31"/>
      <c r="AM31"/>
      <c r="AN31"/>
      <c r="AO31"/>
      <c r="AP31" s="1"/>
    </row>
    <row r="32" spans="1:51" ht="18">
      <c r="B32" s="26"/>
      <c r="AY32" s="28"/>
    </row>
    <row r="33" spans="2:2">
      <c r="B33" s="26"/>
    </row>
  </sheetData>
  <sortState xmlns:xlrd2="http://schemas.microsoft.com/office/spreadsheetml/2017/richdata2" ref="A2:AE26">
    <sortCondition ref="E2:E26"/>
    <sortCondition ref="F2:F26"/>
    <sortCondition ref="Q2:Q26"/>
    <sortCondition ref="AE2:AE26"/>
  </sortState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57A1-3AD9-41A6-9B70-2439BF61EB41}">
  <dimension ref="A1:N33"/>
  <sheetViews>
    <sheetView workbookViewId="0">
      <selection activeCell="L24" sqref="L24"/>
    </sheetView>
  </sheetViews>
  <sheetFormatPr baseColWidth="10" defaultRowHeight="14.25"/>
  <cols>
    <col min="1" max="1" width="24.375" bestFit="1" customWidth="1"/>
    <col min="3" max="4" width="13.875" customWidth="1"/>
    <col min="5" max="5" width="22.375" customWidth="1"/>
    <col min="6" max="7" width="13.875" customWidth="1"/>
    <col min="8" max="8" width="16.875" customWidth="1"/>
    <col min="9" max="9" width="17.5" customWidth="1"/>
    <col min="10" max="10" width="13.875" customWidth="1"/>
    <col min="12" max="12" width="11" bestFit="1" customWidth="1"/>
    <col min="13" max="13" width="12.875" bestFit="1" customWidth="1"/>
  </cols>
  <sheetData>
    <row r="1" spans="1:12" s="4" customFormat="1">
      <c r="A1" s="5" t="s">
        <v>49</v>
      </c>
      <c r="B1" s="5" t="s">
        <v>50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6" t="s">
        <v>5</v>
      </c>
      <c r="I1" s="5" t="s">
        <v>6</v>
      </c>
      <c r="J1" s="5" t="s">
        <v>7</v>
      </c>
    </row>
    <row r="2" spans="1:12" ht="15">
      <c r="A2" s="2" t="s">
        <v>8</v>
      </c>
      <c r="B2" s="2" t="s">
        <v>9</v>
      </c>
      <c r="C2" s="1">
        <v>178.47</v>
      </c>
      <c r="D2" s="1">
        <v>79.77</v>
      </c>
      <c r="E2" s="1">
        <v>0.14199999999999999</v>
      </c>
      <c r="F2" s="1"/>
      <c r="G2" s="1">
        <v>4.8000000000000001E-2</v>
      </c>
      <c r="H2" s="1">
        <v>0.377</v>
      </c>
      <c r="I2" s="1">
        <v>0.98</v>
      </c>
      <c r="J2" s="1">
        <v>1.3009999999999999</v>
      </c>
    </row>
    <row r="3" spans="1:12" ht="15">
      <c r="A3" s="2" t="s">
        <v>8</v>
      </c>
      <c r="B3" s="2" t="s">
        <v>10</v>
      </c>
      <c r="C3" s="1">
        <v>364.98</v>
      </c>
      <c r="D3" s="1">
        <v>179.88</v>
      </c>
      <c r="E3" s="1">
        <v>0.14199999999999999</v>
      </c>
      <c r="F3" s="1">
        <v>2.14</v>
      </c>
      <c r="G3" s="1">
        <v>4.8000000000000001E-2</v>
      </c>
      <c r="H3" s="1">
        <v>0.377</v>
      </c>
      <c r="I3" s="1">
        <v>0.98</v>
      </c>
      <c r="J3" s="1">
        <v>1.3009999999999999</v>
      </c>
    </row>
    <row r="4" spans="1:12" ht="15">
      <c r="A4" s="2" t="s">
        <v>11</v>
      </c>
      <c r="B4" s="2" t="s">
        <v>9</v>
      </c>
      <c r="C4" s="1">
        <v>196.95</v>
      </c>
      <c r="D4" s="1">
        <v>71.02</v>
      </c>
      <c r="E4" s="1">
        <v>0.23</v>
      </c>
      <c r="F4" s="1"/>
      <c r="G4" s="1">
        <v>4.8000000000000001E-2</v>
      </c>
      <c r="H4" s="1">
        <v>0.377</v>
      </c>
      <c r="I4" s="1">
        <v>1.827</v>
      </c>
      <c r="J4" s="1">
        <v>3.32</v>
      </c>
    </row>
    <row r="5" spans="1:12" ht="15">
      <c r="A5" s="2" t="s">
        <v>11</v>
      </c>
      <c r="B5" s="2" t="s">
        <v>10</v>
      </c>
      <c r="C5" s="1">
        <v>403.1</v>
      </c>
      <c r="D5" s="1">
        <v>160.16999999999999</v>
      </c>
      <c r="E5" s="1">
        <v>0.23</v>
      </c>
      <c r="F5" s="1">
        <v>1.64</v>
      </c>
      <c r="G5" s="1">
        <v>4.8000000000000001E-2</v>
      </c>
      <c r="H5" s="1">
        <v>0.377</v>
      </c>
      <c r="I5" s="1">
        <v>1.827</v>
      </c>
      <c r="J5" s="1">
        <v>3.32</v>
      </c>
    </row>
    <row r="6" spans="1:12" ht="15">
      <c r="A6" s="2" t="s">
        <v>12</v>
      </c>
      <c r="B6" s="2" t="s">
        <v>9</v>
      </c>
      <c r="C6" s="1">
        <v>178.47</v>
      </c>
      <c r="D6" s="1">
        <v>79.77</v>
      </c>
      <c r="E6" s="1">
        <v>0.2</v>
      </c>
      <c r="F6" s="1"/>
      <c r="G6" s="1">
        <v>4.8000000000000001E-2</v>
      </c>
      <c r="H6" s="1">
        <v>0.377</v>
      </c>
      <c r="I6" s="1">
        <v>0.98</v>
      </c>
      <c r="J6" s="1">
        <v>3.22</v>
      </c>
    </row>
    <row r="7" spans="1:12" ht="15">
      <c r="A7" s="2" t="s">
        <v>12</v>
      </c>
      <c r="B7" s="2" t="s">
        <v>10</v>
      </c>
      <c r="C7" s="1">
        <v>364.98</v>
      </c>
      <c r="D7" s="1">
        <v>179.88</v>
      </c>
      <c r="E7" s="1">
        <v>0.2</v>
      </c>
      <c r="F7" s="1">
        <v>1.64</v>
      </c>
      <c r="G7" s="1">
        <v>4.8000000000000001E-2</v>
      </c>
      <c r="H7" s="1">
        <v>0.377</v>
      </c>
      <c r="I7" s="1">
        <v>0.98</v>
      </c>
      <c r="J7" s="1">
        <v>3.22</v>
      </c>
    </row>
    <row r="8" spans="1:12" ht="15">
      <c r="A8" s="2" t="s">
        <v>13</v>
      </c>
      <c r="B8" s="2" t="s">
        <v>9</v>
      </c>
      <c r="C8" s="1">
        <v>196.95</v>
      </c>
      <c r="D8" s="1">
        <v>53.83</v>
      </c>
      <c r="E8" s="1">
        <v>0.23</v>
      </c>
      <c r="F8" s="1"/>
      <c r="G8" s="1">
        <v>4.8000000000000001E-2</v>
      </c>
      <c r="H8" s="1">
        <v>0.377</v>
      </c>
      <c r="I8" s="1" t="s">
        <v>14</v>
      </c>
      <c r="J8" s="1">
        <v>1.53</v>
      </c>
    </row>
    <row r="9" spans="1:12" ht="15">
      <c r="A9" s="2" t="s">
        <v>13</v>
      </c>
      <c r="B9" s="2" t="s">
        <v>10</v>
      </c>
      <c r="C9" s="1">
        <v>403.1</v>
      </c>
      <c r="D9" s="1">
        <v>121.43</v>
      </c>
      <c r="E9" s="1">
        <v>0.23</v>
      </c>
      <c r="F9" s="1">
        <v>1.64</v>
      </c>
      <c r="G9" s="1">
        <v>4.8000000000000001E-2</v>
      </c>
      <c r="H9" s="1">
        <v>0.377</v>
      </c>
      <c r="I9" s="1" t="s">
        <v>14</v>
      </c>
      <c r="J9" s="1">
        <v>1.53</v>
      </c>
    </row>
    <row r="10" spans="1:12" ht="15">
      <c r="A10" s="2" t="s">
        <v>15</v>
      </c>
      <c r="B10" s="2" t="s">
        <v>9</v>
      </c>
      <c r="C10" s="1">
        <v>178.47</v>
      </c>
      <c r="D10" s="1">
        <v>60.47</v>
      </c>
      <c r="E10" s="1">
        <v>0.2</v>
      </c>
      <c r="F10" s="1"/>
      <c r="G10" s="1">
        <v>4.8000000000000001E-2</v>
      </c>
      <c r="H10" s="1">
        <v>0.377</v>
      </c>
      <c r="I10" s="1" t="s">
        <v>14</v>
      </c>
      <c r="J10" s="1">
        <v>1.647</v>
      </c>
    </row>
    <row r="11" spans="1:12" ht="15">
      <c r="A11" s="2" t="s">
        <v>15</v>
      </c>
      <c r="B11" s="2" t="s">
        <v>10</v>
      </c>
      <c r="C11" s="1">
        <v>364.98</v>
      </c>
      <c r="D11" s="1">
        <v>135.15</v>
      </c>
      <c r="E11" s="1">
        <v>0.2</v>
      </c>
      <c r="F11" s="1">
        <v>1.64</v>
      </c>
      <c r="G11" s="1">
        <v>4.8000000000000001E-2</v>
      </c>
      <c r="H11" s="1">
        <v>0.377</v>
      </c>
      <c r="I11" s="1" t="s">
        <v>14</v>
      </c>
      <c r="J11" s="1">
        <v>1.647</v>
      </c>
    </row>
    <row r="14" spans="1:12" ht="39">
      <c r="B14" s="19" t="s">
        <v>125</v>
      </c>
      <c r="C14" s="19" t="s">
        <v>126</v>
      </c>
      <c r="D14" s="19" t="s">
        <v>127</v>
      </c>
      <c r="E14" s="19" t="s">
        <v>128</v>
      </c>
      <c r="F14" s="19" t="s">
        <v>42</v>
      </c>
      <c r="G14" s="23" t="s">
        <v>34</v>
      </c>
      <c r="H14" s="23" t="s">
        <v>35</v>
      </c>
    </row>
    <row r="15" spans="1:12" ht="19.5">
      <c r="B15" s="21">
        <v>1</v>
      </c>
      <c r="C15" s="20" t="str">
        <f>INDEX(T_data[],MATCH(B15,T_data[Employé],0),3)</f>
        <v>nom1</v>
      </c>
      <c r="D15" s="20" t="str">
        <f>INDEX(T_data[],MATCH(B15,T_data[Employé],0),2)</f>
        <v>prenom1</v>
      </c>
      <c r="E15" s="18" t="str">
        <f>INDEX(T_data[],MATCH(B15,T_data[Employé],0),17)&amp;" "&amp;INDEX(T_data[],MATCH(B15,T_data[Employé],0),5)</f>
        <v>Permanent non-syndiqué</v>
      </c>
      <c r="F15" s="18" t="str">
        <f>INDEX(T_data[],MATCH(B15,T_data[Employé],0),6)</f>
        <v>Québec</v>
      </c>
      <c r="G15" s="18">
        <f>INDEX(T_data[],MATCH(B15,T_data[Employé],0),30)</f>
        <v>99911</v>
      </c>
      <c r="H15" s="18" t="str">
        <f>INDEX(T_data[],MATCH(B15,T_data[Employé],0),31)</f>
        <v>Fam</v>
      </c>
      <c r="L15" s="24" t="s">
        <v>129</v>
      </c>
    </row>
    <row r="17" spans="1:14" ht="15">
      <c r="A17" s="7" t="s">
        <v>0</v>
      </c>
      <c r="L17" s="9" cm="1">
        <f t="array" ref="L17">INDEX(T_bareme[Médical], MATCH(1, (E15=T_bareme[Catégorie]) * (H15=T_bareme[Couverture]), 0))</f>
        <v>364.98</v>
      </c>
    </row>
    <row r="18" spans="1:14" ht="15">
      <c r="A18" s="8" t="s">
        <v>1</v>
      </c>
      <c r="L18" s="9" cm="1">
        <f t="array" ref="L18">INDEX(T_bareme[Dentaire], MATCH(1, (E15=T_bareme[Catégorie]) * (H15=T_bareme[Couverture]), 0))</f>
        <v>179.88</v>
      </c>
    </row>
    <row r="19" spans="1:14" ht="15">
      <c r="A19" s="3" t="s">
        <v>2</v>
      </c>
      <c r="B19" t="s">
        <v>16</v>
      </c>
      <c r="L19" s="9" cm="1">
        <f t="array" ref="L19">(ROUND(salaire,-3))*INDEX(T_bareme[Vie], MATCH(1, (E15=T_bareme[Catégorie]) * (H15=T_bareme[Couverture]), 0))/1000</f>
        <v>20</v>
      </c>
      <c r="N19" s="17"/>
    </row>
    <row r="20" spans="1:14" ht="15">
      <c r="A20" s="3" t="s">
        <v>3</v>
      </c>
      <c r="L20" s="9" cm="1">
        <f t="array" ref="L20">INDEX(T_bareme[Vie PAC], MATCH(1, (E15=T_bareme[Catégorie]) * (H15=T_bareme[Couverture]), 0))</f>
        <v>1.64</v>
      </c>
    </row>
    <row r="21" spans="1:14" ht="15">
      <c r="A21" s="3" t="s">
        <v>4</v>
      </c>
      <c r="B21" t="s">
        <v>20</v>
      </c>
      <c r="L21" s="9" cm="1">
        <f t="array" ref="L21">ROUND((ROUND(salaire,-3))*INDEX(T_bareme[MMA], MATCH(1, (E15=T_bareme[Catégorie]) * (H15=T_bareme[Couverture]), 0))/1000,2)</f>
        <v>4.8</v>
      </c>
      <c r="N21" s="17"/>
    </row>
    <row r="22" spans="1:14" ht="15">
      <c r="A22" s="3" t="s">
        <v>5</v>
      </c>
      <c r="B22" t="s">
        <v>21</v>
      </c>
      <c r="L22" s="9" cm="1">
        <f t="array" ref="L22">30000*INDEX(T_bareme[Maladies Graves], MATCH(1, (E15=T_bareme[Catégorie]) * (H15=T_bareme[Couverture]), 0))/1000</f>
        <v>11.31</v>
      </c>
      <c r="N22" s="17"/>
    </row>
    <row r="23" spans="1:14" ht="15">
      <c r="A23" s="3" t="s">
        <v>6</v>
      </c>
      <c r="B23" t="s">
        <v>22</v>
      </c>
      <c r="L23" s="9" cm="1">
        <f t="array" ref="L23">IFERROR(ROUND(IF(salaire/52*0.6667&gt;1500,1500,(ROUND(salaire/52*0.6667,0)))*(INDEX(T_bareme[ICD], MATCH(1, (E15=T_bareme[Catégorie]) * (H15=T_bareme[Couverture])), 0))/10,2),0)</f>
        <v>0</v>
      </c>
    </row>
    <row r="24" spans="1:14" ht="15">
      <c r="A24" s="3" t="s">
        <v>7</v>
      </c>
      <c r="B24" t="s">
        <v>23</v>
      </c>
      <c r="L24" s="10" cm="1">
        <f t="array" ref="L24">ROUND(IF(salaire/12*0.75&gt;15000,15000,(ROUND(salaire/12*INDEX(T_bareme[ILD], MATCH(1, (E15=T_bareme[Catégorie]) * (H15=T_bareme[Couverture]), 0)),0)))/100,2)</f>
        <v>268.08999999999997</v>
      </c>
    </row>
    <row r="25" spans="1:14" ht="19.5">
      <c r="L25">
        <f>SUM(L17:L24)</f>
        <v>850.69999999999982</v>
      </c>
      <c r="M25" s="25" t="s">
        <v>27</v>
      </c>
    </row>
    <row r="27" spans="1:14" ht="19.5">
      <c r="L27" s="24" t="s">
        <v>28</v>
      </c>
    </row>
    <row r="28" spans="1:14" ht="15">
      <c r="A28" s="3" t="s">
        <v>17</v>
      </c>
      <c r="B28" t="s">
        <v>24</v>
      </c>
      <c r="L28">
        <f>IF($F$15=$A28,ROUND($L$25*0.09,2),0)</f>
        <v>76.56</v>
      </c>
    </row>
    <row r="29" spans="1:14" ht="15">
      <c r="A29" s="3" t="s">
        <v>18</v>
      </c>
      <c r="B29" t="s">
        <v>25</v>
      </c>
      <c r="L29">
        <f>IF($F$15=$A29,ROUND($L$25*0.08,2),0)</f>
        <v>0</v>
      </c>
    </row>
    <row r="30" spans="1:14" ht="15">
      <c r="A30" s="3" t="s">
        <v>19</v>
      </c>
      <c r="B30" t="s">
        <v>26</v>
      </c>
    </row>
    <row r="32" spans="1:14" ht="20.25" thickBot="1">
      <c r="L32" s="12">
        <f>L25+L28</f>
        <v>927.25999999999976</v>
      </c>
      <c r="M32" s="11" t="s">
        <v>29</v>
      </c>
    </row>
    <row r="33" ht="15" thickTop="1"/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4BD3B5E-67DD-4F5C-BD0F-DC62E4DD9F6C}">
          <x14:formula1>
            <xm:f>Data!$A$2:$A$27</xm:f>
          </x14:formula1>
          <xm:sqref>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CALCUL</vt:lpstr>
      <vt:lpstr>employe</vt:lpstr>
      <vt:lpstr>salaire</vt:lpstr>
      <vt:lpstr>total</vt:lpstr>
    </vt:vector>
  </TitlesOfParts>
  <Company>Canadian Royalties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Cote</dc:creator>
  <cp:lastModifiedBy>François</cp:lastModifiedBy>
  <dcterms:created xsi:type="dcterms:W3CDTF">2026-10-11T20:07:20Z</dcterms:created>
  <dcterms:modified xsi:type="dcterms:W3CDTF">2026-10-12T07:25:25Z</dcterms:modified>
</cp:coreProperties>
</file>