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2.xml" ContentType="application/vnd.openxmlformats-officedocument.drawing+xml"/>
  <Override PartName="/xl/tables/table7.xml" ContentType="application/vnd.openxmlformats-officedocument.spreadsheetml.table+xml"/>
  <Override PartName="/xl/drawings/drawing3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4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F65F8E52-3C05-468B-81C9-82D4320127DF}" xr6:coauthVersionLast="47" xr6:coauthVersionMax="47" xr10:uidLastSave="{00000000-0000-0000-0000-000000000000}"/>
  <bookViews>
    <workbookView xWindow="-120" yWindow="-120" windowWidth="29040" windowHeight="15720" tabRatio="695" firstSheet="1" activeTab="2" xr2:uid="{0C12D1BA-58F3-4EC4-A40C-75CA8102C740}"/>
  </bookViews>
  <sheets>
    <sheet name="Source" sheetId="3" r:id="rId1"/>
    <sheet name="TBord" sheetId="1" r:id="rId2"/>
    <sheet name="Adhérents" sheetId="2" r:id="rId3"/>
    <sheet name="Espèces" sheetId="10" r:id="rId4"/>
    <sheet name="Pyramide des âges" sheetId="4" r:id="rId5"/>
    <sheet name="Pyramide des Classements" sheetId="6" r:id="rId6"/>
  </sheets>
  <definedNames>
    <definedName name="COULEUR_GAUCHE">GET.CELL(63,!XFD1)</definedName>
    <definedName name="LISTECOTISATION">TCOTISATION[]</definedName>
    <definedName name="LISTECOURSCOCOMPET">TCOURSCOCOMPET[]</definedName>
    <definedName name="LISTEEDT">TEDT[]</definedName>
    <definedName name="LISTEENTREE">TENTREE[Droit Entrée]</definedName>
    <definedName name="LISTEPAIEMENT">TPAIEMENT[Type de paiement]</definedName>
    <definedName name="LISTESEXE">TSEXE[Sexe]</definedName>
    <definedName name="LISTETYPECOTISATION">TCOTISATION[Type Cotisation]</definedName>
    <definedName name="LISTETYPECOURSCO">TCOURSCOCOMPET[Cours Co - Compet]</definedName>
    <definedName name="LISTETYPEEDT">TEDT[EDT]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A19" i="2" l="1"/>
  <c r="AD19" i="2"/>
  <c r="AP19" i="2"/>
  <c r="AM19" i="2"/>
  <c r="AJ19" i="2"/>
  <c r="AG19" i="2"/>
  <c r="F18" i="2"/>
  <c r="Z19" i="2"/>
  <c r="G9" i="2"/>
  <c r="R9" i="2"/>
  <c r="R19" i="2" s="1"/>
  <c r="T9" i="2"/>
  <c r="V9" i="2"/>
  <c r="X9" i="2"/>
  <c r="G8" i="2"/>
  <c r="R8" i="2"/>
  <c r="T8" i="2"/>
  <c r="V8" i="2"/>
  <c r="X8" i="2"/>
  <c r="X19" i="2" l="1"/>
  <c r="V19" i="2"/>
  <c r="T19" i="2"/>
  <c r="O9" i="2"/>
  <c r="P9" i="2" s="1"/>
  <c r="O8" i="2"/>
  <c r="N25" i="1"/>
  <c r="M5" i="1"/>
  <c r="M4" i="1"/>
  <c r="M3" i="1"/>
  <c r="E17" i="1"/>
  <c r="E16" i="1"/>
  <c r="E15" i="1"/>
  <c r="M19" i="2" l="1"/>
  <c r="P8" i="2"/>
  <c r="P19" i="2" s="1"/>
  <c r="G7" i="2"/>
  <c r="C27" i="4" l="1"/>
  <c r="C100" i="4"/>
  <c r="E84" i="4"/>
  <c r="E56" i="4"/>
  <c r="E43" i="4"/>
  <c r="E70" i="4"/>
  <c r="C8" i="4"/>
  <c r="C32" i="4"/>
  <c r="C97" i="4"/>
  <c r="E4" i="4"/>
  <c r="C36" i="4"/>
  <c r="C40" i="4"/>
  <c r="E95" i="4"/>
  <c r="C62" i="4"/>
  <c r="E74" i="4"/>
  <c r="C94" i="4"/>
  <c r="C5" i="4"/>
  <c r="E67" i="4"/>
  <c r="E11" i="4"/>
  <c r="C73" i="4"/>
  <c r="E12" i="4"/>
  <c r="E55" i="4"/>
  <c r="E57" i="4"/>
  <c r="C55" i="4"/>
  <c r="C11" i="4"/>
  <c r="E21" i="4"/>
  <c r="C82" i="4"/>
  <c r="E69" i="4"/>
  <c r="E52" i="4"/>
  <c r="C38" i="4"/>
  <c r="C56" i="4"/>
  <c r="E97" i="4"/>
  <c r="C22" i="4"/>
  <c r="E92" i="4"/>
  <c r="E98" i="4"/>
  <c r="E25" i="4"/>
  <c r="E71" i="4"/>
  <c r="C68" i="4"/>
  <c r="E50" i="4"/>
  <c r="C19" i="4"/>
  <c r="E18" i="4"/>
  <c r="E59" i="4"/>
  <c r="C34" i="4"/>
  <c r="C78" i="4"/>
  <c r="C63" i="4"/>
  <c r="E64" i="4"/>
  <c r="E17" i="4"/>
  <c r="E68" i="4"/>
  <c r="C77" i="4"/>
  <c r="E82" i="4"/>
  <c r="C79" i="4"/>
  <c r="C10" i="4"/>
  <c r="C15" i="4"/>
  <c r="E45" i="4"/>
  <c r="E100" i="4"/>
  <c r="C65" i="4"/>
  <c r="E51" i="4"/>
  <c r="C85" i="4"/>
  <c r="C98" i="4"/>
  <c r="C28" i="4"/>
  <c r="E47" i="4"/>
  <c r="E61" i="4"/>
  <c r="E90" i="4"/>
  <c r="E38" i="4"/>
  <c r="C14" i="4"/>
  <c r="C13" i="4"/>
  <c r="C75" i="4"/>
  <c r="C20" i="4"/>
  <c r="C17" i="4"/>
  <c r="E20" i="4"/>
  <c r="C96" i="4"/>
  <c r="C26" i="4"/>
  <c r="C80" i="4"/>
  <c r="E29" i="4"/>
  <c r="C89" i="4"/>
  <c r="C18" i="4"/>
  <c r="C95" i="4"/>
  <c r="C45" i="4"/>
  <c r="C57" i="4"/>
  <c r="C6" i="4"/>
  <c r="E99" i="4"/>
  <c r="E63" i="4"/>
  <c r="C90" i="4"/>
  <c r="E9" i="4"/>
  <c r="E6" i="4"/>
  <c r="C58" i="4"/>
  <c r="E89" i="4"/>
  <c r="E22" i="4"/>
  <c r="C30" i="4"/>
  <c r="C69" i="4"/>
  <c r="E10" i="4"/>
  <c r="C44" i="4"/>
  <c r="E78" i="4"/>
  <c r="E28" i="4"/>
  <c r="C25" i="4"/>
  <c r="C12" i="4"/>
  <c r="E33" i="4"/>
  <c r="E96" i="4"/>
  <c r="C71" i="4"/>
  <c r="E94" i="4"/>
  <c r="C83" i="4"/>
  <c r="C48" i="4"/>
  <c r="E53" i="4"/>
  <c r="C21" i="4"/>
  <c r="C42" i="4"/>
  <c r="E42" i="4"/>
  <c r="E35" i="4"/>
  <c r="C39" i="4"/>
  <c r="C37" i="4"/>
  <c r="C72" i="4"/>
  <c r="E26" i="4"/>
  <c r="E30" i="4"/>
  <c r="E101" i="4"/>
  <c r="C64" i="4"/>
  <c r="C93" i="4"/>
  <c r="E75" i="4"/>
  <c r="C102" i="4"/>
  <c r="C81" i="4"/>
  <c r="C60" i="4"/>
  <c r="E85" i="4"/>
  <c r="E93" i="4"/>
  <c r="E54" i="4"/>
  <c r="E46" i="4"/>
  <c r="E23" i="4"/>
  <c r="C66" i="4"/>
  <c r="E76" i="4"/>
  <c r="E34" i="4"/>
  <c r="E19" i="4"/>
  <c r="E102" i="4"/>
  <c r="E86" i="4"/>
  <c r="C70" i="4"/>
  <c r="C43" i="4"/>
  <c r="E3" i="4"/>
  <c r="E83" i="4"/>
  <c r="E7" i="4"/>
  <c r="C4" i="4"/>
  <c r="C16" i="4"/>
  <c r="C101" i="4"/>
  <c r="C33" i="4"/>
  <c r="C35" i="4"/>
  <c r="C84" i="4"/>
  <c r="E13" i="4"/>
  <c r="C46" i="4"/>
  <c r="C52" i="4"/>
  <c r="E49" i="4"/>
  <c r="C49" i="4"/>
  <c r="C54" i="4"/>
  <c r="E60" i="4"/>
  <c r="E44" i="4"/>
  <c r="E91" i="4"/>
  <c r="C87" i="4"/>
  <c r="E79" i="4"/>
  <c r="E24" i="4"/>
  <c r="E41" i="4"/>
  <c r="E80" i="4"/>
  <c r="E87" i="4"/>
  <c r="C47" i="4"/>
  <c r="C61" i="4"/>
  <c r="C3" i="4"/>
  <c r="C29" i="4"/>
  <c r="C51" i="4"/>
  <c r="E81" i="4"/>
  <c r="E88" i="4"/>
  <c r="E77" i="4"/>
  <c r="E72" i="4"/>
  <c r="E36" i="4"/>
  <c r="C50" i="4"/>
  <c r="E32" i="4"/>
  <c r="C91" i="4"/>
  <c r="E48" i="4"/>
  <c r="E62" i="4"/>
  <c r="E58" i="4"/>
  <c r="E16" i="4"/>
  <c r="C76" i="4"/>
  <c r="E15" i="4"/>
  <c r="E5" i="4"/>
  <c r="C31" i="4"/>
  <c r="E31" i="4"/>
  <c r="C99" i="4"/>
  <c r="E39" i="4"/>
  <c r="C67" i="4"/>
  <c r="E8" i="4"/>
  <c r="C9" i="4"/>
  <c r="C41" i="4"/>
  <c r="E65" i="4"/>
  <c r="E40" i="4"/>
  <c r="C88" i="4"/>
  <c r="E73" i="4"/>
  <c r="E66" i="4"/>
  <c r="C86" i="4"/>
  <c r="E14" i="4"/>
  <c r="C53" i="4"/>
  <c r="C23" i="4"/>
  <c r="C59" i="4"/>
  <c r="C7" i="4"/>
  <c r="E37" i="4"/>
  <c r="E27" i="4"/>
  <c r="C24" i="4"/>
  <c r="C92" i="4"/>
  <c r="C74" i="4"/>
  <c r="G15" i="2"/>
  <c r="R7" i="2" l="1"/>
  <c r="T7" i="2"/>
  <c r="V7" i="2"/>
  <c r="X7" i="2"/>
  <c r="I10" i="10"/>
  <c r="H10" i="10"/>
  <c r="G10" i="10"/>
  <c r="F10" i="10"/>
  <c r="E10" i="10"/>
  <c r="D10" i="10"/>
  <c r="C10" i="10"/>
  <c r="B10" i="10"/>
  <c r="I259" i="10"/>
  <c r="H259" i="10"/>
  <c r="G259" i="10"/>
  <c r="F259" i="10"/>
  <c r="E259" i="10"/>
  <c r="D259" i="10"/>
  <c r="C259" i="10"/>
  <c r="B259" i="10"/>
  <c r="I239" i="10"/>
  <c r="H239" i="10"/>
  <c r="G239" i="10"/>
  <c r="F239" i="10"/>
  <c r="E239" i="10"/>
  <c r="D239" i="10"/>
  <c r="C239" i="10"/>
  <c r="B239" i="10"/>
  <c r="I219" i="10"/>
  <c r="H219" i="10"/>
  <c r="G219" i="10"/>
  <c r="F219" i="10"/>
  <c r="E219" i="10"/>
  <c r="D219" i="10"/>
  <c r="C219" i="10"/>
  <c r="B219" i="10"/>
  <c r="O7" i="2" l="1"/>
  <c r="K10" i="10"/>
  <c r="K13" i="10" s="1"/>
  <c r="K259" i="10"/>
  <c r="K219" i="10"/>
  <c r="K239" i="10"/>
  <c r="P7" i="2" l="1"/>
  <c r="I199" i="10"/>
  <c r="H199" i="10"/>
  <c r="G199" i="10"/>
  <c r="F199" i="10"/>
  <c r="E199" i="10"/>
  <c r="D199" i="10"/>
  <c r="C199" i="10"/>
  <c r="B199" i="10"/>
  <c r="K199" i="10" l="1"/>
  <c r="I179" i="10" l="1"/>
  <c r="H179" i="10"/>
  <c r="G179" i="10"/>
  <c r="F179" i="10"/>
  <c r="E179" i="10"/>
  <c r="D179" i="10"/>
  <c r="C179" i="10"/>
  <c r="B179" i="10"/>
  <c r="K179" i="10" l="1"/>
  <c r="I156" i="10" l="1"/>
  <c r="H156" i="10"/>
  <c r="G156" i="10"/>
  <c r="F156" i="10"/>
  <c r="E156" i="10"/>
  <c r="D156" i="10"/>
  <c r="C156" i="10"/>
  <c r="B156" i="10"/>
  <c r="K156" i="10" l="1"/>
  <c r="I134" i="10"/>
  <c r="H134" i="10"/>
  <c r="G134" i="10"/>
  <c r="F134" i="10"/>
  <c r="E134" i="10"/>
  <c r="D134" i="10"/>
  <c r="C134" i="10"/>
  <c r="B134" i="10"/>
  <c r="K134" i="10" l="1"/>
  <c r="I112" i="10" l="1"/>
  <c r="H112" i="10"/>
  <c r="G112" i="10"/>
  <c r="F112" i="10"/>
  <c r="E112" i="10"/>
  <c r="D112" i="10"/>
  <c r="C112" i="10"/>
  <c r="B112" i="10"/>
  <c r="K112" i="10" l="1"/>
  <c r="I69" i="10"/>
  <c r="H69" i="10"/>
  <c r="G69" i="10"/>
  <c r="F69" i="10"/>
  <c r="E69" i="10"/>
  <c r="D69" i="10"/>
  <c r="C69" i="10"/>
  <c r="B69" i="10"/>
  <c r="B88" i="10"/>
  <c r="I88" i="10"/>
  <c r="H88" i="10"/>
  <c r="G88" i="10"/>
  <c r="F88" i="10"/>
  <c r="E88" i="10"/>
  <c r="D88" i="10"/>
  <c r="C88" i="10"/>
  <c r="K69" i="10" l="1"/>
  <c r="K88" i="10"/>
  <c r="D28" i="2" l="1"/>
  <c r="D27" i="2"/>
  <c r="D26" i="2"/>
  <c r="D25" i="2"/>
  <c r="B38" i="10" l="1"/>
  <c r="C38" i="10" l="1"/>
  <c r="D38" i="10"/>
  <c r="E38" i="10"/>
  <c r="F38" i="10"/>
  <c r="G38" i="10"/>
  <c r="H38" i="10"/>
  <c r="I38" i="10"/>
  <c r="K38" i="10" l="1"/>
  <c r="K41" i="10" l="1"/>
  <c r="K72" i="10" s="1"/>
  <c r="K91" i="10" s="1"/>
  <c r="K115" i="10" s="1"/>
  <c r="K137" i="10" s="1"/>
  <c r="K159" i="10" s="1"/>
  <c r="K182" i="10" s="1"/>
  <c r="K202" i="10" s="1"/>
  <c r="K222" i="10" s="1"/>
  <c r="K242" i="10" s="1"/>
  <c r="K262" i="10" s="1"/>
  <c r="O19" i="2" l="1"/>
  <c r="D3" i="1" l="1"/>
  <c r="G27" i="1"/>
  <c r="G33" i="1"/>
  <c r="C27" i="1"/>
  <c r="M7" i="1"/>
  <c r="C21" i="6" l="1"/>
  <c r="B21" i="6"/>
  <c r="M27" i="1"/>
  <c r="J27" i="1"/>
  <c r="Q25" i="1"/>
  <c r="K25" i="1"/>
  <c r="H25" i="1"/>
  <c r="E25" i="1"/>
  <c r="M21" i="1"/>
  <c r="M20" i="1"/>
  <c r="M19" i="1"/>
  <c r="M18" i="1"/>
  <c r="M16" i="1"/>
  <c r="M15" i="1"/>
  <c r="M14" i="1"/>
  <c r="M6" i="1"/>
  <c r="D4" i="1"/>
  <c r="M2" i="1"/>
  <c r="C104" i="4" l="1"/>
  <c r="D22" i="4"/>
  <c r="D99" i="4"/>
  <c r="D8" i="4"/>
  <c r="D12" i="4"/>
  <c r="D51" i="4"/>
  <c r="D78" i="4"/>
  <c r="D95" i="4"/>
  <c r="D15" i="4"/>
  <c r="D61" i="4"/>
  <c r="D27" i="4"/>
  <c r="D88" i="4"/>
  <c r="D84" i="4"/>
  <c r="D94" i="4"/>
  <c r="D58" i="4"/>
  <c r="D100" i="4"/>
  <c r="D72" i="4"/>
  <c r="D93" i="4"/>
  <c r="D28" i="4"/>
  <c r="D5" i="4"/>
  <c r="D96" i="4"/>
  <c r="D71" i="4"/>
  <c r="D45" i="4"/>
  <c r="D62" i="4"/>
  <c r="D85" i="4"/>
  <c r="D4" i="4"/>
  <c r="D11" i="4"/>
  <c r="D21" i="4"/>
  <c r="D53" i="4"/>
  <c r="D42" i="4"/>
  <c r="D77" i="4"/>
  <c r="D63" i="4"/>
  <c r="D98" i="4"/>
  <c r="D50" i="4"/>
  <c r="D36" i="4"/>
  <c r="D73" i="4"/>
  <c r="D64" i="4"/>
  <c r="D82" i="4"/>
  <c r="D6" i="4"/>
  <c r="D43" i="4"/>
  <c r="D65" i="4"/>
  <c r="D86" i="4"/>
  <c r="D31" i="4"/>
  <c r="D79" i="4"/>
  <c r="D76" i="4"/>
  <c r="D47" i="4"/>
  <c r="D33" i="4"/>
  <c r="D91" i="4"/>
  <c r="D92" i="4"/>
  <c r="D35" i="4"/>
  <c r="D14" i="4"/>
  <c r="D19" i="4"/>
  <c r="D9" i="4"/>
  <c r="D74" i="4"/>
  <c r="D70" i="4"/>
  <c r="D37" i="4"/>
  <c r="D59" i="4"/>
  <c r="D81" i="4"/>
  <c r="D10" i="4"/>
  <c r="D89" i="4"/>
  <c r="D30" i="4"/>
  <c r="D48" i="4"/>
  <c r="D7" i="4"/>
  <c r="D69" i="4"/>
  <c r="D56" i="4"/>
  <c r="D83" i="4"/>
  <c r="D101" i="4"/>
  <c r="D32" i="4"/>
  <c r="D60" i="4"/>
  <c r="D75" i="4"/>
  <c r="D87" i="4"/>
  <c r="D68" i="4"/>
  <c r="D90" i="4"/>
  <c r="D40" i="4"/>
  <c r="D80" i="4"/>
  <c r="D54" i="4"/>
  <c r="D16" i="4"/>
  <c r="D97" i="4"/>
  <c r="D66" i="4"/>
  <c r="D52" i="4"/>
  <c r="D39" i="4"/>
  <c r="D38" i="4"/>
  <c r="D17" i="4"/>
  <c r="D41" i="4"/>
  <c r="D102" i="4"/>
  <c r="D34" i="4"/>
  <c r="D26" i="4"/>
  <c r="D13" i="4"/>
  <c r="D49" i="4"/>
  <c r="D23" i="4"/>
  <c r="D44" i="4"/>
  <c r="D46" i="4"/>
  <c r="D57" i="4"/>
  <c r="D18" i="4"/>
  <c r="D20" i="4"/>
  <c r="D25" i="4"/>
  <c r="D55" i="4"/>
  <c r="D67" i="4"/>
  <c r="D29" i="4"/>
  <c r="D24" i="4"/>
  <c r="M9" i="1"/>
  <c r="P27" i="1"/>
  <c r="E18" i="1"/>
  <c r="D5" i="1"/>
  <c r="E3" i="1" s="1"/>
  <c r="F3" i="1" s="1"/>
  <c r="R22" i="2" l="1"/>
  <c r="E104" i="4"/>
  <c r="D3" i="4"/>
  <c r="D104" i="4" s="1"/>
  <c r="M17" i="1"/>
  <c r="M23" i="1" s="1"/>
  <c r="E4" i="1"/>
  <c r="F4" i="1" s="1"/>
</calcChain>
</file>

<file path=xl/sharedStrings.xml><?xml version="1.0" encoding="utf-8"?>
<sst xmlns="http://schemas.openxmlformats.org/spreadsheetml/2006/main" count="533" uniqueCount="195">
  <si>
    <t>Famille</t>
  </si>
  <si>
    <t>Nom</t>
  </si>
  <si>
    <t>Prénom</t>
  </si>
  <si>
    <t>Sexe</t>
  </si>
  <si>
    <t>Date Nais</t>
  </si>
  <si>
    <t>Adresse</t>
  </si>
  <si>
    <t>Code Postal</t>
  </si>
  <si>
    <t>Ville</t>
  </si>
  <si>
    <t>Tél Dom</t>
  </si>
  <si>
    <t>Tél. Port</t>
  </si>
  <si>
    <t>Mail</t>
  </si>
  <si>
    <t>Licence</t>
  </si>
  <si>
    <t>TOTAL</t>
  </si>
  <si>
    <t>RESTE DÛ</t>
  </si>
  <si>
    <t>Type Cotisations</t>
  </si>
  <si>
    <t>Tarif 1</t>
  </si>
  <si>
    <t>EDT</t>
  </si>
  <si>
    <t>Tarif 2</t>
  </si>
  <si>
    <t>CoursCo-Compet</t>
  </si>
  <si>
    <t>Tarif 3</t>
  </si>
  <si>
    <t>Droit Entrée</t>
  </si>
  <si>
    <t>Tarif 4</t>
  </si>
  <si>
    <t>Cas Particulier</t>
  </si>
  <si>
    <t>Tarif 5</t>
  </si>
  <si>
    <t>Paiement 1</t>
  </si>
  <si>
    <t>Type de paiement 1</t>
  </si>
  <si>
    <t>Date de paiement 1</t>
  </si>
  <si>
    <t>Paiement 2</t>
  </si>
  <si>
    <t>Type de paiement 2</t>
  </si>
  <si>
    <t>Date de paiement 2</t>
  </si>
  <si>
    <t>Paiement 3</t>
  </si>
  <si>
    <t>Type de paiement 3</t>
  </si>
  <si>
    <t>Date de paiement 3</t>
  </si>
  <si>
    <t>Paiement 4</t>
  </si>
  <si>
    <t>Type de paiement 4</t>
  </si>
  <si>
    <t>Date de paiement 4</t>
  </si>
  <si>
    <t>Paiement 5</t>
  </si>
  <si>
    <t>Type de paiement 5</t>
  </si>
  <si>
    <t>Date de paiement 5</t>
  </si>
  <si>
    <t>Paiement 6</t>
  </si>
  <si>
    <t>Type Cotisation</t>
  </si>
  <si>
    <t>Prix</t>
  </si>
  <si>
    <t>Cours Co - Compet</t>
  </si>
  <si>
    <t>Type de paiement</t>
  </si>
  <si>
    <t>Cours Co</t>
  </si>
  <si>
    <t>Oui</t>
  </si>
  <si>
    <t>F</t>
  </si>
  <si>
    <t>Chèque</t>
  </si>
  <si>
    <t>Ménage</t>
  </si>
  <si>
    <t>Cours Co 1h30</t>
  </si>
  <si>
    <t>Non</t>
  </si>
  <si>
    <t>Espèce</t>
  </si>
  <si>
    <t>Adulte</t>
  </si>
  <si>
    <t>Cours Co Etudiant</t>
  </si>
  <si>
    <t>Virement</t>
  </si>
  <si>
    <t>Etudiant</t>
  </si>
  <si>
    <t>Cours Co Etudiant 1h30</t>
  </si>
  <si>
    <t>CB</t>
  </si>
  <si>
    <t>ECompet 1h</t>
  </si>
  <si>
    <t>Autre</t>
  </si>
  <si>
    <t>ECompet 2h</t>
  </si>
  <si>
    <t>Honoraire</t>
  </si>
  <si>
    <t>Parent</t>
  </si>
  <si>
    <t>Age</t>
  </si>
  <si>
    <t>N°</t>
  </si>
  <si>
    <t>Type de paiement 6</t>
  </si>
  <si>
    <t>Date de paiement 52</t>
  </si>
  <si>
    <t/>
  </si>
  <si>
    <t>BORDEAUX</t>
  </si>
  <si>
    <t>TALENCE</t>
  </si>
  <si>
    <t>BEGLES</t>
  </si>
  <si>
    <t>Hommes</t>
  </si>
  <si>
    <t>Femmes</t>
  </si>
  <si>
    <t>VILLENAVE D'ORNON</t>
  </si>
  <si>
    <t>GRADIGNAN</t>
  </si>
  <si>
    <t>M</t>
  </si>
  <si>
    <t>ADULTES</t>
  </si>
  <si>
    <t>TOT ADHERENTS</t>
  </si>
  <si>
    <t>BRUGES</t>
  </si>
  <si>
    <t>PESSAC</t>
  </si>
  <si>
    <t>Homme</t>
  </si>
  <si>
    <t>Femme</t>
  </si>
  <si>
    <t>30/2</t>
  </si>
  <si>
    <t>15/1</t>
  </si>
  <si>
    <t>30/3</t>
  </si>
  <si>
    <t>15/2</t>
  </si>
  <si>
    <t>15/3</t>
  </si>
  <si>
    <t>30/1</t>
  </si>
  <si>
    <t>15/4</t>
  </si>
  <si>
    <t>30/4</t>
  </si>
  <si>
    <t>15/5</t>
  </si>
  <si>
    <t>30/5</t>
  </si>
  <si>
    <t>5/6</t>
  </si>
  <si>
    <t>CLT</t>
  </si>
  <si>
    <t>H</t>
  </si>
  <si>
    <t>4/6</t>
  </si>
  <si>
    <t>3/6</t>
  </si>
  <si>
    <t>AUTRES</t>
  </si>
  <si>
    <t>Cours Padel</t>
  </si>
  <si>
    <t>ETUDIANTS</t>
  </si>
  <si>
    <t>Padel 300</t>
  </si>
  <si>
    <t>Padel 360</t>
  </si>
  <si>
    <t>HONORAIRES</t>
  </si>
  <si>
    <t>2/6</t>
  </si>
  <si>
    <t>Parents</t>
  </si>
  <si>
    <t>Honoraires</t>
  </si>
  <si>
    <t>35+</t>
  </si>
  <si>
    <t>Licence Ext.</t>
  </si>
  <si>
    <t>Licence Tennis</t>
  </si>
  <si>
    <t>Licence Padel</t>
  </si>
  <si>
    <t>Que licence</t>
  </si>
  <si>
    <t>Honoraire + licence</t>
  </si>
  <si>
    <t>NB Adhérents + licenciés ext</t>
  </si>
  <si>
    <t>Pas licenciés au club</t>
  </si>
  <si>
    <t>NB Licenciés au club</t>
  </si>
  <si>
    <t>NB Réel Licenciés au club</t>
  </si>
  <si>
    <t>NB Réel Adhérents</t>
  </si>
  <si>
    <t>MANQUE FICHE</t>
  </si>
  <si>
    <t>CERTIFICAT MEDICAL</t>
  </si>
  <si>
    <t>AVRIL</t>
  </si>
  <si>
    <t>PROBLEMES</t>
  </si>
  <si>
    <t>1/6</t>
  </si>
  <si>
    <t>Padel 165</t>
  </si>
  <si>
    <t>COT</t>
  </si>
  <si>
    <t>CCO</t>
  </si>
  <si>
    <t>CCO ET</t>
  </si>
  <si>
    <t>DE</t>
  </si>
  <si>
    <t>COT ET</t>
  </si>
  <si>
    <t>COT JEUNES</t>
  </si>
  <si>
    <t>LICENCES</t>
  </si>
  <si>
    <t>DETTES</t>
  </si>
  <si>
    <t>TOTAL :</t>
  </si>
  <si>
    <t>Entrainement</t>
  </si>
  <si>
    <t>NOVEMBRE</t>
  </si>
  <si>
    <t>OCTOBRE</t>
  </si>
  <si>
    <t>DECEMBRE</t>
  </si>
  <si>
    <t>JANVIER</t>
  </si>
  <si>
    <t>FEVRIER</t>
  </si>
  <si>
    <t>MARS</t>
  </si>
  <si>
    <t>MAI</t>
  </si>
  <si>
    <t>JUIN</t>
  </si>
  <si>
    <t>EDT 2016 et avant</t>
  </si>
  <si>
    <t>EDT 2017-2018</t>
  </si>
  <si>
    <t>EDT 2019 et 2020</t>
  </si>
  <si>
    <t>Jeune 2016 et avant</t>
  </si>
  <si>
    <t>Jeune 2017-2018</t>
  </si>
  <si>
    <t>Jeune 2019 et 2020</t>
  </si>
  <si>
    <t>JUILLET</t>
  </si>
  <si>
    <t>AOUT</t>
  </si>
  <si>
    <t>SEPTEMBRE</t>
  </si>
  <si>
    <t>Chèque LCL</t>
  </si>
  <si>
    <t>10/10/2026</t>
  </si>
  <si>
    <t>10/11/2026</t>
  </si>
  <si>
    <t>10/01/2026</t>
  </si>
  <si>
    <t>10/04/2026</t>
  </si>
  <si>
    <t>LANGEARD Louise</t>
  </si>
  <si>
    <t>BENGHIATI Gabin</t>
  </si>
  <si>
    <t>ERREUR</t>
  </si>
  <si>
    <t>BUORO</t>
  </si>
  <si>
    <t>LEROUX Alexandre</t>
  </si>
  <si>
    <t>DORLEAC</t>
  </si>
  <si>
    <t>REFFAS</t>
  </si>
  <si>
    <t>DORONINA</t>
  </si>
  <si>
    <t>DRILLAUD</t>
  </si>
  <si>
    <t>JEUNES 2019 et 2020</t>
  </si>
  <si>
    <t>JEUNES 2017-2018</t>
  </si>
  <si>
    <t>JEUNES 2016 et avant</t>
  </si>
  <si>
    <t>BOUAROUS</t>
  </si>
  <si>
    <t>POLLET</t>
  </si>
  <si>
    <t>LI Afonso</t>
  </si>
  <si>
    <t>Moy âge</t>
  </si>
  <si>
    <t>XXXXXXX</t>
  </si>
  <si>
    <t>XXXXX</t>
  </si>
  <si>
    <t>XXX</t>
  </si>
  <si>
    <t>XXXX</t>
  </si>
  <si>
    <t>0</t>
  </si>
  <si>
    <t>ZZZZ</t>
  </si>
  <si>
    <t>680</t>
  </si>
  <si>
    <t>image</t>
  </si>
  <si>
    <t>essai</t>
  </si>
  <si>
    <t>10/10/2005</t>
  </si>
  <si>
    <t>15000</t>
  </si>
  <si>
    <t>380</t>
  </si>
  <si>
    <t>100</t>
  </si>
  <si>
    <t>avatar1</t>
  </si>
  <si>
    <t>famille1</t>
  </si>
  <si>
    <t>nom1</t>
  </si>
  <si>
    <t>prenom1</t>
  </si>
  <si>
    <t>adresse1</t>
  </si>
  <si>
    <t>38510</t>
  </si>
  <si>
    <t>ville1</t>
  </si>
  <si>
    <t>0400000000</t>
  </si>
  <si>
    <t>0600000000</t>
  </si>
  <si>
    <t>mail1@free.fr</t>
  </si>
  <si>
    <t>famille2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</si>
</sst>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4" formatCode="_-* #,##0.00\ &quot;€&quot;_-;\-* #,##0.00\ &quot;€&quot;_-;_-* &quot;-&quot;??\ &quot;€&quot;_-;_-@_-"/>
    <numFmt numFmtId="164" formatCode="#,##0\ &quot;€&quot;"/>
    <numFmt numFmtId="165" formatCode="0#&quot; &quot;##&quot; &quot;##&quot; &quot;##&quot; &quot;##"/>
    <numFmt numFmtId="166" formatCode="_-* #,##0\ &quot;€&quot;_-;\-* #,##0\ &quot;€&quot;_-;_-* &quot;-&quot;??\ &quot;€&quot;_-;_-@_-"/>
    <numFmt numFmtId="167" formatCode="#,##0.0\ &quot;€&quot;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Baskerville Old Face"/>
      <family val="1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CC"/>
        <bgColor indexed="64"/>
      </patternFill>
    </fill>
  </fills>
  <borders count="4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185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5" fontId="0" fillId="0" borderId="0" xfId="0" applyNumberFormat="1" applyAlignment="1">
      <alignment horizontal="center"/>
    </xf>
    <xf numFmtId="166" fontId="0" fillId="0" borderId="0" xfId="1" applyNumberFormat="1" applyFont="1" applyAlignment="1">
      <alignment horizontal="center"/>
    </xf>
    <xf numFmtId="164" fontId="0" fillId="0" borderId="0" xfId="1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64" fontId="5" fillId="4" borderId="0" xfId="0" applyNumberFormat="1" applyFont="1" applyFill="1" applyAlignment="1">
      <alignment horizontal="center"/>
    </xf>
    <xf numFmtId="164" fontId="5" fillId="0" borderId="0" xfId="1" applyNumberFormat="1" applyFont="1" applyAlignment="1">
      <alignment horizontal="center"/>
    </xf>
    <xf numFmtId="3" fontId="0" fillId="0" borderId="0" xfId="1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165" fontId="5" fillId="2" borderId="2" xfId="0" applyNumberFormat="1" applyFont="1" applyFill="1" applyBorder="1" applyAlignment="1">
      <alignment horizontal="center" vertical="center"/>
    </xf>
    <xf numFmtId="164" fontId="8" fillId="3" borderId="2" xfId="0" applyNumberFormat="1" applyFont="1" applyFill="1" applyBorder="1" applyAlignment="1">
      <alignment horizontal="center" vertical="center"/>
    </xf>
    <xf numFmtId="164" fontId="5" fillId="2" borderId="2" xfId="1" applyNumberFormat="1" applyFont="1" applyFill="1" applyBorder="1" applyAlignment="1">
      <alignment horizontal="center" vertical="center"/>
    </xf>
    <xf numFmtId="166" fontId="5" fillId="2" borderId="2" xfId="1" applyNumberFormat="1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0" fillId="7" borderId="0" xfId="0" applyFill="1"/>
    <xf numFmtId="0" fontId="10" fillId="7" borderId="0" xfId="0" applyFont="1" applyFill="1"/>
    <xf numFmtId="1" fontId="10" fillId="7" borderId="0" xfId="0" applyNumberFormat="1" applyFont="1" applyFill="1" applyAlignment="1">
      <alignment horizontal="center"/>
    </xf>
    <xf numFmtId="0" fontId="10" fillId="7" borderId="0" xfId="0" applyFont="1" applyFill="1" applyAlignment="1">
      <alignment horizontal="center"/>
    </xf>
    <xf numFmtId="0" fontId="9" fillId="7" borderId="3" xfId="0" applyFont="1" applyFill="1" applyBorder="1"/>
    <xf numFmtId="3" fontId="9" fillId="7" borderId="0" xfId="1" applyNumberFormat="1" applyFont="1" applyFill="1" applyAlignment="1">
      <alignment horizontal="center"/>
    </xf>
    <xf numFmtId="0" fontId="9" fillId="7" borderId="4" xfId="0" applyFont="1" applyFill="1" applyBorder="1"/>
    <xf numFmtId="0" fontId="9" fillId="7" borderId="0" xfId="0" applyFont="1" applyFill="1" applyAlignment="1">
      <alignment horizontal="left"/>
    </xf>
    <xf numFmtId="0" fontId="9" fillId="7" borderId="0" xfId="0" applyFont="1" applyFill="1" applyAlignment="1">
      <alignment horizontal="center"/>
    </xf>
    <xf numFmtId="0" fontId="11" fillId="7" borderId="0" xfId="0" applyFont="1" applyFill="1"/>
    <xf numFmtId="3" fontId="11" fillId="7" borderId="0" xfId="0" applyNumberFormat="1" applyFont="1" applyFill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4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49" fontId="0" fillId="0" borderId="21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1" fontId="0" fillId="0" borderId="24" xfId="0" applyNumberFormat="1" applyBorder="1" applyAlignment="1">
      <alignment horizontal="center"/>
    </xf>
    <xf numFmtId="0" fontId="0" fillId="0" borderId="25" xfId="0" applyBorder="1" applyAlignment="1">
      <alignment horizontal="center"/>
    </xf>
    <xf numFmtId="49" fontId="12" fillId="3" borderId="18" xfId="0" applyNumberFormat="1" applyFont="1" applyFill="1" applyBorder="1" applyAlignment="1">
      <alignment horizontal="center"/>
    </xf>
    <xf numFmtId="1" fontId="12" fillId="3" borderId="19" xfId="0" applyNumberFormat="1" applyFont="1" applyFill="1" applyBorder="1" applyAlignment="1">
      <alignment horizontal="center"/>
    </xf>
    <xf numFmtId="0" fontId="12" fillId="3" borderId="20" xfId="0" applyFont="1" applyFill="1" applyBorder="1" applyAlignment="1">
      <alignment horizontal="center"/>
    </xf>
    <xf numFmtId="10" fontId="9" fillId="7" borderId="0" xfId="3" applyNumberFormat="1" applyFont="1" applyFill="1" applyAlignment="1">
      <alignment horizontal="center" vertical="center"/>
    </xf>
    <xf numFmtId="10" fontId="9" fillId="7" borderId="0" xfId="0" applyNumberFormat="1" applyFont="1" applyFill="1" applyAlignment="1">
      <alignment horizontal="center" vertical="center"/>
    </xf>
    <xf numFmtId="0" fontId="9" fillId="7" borderId="0" xfId="0" applyFont="1" applyFill="1" applyAlignment="1">
      <alignment horizontal="right"/>
    </xf>
    <xf numFmtId="0" fontId="0" fillId="7" borderId="0" xfId="0" applyFill="1" applyAlignment="1">
      <alignment vertical="center"/>
    </xf>
    <xf numFmtId="0" fontId="10" fillId="7" borderId="0" xfId="0" applyFont="1" applyFill="1" applyAlignment="1">
      <alignment vertical="center"/>
    </xf>
    <xf numFmtId="1" fontId="10" fillId="7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6" fillId="6" borderId="5" xfId="0" applyFont="1" applyFill="1" applyBorder="1" applyAlignment="1">
      <alignment vertical="center"/>
    </xf>
    <xf numFmtId="0" fontId="11" fillId="7" borderId="0" xfId="0" applyFont="1" applyFill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left"/>
    </xf>
    <xf numFmtId="165" fontId="13" fillId="0" borderId="0" xfId="0" applyNumberFormat="1" applyFont="1" applyAlignment="1">
      <alignment horizontal="center"/>
    </xf>
    <xf numFmtId="164" fontId="13" fillId="0" borderId="0" xfId="0" applyNumberFormat="1" applyFont="1" applyAlignment="1">
      <alignment horizontal="center"/>
    </xf>
    <xf numFmtId="166" fontId="13" fillId="0" borderId="0" xfId="1" applyNumberFormat="1" applyFont="1" applyAlignment="1">
      <alignment horizontal="center"/>
    </xf>
    <xf numFmtId="164" fontId="13" fillId="0" borderId="0" xfId="1" applyNumberFormat="1" applyFont="1" applyAlignment="1">
      <alignment horizontal="center"/>
    </xf>
    <xf numFmtId="0" fontId="6" fillId="6" borderId="5" xfId="0" applyFont="1" applyFill="1" applyBorder="1" applyAlignment="1">
      <alignment horizontal="center" vertical="center"/>
    </xf>
    <xf numFmtId="1" fontId="0" fillId="0" borderId="0" xfId="1" applyNumberFormat="1" applyFont="1" applyAlignment="1">
      <alignment horizontal="center"/>
    </xf>
    <xf numFmtId="1" fontId="5" fillId="2" borderId="2" xfId="1" applyNumberFormat="1" applyFont="1" applyFill="1" applyBorder="1" applyAlignment="1">
      <alignment horizontal="center" vertical="center"/>
    </xf>
    <xf numFmtId="1" fontId="13" fillId="0" borderId="0" xfId="1" applyNumberFormat="1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0" xfId="1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14" fontId="13" fillId="0" borderId="0" xfId="0" applyNumberFormat="1" applyFont="1" applyAlignment="1">
      <alignment horizontal="center"/>
    </xf>
    <xf numFmtId="0" fontId="12" fillId="2" borderId="2" xfId="0" applyFont="1" applyFill="1" applyBorder="1" applyAlignment="1">
      <alignment horizontal="left" vertical="center"/>
    </xf>
    <xf numFmtId="0" fontId="12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/>
    <xf numFmtId="2" fontId="0" fillId="0" borderId="0" xfId="0" applyNumberFormat="1" applyAlignment="1">
      <alignment horizontal="center" vertical="center" readingOrder="1"/>
    </xf>
    <xf numFmtId="165" fontId="14" fillId="0" borderId="0" xfId="0" applyNumberFormat="1" applyFont="1" applyAlignment="1">
      <alignment horizontal="center"/>
    </xf>
    <xf numFmtId="164" fontId="14" fillId="0" borderId="0" xfId="1" applyNumberFormat="1" applyFont="1" applyAlignment="1">
      <alignment horizontal="center"/>
    </xf>
    <xf numFmtId="1" fontId="14" fillId="0" borderId="0" xfId="1" applyNumberFormat="1" applyFont="1" applyAlignment="1">
      <alignment horizontal="center"/>
    </xf>
    <xf numFmtId="166" fontId="14" fillId="0" borderId="0" xfId="1" applyNumberFormat="1" applyFont="1" applyAlignment="1">
      <alignment horizontal="center"/>
    </xf>
    <xf numFmtId="0" fontId="6" fillId="5" borderId="5" xfId="0" quotePrefix="1" applyFont="1" applyFill="1" applyBorder="1" applyAlignment="1">
      <alignment horizontal="center" vertical="center"/>
    </xf>
    <xf numFmtId="0" fontId="13" fillId="10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0" fontId="13" fillId="11" borderId="0" xfId="0" applyFont="1" applyFill="1" applyAlignment="1">
      <alignment horizontal="center" vertical="center"/>
    </xf>
    <xf numFmtId="0" fontId="13" fillId="9" borderId="0" xfId="0" applyFont="1" applyFill="1" applyAlignment="1">
      <alignment horizontal="center"/>
    </xf>
    <xf numFmtId="0" fontId="13" fillId="8" borderId="0" xfId="0" applyFont="1" applyFill="1" applyAlignment="1">
      <alignment horizontal="center"/>
    </xf>
    <xf numFmtId="0" fontId="13" fillId="9" borderId="0" xfId="0" applyFont="1" applyFill="1" applyAlignment="1">
      <alignment horizontal="center" vertical="center"/>
    </xf>
    <xf numFmtId="0" fontId="13" fillId="1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164" fontId="6" fillId="9" borderId="0" xfId="0" applyNumberFormat="1" applyFont="1" applyFill="1" applyAlignment="1">
      <alignment horizontal="center"/>
    </xf>
    <xf numFmtId="0" fontId="6" fillId="0" borderId="0" xfId="0" applyFont="1" applyAlignment="1">
      <alignment horizontal="left"/>
    </xf>
    <xf numFmtId="164" fontId="6" fillId="0" borderId="0" xfId="0" applyNumberFormat="1" applyFont="1" applyAlignment="1">
      <alignment horizontal="center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vertical="center"/>
    </xf>
    <xf numFmtId="0" fontId="0" fillId="13" borderId="0" xfId="0" applyFill="1" applyAlignment="1">
      <alignment vertical="center"/>
    </xf>
    <xf numFmtId="0" fontId="0" fillId="14" borderId="0" xfId="0" applyFill="1" applyAlignment="1">
      <alignment vertical="center"/>
    </xf>
    <xf numFmtId="0" fontId="0" fillId="0" borderId="0" xfId="0" applyAlignment="1">
      <alignment horizontal="left" vertical="center"/>
    </xf>
    <xf numFmtId="165" fontId="0" fillId="0" borderId="0" xfId="0" applyNumberFormat="1" applyAlignment="1">
      <alignment horizontal="center" vertical="center"/>
    </xf>
    <xf numFmtId="0" fontId="12" fillId="0" borderId="0" xfId="0" applyFont="1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" fontId="0" fillId="0" borderId="0" xfId="1" applyNumberFormat="1" applyFont="1" applyAlignment="1">
      <alignment horizontal="center" vertical="center"/>
    </xf>
    <xf numFmtId="166" fontId="0" fillId="0" borderId="0" xfId="1" applyNumberFormat="1" applyFont="1" applyAlignment="1">
      <alignment horizontal="center" vertical="center"/>
    </xf>
    <xf numFmtId="164" fontId="0" fillId="8" borderId="0" xfId="0" applyNumberFormat="1" applyFill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8" fillId="0" borderId="0" xfId="0" applyFont="1"/>
    <xf numFmtId="0" fontId="5" fillId="0" borderId="29" xfId="0" applyFont="1" applyBorder="1" applyAlignment="1">
      <alignment horizontal="center"/>
    </xf>
    <xf numFmtId="0" fontId="20" fillId="0" borderId="29" xfId="0" applyFont="1" applyBorder="1" applyAlignment="1">
      <alignment horizontal="center"/>
    </xf>
    <xf numFmtId="0" fontId="5" fillId="0" borderId="30" xfId="0" applyFont="1" applyBorder="1"/>
    <xf numFmtId="0" fontId="5" fillId="0" borderId="33" xfId="0" applyFont="1" applyBorder="1"/>
    <xf numFmtId="167" fontId="5" fillId="0" borderId="1" xfId="0" applyNumberFormat="1" applyFont="1" applyBorder="1" applyAlignment="1">
      <alignment horizontal="center"/>
    </xf>
    <xf numFmtId="167" fontId="5" fillId="0" borderId="2" xfId="0" applyNumberFormat="1" applyFont="1" applyBorder="1" applyAlignment="1">
      <alignment horizontal="center"/>
    </xf>
    <xf numFmtId="167" fontId="20" fillId="0" borderId="2" xfId="0" applyNumberFormat="1" applyFont="1" applyBorder="1" applyAlignment="1">
      <alignment horizontal="center"/>
    </xf>
    <xf numFmtId="167" fontId="5" fillId="0" borderId="27" xfId="0" applyNumberFormat="1" applyFont="1" applyBorder="1"/>
    <xf numFmtId="167" fontId="0" fillId="0" borderId="31" xfId="0" applyNumberFormat="1" applyBorder="1" applyAlignment="1">
      <alignment horizontal="center"/>
    </xf>
    <xf numFmtId="167" fontId="0" fillId="0" borderId="5" xfId="0" applyNumberFormat="1" applyBorder="1" applyAlignment="1">
      <alignment horizontal="center"/>
    </xf>
    <xf numFmtId="167" fontId="16" fillId="0" borderId="5" xfId="0" applyNumberFormat="1" applyFont="1" applyBorder="1" applyAlignment="1">
      <alignment horizontal="center"/>
    </xf>
    <xf numFmtId="167" fontId="0" fillId="0" borderId="22" xfId="0" applyNumberFormat="1" applyBorder="1"/>
    <xf numFmtId="167" fontId="14" fillId="0" borderId="22" xfId="0" applyNumberFormat="1" applyFont="1" applyBorder="1" applyAlignment="1">
      <alignment horizontal="center"/>
    </xf>
    <xf numFmtId="167" fontId="17" fillId="0" borderId="5" xfId="0" applyNumberFormat="1" applyFont="1" applyBorder="1" applyAlignment="1">
      <alignment horizontal="center"/>
    </xf>
    <xf numFmtId="167" fontId="0" fillId="0" borderId="32" xfId="0" applyNumberFormat="1" applyBorder="1" applyAlignment="1">
      <alignment horizontal="center"/>
    </xf>
    <xf numFmtId="167" fontId="0" fillId="0" borderId="24" xfId="0" applyNumberFormat="1" applyBorder="1" applyAlignment="1">
      <alignment horizontal="center"/>
    </xf>
    <xf numFmtId="167" fontId="16" fillId="0" borderId="24" xfId="0" applyNumberFormat="1" applyFont="1" applyBorder="1" applyAlignment="1">
      <alignment horizontal="center"/>
    </xf>
    <xf numFmtId="167" fontId="0" fillId="0" borderId="25" xfId="0" applyNumberFormat="1" applyBorder="1"/>
    <xf numFmtId="167" fontId="8" fillId="0" borderId="7" xfId="0" applyNumberFormat="1" applyFont="1" applyBorder="1" applyAlignment="1">
      <alignment horizontal="center"/>
    </xf>
    <xf numFmtId="167" fontId="6" fillId="0" borderId="8" xfId="0" applyNumberFormat="1" applyFont="1" applyBorder="1" applyAlignment="1">
      <alignment horizontal="center"/>
    </xf>
    <xf numFmtId="0" fontId="12" fillId="0" borderId="28" xfId="0" applyFont="1" applyBorder="1" applyAlignment="1">
      <alignment horizontal="center"/>
    </xf>
    <xf numFmtId="0" fontId="12" fillId="0" borderId="29" xfId="0" applyFont="1" applyBorder="1" applyAlignment="1">
      <alignment horizontal="center"/>
    </xf>
    <xf numFmtId="0" fontId="12" fillId="0" borderId="30" xfId="0" applyFont="1" applyBorder="1" applyAlignment="1">
      <alignment horizontal="center"/>
    </xf>
    <xf numFmtId="167" fontId="19" fillId="0" borderId="36" xfId="0" applyNumberFormat="1" applyFont="1" applyBorder="1" applyAlignment="1">
      <alignment horizontal="center"/>
    </xf>
    <xf numFmtId="167" fontId="18" fillId="0" borderId="10" xfId="0" applyNumberFormat="1" applyFont="1" applyBorder="1"/>
    <xf numFmtId="167" fontId="12" fillId="0" borderId="28" xfId="0" applyNumberFormat="1" applyFont="1" applyBorder="1" applyAlignment="1">
      <alignment horizontal="center"/>
    </xf>
    <xf numFmtId="167" fontId="12" fillId="0" borderId="29" xfId="0" applyNumberFormat="1" applyFont="1" applyBorder="1" applyAlignment="1">
      <alignment horizontal="center"/>
    </xf>
    <xf numFmtId="167" fontId="12" fillId="0" borderId="30" xfId="0" applyNumberFormat="1" applyFont="1" applyBorder="1" applyAlignment="1">
      <alignment horizontal="center"/>
    </xf>
    <xf numFmtId="0" fontId="0" fillId="0" borderId="34" xfId="0" applyBorder="1"/>
    <xf numFmtId="0" fontId="0" fillId="0" borderId="35" xfId="0" applyBorder="1"/>
    <xf numFmtId="0" fontId="0" fillId="0" borderId="37" xfId="0" applyBorder="1"/>
    <xf numFmtId="167" fontId="0" fillId="0" borderId="38" xfId="0" applyNumberFormat="1" applyBorder="1" applyAlignment="1">
      <alignment horizontal="center"/>
    </xf>
    <xf numFmtId="167" fontId="0" fillId="0" borderId="39" xfId="0" applyNumberFormat="1" applyBorder="1" applyAlignment="1">
      <alignment horizontal="center"/>
    </xf>
    <xf numFmtId="167" fontId="16" fillId="0" borderId="39" xfId="0" applyNumberFormat="1" applyFont="1" applyBorder="1" applyAlignment="1">
      <alignment horizontal="center"/>
    </xf>
    <xf numFmtId="167" fontId="0" fillId="0" borderId="40" xfId="0" applyNumberFormat="1" applyBorder="1"/>
    <xf numFmtId="0" fontId="0" fillId="0" borderId="41" xfId="0" applyBorder="1"/>
    <xf numFmtId="167" fontId="0" fillId="0" borderId="1" xfId="0" applyNumberFormat="1" applyBorder="1" applyAlignment="1">
      <alignment horizontal="center"/>
    </xf>
    <xf numFmtId="167" fontId="0" fillId="0" borderId="2" xfId="0" applyNumberFormat="1" applyBorder="1" applyAlignment="1">
      <alignment horizontal="center"/>
    </xf>
    <xf numFmtId="167" fontId="16" fillId="0" borderId="2" xfId="0" applyNumberFormat="1" applyFont="1" applyBorder="1" applyAlignment="1">
      <alignment horizontal="center"/>
    </xf>
    <xf numFmtId="167" fontId="0" fillId="0" borderId="27" xfId="0" applyNumberFormat="1" applyBorder="1"/>
    <xf numFmtId="0" fontId="5" fillId="11" borderId="28" xfId="0" applyFont="1" applyFill="1" applyBorder="1"/>
    <xf numFmtId="0" fontId="21" fillId="0" borderId="0" xfId="0" applyFont="1"/>
    <xf numFmtId="0" fontId="21" fillId="0" borderId="0" xfId="0" applyFont="1" applyAlignment="1">
      <alignment horizontal="center"/>
    </xf>
    <xf numFmtId="167" fontId="22" fillId="11" borderId="7" xfId="0" applyNumberFormat="1" applyFont="1" applyFill="1" applyBorder="1" applyAlignment="1">
      <alignment horizontal="center"/>
    </xf>
    <xf numFmtId="167" fontId="23" fillId="9" borderId="8" xfId="0" applyNumberFormat="1" applyFont="1" applyFill="1" applyBorder="1" applyAlignment="1">
      <alignment horizontal="center"/>
    </xf>
    <xf numFmtId="0" fontId="24" fillId="0" borderId="0" xfId="2" applyFont="1" applyAlignment="1">
      <alignment horizontal="left"/>
    </xf>
    <xf numFmtId="0" fontId="0" fillId="0" borderId="42" xfId="0" applyBorder="1" applyAlignment="1">
      <alignment horizontal="center"/>
    </xf>
    <xf numFmtId="164" fontId="0" fillId="3" borderId="0" xfId="0" applyNumberFormat="1" applyFill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42" xfId="0" applyFont="1" applyBorder="1" applyAlignment="1">
      <alignment horizontal="center"/>
    </xf>
    <xf numFmtId="4" fontId="5" fillId="2" borderId="2" xfId="1" applyNumberFormat="1" applyFont="1" applyFill="1" applyBorder="1" applyAlignment="1">
      <alignment horizontal="center" vertical="center"/>
    </xf>
    <xf numFmtId="4" fontId="0" fillId="0" borderId="0" xfId="1" applyNumberFormat="1" applyFont="1" applyAlignment="1">
      <alignment horizontal="center"/>
    </xf>
    <xf numFmtId="4" fontId="0" fillId="0" borderId="0" xfId="1" applyNumberFormat="1" applyFont="1" applyAlignment="1">
      <alignment horizontal="center" vertical="center"/>
    </xf>
    <xf numFmtId="4" fontId="14" fillId="0" borderId="0" xfId="1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4" fontId="13" fillId="0" borderId="0" xfId="1" applyNumberFormat="1" applyFont="1" applyAlignment="1">
      <alignment horizontal="center"/>
    </xf>
    <xf numFmtId="4" fontId="13" fillId="0" borderId="0" xfId="0" applyNumberFormat="1" applyFont="1"/>
    <xf numFmtId="2" fontId="0" fillId="0" borderId="0" xfId="1" applyNumberFormat="1" applyFont="1" applyAlignment="1">
      <alignment horizontal="center"/>
    </xf>
    <xf numFmtId="0" fontId="6" fillId="6" borderId="5" xfId="0" applyFont="1" applyFill="1" applyBorder="1" applyAlignment="1">
      <alignment horizontal="center" vertical="center"/>
    </xf>
  </cellXfs>
  <cellStyles count="4">
    <cellStyle name="Lien hypertexte" xfId="2" builtinId="8"/>
    <cellStyle name="Monétaire" xfId="1" builtinId="4"/>
    <cellStyle name="Normal" xfId="0" builtinId="0"/>
    <cellStyle name="Pourcentage" xfId="3" builtinId="5"/>
  </cellStyles>
  <dxfs count="57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_-* #,##0\ &quot;€&quot;_-;\-* #,##0\ &quot;€&quot;_-;_-* &quot;-&quot;??\ &quot;€&quot;_-;_-@_-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#,##0\ &quot;€&quot;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#,##0\ &quot;€&quot;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strike val="0"/>
        <outline val="0"/>
        <shadow val="0"/>
        <vertAlign val="baseline"/>
        <sz val="12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numFmt numFmtId="165" formatCode="0#&quot; &quot;##&quot; &quot;##&quot; &quot;##&quot; &quot;##"/>
      <alignment horizontal="center" vertical="bottom" textRotation="0" wrapText="0" indent="0" justifyLastLine="0" shrinkToFit="0" readingOrder="0"/>
    </dxf>
    <dxf>
      <numFmt numFmtId="165" formatCode="0#&quot; &quot;##&quot; &quot;##&quot; &quot;##&quot; &quot;##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Baskerville Old Face"/>
        <family val="1"/>
        <scheme val="none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Baskerville Old Face"/>
        <family val="1"/>
        <scheme val="none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Baskerville Old Face"/>
        <family val="1"/>
        <scheme val="none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</font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Baskerville Old Face"/>
        <family val="1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0"/>
        <name val="Baskerville Old Face"/>
        <family val="1"/>
        <scheme val="none"/>
      </font>
    </dxf>
  </dxfs>
  <tableStyles count="1" defaultTableStyle="TableStyleMedium2" defaultPivotStyle="PivotStyleLight16">
    <tableStyle name="Invisible" pivot="0" table="0" count="0" xr9:uid="{D0E3924A-7B10-4C71-AEE4-EBC09152C402}"/>
  </tableStyles>
  <colors>
    <mruColors>
      <color rgb="FFCC00CC"/>
      <color rgb="FF0000FF"/>
      <color rgb="FF00FF00"/>
      <color rgb="FF0563C1"/>
      <color rgb="FFFF99CC"/>
      <color rgb="FF660033"/>
      <color rgb="FFFF0000"/>
      <color rgb="FFFFCC00"/>
      <color rgb="FFFFCCFF"/>
      <color rgb="FFED7D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ADHERENTS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FF99FF">
                  <a:alpha val="85000"/>
                </a:srgb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E0E2-40C9-8EF8-FBCD4D22248E}"/>
              </c:ext>
            </c:extLst>
          </c:dPt>
          <c:dPt>
            <c:idx val="2"/>
            <c:invertIfNegative val="0"/>
            <c:bubble3D val="0"/>
            <c:spPr>
              <a:solidFill>
                <a:srgbClr val="C00000">
                  <a:alpha val="85000"/>
                </a:srgb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4-E0E2-40C9-8EF8-FBCD4D22248E}"/>
              </c:ext>
            </c:extLst>
          </c:dPt>
          <c:dLbls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E0E2-40C9-8EF8-FBCD4D22248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TBord!$B$3:$B$5</c:f>
              <c:strCache>
                <c:ptCount val="3"/>
                <c:pt idx="0">
                  <c:v>Hommes</c:v>
                </c:pt>
                <c:pt idx="1">
                  <c:v>Femmes</c:v>
                </c:pt>
                <c:pt idx="2">
                  <c:v>TOTAL</c:v>
                </c:pt>
              </c:strCache>
            </c:strRef>
          </c:cat>
          <c:val>
            <c:numRef>
              <c:f>TBord!$D$3:$D$5</c:f>
              <c:numCache>
                <c:formatCode>General</c:formatCode>
                <c:ptCount val="3"/>
                <c:pt idx="0">
                  <c:v>2</c:v>
                </c:pt>
                <c:pt idx="1">
                  <c:v>1</c:v>
                </c:pt>
                <c:pt idx="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E2-40C9-8EF8-FBCD4D22248E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252598784"/>
        <c:axId val="252598368"/>
      </c:barChart>
      <c:catAx>
        <c:axId val="252598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2598368"/>
        <c:crosses val="autoZero"/>
        <c:auto val="1"/>
        <c:lblAlgn val="ctr"/>
        <c:lblOffset val="100"/>
        <c:noMultiLvlLbl val="0"/>
      </c:catAx>
      <c:valAx>
        <c:axId val="25259836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2525987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EDT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2"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CD9F-42A6-A755-CC828940FE0A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>
                  <a:lumMod val="60000"/>
                  <a:lumOff val="40000"/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4-CD9F-42A6-A755-CC828940FE0A}"/>
              </c:ext>
            </c:extLst>
          </c:dPt>
          <c:dPt>
            <c:idx val="3"/>
            <c:invertIfNegative val="0"/>
            <c:bubble3D val="0"/>
            <c:spPr>
              <a:solidFill>
                <a:srgbClr val="C00000"/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58B4-4822-BBC3-FBBDDBD39B40}"/>
              </c:ext>
            </c:extLst>
          </c:dPt>
          <c:dLbls>
            <c:dLbl>
              <c:idx val="1"/>
              <c:layout>
                <c:manualLayout>
                  <c:x val="0"/>
                  <c:y val="0.1165365196101203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D9F-42A6-A755-CC828940FE0A}"/>
                </c:ext>
              </c:extLst>
            </c:dLbl>
            <c:dLbl>
              <c:idx val="2"/>
              <c:layout>
                <c:manualLayout>
                  <c:x val="6.8079135571306906E-17"/>
                  <c:y val="0.1014846832665538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6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D9F-42A6-A755-CC828940FE0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TBord!$D$15:$D$18</c:f>
              <c:strCache>
                <c:ptCount val="4"/>
                <c:pt idx="0">
                  <c:v>EDT 2016 et avant</c:v>
                </c:pt>
                <c:pt idx="1">
                  <c:v>EDT 2017-2018</c:v>
                </c:pt>
                <c:pt idx="2">
                  <c:v>EDT 2019 et 2020</c:v>
                </c:pt>
                <c:pt idx="3">
                  <c:v>TOTAL</c:v>
                </c:pt>
              </c:strCache>
            </c:strRef>
          </c:cat>
          <c:val>
            <c:numRef>
              <c:f>TBord!$E$15:$E$18</c:f>
              <c:numCache>
                <c:formatCode>#,##0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16-477D-AE83-A2A12D228AA6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804985760"/>
        <c:axId val="804988672"/>
      </c:barChart>
      <c:catAx>
        <c:axId val="804985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4988672"/>
        <c:crosses val="autoZero"/>
        <c:auto val="1"/>
        <c:lblAlgn val="ctr"/>
        <c:lblOffset val="100"/>
        <c:noMultiLvlLbl val="0"/>
      </c:catAx>
      <c:valAx>
        <c:axId val="804988672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crossAx val="8049857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EDT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explosion val="3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1748-4C24-863A-09AFF31B853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1748-4C24-863A-09AFF31B853F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1748-4C24-863A-09AFF31B853F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6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ctr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4-1748-4C24-863A-09AFF31B853F}"/>
                </c:ext>
              </c:extLst>
            </c:dLbl>
            <c:dLbl>
              <c:idx val="1"/>
              <c:layout>
                <c:manualLayout>
                  <c:x val="0.11804446724516314"/>
                  <c:y val="1.8303129063518846E-3"/>
                </c:manualLayout>
              </c:layout>
              <c:spPr>
                <a:noFill/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6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748-4C24-863A-09AFF31B853F}"/>
                </c:ext>
              </c:extLst>
            </c:dLbl>
            <c:dLbl>
              <c:idx val="2"/>
              <c:layout>
                <c:manualLayout>
                  <c:x val="8.0809965800459752E-2"/>
                  <c:y val="0.15523848803469797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6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6CA8956B-8C0D-4A89-A6ED-6930F2E6F0BA}" type="PERCENTAGE">
                      <a:rPr lang="en-US">
                        <a:solidFill>
                          <a:sysClr val="windowText" lastClr="000000"/>
                        </a:solidFill>
                      </a:rPr>
                      <a:pPr>
                        <a:defRPr sz="1600"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6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1748-4C24-863A-09AFF31B853F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TBord!$D$15:$D$18</c15:sqref>
                  </c15:fullRef>
                </c:ext>
              </c:extLst>
              <c:f>TBord!$D$15:$D$17</c:f>
              <c:strCache>
                <c:ptCount val="3"/>
                <c:pt idx="0">
                  <c:v>EDT 2016 et avant</c:v>
                </c:pt>
                <c:pt idx="1">
                  <c:v>EDT 2017-2018</c:v>
                </c:pt>
                <c:pt idx="2">
                  <c:v>EDT 2019 et 2020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TBord!$E$15:$E$18</c15:sqref>
                  </c15:fullRef>
                </c:ext>
              </c:extLst>
              <c:f>TBord!$E$15:$E$17</c:f>
              <c:numCache>
                <c:formatCode>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0-1748-4C24-863A-09AFF31B853F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LICENCIES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Pt>
            <c:idx val="3"/>
            <c:invertIfNegative val="0"/>
            <c:bubble3D val="0"/>
            <c:spPr>
              <a:solidFill>
                <a:schemeClr val="accent5">
                  <a:lumMod val="60000"/>
                  <a:lumOff val="40000"/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7-34A2-4F1F-9593-6F172CE5A53B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2D45-47C1-883B-D618107E595A}"/>
              </c:ext>
            </c:extLst>
          </c:dPt>
          <c:dPt>
            <c:idx val="7"/>
            <c:invertIfNegative val="0"/>
            <c:bubble3D val="0"/>
            <c:spPr>
              <a:solidFill>
                <a:srgbClr val="C00000">
                  <a:alpha val="85000"/>
                </a:srgb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6-70B2-4951-A5AE-86136AEC1678}"/>
              </c:ext>
            </c:extLst>
          </c:dPt>
          <c:dLbls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600" b="1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70B2-4951-A5AE-86136AEC167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TBord!$L$2:$L$9</c:f>
              <c:strCache>
                <c:ptCount val="8"/>
                <c:pt idx="0">
                  <c:v>HONORAIRES</c:v>
                </c:pt>
                <c:pt idx="1">
                  <c:v>JEUNES 2019 et 2020</c:v>
                </c:pt>
                <c:pt idx="2">
                  <c:v>JEUNES 2017-2018</c:v>
                </c:pt>
                <c:pt idx="3">
                  <c:v>JEUNES 2016 et avant</c:v>
                </c:pt>
                <c:pt idx="4">
                  <c:v>ETUDIANTS</c:v>
                </c:pt>
                <c:pt idx="5">
                  <c:v>ADULTES</c:v>
                </c:pt>
                <c:pt idx="7">
                  <c:v>TOT ADHERENTS</c:v>
                </c:pt>
              </c:strCache>
            </c:strRef>
          </c:cat>
          <c:val>
            <c:numRef>
              <c:f>TBord!$M$2:$M$9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 formatCode="#,##0">
                  <c:v>0</c:v>
                </c:pt>
                <c:pt idx="4">
                  <c:v>1</c:v>
                </c:pt>
                <c:pt idx="5" formatCode="#,##0">
                  <c:v>2</c:v>
                </c:pt>
                <c:pt idx="7" formatCode="#,##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3C-4637-949A-64D40DAF5CDF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808003872"/>
        <c:axId val="808001376"/>
      </c:barChart>
      <c:catAx>
        <c:axId val="808003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8001376"/>
        <c:crosses val="autoZero"/>
        <c:auto val="1"/>
        <c:lblAlgn val="ctr"/>
        <c:lblOffset val="100"/>
        <c:noMultiLvlLbl val="0"/>
      </c:catAx>
      <c:valAx>
        <c:axId val="808001376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808003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ADHERENTS</a:t>
            </a:r>
          </a:p>
        </c:rich>
      </c:tx>
      <c:layout>
        <c:manualLayout>
          <c:xMode val="edge"/>
          <c:yMode val="edge"/>
          <c:x val="0.18270237406764833"/>
          <c:y val="3.7684661198363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E313-4CA2-AA3D-F968E7B687B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5F43-4B44-AC36-DEC5F74A030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E1B4-48D2-9312-9DD50259D14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F9AF-460C-B64E-46478D6BF72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D602-4435-A5C6-2E4C548CD88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D602-4435-A5C6-2E4C548CD88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C-E1A4-4F4A-9911-AF25E94514CF}"/>
              </c:ext>
            </c:extLst>
          </c:dPt>
          <c:dLbls>
            <c:dLbl>
              <c:idx val="1"/>
              <c:layout>
                <c:manualLayout>
                  <c:x val="-5.0524489523555316E-2"/>
                  <c:y val="0.1457828363112269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F43-4B44-AC36-DEC5F74A0302}"/>
                </c:ext>
              </c:extLst>
            </c:dLbl>
            <c:dLbl>
              <c:idx val="2"/>
              <c:layout>
                <c:manualLayout>
                  <c:x val="-9.7978854338122992E-2"/>
                  <c:y val="0.1008681460757508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1B4-48D2-9312-9DD50259D14D}"/>
                </c:ext>
              </c:extLst>
            </c:dLbl>
            <c:dLbl>
              <c:idx val="5"/>
              <c:layout>
                <c:manualLayout>
                  <c:x val="0.16981169590643275"/>
                  <c:y val="6.4617094017093965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D602-4435-A5C6-2E4C548CD88B}"/>
                </c:ext>
              </c:extLst>
            </c:dLbl>
            <c:spPr>
              <a:noFill/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TBord!$L$2:$L$9</c15:sqref>
                  </c15:fullRef>
                </c:ext>
              </c:extLst>
              <c:f>TBord!$L$2:$L$8</c:f>
              <c:strCache>
                <c:ptCount val="7"/>
                <c:pt idx="0">
                  <c:v>HONORAIRES</c:v>
                </c:pt>
                <c:pt idx="1">
                  <c:v>JEUNES 2019 et 2020</c:v>
                </c:pt>
                <c:pt idx="2">
                  <c:v>JEUNES 2017-2018</c:v>
                </c:pt>
                <c:pt idx="3">
                  <c:v>JEUNES 2016 et avant</c:v>
                </c:pt>
                <c:pt idx="4">
                  <c:v>ETUDIANTS</c:v>
                </c:pt>
                <c:pt idx="5">
                  <c:v>ADULTES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TBord!$M$2:$M$9</c15:sqref>
                  </c15:fullRef>
                </c:ext>
              </c:extLst>
              <c:f>TBord!$M$2:$M$8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 formatCode="#,##0">
                  <c:v>0</c:v>
                </c:pt>
                <c:pt idx="4">
                  <c:v>1</c:v>
                </c:pt>
                <c:pt idx="5" formatCode="#,##0">
                  <c:v>2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TBord!$M$9</c15:sqref>
                  <c15:spPr xmlns:c15="http://schemas.microsoft.com/office/drawing/2012/chart"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0-5F43-4B44-AC36-DEC5F74A0302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3276836158192096"/>
          <c:y val="6.6482694304910869E-2"/>
          <c:w val="0.34463276836158191"/>
          <c:h val="0.8938174265064327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VILLES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C00000">
                  <a:alpha val="85000"/>
                </a:srgb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E71B-4422-B60E-C4EB8E1CEFA7}"/>
              </c:ext>
            </c:extLst>
          </c:dPt>
          <c:dPt>
            <c:idx val="1"/>
            <c:invertIfNegative val="0"/>
            <c:bubble3D val="0"/>
            <c:spPr>
              <a:solidFill>
                <a:srgbClr val="FFFF00"/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F714-4CEB-A3EE-09562A328B9B}"/>
              </c:ext>
            </c:extLst>
          </c:dPt>
          <c:dPt>
            <c:idx val="2"/>
            <c:invertIfNegative val="0"/>
            <c:bubble3D val="0"/>
            <c:spPr>
              <a:solidFill>
                <a:srgbClr val="00B050">
                  <a:alpha val="85000"/>
                </a:srgb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4-E71B-4422-B60E-C4EB8E1CEFA7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9509-40D8-93CA-6C9C71EE7E46}"/>
              </c:ext>
            </c:extLst>
          </c:dPt>
          <c:dLbls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6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F714-4CEB-A3EE-09562A328B9B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6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E71B-4422-B60E-C4EB8E1CEFA7}"/>
                </c:ext>
              </c:extLst>
            </c:dLbl>
            <c:dLbl>
              <c:idx val="3"/>
              <c:layout>
                <c:manualLayout>
                  <c:x val="0"/>
                  <c:y val="3.381470189701896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6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509-40D8-93CA-6C9C71EE7E46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6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D2FF-4F52-8F0E-764CC9FB1A7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TBord!$L$14:$L$18</c:f>
              <c:strCache>
                <c:ptCount val="5"/>
                <c:pt idx="0">
                  <c:v>BORDEAUX</c:v>
                </c:pt>
                <c:pt idx="1">
                  <c:v>TALENCE</c:v>
                </c:pt>
                <c:pt idx="2">
                  <c:v>BEGLES</c:v>
                </c:pt>
                <c:pt idx="3">
                  <c:v>AUTRES</c:v>
                </c:pt>
                <c:pt idx="4">
                  <c:v>PESSAC</c:v>
                </c:pt>
              </c:strCache>
            </c:strRef>
          </c:cat>
          <c:val>
            <c:numRef>
              <c:f>TBord!$M$14:$M$18</c:f>
              <c:numCache>
                <c:formatCode>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714-4CEB-A3EE-09562A328B9B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561960432"/>
        <c:axId val="561956272"/>
      </c:barChart>
      <c:catAx>
        <c:axId val="561960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1956272"/>
        <c:crosses val="autoZero"/>
        <c:auto val="1"/>
        <c:lblAlgn val="ctr"/>
        <c:lblOffset val="100"/>
        <c:noMultiLvlLbl val="0"/>
      </c:catAx>
      <c:valAx>
        <c:axId val="561956272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crossAx val="561960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VILLES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0004-4AE1-8FEB-4B2308FBE28D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0004-4AE1-8FEB-4B2308FBE28D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0004-4AE1-8FEB-4B2308FBE28D}"/>
              </c:ext>
            </c:extLst>
          </c:dPt>
          <c:dPt>
            <c:idx val="3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93D7-4D9B-ABA4-BD816408F61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39B8-4D6E-A7BB-9DB8456A9F02}"/>
              </c:ext>
            </c:extLst>
          </c:dPt>
          <c:dLbls>
            <c:dLbl>
              <c:idx val="1"/>
              <c:numFmt formatCode="General" sourceLinked="0"/>
              <c:spPr>
                <a:noFill/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6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ctr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4-0004-4AE1-8FEB-4B2308FBE28D}"/>
                </c:ext>
              </c:extLst>
            </c:dLbl>
            <c:dLbl>
              <c:idx val="2"/>
              <c:layout>
                <c:manualLayout>
                  <c:x val="8.5430994152046788E-2"/>
                  <c:y val="0.130667344173441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004-4AE1-8FEB-4B2308FBE28D}"/>
                </c:ext>
              </c:extLst>
            </c:dLbl>
            <c:dLbl>
              <c:idx val="3"/>
              <c:layout>
                <c:manualLayout>
                  <c:x val="2.7702339181286551E-2"/>
                  <c:y val="0.1168787262872628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3D7-4D9B-ABA4-BD816408F61E}"/>
                </c:ext>
              </c:extLst>
            </c:dLbl>
            <c:numFmt formatCode="General" sourceLinked="0"/>
            <c:spPr>
              <a:noFill/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TBord!$L$14:$L$18</c:f>
              <c:strCache>
                <c:ptCount val="5"/>
                <c:pt idx="0">
                  <c:v>BORDEAUX</c:v>
                </c:pt>
                <c:pt idx="1">
                  <c:v>TALENCE</c:v>
                </c:pt>
                <c:pt idx="2">
                  <c:v>BEGLES</c:v>
                </c:pt>
                <c:pt idx="3">
                  <c:v>AUTRES</c:v>
                </c:pt>
                <c:pt idx="4">
                  <c:v>PESSAC</c:v>
                </c:pt>
              </c:strCache>
            </c:strRef>
          </c:cat>
          <c:val>
            <c:numRef>
              <c:f>TBord!$M$14:$M$18</c:f>
              <c:numCache>
                <c:formatCode>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04-4AE1-8FEB-4B2308FBE28D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482923976608206"/>
          <c:y val="0.14517389506376011"/>
          <c:w val="0.23301023391812867"/>
          <c:h val="0.833875315424800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TBord!$E$3</c:f>
              <c:numCache>
                <c:formatCode>0.00%</c:formatCode>
                <c:ptCount val="1"/>
                <c:pt idx="0">
                  <c:v>0.66666666666666663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FF-424E-AF3A-DD1AB9678782}"/>
            </c:ext>
          </c:extLst>
        </c:ser>
        <c:ser>
          <c:idx val="1"/>
          <c:order val="1"/>
          <c:spPr>
            <a:solidFill>
              <a:schemeClr val="accent5">
                <a:lumMod val="20000"/>
                <a:lumOff val="80000"/>
              </a:schemeClr>
            </a:solidFill>
            <a:ln w="25400">
              <a:solidFill>
                <a:schemeClr val="bg1"/>
              </a:solidFill>
            </a:ln>
            <a:effectLst/>
          </c:spPr>
          <c:invertIfNegative val="0"/>
          <c:val>
            <c:numRef>
              <c:f>TBord!$F$3</c:f>
              <c:numCache>
                <c:formatCode>0.00%</c:formatCode>
                <c:ptCount val="1"/>
                <c:pt idx="0">
                  <c:v>0.33333333333333337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FF-424E-AF3A-DD1AB96787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"/>
        <c:overlap val="100"/>
        <c:axId val="2005602416"/>
        <c:axId val="2005602832"/>
      </c:barChart>
      <c:catAx>
        <c:axId val="200560241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005602832"/>
        <c:crosses val="autoZero"/>
        <c:auto val="1"/>
        <c:lblAlgn val="ctr"/>
        <c:lblOffset val="100"/>
        <c:noMultiLvlLbl val="0"/>
      </c:catAx>
      <c:valAx>
        <c:axId val="2005602832"/>
        <c:scaling>
          <c:orientation val="minMax"/>
        </c:scaling>
        <c:delete val="1"/>
        <c:axPos val="l"/>
        <c:numFmt formatCode="0.00%" sourceLinked="1"/>
        <c:majorTickMark val="none"/>
        <c:minorTickMark val="none"/>
        <c:tickLblPos val="nextTo"/>
        <c:crossAx val="2005602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rgbClr val="FF99CC"/>
            </a:solidFill>
            <a:ln>
              <a:noFill/>
            </a:ln>
            <a:effectLst/>
          </c:spPr>
          <c:invertIfNegative val="0"/>
          <c:val>
            <c:numRef>
              <c:f>TBord!$E$4</c:f>
              <c:numCache>
                <c:formatCode>0.00%</c:formatCode>
                <c:ptCount val="1"/>
                <c:pt idx="0">
                  <c:v>0.33333333333333331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FF-424E-AF3A-DD1AB9678782}"/>
            </c:ext>
          </c:extLst>
        </c:ser>
        <c:ser>
          <c:idx val="1"/>
          <c:order val="1"/>
          <c:spPr>
            <a:solidFill>
              <a:srgbClr val="FFCCFF"/>
            </a:solidFill>
            <a:ln w="25400">
              <a:solidFill>
                <a:schemeClr val="bg1"/>
              </a:solidFill>
            </a:ln>
            <a:effectLst/>
          </c:spPr>
          <c:invertIfNegative val="0"/>
          <c:val>
            <c:numRef>
              <c:f>TBord!$F$4</c:f>
              <c:numCache>
                <c:formatCode>0.00%</c:formatCode>
                <c:ptCount val="1"/>
                <c:pt idx="0">
                  <c:v>0.66666666666666674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FF-424E-AF3A-DD1AB96787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2005602416"/>
        <c:axId val="2005602832"/>
      </c:barChart>
      <c:catAx>
        <c:axId val="200560241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005602832"/>
        <c:crosses val="autoZero"/>
        <c:auto val="1"/>
        <c:lblAlgn val="ctr"/>
        <c:lblOffset val="100"/>
        <c:noMultiLvlLbl val="0"/>
      </c:catAx>
      <c:valAx>
        <c:axId val="2005602832"/>
        <c:scaling>
          <c:orientation val="minMax"/>
        </c:scaling>
        <c:delete val="1"/>
        <c:axPos val="l"/>
        <c:numFmt formatCode="0.00%" sourceLinked="1"/>
        <c:majorTickMark val="none"/>
        <c:minorTickMark val="none"/>
        <c:tickLblPos val="nextTo"/>
        <c:crossAx val="2005602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/>
              <a:t>Adhérents -18 ans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'Pyramide des âges'!$C$2</c:f>
              <c:strCache>
                <c:ptCount val="1"/>
                <c:pt idx="0">
                  <c:v>Homme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14"/>
              <c:pt idx="0">
                <c:v>4</c:v>
              </c:pt>
              <c:pt idx="1">
                <c:v>5</c:v>
              </c:pt>
              <c:pt idx="2">
                <c:v>6</c:v>
              </c:pt>
              <c:pt idx="3">
                <c:v>7</c:v>
              </c:pt>
              <c:pt idx="4">
                <c:v>8</c:v>
              </c:pt>
              <c:pt idx="5">
                <c:v>9</c:v>
              </c:pt>
              <c:pt idx="6">
                <c:v>10</c:v>
              </c:pt>
              <c:pt idx="7">
                <c:v>11</c:v>
              </c:pt>
              <c:pt idx="8">
                <c:v>12</c:v>
              </c:pt>
              <c:pt idx="9">
                <c:v>13</c:v>
              </c:pt>
              <c:pt idx="10">
                <c:v>14</c:v>
              </c:pt>
              <c:pt idx="11">
                <c:v>15</c:v>
              </c:pt>
              <c:pt idx="12">
                <c:v>16</c:v>
              </c:pt>
              <c:pt idx="13">
                <c:v>17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'Pyramide des âges'!$C$3:$C$102</c15:sqref>
                  </c15:fullRef>
                </c:ext>
              </c:extLst>
              <c:f>'Pyramide des âges'!$C$6:$C$19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E8-4A7C-9471-A76A7C5EF660}"/>
            </c:ext>
          </c:extLst>
        </c:ser>
        <c:ser>
          <c:idx val="1"/>
          <c:order val="1"/>
          <c:tx>
            <c:strRef>
              <c:f>'Pyramide des âges'!$D$2</c:f>
              <c:strCache>
                <c:ptCount val="1"/>
                <c:pt idx="0">
                  <c:v>Femme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Lbl>
              <c:idx val="0"/>
              <c:layout>
                <c:manualLayout>
                  <c:x val="-1.7236072637734776E-2"/>
                  <c:y val="-1.3609078284796173E-16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44F-461A-A3EA-2E4A9D7951C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14"/>
              <c:pt idx="0">
                <c:v>4</c:v>
              </c:pt>
              <c:pt idx="1">
                <c:v>5</c:v>
              </c:pt>
              <c:pt idx="2">
                <c:v>6</c:v>
              </c:pt>
              <c:pt idx="3">
                <c:v>7</c:v>
              </c:pt>
              <c:pt idx="4">
                <c:v>8</c:v>
              </c:pt>
              <c:pt idx="5">
                <c:v>9</c:v>
              </c:pt>
              <c:pt idx="6">
                <c:v>10</c:v>
              </c:pt>
              <c:pt idx="7">
                <c:v>11</c:v>
              </c:pt>
              <c:pt idx="8">
                <c:v>12</c:v>
              </c:pt>
              <c:pt idx="9">
                <c:v>13</c:v>
              </c:pt>
              <c:pt idx="10">
                <c:v>14</c:v>
              </c:pt>
              <c:pt idx="11">
                <c:v>15</c:v>
              </c:pt>
              <c:pt idx="12">
                <c:v>16</c:v>
              </c:pt>
              <c:pt idx="13">
                <c:v>17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'Pyramide des âges'!$D$3:$D$102</c15:sqref>
                  </c15:fullRef>
                </c:ext>
              </c:extLst>
              <c:f>'Pyramide des âges'!$D$6:$D$19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3E8-4A7C-9471-A76A7C5EF660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0"/>
        <c:overlap val="100"/>
        <c:axId val="1934545551"/>
        <c:axId val="1934545967"/>
      </c:barChart>
      <c:catAx>
        <c:axId val="1934545551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34545967"/>
        <c:crosses val="autoZero"/>
        <c:auto val="1"/>
        <c:lblAlgn val="ctr"/>
        <c:lblOffset val="100"/>
        <c:noMultiLvlLbl val="0"/>
      </c:catAx>
      <c:valAx>
        <c:axId val="1934545967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345455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Adhérents 18-34 ans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'Pyramide des âges'!$C$2</c:f>
              <c:strCache>
                <c:ptCount val="1"/>
                <c:pt idx="0">
                  <c:v>Homme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17"/>
              <c:pt idx="0">
                <c:v>18</c:v>
              </c:pt>
              <c:pt idx="1">
                <c:v>19</c:v>
              </c:pt>
              <c:pt idx="2">
                <c:v>20</c:v>
              </c:pt>
              <c:pt idx="3">
                <c:v>21</c:v>
              </c:pt>
              <c:pt idx="4">
                <c:v>22</c:v>
              </c:pt>
              <c:pt idx="5">
                <c:v>23</c:v>
              </c:pt>
              <c:pt idx="6">
                <c:v>24</c:v>
              </c:pt>
              <c:pt idx="7">
                <c:v>25</c:v>
              </c:pt>
              <c:pt idx="8">
                <c:v>26</c:v>
              </c:pt>
              <c:pt idx="9">
                <c:v>27</c:v>
              </c:pt>
              <c:pt idx="10">
                <c:v>28</c:v>
              </c:pt>
              <c:pt idx="11">
                <c:v>29</c:v>
              </c:pt>
              <c:pt idx="12">
                <c:v>30</c:v>
              </c:pt>
              <c:pt idx="13">
                <c:v>31</c:v>
              </c:pt>
              <c:pt idx="14">
                <c:v>32</c:v>
              </c:pt>
              <c:pt idx="15">
                <c:v>33</c:v>
              </c:pt>
              <c:pt idx="16">
                <c:v>34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'Pyramide des âges'!$C$3:$C$36</c15:sqref>
                  </c15:fullRef>
                </c:ext>
              </c:extLst>
              <c:f>'Pyramide des âges'!$C$20:$C$36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79-4D5A-AD95-5960C142D923}"/>
            </c:ext>
          </c:extLst>
        </c:ser>
        <c:ser>
          <c:idx val="1"/>
          <c:order val="1"/>
          <c:tx>
            <c:strRef>
              <c:f>'Pyramide des âges'!$D$2</c:f>
              <c:strCache>
                <c:ptCount val="1"/>
                <c:pt idx="0">
                  <c:v>Femme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17"/>
              <c:pt idx="0">
                <c:v>18</c:v>
              </c:pt>
              <c:pt idx="1">
                <c:v>19</c:v>
              </c:pt>
              <c:pt idx="2">
                <c:v>20</c:v>
              </c:pt>
              <c:pt idx="3">
                <c:v>21</c:v>
              </c:pt>
              <c:pt idx="4">
                <c:v>22</c:v>
              </c:pt>
              <c:pt idx="5">
                <c:v>23</c:v>
              </c:pt>
              <c:pt idx="6">
                <c:v>24</c:v>
              </c:pt>
              <c:pt idx="7">
                <c:v>25</c:v>
              </c:pt>
              <c:pt idx="8">
                <c:v>26</c:v>
              </c:pt>
              <c:pt idx="9">
                <c:v>27</c:v>
              </c:pt>
              <c:pt idx="10">
                <c:v>28</c:v>
              </c:pt>
              <c:pt idx="11">
                <c:v>29</c:v>
              </c:pt>
              <c:pt idx="12">
                <c:v>30</c:v>
              </c:pt>
              <c:pt idx="13">
                <c:v>31</c:v>
              </c:pt>
              <c:pt idx="14">
                <c:v>32</c:v>
              </c:pt>
              <c:pt idx="15">
                <c:v>33</c:v>
              </c:pt>
              <c:pt idx="16">
                <c:v>34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'Pyramide des âges'!$D$3:$D$36</c15:sqref>
                  </c15:fullRef>
                </c:ext>
              </c:extLst>
              <c:f>'Pyramide des âges'!$D$20:$D$36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-1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379-4D5A-AD95-5960C142D923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0"/>
        <c:overlap val="100"/>
        <c:axId val="2073238639"/>
        <c:axId val="2073238223"/>
      </c:barChart>
      <c:catAx>
        <c:axId val="2073238639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73238223"/>
        <c:crosses val="autoZero"/>
        <c:auto val="1"/>
        <c:lblAlgn val="ctr"/>
        <c:lblOffset val="100"/>
        <c:noMultiLvlLbl val="0"/>
      </c:catAx>
      <c:valAx>
        <c:axId val="2073238223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732386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/>
              <a:t>Adhérents 35-44 ans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'Pyramide des âges'!$C$2</c:f>
              <c:strCache>
                <c:ptCount val="1"/>
                <c:pt idx="0">
                  <c:v>Homme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10"/>
              <c:pt idx="0">
                <c:v>35</c:v>
              </c:pt>
              <c:pt idx="1">
                <c:v>36</c:v>
              </c:pt>
              <c:pt idx="2">
                <c:v>37</c:v>
              </c:pt>
              <c:pt idx="3">
                <c:v>38</c:v>
              </c:pt>
              <c:pt idx="4">
                <c:v>39</c:v>
              </c:pt>
              <c:pt idx="5">
                <c:v>40</c:v>
              </c:pt>
              <c:pt idx="6">
                <c:v>41</c:v>
              </c:pt>
              <c:pt idx="7">
                <c:v>42</c:v>
              </c:pt>
              <c:pt idx="8">
                <c:v>43</c:v>
              </c:pt>
              <c:pt idx="9">
                <c:v>44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'Pyramide des âges'!$C$3:$C$102</c15:sqref>
                  </c15:fullRef>
                </c:ext>
              </c:extLst>
              <c:f>'Pyramide des âges'!$C$37:$C$46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ED-4F36-8C17-8FD5CAD39FA1}"/>
            </c:ext>
          </c:extLst>
        </c:ser>
        <c:ser>
          <c:idx val="1"/>
          <c:order val="1"/>
          <c:tx>
            <c:strRef>
              <c:f>'Pyramide des âges'!$D$2</c:f>
              <c:strCache>
                <c:ptCount val="1"/>
                <c:pt idx="0">
                  <c:v>Femme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10"/>
              <c:pt idx="0">
                <c:v>35</c:v>
              </c:pt>
              <c:pt idx="1">
                <c:v>36</c:v>
              </c:pt>
              <c:pt idx="2">
                <c:v>37</c:v>
              </c:pt>
              <c:pt idx="3">
                <c:v>38</c:v>
              </c:pt>
              <c:pt idx="4">
                <c:v>39</c:v>
              </c:pt>
              <c:pt idx="5">
                <c:v>40</c:v>
              </c:pt>
              <c:pt idx="6">
                <c:v>41</c:v>
              </c:pt>
              <c:pt idx="7">
                <c:v>42</c:v>
              </c:pt>
              <c:pt idx="8">
                <c:v>43</c:v>
              </c:pt>
              <c:pt idx="9">
                <c:v>44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'Pyramide des âges'!$D$3:$D$102</c15:sqref>
                  </c15:fullRef>
                </c:ext>
              </c:extLst>
              <c:f>'Pyramide des âges'!$D$37:$D$46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7ED-4F36-8C17-8FD5CAD39FA1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0"/>
        <c:overlap val="100"/>
        <c:axId val="1934545551"/>
        <c:axId val="1934545967"/>
      </c:barChart>
      <c:catAx>
        <c:axId val="1934545551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34545967"/>
        <c:crosses val="autoZero"/>
        <c:auto val="1"/>
        <c:lblAlgn val="ctr"/>
        <c:lblOffset val="100"/>
        <c:noMultiLvlLbl val="0"/>
      </c:catAx>
      <c:valAx>
        <c:axId val="1934545967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345455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Adhérents 45-54 ans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'Pyramide des âges'!$C$2</c:f>
              <c:strCache>
                <c:ptCount val="1"/>
                <c:pt idx="0">
                  <c:v>Homme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10"/>
              <c:pt idx="0">
                <c:v>45</c:v>
              </c:pt>
              <c:pt idx="1">
                <c:v>46</c:v>
              </c:pt>
              <c:pt idx="2">
                <c:v>47</c:v>
              </c:pt>
              <c:pt idx="3">
                <c:v>48</c:v>
              </c:pt>
              <c:pt idx="4">
                <c:v>49</c:v>
              </c:pt>
              <c:pt idx="5">
                <c:v>50</c:v>
              </c:pt>
              <c:pt idx="6">
                <c:v>51</c:v>
              </c:pt>
              <c:pt idx="7">
                <c:v>52</c:v>
              </c:pt>
              <c:pt idx="8">
                <c:v>53</c:v>
              </c:pt>
              <c:pt idx="9">
                <c:v>54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'Pyramide des âges'!$C$3:$C$102</c15:sqref>
                  </c15:fullRef>
                </c:ext>
              </c:extLst>
              <c:f>'Pyramide des âges'!$C$47:$C$56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CC-4BC8-AB27-46A6A2AA6090}"/>
            </c:ext>
          </c:extLst>
        </c:ser>
        <c:ser>
          <c:idx val="1"/>
          <c:order val="1"/>
          <c:tx>
            <c:strRef>
              <c:f>'Pyramide des âges'!$D$2</c:f>
              <c:strCache>
                <c:ptCount val="1"/>
                <c:pt idx="0">
                  <c:v>Femme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10"/>
              <c:pt idx="0">
                <c:v>45</c:v>
              </c:pt>
              <c:pt idx="1">
                <c:v>46</c:v>
              </c:pt>
              <c:pt idx="2">
                <c:v>47</c:v>
              </c:pt>
              <c:pt idx="3">
                <c:v>48</c:v>
              </c:pt>
              <c:pt idx="4">
                <c:v>49</c:v>
              </c:pt>
              <c:pt idx="5">
                <c:v>50</c:v>
              </c:pt>
              <c:pt idx="6">
                <c:v>51</c:v>
              </c:pt>
              <c:pt idx="7">
                <c:v>52</c:v>
              </c:pt>
              <c:pt idx="8">
                <c:v>53</c:v>
              </c:pt>
              <c:pt idx="9">
                <c:v>54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'Pyramide des âges'!$D$3:$D$102</c15:sqref>
                  </c15:fullRef>
                </c:ext>
              </c:extLst>
              <c:f>'Pyramide des âges'!$D$47:$D$56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FCC-4BC8-AB27-46A6A2AA6090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0"/>
        <c:overlap val="100"/>
        <c:axId val="1934545551"/>
        <c:axId val="1934545967"/>
      </c:barChart>
      <c:catAx>
        <c:axId val="1934545551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34545967"/>
        <c:crosses val="autoZero"/>
        <c:auto val="1"/>
        <c:lblAlgn val="ctr"/>
        <c:lblOffset val="100"/>
        <c:noMultiLvlLbl val="0"/>
      </c:catAx>
      <c:valAx>
        <c:axId val="1934545967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345455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/>
              <a:t>Adhérents 55-64 ans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'Pyramide des âges'!$C$2</c:f>
              <c:strCache>
                <c:ptCount val="1"/>
                <c:pt idx="0">
                  <c:v>Homme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10"/>
              <c:pt idx="0">
                <c:v>55</c:v>
              </c:pt>
              <c:pt idx="1">
                <c:v>56</c:v>
              </c:pt>
              <c:pt idx="2">
                <c:v>57</c:v>
              </c:pt>
              <c:pt idx="3">
                <c:v>58</c:v>
              </c:pt>
              <c:pt idx="4">
                <c:v>59</c:v>
              </c:pt>
              <c:pt idx="5">
                <c:v>60</c:v>
              </c:pt>
              <c:pt idx="6">
                <c:v>61</c:v>
              </c:pt>
              <c:pt idx="7">
                <c:v>62</c:v>
              </c:pt>
              <c:pt idx="8">
                <c:v>63</c:v>
              </c:pt>
              <c:pt idx="9">
                <c:v>64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'Pyramide des âges'!$C$3:$C$102</c15:sqref>
                  </c15:fullRef>
                </c:ext>
              </c:extLst>
              <c:f>'Pyramide des âges'!$C$57:$C$66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0F-4437-AF86-746EE9B6A16F}"/>
            </c:ext>
          </c:extLst>
        </c:ser>
        <c:ser>
          <c:idx val="1"/>
          <c:order val="1"/>
          <c:tx>
            <c:strRef>
              <c:f>'Pyramide des âges'!$D$2</c:f>
              <c:strCache>
                <c:ptCount val="1"/>
                <c:pt idx="0">
                  <c:v>Femme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10"/>
              <c:pt idx="0">
                <c:v>55</c:v>
              </c:pt>
              <c:pt idx="1">
                <c:v>56</c:v>
              </c:pt>
              <c:pt idx="2">
                <c:v>57</c:v>
              </c:pt>
              <c:pt idx="3">
                <c:v>58</c:v>
              </c:pt>
              <c:pt idx="4">
                <c:v>59</c:v>
              </c:pt>
              <c:pt idx="5">
                <c:v>60</c:v>
              </c:pt>
              <c:pt idx="6">
                <c:v>61</c:v>
              </c:pt>
              <c:pt idx="7">
                <c:v>62</c:v>
              </c:pt>
              <c:pt idx="8">
                <c:v>63</c:v>
              </c:pt>
              <c:pt idx="9">
                <c:v>64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'Pyramide des âges'!$D$3:$D$102</c15:sqref>
                  </c15:fullRef>
                </c:ext>
              </c:extLst>
              <c:f>'Pyramide des âges'!$D$57:$D$66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E0F-4437-AF86-746EE9B6A16F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0"/>
        <c:overlap val="100"/>
        <c:axId val="1934545551"/>
        <c:axId val="1934545967"/>
      </c:barChart>
      <c:catAx>
        <c:axId val="1934545551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34545967"/>
        <c:crosses val="autoZero"/>
        <c:auto val="1"/>
        <c:lblAlgn val="ctr"/>
        <c:lblOffset val="100"/>
        <c:noMultiLvlLbl val="0"/>
      </c:catAx>
      <c:valAx>
        <c:axId val="1934545967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345455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/>
              <a:t>Adhérents + 65 ans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'Pyramide des âges'!$C$2</c:f>
              <c:strCache>
                <c:ptCount val="1"/>
                <c:pt idx="0">
                  <c:v>Homme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36"/>
              <c:pt idx="0">
                <c:v>65</c:v>
              </c:pt>
              <c:pt idx="1">
                <c:v>66</c:v>
              </c:pt>
              <c:pt idx="2">
                <c:v>67</c:v>
              </c:pt>
              <c:pt idx="3">
                <c:v>68</c:v>
              </c:pt>
              <c:pt idx="4">
                <c:v>69</c:v>
              </c:pt>
              <c:pt idx="5">
                <c:v>70</c:v>
              </c:pt>
              <c:pt idx="6">
                <c:v>71</c:v>
              </c:pt>
              <c:pt idx="7">
                <c:v>72</c:v>
              </c:pt>
              <c:pt idx="8">
                <c:v>73</c:v>
              </c:pt>
              <c:pt idx="9">
                <c:v>74</c:v>
              </c:pt>
              <c:pt idx="10">
                <c:v>75</c:v>
              </c:pt>
              <c:pt idx="11">
                <c:v>76</c:v>
              </c:pt>
              <c:pt idx="12">
                <c:v>77</c:v>
              </c:pt>
              <c:pt idx="13">
                <c:v>78</c:v>
              </c:pt>
              <c:pt idx="14">
                <c:v>79</c:v>
              </c:pt>
              <c:pt idx="15">
                <c:v>80</c:v>
              </c:pt>
              <c:pt idx="16">
                <c:v>81</c:v>
              </c:pt>
              <c:pt idx="17">
                <c:v>82</c:v>
              </c:pt>
              <c:pt idx="18">
                <c:v>83</c:v>
              </c:pt>
              <c:pt idx="19">
                <c:v>84</c:v>
              </c:pt>
              <c:pt idx="20">
                <c:v>85</c:v>
              </c:pt>
              <c:pt idx="21">
                <c:v>86</c:v>
              </c:pt>
              <c:pt idx="22">
                <c:v>87</c:v>
              </c:pt>
              <c:pt idx="23">
                <c:v>88</c:v>
              </c:pt>
              <c:pt idx="24">
                <c:v>89</c:v>
              </c:pt>
              <c:pt idx="25">
                <c:v>90</c:v>
              </c:pt>
              <c:pt idx="26">
                <c:v>91</c:v>
              </c:pt>
              <c:pt idx="27">
                <c:v>92</c:v>
              </c:pt>
              <c:pt idx="28">
                <c:v>93</c:v>
              </c:pt>
              <c:pt idx="29">
                <c:v>94</c:v>
              </c:pt>
              <c:pt idx="30">
                <c:v>95</c:v>
              </c:pt>
              <c:pt idx="31">
                <c:v>96</c:v>
              </c:pt>
              <c:pt idx="32">
                <c:v>97</c:v>
              </c:pt>
              <c:pt idx="33">
                <c:v>98</c:v>
              </c:pt>
              <c:pt idx="34">
                <c:v>99</c:v>
              </c:pt>
              <c:pt idx="35">
                <c:v>100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'Pyramide des âges'!$C$3:$C$102</c15:sqref>
                  </c15:fullRef>
                </c:ext>
              </c:extLst>
              <c:f>'Pyramide des âges'!$C$67:$C$102</c:f>
              <c:numCache>
                <c:formatCode>General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94-4936-87CF-46E0752B0239}"/>
            </c:ext>
          </c:extLst>
        </c:ser>
        <c:ser>
          <c:idx val="1"/>
          <c:order val="1"/>
          <c:tx>
            <c:strRef>
              <c:f>'Pyramide des âges'!$D$2</c:f>
              <c:strCache>
                <c:ptCount val="1"/>
                <c:pt idx="0">
                  <c:v>Femme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36"/>
              <c:pt idx="0">
                <c:v>65</c:v>
              </c:pt>
              <c:pt idx="1">
                <c:v>66</c:v>
              </c:pt>
              <c:pt idx="2">
                <c:v>67</c:v>
              </c:pt>
              <c:pt idx="3">
                <c:v>68</c:v>
              </c:pt>
              <c:pt idx="4">
                <c:v>69</c:v>
              </c:pt>
              <c:pt idx="5">
                <c:v>70</c:v>
              </c:pt>
              <c:pt idx="6">
                <c:v>71</c:v>
              </c:pt>
              <c:pt idx="7">
                <c:v>72</c:v>
              </c:pt>
              <c:pt idx="8">
                <c:v>73</c:v>
              </c:pt>
              <c:pt idx="9">
                <c:v>74</c:v>
              </c:pt>
              <c:pt idx="10">
                <c:v>75</c:v>
              </c:pt>
              <c:pt idx="11">
                <c:v>76</c:v>
              </c:pt>
              <c:pt idx="12">
                <c:v>77</c:v>
              </c:pt>
              <c:pt idx="13">
                <c:v>78</c:v>
              </c:pt>
              <c:pt idx="14">
                <c:v>79</c:v>
              </c:pt>
              <c:pt idx="15">
                <c:v>80</c:v>
              </c:pt>
              <c:pt idx="16">
                <c:v>81</c:v>
              </c:pt>
              <c:pt idx="17">
                <c:v>82</c:v>
              </c:pt>
              <c:pt idx="18">
                <c:v>83</c:v>
              </c:pt>
              <c:pt idx="19">
                <c:v>84</c:v>
              </c:pt>
              <c:pt idx="20">
                <c:v>85</c:v>
              </c:pt>
              <c:pt idx="21">
                <c:v>86</c:v>
              </c:pt>
              <c:pt idx="22">
                <c:v>87</c:v>
              </c:pt>
              <c:pt idx="23">
                <c:v>88</c:v>
              </c:pt>
              <c:pt idx="24">
                <c:v>89</c:v>
              </c:pt>
              <c:pt idx="25">
                <c:v>90</c:v>
              </c:pt>
              <c:pt idx="26">
                <c:v>91</c:v>
              </c:pt>
              <c:pt idx="27">
                <c:v>92</c:v>
              </c:pt>
              <c:pt idx="28">
                <c:v>93</c:v>
              </c:pt>
              <c:pt idx="29">
                <c:v>94</c:v>
              </c:pt>
              <c:pt idx="30">
                <c:v>95</c:v>
              </c:pt>
              <c:pt idx="31">
                <c:v>96</c:v>
              </c:pt>
              <c:pt idx="32">
                <c:v>97</c:v>
              </c:pt>
              <c:pt idx="33">
                <c:v>98</c:v>
              </c:pt>
              <c:pt idx="34">
                <c:v>99</c:v>
              </c:pt>
              <c:pt idx="35">
                <c:v>100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'Pyramide des âges'!$D$3:$D$102</c15:sqref>
                  </c15:fullRef>
                </c:ext>
              </c:extLst>
              <c:f>'Pyramide des âges'!$D$67:$D$102</c:f>
              <c:numCache>
                <c:formatCode>General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394-4936-87CF-46E0752B0239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0"/>
        <c:overlap val="100"/>
        <c:axId val="1934545551"/>
        <c:axId val="1934545967"/>
      </c:barChart>
      <c:catAx>
        <c:axId val="1934545551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34545967"/>
        <c:crosses val="autoZero"/>
        <c:auto val="1"/>
        <c:lblAlgn val="ctr"/>
        <c:lblOffset val="100"/>
        <c:noMultiLvlLbl val="0"/>
      </c:catAx>
      <c:valAx>
        <c:axId val="1934545967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345455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000"/>
              <a:t>Pyramide des Classements</a:t>
            </a:r>
          </a:p>
        </c:rich>
      </c:tx>
      <c:layout>
        <c:manualLayout>
          <c:xMode val="edge"/>
          <c:yMode val="edge"/>
          <c:x val="0.39989026087086504"/>
          <c:y val="1.72320976992096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9.4820621649097988E-3"/>
          <c:y val="9.8954982112384474E-2"/>
          <c:w val="0.97033138898874749"/>
          <c:h val="0.8062740919761267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'Pyramide des Classements'!$B$1</c:f>
              <c:strCache>
                <c:ptCount val="1"/>
                <c:pt idx="0">
                  <c:v>H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'Pyramide des Classements'!$A$2:$A$19</c:f>
              <c:strCache>
                <c:ptCount val="18"/>
                <c:pt idx="0">
                  <c:v>1/6</c:v>
                </c:pt>
                <c:pt idx="1">
                  <c:v>2/6</c:v>
                </c:pt>
                <c:pt idx="2">
                  <c:v>3/6</c:v>
                </c:pt>
                <c:pt idx="3">
                  <c:v>4/6</c:v>
                </c:pt>
                <c:pt idx="4">
                  <c:v>5/6</c:v>
                </c:pt>
                <c:pt idx="5">
                  <c:v>15</c:v>
                </c:pt>
                <c:pt idx="6">
                  <c:v>15/1</c:v>
                </c:pt>
                <c:pt idx="7">
                  <c:v>15/2</c:v>
                </c:pt>
                <c:pt idx="8">
                  <c:v>15/3</c:v>
                </c:pt>
                <c:pt idx="9">
                  <c:v>15/4</c:v>
                </c:pt>
                <c:pt idx="10">
                  <c:v>15/5</c:v>
                </c:pt>
                <c:pt idx="11">
                  <c:v>30</c:v>
                </c:pt>
                <c:pt idx="12">
                  <c:v>30/1</c:v>
                </c:pt>
                <c:pt idx="13">
                  <c:v>30/2</c:v>
                </c:pt>
                <c:pt idx="14">
                  <c:v>30/3</c:v>
                </c:pt>
                <c:pt idx="15">
                  <c:v>30/4</c:v>
                </c:pt>
                <c:pt idx="16">
                  <c:v>30/5</c:v>
                </c:pt>
                <c:pt idx="17">
                  <c:v>40</c:v>
                </c:pt>
              </c:strCache>
            </c:strRef>
          </c:cat>
          <c:val>
            <c:numRef>
              <c:f>'Pyramide des Classements'!$B$2:$B$19</c:f>
              <c:numCache>
                <c:formatCode>0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0-41E6-4489-800D-D469C0D9F022}"/>
            </c:ext>
          </c:extLst>
        </c:ser>
        <c:ser>
          <c:idx val="1"/>
          <c:order val="1"/>
          <c:tx>
            <c:strRef>
              <c:f>'Pyramide des Classements'!$C$1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rgbClr val="FF99CC">
                <a:alpha val="85000"/>
              </a:srgb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solidFill>
                <a:schemeClr val="tx1">
                  <a:alpha val="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'Pyramide des Classements'!$A$2:$A$19</c:f>
              <c:strCache>
                <c:ptCount val="18"/>
                <c:pt idx="0">
                  <c:v>1/6</c:v>
                </c:pt>
                <c:pt idx="1">
                  <c:v>2/6</c:v>
                </c:pt>
                <c:pt idx="2">
                  <c:v>3/6</c:v>
                </c:pt>
                <c:pt idx="3">
                  <c:v>4/6</c:v>
                </c:pt>
                <c:pt idx="4">
                  <c:v>5/6</c:v>
                </c:pt>
                <c:pt idx="5">
                  <c:v>15</c:v>
                </c:pt>
                <c:pt idx="6">
                  <c:v>15/1</c:v>
                </c:pt>
                <c:pt idx="7">
                  <c:v>15/2</c:v>
                </c:pt>
                <c:pt idx="8">
                  <c:v>15/3</c:v>
                </c:pt>
                <c:pt idx="9">
                  <c:v>15/4</c:v>
                </c:pt>
                <c:pt idx="10">
                  <c:v>15/5</c:v>
                </c:pt>
                <c:pt idx="11">
                  <c:v>30</c:v>
                </c:pt>
                <c:pt idx="12">
                  <c:v>30/1</c:v>
                </c:pt>
                <c:pt idx="13">
                  <c:v>30/2</c:v>
                </c:pt>
                <c:pt idx="14">
                  <c:v>30/3</c:v>
                </c:pt>
                <c:pt idx="15">
                  <c:v>30/4</c:v>
                </c:pt>
                <c:pt idx="16">
                  <c:v>30/5</c:v>
                </c:pt>
                <c:pt idx="17">
                  <c:v>40</c:v>
                </c:pt>
              </c:strCache>
            </c:strRef>
          </c:cat>
          <c:val>
            <c:numRef>
              <c:f>'Pyramide des Classements'!$C$2:$C$19</c:f>
              <c:numCache>
                <c:formatCode>General</c:formatCode>
                <c:ptCount val="18"/>
                <c:pt idx="6">
                  <c:v>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1E6-4489-800D-D469C0D9F022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50"/>
        <c:overlap val="100"/>
        <c:axId val="1033081535"/>
        <c:axId val="1033082783"/>
      </c:barChart>
      <c:catAx>
        <c:axId val="103308153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33082783"/>
        <c:crosses val="autoZero"/>
        <c:auto val="1"/>
        <c:lblAlgn val="ctr"/>
        <c:lblOffset val="100"/>
        <c:noMultiLvlLbl val="0"/>
      </c:catAx>
      <c:valAx>
        <c:axId val="1033082783"/>
        <c:scaling>
          <c:orientation val="minMax"/>
          <c:min val="-5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33081535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image" Target="../media/image2.png"/><Relationship Id="rId5" Type="http://schemas.openxmlformats.org/officeDocument/2006/relationships/chart" Target="../charts/chart5.xml"/><Relationship Id="rId10" Type="http://schemas.openxmlformats.org/officeDocument/2006/relationships/chart" Target="../charts/chart9.xml"/><Relationship Id="rId4" Type="http://schemas.openxmlformats.org/officeDocument/2006/relationships/chart" Target="../charts/chart4.xml"/><Relationship Id="rId9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160923</xdr:colOff>
      <xdr:row>0</xdr:row>
      <xdr:rowOff>115357</xdr:rowOff>
    </xdr:from>
    <xdr:to>
      <xdr:col>6</xdr:col>
      <xdr:colOff>144648</xdr:colOff>
      <xdr:row>11</xdr:row>
      <xdr:rowOff>124940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17BEF8A4-957E-4978-B591-3C910DF2CB9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266195</xdr:colOff>
      <xdr:row>12</xdr:row>
      <xdr:rowOff>66173</xdr:rowOff>
    </xdr:from>
    <xdr:to>
      <xdr:col>9</xdr:col>
      <xdr:colOff>1362095</xdr:colOff>
      <xdr:row>23</xdr:row>
      <xdr:rowOff>195548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5CDCC70-DD50-4AE0-B04F-9A78A90460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170950</xdr:colOff>
      <xdr:row>12</xdr:row>
      <xdr:rowOff>76198</xdr:rowOff>
    </xdr:from>
    <xdr:to>
      <xdr:col>6</xdr:col>
      <xdr:colOff>154675</xdr:colOff>
      <xdr:row>23</xdr:row>
      <xdr:rowOff>205573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93C81A-8863-47E0-AB73-BFBB6798DD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1033762</xdr:colOff>
      <xdr:row>0</xdr:row>
      <xdr:rowOff>125383</xdr:rowOff>
    </xdr:from>
    <xdr:to>
      <xdr:col>13</xdr:col>
      <xdr:colOff>472312</xdr:colOff>
      <xdr:row>11</xdr:row>
      <xdr:rowOff>134966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5FF76C15-3093-4A89-9F9F-D881BEA9201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561473</xdr:colOff>
      <xdr:row>0</xdr:row>
      <xdr:rowOff>115358</xdr:rowOff>
    </xdr:from>
    <xdr:to>
      <xdr:col>17</xdr:col>
      <xdr:colOff>818648</xdr:colOff>
      <xdr:row>11</xdr:row>
      <xdr:rowOff>124941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23687879-EDB9-4C12-B8D1-1809EBC19E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561473</xdr:colOff>
      <xdr:row>12</xdr:row>
      <xdr:rowOff>76199</xdr:rowOff>
    </xdr:from>
    <xdr:to>
      <xdr:col>17</xdr:col>
      <xdr:colOff>799599</xdr:colOff>
      <xdr:row>23</xdr:row>
      <xdr:rowOff>205574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90BE9536-44A8-45FF-8A8A-4D04900C35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9</xdr:col>
      <xdr:colOff>1493668</xdr:colOff>
      <xdr:row>12</xdr:row>
      <xdr:rowOff>56146</xdr:rowOff>
    </xdr:from>
    <xdr:to>
      <xdr:col>13</xdr:col>
      <xdr:colOff>421106</xdr:colOff>
      <xdr:row>23</xdr:row>
      <xdr:rowOff>185521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6EFE5EE4-AE0B-4EC9-8DA5-57CD8A116C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293966</xdr:colOff>
      <xdr:row>0</xdr:row>
      <xdr:rowOff>125384</xdr:rowOff>
    </xdr:from>
    <xdr:to>
      <xdr:col>9</xdr:col>
      <xdr:colOff>964655</xdr:colOff>
      <xdr:row>11</xdr:row>
      <xdr:rowOff>134967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E67B2E6D-E50D-88FA-6622-B3EF46954FA0}"/>
            </a:ext>
          </a:extLst>
        </xdr:cNvPr>
        <xdr:cNvGrpSpPr/>
      </xdr:nvGrpSpPr>
      <xdr:grpSpPr>
        <a:xfrm>
          <a:off x="4775729" y="125384"/>
          <a:ext cx="2996794" cy="2355741"/>
          <a:chOff x="4735624" y="115358"/>
          <a:chExt cx="2996794" cy="2415899"/>
        </a:xfrm>
      </xdr:grpSpPr>
      <xdr:grpSp>
        <xdr:nvGrpSpPr>
          <xdr:cNvPr id="16" name="Groupe 15">
            <a:extLst>
              <a:ext uri="{FF2B5EF4-FFF2-40B4-BE49-F238E27FC236}">
                <a16:creationId xmlns:a16="http://schemas.microsoft.com/office/drawing/2014/main" id="{8FCD416C-034F-43C1-8B3D-9C4552590786}"/>
              </a:ext>
            </a:extLst>
          </xdr:cNvPr>
          <xdr:cNvGrpSpPr/>
        </xdr:nvGrpSpPr>
        <xdr:grpSpPr>
          <a:xfrm>
            <a:off x="4735624" y="115358"/>
            <a:ext cx="1497431" cy="2415899"/>
            <a:chOff x="4181474" y="104775"/>
            <a:chExt cx="1790701" cy="2333625"/>
          </a:xfrm>
        </xdr:grpSpPr>
        <xdr:grpSp>
          <xdr:nvGrpSpPr>
            <xdr:cNvPr id="11" name="Groupe 10">
              <a:extLst>
                <a:ext uri="{FF2B5EF4-FFF2-40B4-BE49-F238E27FC236}">
                  <a16:creationId xmlns:a16="http://schemas.microsoft.com/office/drawing/2014/main" id="{8F7685FD-F092-49AC-AAF7-A707B2042C38}"/>
                </a:ext>
              </a:extLst>
            </xdr:cNvPr>
            <xdr:cNvGrpSpPr/>
          </xdr:nvGrpSpPr>
          <xdr:grpSpPr>
            <a:xfrm>
              <a:off x="4181474" y="104775"/>
              <a:ext cx="1736016" cy="2333625"/>
              <a:chOff x="171449" y="219075"/>
              <a:chExt cx="1352366" cy="2800349"/>
            </a:xfrm>
            <a:noFill/>
          </xdr:grpSpPr>
          <xdr:graphicFrame macro="">
            <xdr:nvGraphicFramePr>
              <xdr:cNvPr id="4" name="Graphique 3">
                <a:extLst>
                  <a:ext uri="{FF2B5EF4-FFF2-40B4-BE49-F238E27FC236}">
                    <a16:creationId xmlns:a16="http://schemas.microsoft.com/office/drawing/2014/main" id="{352D3086-A50E-4091-B129-5A01CD039F7C}"/>
                  </a:ext>
                </a:extLst>
              </xdr:cNvPr>
              <xdr:cNvGraphicFramePr/>
            </xdr:nvGraphicFramePr>
            <xdr:xfrm>
              <a:off x="171449" y="219075"/>
              <a:ext cx="1343025" cy="2800349"/>
            </xdr:xfrm>
            <a:graphic>
              <a:graphicData uri="http://schemas.openxmlformats.org/drawingml/2006/chart">
                <c:chart xmlns:c="http://schemas.openxmlformats.org/drawingml/2006/chart" xmlns:r="http://schemas.openxmlformats.org/officeDocument/2006/relationships" r:id="rId8"/>
              </a:graphicData>
            </a:graphic>
          </xdr:graphicFrame>
          <xdr:pic>
            <xdr:nvPicPr>
              <xdr:cNvPr id="12" name="Image 11">
                <a:extLst>
                  <a:ext uri="{FF2B5EF4-FFF2-40B4-BE49-F238E27FC236}">
                    <a16:creationId xmlns:a16="http://schemas.microsoft.com/office/drawing/2014/main" id="{876E589C-A583-4D3E-9DCA-F001D2A8E529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9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87191" y="763365"/>
                <a:ext cx="1336624" cy="2174241"/>
              </a:xfrm>
              <a:prstGeom prst="rect">
                <a:avLst/>
              </a:prstGeom>
              <a:noFill/>
            </xdr:spPr>
          </xdr:pic>
        </xdr:grpSp>
        <xdr:sp macro="" textlink="$E$3">
          <xdr:nvSpPr>
            <xdr:cNvPr id="14" name="ZoneTexte 13">
              <a:extLst>
                <a:ext uri="{FF2B5EF4-FFF2-40B4-BE49-F238E27FC236}">
                  <a16:creationId xmlns:a16="http://schemas.microsoft.com/office/drawing/2014/main" id="{ABAB4FB3-0850-4838-A787-D12F40AF6357}"/>
                </a:ext>
              </a:extLst>
            </xdr:cNvPr>
            <xdr:cNvSpPr txBox="1"/>
          </xdr:nvSpPr>
          <xdr:spPr>
            <a:xfrm>
              <a:off x="4597293" y="876300"/>
              <a:ext cx="875266" cy="2952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fld id="{74744409-E4E5-4F22-977E-232BFE48B180}" type="TxLink">
                <a:rPr lang="en-US" sz="1200" b="1" i="0" u="none" strike="noStrike">
                  <a:solidFill>
                    <a:sysClr val="windowText" lastClr="000000"/>
                  </a:solidFill>
                  <a:latin typeface="Calibri"/>
                  <a:cs typeface="Calibri"/>
                </a:rPr>
                <a:pPr algn="ctr"/>
                <a:t>66.67%</a:t>
              </a:fld>
              <a:endParaRPr lang="fr-FR" sz="105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15" name="ZoneTexte 14">
              <a:extLst>
                <a:ext uri="{FF2B5EF4-FFF2-40B4-BE49-F238E27FC236}">
                  <a16:creationId xmlns:a16="http://schemas.microsoft.com/office/drawing/2014/main" id="{D403B207-C41A-4C01-B66D-FA5B5B60244F}"/>
                </a:ext>
              </a:extLst>
            </xdr:cNvPr>
            <xdr:cNvSpPr txBox="1"/>
          </xdr:nvSpPr>
          <xdr:spPr>
            <a:xfrm>
              <a:off x="4210050" y="380999"/>
              <a:ext cx="176212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>
              <a:prstTxWarp prst="textArchUp">
                <a:avLst/>
              </a:prstTxWarp>
            </a:bodyPr>
            <a:lstStyle/>
            <a:p>
              <a:pPr algn="ctr"/>
              <a:r>
                <a:rPr lang="fr-FR" sz="2000" b="1"/>
                <a:t>HOMMES</a:t>
              </a:r>
            </a:p>
          </xdr:txBody>
        </xdr:sp>
      </xdr:grpSp>
      <xdr:grpSp>
        <xdr:nvGrpSpPr>
          <xdr:cNvPr id="23" name="Groupe 22">
            <a:extLst>
              <a:ext uri="{FF2B5EF4-FFF2-40B4-BE49-F238E27FC236}">
                <a16:creationId xmlns:a16="http://schemas.microsoft.com/office/drawing/2014/main" id="{3AE9A177-C942-4542-BF2E-EA8B5EBC06C2}"/>
              </a:ext>
            </a:extLst>
          </xdr:cNvPr>
          <xdr:cNvGrpSpPr/>
        </xdr:nvGrpSpPr>
        <xdr:grpSpPr>
          <a:xfrm>
            <a:off x="6332242" y="115358"/>
            <a:ext cx="1400176" cy="2415899"/>
            <a:chOff x="4181474" y="104775"/>
            <a:chExt cx="1790701" cy="2333625"/>
          </a:xfrm>
        </xdr:grpSpPr>
        <xdr:grpSp>
          <xdr:nvGrpSpPr>
            <xdr:cNvPr id="24" name="Groupe 23">
              <a:extLst>
                <a:ext uri="{FF2B5EF4-FFF2-40B4-BE49-F238E27FC236}">
                  <a16:creationId xmlns:a16="http://schemas.microsoft.com/office/drawing/2014/main" id="{481145AF-DADC-4C81-8FE0-618B597ECD3F}"/>
                </a:ext>
              </a:extLst>
            </xdr:cNvPr>
            <xdr:cNvGrpSpPr/>
          </xdr:nvGrpSpPr>
          <xdr:grpSpPr>
            <a:xfrm>
              <a:off x="4181474" y="104775"/>
              <a:ext cx="1724025" cy="2333625"/>
              <a:chOff x="171449" y="219075"/>
              <a:chExt cx="1343025" cy="2800349"/>
            </a:xfrm>
            <a:noFill/>
          </xdr:grpSpPr>
          <xdr:graphicFrame macro="">
            <xdr:nvGraphicFramePr>
              <xdr:cNvPr id="27" name="Graphique 26">
                <a:extLst>
                  <a:ext uri="{FF2B5EF4-FFF2-40B4-BE49-F238E27FC236}">
                    <a16:creationId xmlns:a16="http://schemas.microsoft.com/office/drawing/2014/main" id="{33515B1B-46BC-4DD1-82DC-8C80907A31FB}"/>
                  </a:ext>
                </a:extLst>
              </xdr:cNvPr>
              <xdr:cNvGraphicFramePr/>
            </xdr:nvGraphicFramePr>
            <xdr:xfrm>
              <a:off x="171449" y="219075"/>
              <a:ext cx="1343025" cy="2800349"/>
            </xdr:xfrm>
            <a:graphic>
              <a:graphicData uri="http://schemas.openxmlformats.org/drawingml/2006/chart">
                <c:chart xmlns:c="http://schemas.openxmlformats.org/drawingml/2006/chart" xmlns:r="http://schemas.openxmlformats.org/officeDocument/2006/relationships" r:id="rId10"/>
              </a:graphicData>
            </a:graphic>
          </xdr:graphicFrame>
          <xdr:pic>
            <xdr:nvPicPr>
              <xdr:cNvPr id="28" name="Image 27">
                <a:extLst>
                  <a:ext uri="{FF2B5EF4-FFF2-40B4-BE49-F238E27FC236}">
                    <a16:creationId xmlns:a16="http://schemas.microsoft.com/office/drawing/2014/main" id="{EBC69FBC-B6EE-4B0E-878E-A57D551B6006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1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/>
              <a:stretch/>
            </xdr:blipFill>
            <xdr:spPr>
              <a:xfrm>
                <a:off x="194829" y="774795"/>
                <a:ext cx="1262482" cy="2174241"/>
              </a:xfrm>
              <a:prstGeom prst="rect">
                <a:avLst/>
              </a:prstGeom>
              <a:noFill/>
            </xdr:spPr>
          </xdr:pic>
        </xdr:grpSp>
        <xdr:sp macro="" textlink="$F$3">
          <xdr:nvSpPr>
            <xdr:cNvPr id="25" name="ZoneTexte 24">
              <a:extLst>
                <a:ext uri="{FF2B5EF4-FFF2-40B4-BE49-F238E27FC236}">
                  <a16:creationId xmlns:a16="http://schemas.microsoft.com/office/drawing/2014/main" id="{0CE96949-3209-4CA2-A56F-02C3C56FFE55}"/>
                </a:ext>
              </a:extLst>
            </xdr:cNvPr>
            <xdr:cNvSpPr txBox="1"/>
          </xdr:nvSpPr>
          <xdr:spPr>
            <a:xfrm>
              <a:off x="4584596" y="1475561"/>
              <a:ext cx="936061" cy="2952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fld id="{7D69770D-D01B-4867-833A-FD656C8AA01C}" type="TxLink">
                <a:rPr lang="en-US" sz="1100" b="1" i="0" u="none" strike="noStrike">
                  <a:solidFill>
                    <a:sysClr val="windowText" lastClr="000000"/>
                  </a:solidFill>
                  <a:latin typeface="Calibri"/>
                  <a:cs typeface="Calibri"/>
                </a:rPr>
                <a:pPr algn="ctr"/>
                <a:t>33.33%</a:t>
              </a:fld>
              <a:endParaRPr lang="fr-FR" sz="90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26" name="ZoneTexte 25">
              <a:extLst>
                <a:ext uri="{FF2B5EF4-FFF2-40B4-BE49-F238E27FC236}">
                  <a16:creationId xmlns:a16="http://schemas.microsoft.com/office/drawing/2014/main" id="{BBEB3801-1855-481E-BF07-4F2CC905DE10}"/>
                </a:ext>
              </a:extLst>
            </xdr:cNvPr>
            <xdr:cNvSpPr txBox="1"/>
          </xdr:nvSpPr>
          <xdr:spPr>
            <a:xfrm>
              <a:off x="4210050" y="380999"/>
              <a:ext cx="176212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>
              <a:prstTxWarp prst="textArchUp">
                <a:avLst/>
              </a:prstTxWarp>
            </a:bodyPr>
            <a:lstStyle/>
            <a:p>
              <a:pPr algn="ctr"/>
              <a:r>
                <a:rPr lang="fr-FR" sz="2000" b="1"/>
                <a:t>FEMMES</a:t>
              </a:r>
            </a:p>
          </xdr:txBody>
        </xdr: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180235</xdr:colOff>
      <xdr:row>1</xdr:row>
      <xdr:rowOff>6087</xdr:rowOff>
    </xdr:from>
    <xdr:to>
      <xdr:col>3</xdr:col>
      <xdr:colOff>561234</xdr:colOff>
      <xdr:row>3</xdr:row>
      <xdr:rowOff>63237</xdr:rowOff>
    </xdr:to>
    <xdr:sp macro="[0]!ouvreformulai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CBFD5E3-9A4A-4284-917C-98A526420707}"/>
            </a:ext>
          </a:extLst>
        </xdr:cNvPr>
        <xdr:cNvSpPr/>
      </xdr:nvSpPr>
      <xdr:spPr>
        <a:xfrm>
          <a:off x="543092" y="210194"/>
          <a:ext cx="2807606" cy="465364"/>
        </a:xfrm>
        <a:prstGeom prst="roundRect">
          <a:avLst/>
        </a:prstGeom>
        <a:solidFill>
          <a:schemeClr val="accent2">
            <a:lumMod val="75000"/>
          </a:schemeClr>
        </a:solidFill>
        <a:effectLst>
          <a:glow rad="228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ADHERENT</a:t>
          </a:r>
        </a:p>
      </xdr:txBody>
    </xdr:sp>
    <xdr:clientData/>
  </xdr:twoCellAnchor>
  <xdr:twoCellAnchor>
    <xdr:from>
      <xdr:col>9</xdr:col>
      <xdr:colOff>131729</xdr:colOff>
      <xdr:row>18</xdr:row>
      <xdr:rowOff>111463</xdr:rowOff>
    </xdr:from>
    <xdr:to>
      <xdr:col>10</xdr:col>
      <xdr:colOff>60798</xdr:colOff>
      <xdr:row>24</xdr:row>
      <xdr:rowOff>121596</xdr:rowOff>
    </xdr:to>
    <xdr:sp macro="[0]!remonter" textlink="">
      <xdr:nvSpPr>
        <xdr:cNvPr id="5" name="Flèche : haut 4">
          <a:extLst>
            <a:ext uri="{FF2B5EF4-FFF2-40B4-BE49-F238E27FC236}">
              <a16:creationId xmlns:a16="http://schemas.microsoft.com/office/drawing/2014/main" id="{565288E0-7EED-4FCB-A138-828C1C14DD10}"/>
            </a:ext>
          </a:extLst>
        </xdr:cNvPr>
        <xdr:cNvSpPr/>
      </xdr:nvSpPr>
      <xdr:spPr>
        <a:xfrm>
          <a:off x="8319176" y="166211250"/>
          <a:ext cx="891702" cy="1043697"/>
        </a:xfrm>
        <a:prstGeom prst="upArrow">
          <a:avLst/>
        </a:prstGeom>
        <a:solidFill>
          <a:schemeClr val="accent2">
            <a:lumMod val="75000"/>
          </a:schemeClr>
        </a:solidFill>
        <a:effectLst>
          <a:glow rad="228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1338760</xdr:colOff>
      <xdr:row>0</xdr:row>
      <xdr:rowOff>116451</xdr:rowOff>
    </xdr:from>
    <xdr:to>
      <xdr:col>15</xdr:col>
      <xdr:colOff>872643</xdr:colOff>
      <xdr:row>3</xdr:row>
      <xdr:rowOff>201696</xdr:rowOff>
    </xdr:to>
    <xdr:sp macro="[0]!descendre" textlink="">
      <xdr:nvSpPr>
        <xdr:cNvPr id="6" name="Flèche : bas 5">
          <a:extLst>
            <a:ext uri="{FF2B5EF4-FFF2-40B4-BE49-F238E27FC236}">
              <a16:creationId xmlns:a16="http://schemas.microsoft.com/office/drawing/2014/main" id="{1B29E31B-291D-44F4-9FA0-9FD58214FF6C}"/>
            </a:ext>
          </a:extLst>
        </xdr:cNvPr>
        <xdr:cNvSpPr/>
      </xdr:nvSpPr>
      <xdr:spPr>
        <a:xfrm>
          <a:off x="16317956" y="116451"/>
          <a:ext cx="928616" cy="697566"/>
        </a:xfrm>
        <a:prstGeom prst="downArrow">
          <a:avLst/>
        </a:prstGeom>
        <a:solidFill>
          <a:srgbClr val="C00000"/>
        </a:solidFill>
        <a:effectLst>
          <a:glow rad="228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0</xdr:row>
      <xdr:rowOff>49214</xdr:rowOff>
    </xdr:from>
    <xdr:to>
      <xdr:col>18</xdr:col>
      <xdr:colOff>600075</xdr:colOff>
      <xdr:row>18</xdr:row>
      <xdr:rowOff>19050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DFE40887-4DCC-4D33-8E37-3A4B0DE05F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190500</xdr:colOff>
      <xdr:row>18</xdr:row>
      <xdr:rowOff>47625</xdr:rowOff>
    </xdr:from>
    <xdr:to>
      <xdr:col>18</xdr:col>
      <xdr:colOff>571500</xdr:colOff>
      <xdr:row>37</xdr:row>
      <xdr:rowOff>19050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2EB42D77-4D8C-447B-A9FC-DD034A96ED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142875</xdr:colOff>
      <xdr:row>37</xdr:row>
      <xdr:rowOff>57151</xdr:rowOff>
    </xdr:from>
    <xdr:to>
      <xdr:col>18</xdr:col>
      <xdr:colOff>581025</xdr:colOff>
      <xdr:row>51</xdr:row>
      <xdr:rowOff>161925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53AEDF80-A2D3-4CF7-A667-218675FD36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142875</xdr:colOff>
      <xdr:row>52</xdr:row>
      <xdr:rowOff>19050</xdr:rowOff>
    </xdr:from>
    <xdr:to>
      <xdr:col>18</xdr:col>
      <xdr:colOff>590551</xdr:colOff>
      <xdr:row>66</xdr:row>
      <xdr:rowOff>123825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D5DDFF29-2D01-4F05-AABB-E66AEAA86A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152400</xdr:colOff>
      <xdr:row>66</xdr:row>
      <xdr:rowOff>161925</xdr:rowOff>
    </xdr:from>
    <xdr:to>
      <xdr:col>18</xdr:col>
      <xdr:colOff>581026</xdr:colOff>
      <xdr:row>80</xdr:row>
      <xdr:rowOff>47625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9D476D7C-6215-498A-99F5-F6F06F3820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161925</xdr:colOff>
      <xdr:row>80</xdr:row>
      <xdr:rowOff>85723</xdr:rowOff>
    </xdr:from>
    <xdr:to>
      <xdr:col>18</xdr:col>
      <xdr:colOff>581025</xdr:colOff>
      <xdr:row>107</xdr:row>
      <xdr:rowOff>152400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5C31075D-DA3E-4733-B85D-8F66279706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114301</xdr:colOff>
      <xdr:row>0</xdr:row>
      <xdr:rowOff>47625</xdr:rowOff>
    </xdr:from>
    <xdr:to>
      <xdr:col>9</xdr:col>
      <xdr:colOff>609601</xdr:colOff>
      <xdr:row>33</xdr:row>
      <xdr:rowOff>19049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A026ADED-C968-4230-A6C4-52667AD1F8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9A63C3-DE70-40A5-B50F-4A4B602F32B9}" name="TCOTISATION" displayName="TCOTISATION" ref="A1:B12" totalsRowShown="0" headerRowDxfId="56">
  <autoFilter ref="A1:B12" xr:uid="{379A63C3-DE70-40A5-B50F-4A4B602F32B9}"/>
  <tableColumns count="2">
    <tableColumn id="1" xr3:uid="{35C8AC19-4977-4879-881F-4E8743DC8DF0}" name="Type Cotisation"/>
    <tableColumn id="2" xr3:uid="{CAF6A5D7-3E3E-4AE2-BE10-3DDEE1CC9477}" name="Prix" dataDxfId="55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28EA48D-6A94-4C13-A981-0A792FC059D6}" name="TEDT" displayName="TEDT" ref="D1:E7" totalsRowShown="0" headerRowDxfId="54">
  <autoFilter ref="D1:E7" xr:uid="{428EA48D-6A94-4C13-A981-0A792FC059D6}"/>
  <tableColumns count="2">
    <tableColumn id="1" xr3:uid="{0FB587C6-B42C-4F08-8223-A471057A394E}" name="EDT"/>
    <tableColumn id="2" xr3:uid="{54D83B3A-0D6C-4F26-BBE9-BF1A21E3BEE1}" name="Prix" dataDxfId="53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C57686F-567B-4684-A883-381FAC81850A}" name="TCOURSCOCOMPET" displayName="TCOURSCOCOMPET" ref="G1:H14" totalsRowShown="0" headerRowDxfId="52">
  <autoFilter ref="G1:H14" xr:uid="{7C57686F-567B-4684-A883-381FAC81850A}"/>
  <tableColumns count="2">
    <tableColumn id="1" xr3:uid="{5390840E-447D-4F56-B9A9-7F097E455659}" name="Cours Co - Compet"/>
    <tableColumn id="2" xr3:uid="{D9F6D3C1-0EDA-4A15-BE5F-7EBEEF21A330}" name="Prix" dataDxfId="51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FABA7EF-FA7B-4C4F-A3CB-79C8CD4E8258}" name="TENTREE" displayName="TENTREE" ref="J1:J3" totalsRowShown="0" headerRowDxfId="50" dataDxfId="49">
  <autoFilter ref="J1:J3" xr:uid="{4FABA7EF-FA7B-4C4F-A3CB-79C8CD4E8258}"/>
  <tableColumns count="1">
    <tableColumn id="1" xr3:uid="{EFD36330-294C-4789-8C1C-4EA297C90084}" name="Droit Entrée" dataDxfId="48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B4E563F-AEED-4306-A4A9-FAF28529FD78}" name="TSEXE" displayName="TSEXE" ref="L1:L3" totalsRowShown="0" headerRowDxfId="47" dataDxfId="46">
  <autoFilter ref="L1:L3" xr:uid="{1B4E563F-AEED-4306-A4A9-FAF28529FD78}"/>
  <tableColumns count="1">
    <tableColumn id="1" xr3:uid="{CBFCBC67-7AB6-4243-A72E-A609FFC1A7CA}" name="Sexe" dataDxfId="45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F36DBA1-0009-4CF7-BF48-44AEF2A8C84E}" name="TPAIEMENT" displayName="TPAIEMENT" ref="N1:N6" totalsRowShown="0" headerRowDxfId="44">
  <autoFilter ref="N1:N6" xr:uid="{0F36DBA1-0009-4CF7-BF48-44AEF2A8C84E}"/>
  <tableColumns count="1">
    <tableColumn id="1" xr3:uid="{373B89E8-F8B3-4808-AE33-F945723414ED}" name="Type de paiement"/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82932D4-8F10-4BC7-B71E-D26AFDCF7946}" name="TAdhérents" displayName="TAdhérents" ref="A6:AS9" totalsRowShown="0" headerRowDxfId="43" dataDxfId="42">
  <sortState xmlns:xlrd2="http://schemas.microsoft.com/office/spreadsheetml/2017/richdata2" ref="A7:AR7">
    <sortCondition ref="A6:A7"/>
  </sortState>
  <tableColumns count="45">
    <tableColumn id="1" xr3:uid="{8AE84091-B03B-4FBC-9C53-024090176DC3}" name="N°" dataDxfId="41"/>
    <tableColumn id="2" xr3:uid="{57887C67-6F14-4A78-B845-68734E708EBE}" name="Famille" dataDxfId="40"/>
    <tableColumn id="3" xr3:uid="{BE6248F3-83DD-4F28-A141-120F3359D7F5}" name="Nom"/>
    <tableColumn id="4" xr3:uid="{725B0CEC-F3ED-4105-B658-E34A10D35785}" name="Prénom"/>
    <tableColumn id="5" xr3:uid="{BF21CD53-67AC-4A52-BF05-AEE8F5F2CA0E}" name="Sexe" dataDxfId="39"/>
    <tableColumn id="6" xr3:uid="{274127AC-7033-45C3-A14F-0FF66E2940DC}" name="Date Nais" dataDxfId="38"/>
    <tableColumn id="7" xr3:uid="{A6652E27-4373-426D-B5DB-A04A6BB9F844}" name="Age" dataDxfId="37">
      <calculatedColumnFormula>DATEDIF(TAdhérents[[#This Row],[Date Nais]],TODAY(),"y")</calculatedColumnFormula>
    </tableColumn>
    <tableColumn id="8" xr3:uid="{AB14D15B-800F-4CF4-846F-E22F2EEFE291}" name="Adresse"/>
    <tableColumn id="9" xr3:uid="{D5AA8A76-A851-4FF9-9010-2B6695AEFC7D}" name="Code Postal" dataDxfId="36"/>
    <tableColumn id="10" xr3:uid="{5304B541-0283-4AB4-BEBB-70BDDE53DBFD}" name="Ville"/>
    <tableColumn id="11" xr3:uid="{9AA408D8-D7C3-419F-9CD3-135B8BDEE533}" name="Tél Dom" dataDxfId="35"/>
    <tableColumn id="12" xr3:uid="{6296BCD0-FC53-4608-B63E-ED410B9F2D58}" name="Tél. Port" dataDxfId="34"/>
    <tableColumn id="13" xr3:uid="{59CD17D5-F7EB-4AB3-9E9E-489EE61564C3}" name="Mail" dataDxfId="33" dataCellStyle="Lien hypertexte"/>
    <tableColumn id="14" xr3:uid="{33B55155-3BAD-4109-AC20-CB96A532CD33}" name="Licence" dataDxfId="32"/>
    <tableColumn id="15" xr3:uid="{7B12DA45-0B7D-44D8-9550-F39D23385A3A}" name="TOTAL" dataDxfId="31">
      <calculatedColumnFormula>R7+T7+V7+X7+Z7</calculatedColumnFormula>
    </tableColumn>
    <tableColumn id="16" xr3:uid="{137F0EF8-ACF5-4EDE-BFA5-2198F88F1199}" name="RESTE DÛ" dataDxfId="30" dataCellStyle="Monétaire">
      <calculatedColumnFormula>O7-AA7-AD7-AG7-AJ7-AM7-AP7</calculatedColumnFormula>
    </tableColumn>
    <tableColumn id="17" xr3:uid="{CE0D5580-B56C-41EC-8262-65650C221D52}" name="Type Cotisations" dataDxfId="29"/>
    <tableColumn id="18" xr3:uid="{1A89378E-D71C-4009-B4A6-A4A530030EA8}" name="Tarif 1" dataDxfId="28" dataCellStyle="Monétaire">
      <calculatedColumnFormula>_xlfn.SWITCH(Q7,"Adulte",380,"Ménage",600,"Famille",800,"Etudiant",195,"Jeune 2016 et avant",130,"Jeune 2017-2018",80,"Jeune 2019 et 2020",50,"Parent",100,"Honoraire",120,"Licence Tennis",33,"Licence Padel",26,"",0)</calculatedColumnFormula>
    </tableColumn>
    <tableColumn id="19" xr3:uid="{5C92E095-E9A0-4993-936C-BA7A6A90823D}" name="EDT" dataDxfId="27"/>
    <tableColumn id="20" xr3:uid="{108B2131-1F31-4B97-B140-389EAB95E49D}" name="Tarif 2" dataDxfId="26" dataCellStyle="Monétaire">
      <calculatedColumnFormula>_xlfn.SWITCH(S7,"EDT 2016 et avant",150,"EDT 2017-2018",150,"EDT 2019 et 2020",135,"Padel 165",165,"Padel 300",300,"Padel 360",360,"",0)</calculatedColumnFormula>
    </tableColumn>
    <tableColumn id="21" xr3:uid="{4CEFC93E-3A88-4FD0-B930-4510CFCF11E8}" name="CoursCo-Compet" dataDxfId="25"/>
    <tableColumn id="22" xr3:uid="{93BDE820-B8CD-4C4C-97F1-407AA7CAC670}" name="Tarif 3" dataDxfId="24" dataCellStyle="Monétaire">
      <calculatedColumnFormula>_xlfn.SWITCH(U7,"Cours Co",300,"Cours Co 1h30",450,"Cours Co Etudiant",165,"Cours Co Etudiant 1h30",245.5,"ECompet 1h",150,"ECompet 2h",150,"EDT 2016 et avant",150,"EDT 2017-2018",150,"EDT 2019 à 2020",135,"Padel 165",165,"Padel 300",300,"Padel 360",360,"Entrainement",165,"",0)</calculatedColumnFormula>
    </tableColumn>
    <tableColumn id="23" xr3:uid="{20D3B20C-3FD3-439A-989F-6F1A7A03D1CE}" name="Droit Entrée" dataDxfId="23"/>
    <tableColumn id="24" xr3:uid="{B9CA61A0-658A-41C8-BFFF-00AEC92F5516}" name="Tarif 4" dataDxfId="22" dataCellStyle="Monétaire">
      <calculatedColumnFormula>_xlfn.SWITCH(W7,"Oui",20,"Non",0,"",0)</calculatedColumnFormula>
    </tableColumn>
    <tableColumn id="25" xr3:uid="{A7CE5AFD-5922-4C7D-B554-6824CF28B785}" name="Cas Particulier" dataDxfId="21"/>
    <tableColumn id="26" xr3:uid="{9BEB4F29-916D-48A1-8302-14F8E3066580}" name="Tarif 5" dataDxfId="20" dataCellStyle="Monétaire"/>
    <tableColumn id="27" xr3:uid="{10B02174-CC59-4C28-99DF-87B2D0BD0AD2}" name="Paiement 1" dataDxfId="19" dataCellStyle="Monétaire"/>
    <tableColumn id="28" xr3:uid="{30753745-60A0-4402-AB39-7AE63849134D}" name="Type de paiement 1" dataDxfId="18"/>
    <tableColumn id="29" xr3:uid="{AB6392F9-BD87-4F9D-B093-D2C1CF8DF600}" name="Date de paiement 1" dataDxfId="17"/>
    <tableColumn id="30" xr3:uid="{63C58300-831F-43AF-BA51-F4143C194B62}" name="Paiement 2" dataDxfId="16" dataCellStyle="Monétaire"/>
    <tableColumn id="31" xr3:uid="{A30DAE52-E6B3-406E-8513-04F329430F67}" name="Type de paiement 2" dataDxfId="15" dataCellStyle="Monétaire"/>
    <tableColumn id="32" xr3:uid="{9C07530A-1576-4D80-AECB-DFB49C307D36}" name="Date de paiement 2" dataDxfId="14"/>
    <tableColumn id="33" xr3:uid="{B77D596A-1789-4315-96B4-D247193F5FB6}" name="Paiement 3" dataDxfId="13" dataCellStyle="Monétaire"/>
    <tableColumn id="34" xr3:uid="{C09A27DC-E3E9-40F7-9D13-DAD67F3528F9}" name="Type de paiement 3" dataDxfId="12"/>
    <tableColumn id="35" xr3:uid="{891C7097-9ED6-4609-A2B9-2A5816D66234}" name="Date de paiement 3" dataDxfId="11"/>
    <tableColumn id="36" xr3:uid="{4D74EA0B-96B5-4782-B3F6-64E2FBE4F302}" name="Paiement 4" dataDxfId="10" dataCellStyle="Monétaire"/>
    <tableColumn id="37" xr3:uid="{AC63F472-C820-4644-90BC-0D58B8ECF94E}" name="Type de paiement 4" dataDxfId="9"/>
    <tableColumn id="38" xr3:uid="{180CC18D-21FD-43FE-A1D8-5EC04DAF559D}" name="Date de paiement 4" dataDxfId="8"/>
    <tableColumn id="39" xr3:uid="{F390BB2B-0B05-4290-A882-7EC0F4491655}" name="Paiement 5" dataDxfId="7" dataCellStyle="Monétaire"/>
    <tableColumn id="40" xr3:uid="{7EC3F912-F1A5-4718-9452-DACE6F23C4CC}" name="Type de paiement 5" dataDxfId="6"/>
    <tableColumn id="41" xr3:uid="{48D57197-CEAB-445D-8362-612D996C866A}" name="Date de paiement 5" dataDxfId="5"/>
    <tableColumn id="42" xr3:uid="{8A4EEB18-859C-4E28-B922-5A5427D24EEF}" name="Paiement 6" dataDxfId="4" dataCellStyle="Monétaire"/>
    <tableColumn id="43" xr3:uid="{FBE11DAF-0288-4BCD-B318-8C3DDE1ACF20}" name="Type de paiement 6"/>
    <tableColumn id="44" xr3:uid="{0B187EE8-6532-4659-823A-C5BFEFFCC402}" name="Date de paiement 52" dataDxfId="3"/>
    <tableColumn id="45" xr3:uid="{3A687E19-B9F5-4678-8559-E4AC630035D1}" name="image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1EC21-B522-4F61-81F2-1078CBD9C8B7}">
  <sheetPr codeName="Feuil3"/>
  <dimension ref="A1:N14"/>
  <sheetViews>
    <sheetView showGridLines="0" workbookViewId="0">
      <selection activeCell="E18" sqref="E18"/>
    </sheetView>
  </sheetViews>
  <sheetFormatPr baseColWidth="10" defaultRowHeight="15" x14ac:dyDescent="0.25"/>
  <cols>
    <col min="1" max="1" width="20.28515625" bestFit="1" customWidth="1"/>
    <col min="4" max="4" width="16.42578125" bestFit="1" customWidth="1"/>
    <col min="7" max="7" width="21.42578125" bestFit="1" customWidth="1"/>
    <col min="10" max="10" width="19" bestFit="1" customWidth="1"/>
    <col min="14" max="14" width="24.5703125" bestFit="1" customWidth="1"/>
  </cols>
  <sheetData>
    <row r="1" spans="1:14" ht="31.5" x14ac:dyDescent="0.25">
      <c r="A1" s="1" t="s">
        <v>40</v>
      </c>
      <c r="B1" s="2" t="s">
        <v>41</v>
      </c>
      <c r="C1" s="2"/>
      <c r="D1" s="2" t="s">
        <v>16</v>
      </c>
      <c r="E1" s="2" t="s">
        <v>41</v>
      </c>
      <c r="F1" s="3"/>
      <c r="G1" s="4" t="s">
        <v>42</v>
      </c>
      <c r="H1" s="2" t="s">
        <v>41</v>
      </c>
      <c r="I1" s="2"/>
      <c r="J1" s="2" t="s">
        <v>20</v>
      </c>
      <c r="K1" s="3"/>
      <c r="L1" s="2" t="s">
        <v>3</v>
      </c>
      <c r="M1" s="3"/>
      <c r="N1" s="2" t="s">
        <v>43</v>
      </c>
    </row>
    <row r="2" spans="1:14" x14ac:dyDescent="0.25">
      <c r="A2" t="s">
        <v>0</v>
      </c>
      <c r="B2" s="5">
        <v>800</v>
      </c>
      <c r="C2" s="5"/>
      <c r="D2" t="s">
        <v>141</v>
      </c>
      <c r="E2" s="6">
        <v>150</v>
      </c>
      <c r="G2" t="s">
        <v>44</v>
      </c>
      <c r="H2" s="6">
        <v>300</v>
      </c>
      <c r="I2" s="6"/>
      <c r="J2" s="6" t="s">
        <v>45</v>
      </c>
      <c r="L2" s="6" t="s">
        <v>46</v>
      </c>
      <c r="N2" t="s">
        <v>47</v>
      </c>
    </row>
    <row r="3" spans="1:14" x14ac:dyDescent="0.25">
      <c r="A3" t="s">
        <v>48</v>
      </c>
      <c r="B3" s="5">
        <v>600</v>
      </c>
      <c r="C3" s="5"/>
      <c r="D3" t="s">
        <v>142</v>
      </c>
      <c r="E3" s="6">
        <v>150</v>
      </c>
      <c r="G3" t="s">
        <v>49</v>
      </c>
      <c r="H3" s="6">
        <v>450</v>
      </c>
      <c r="I3" s="6"/>
      <c r="J3" s="6" t="s">
        <v>50</v>
      </c>
      <c r="L3" s="6" t="s">
        <v>75</v>
      </c>
      <c r="N3" t="s">
        <v>51</v>
      </c>
    </row>
    <row r="4" spans="1:14" x14ac:dyDescent="0.25">
      <c r="A4" t="s">
        <v>52</v>
      </c>
      <c r="B4" s="5">
        <v>380</v>
      </c>
      <c r="C4" s="5"/>
      <c r="D4" t="s">
        <v>143</v>
      </c>
      <c r="E4" s="6">
        <v>135</v>
      </c>
      <c r="G4" t="s">
        <v>53</v>
      </c>
      <c r="H4" s="6">
        <v>165</v>
      </c>
      <c r="I4" s="6"/>
      <c r="J4" s="6"/>
      <c r="N4" t="s">
        <v>54</v>
      </c>
    </row>
    <row r="5" spans="1:14" x14ac:dyDescent="0.25">
      <c r="A5" t="s">
        <v>55</v>
      </c>
      <c r="B5" s="5">
        <v>195</v>
      </c>
      <c r="C5" s="5"/>
      <c r="D5" t="s">
        <v>122</v>
      </c>
      <c r="E5" s="6">
        <v>165</v>
      </c>
      <c r="G5" t="s">
        <v>56</v>
      </c>
      <c r="H5" s="6">
        <v>180</v>
      </c>
      <c r="I5" s="6"/>
      <c r="J5" s="6"/>
      <c r="N5" t="s">
        <v>57</v>
      </c>
    </row>
    <row r="6" spans="1:14" x14ac:dyDescent="0.25">
      <c r="A6" t="s">
        <v>144</v>
      </c>
      <c r="B6" s="5">
        <v>130</v>
      </c>
      <c r="C6" s="5"/>
      <c r="D6" t="s">
        <v>100</v>
      </c>
      <c r="E6" s="6">
        <v>300</v>
      </c>
      <c r="G6" t="s">
        <v>58</v>
      </c>
      <c r="H6" s="6">
        <v>150</v>
      </c>
      <c r="I6" s="6"/>
      <c r="J6" s="6"/>
      <c r="N6" t="s">
        <v>59</v>
      </c>
    </row>
    <row r="7" spans="1:14" x14ac:dyDescent="0.25">
      <c r="A7" t="s">
        <v>145</v>
      </c>
      <c r="B7" s="5">
        <v>80</v>
      </c>
      <c r="C7" s="5"/>
      <c r="D7" t="s">
        <v>101</v>
      </c>
      <c r="E7" s="6">
        <v>360</v>
      </c>
      <c r="G7" t="s">
        <v>60</v>
      </c>
      <c r="H7" s="6">
        <v>150</v>
      </c>
      <c r="I7" s="6"/>
      <c r="J7" s="6"/>
    </row>
    <row r="8" spans="1:14" x14ac:dyDescent="0.25">
      <c r="A8" t="s">
        <v>146</v>
      </c>
      <c r="B8" s="5">
        <v>50</v>
      </c>
      <c r="C8" s="5"/>
      <c r="D8" s="5"/>
      <c r="E8" s="5"/>
      <c r="G8" t="s">
        <v>143</v>
      </c>
      <c r="H8" s="6">
        <v>135</v>
      </c>
      <c r="I8" s="6"/>
      <c r="J8" s="6"/>
    </row>
    <row r="9" spans="1:14" x14ac:dyDescent="0.25">
      <c r="A9" t="s">
        <v>61</v>
      </c>
      <c r="B9" s="5">
        <v>120</v>
      </c>
      <c r="C9" s="5"/>
      <c r="D9" s="5"/>
      <c r="E9" s="5"/>
      <c r="G9" t="s">
        <v>142</v>
      </c>
      <c r="H9" s="6">
        <v>150</v>
      </c>
      <c r="I9" s="6"/>
      <c r="J9" s="6"/>
    </row>
    <row r="10" spans="1:14" x14ac:dyDescent="0.25">
      <c r="A10" t="s">
        <v>62</v>
      </c>
      <c r="B10" s="5">
        <v>100</v>
      </c>
      <c r="C10" s="5"/>
      <c r="D10" s="5"/>
      <c r="E10" s="5"/>
      <c r="G10" t="s">
        <v>141</v>
      </c>
      <c r="H10" s="6">
        <v>150</v>
      </c>
      <c r="I10" s="6"/>
      <c r="J10" s="6"/>
    </row>
    <row r="11" spans="1:14" x14ac:dyDescent="0.25">
      <c r="A11" t="s">
        <v>108</v>
      </c>
      <c r="B11" s="5">
        <v>33</v>
      </c>
      <c r="G11" t="s">
        <v>122</v>
      </c>
      <c r="H11" s="6">
        <v>165</v>
      </c>
      <c r="I11" s="6"/>
      <c r="J11" s="6"/>
    </row>
    <row r="12" spans="1:14" x14ac:dyDescent="0.25">
      <c r="A12" t="s">
        <v>109</v>
      </c>
      <c r="B12" s="5">
        <v>26</v>
      </c>
      <c r="G12" t="s">
        <v>100</v>
      </c>
      <c r="H12" s="6">
        <v>300</v>
      </c>
      <c r="I12" s="6"/>
      <c r="J12" s="6"/>
    </row>
    <row r="13" spans="1:14" x14ac:dyDescent="0.25">
      <c r="G13" t="s">
        <v>101</v>
      </c>
      <c r="H13" s="6">
        <v>360</v>
      </c>
    </row>
    <row r="14" spans="1:14" x14ac:dyDescent="0.25">
      <c r="G14" t="s">
        <v>132</v>
      </c>
      <c r="H14" s="6">
        <v>165</v>
      </c>
    </row>
  </sheetData>
  <sheetProtection selectLockedCells="1"/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A0899-A73F-438F-8345-14C45172A82A}">
  <sheetPr codeName="Feuil1">
    <tabColor rgb="FF00FF00"/>
  </sheetPr>
  <dimension ref="A1:S33"/>
  <sheetViews>
    <sheetView zoomScale="95" zoomScaleNormal="95" workbookViewId="0">
      <selection activeCell="N25" sqref="N25"/>
    </sheetView>
  </sheetViews>
  <sheetFormatPr baseColWidth="10" defaultRowHeight="15" x14ac:dyDescent="0.25"/>
  <cols>
    <col min="1" max="1" width="2" customWidth="1"/>
    <col min="2" max="2" width="14" customWidth="1"/>
    <col min="3" max="3" width="9.7109375" customWidth="1"/>
    <col min="4" max="4" width="18.5703125" customWidth="1"/>
    <col min="6" max="6" width="11.42578125" customWidth="1"/>
    <col min="7" max="7" width="12" bestFit="1" customWidth="1"/>
    <col min="10" max="10" width="23.28515625" bestFit="1" customWidth="1"/>
    <col min="11" max="11" width="6.85546875" customWidth="1"/>
    <col min="12" max="12" width="21.5703125" customWidth="1"/>
    <col min="13" max="13" width="15.7109375" customWidth="1"/>
    <col min="14" max="14" width="9.140625" customWidth="1"/>
    <col min="16" max="16" width="16.42578125" customWidth="1"/>
    <col min="17" max="17" width="9.7109375" customWidth="1"/>
    <col min="18" max="18" width="14.7109375" customWidth="1"/>
  </cols>
  <sheetData>
    <row r="1" spans="1:19" x14ac:dyDescent="0.25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</row>
    <row r="2" spans="1:19" ht="20.25" customHeight="1" x14ac:dyDescent="0.25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36" t="s">
        <v>102</v>
      </c>
      <c r="M2" s="68">
        <f>COUNTIF(Adhérents!Q7:Q221,"Honoraire")</f>
        <v>0</v>
      </c>
      <c r="N2" s="27"/>
      <c r="O2" s="27"/>
      <c r="P2" s="27"/>
      <c r="Q2" s="27"/>
      <c r="R2" s="27"/>
      <c r="S2" s="27"/>
    </row>
    <row r="3" spans="1:19" ht="18.75" x14ac:dyDescent="0.3">
      <c r="A3" s="27"/>
      <c r="B3" s="62" t="s">
        <v>71</v>
      </c>
      <c r="C3" s="62"/>
      <c r="D3" s="35">
        <f>COUNTIFS(Adhérents!E7:E221,"M")</f>
        <v>2</v>
      </c>
      <c r="E3" s="60">
        <f>D3/D5</f>
        <v>0.66666666666666663</v>
      </c>
      <c r="F3" s="61">
        <f>100%-E3</f>
        <v>0.33333333333333337</v>
      </c>
      <c r="G3" s="27" t="s">
        <v>67</v>
      </c>
      <c r="H3" s="27" t="s">
        <v>67</v>
      </c>
      <c r="I3" s="27"/>
      <c r="J3" s="27" t="s">
        <v>67</v>
      </c>
      <c r="K3" s="27" t="s">
        <v>67</v>
      </c>
      <c r="L3" s="36" t="s">
        <v>164</v>
      </c>
      <c r="M3" s="68">
        <f>COUNTIF(Adhérents!Q7:Q221,"Jeune 2019 et 2020")</f>
        <v>0</v>
      </c>
      <c r="N3" s="27" t="s">
        <v>67</v>
      </c>
      <c r="O3" s="27" t="s">
        <v>67</v>
      </c>
      <c r="P3" s="27" t="s">
        <v>67</v>
      </c>
      <c r="Q3" s="27"/>
      <c r="R3" s="27"/>
      <c r="S3" s="27" t="s">
        <v>67</v>
      </c>
    </row>
    <row r="4" spans="1:19" ht="18.75" x14ac:dyDescent="0.3">
      <c r="A4" s="27"/>
      <c r="B4" s="62" t="s">
        <v>72</v>
      </c>
      <c r="C4" s="62"/>
      <c r="D4" s="35">
        <f>COUNTIFS(Adhérents!E7:E221,"F")</f>
        <v>1</v>
      </c>
      <c r="E4" s="60">
        <f>D4/D5</f>
        <v>0.33333333333333331</v>
      </c>
      <c r="F4" s="61">
        <f>100%-E4</f>
        <v>0.66666666666666674</v>
      </c>
      <c r="G4" s="27"/>
      <c r="H4" s="27"/>
      <c r="I4" s="27"/>
      <c r="J4" s="27"/>
      <c r="K4" s="27"/>
      <c r="L4" s="36" t="s">
        <v>165</v>
      </c>
      <c r="M4" s="68">
        <f>COUNTIF(Adhérents!Q7:Q221,"Jeune 2017-2018")</f>
        <v>0</v>
      </c>
      <c r="N4" s="27"/>
      <c r="O4" s="27"/>
      <c r="P4" s="27"/>
      <c r="Q4" s="27"/>
      <c r="R4" s="27"/>
      <c r="S4" s="27"/>
    </row>
    <row r="5" spans="1:19" ht="18.75" x14ac:dyDescent="0.3">
      <c r="A5" s="27"/>
      <c r="B5" s="62" t="s">
        <v>12</v>
      </c>
      <c r="C5" s="62"/>
      <c r="D5" s="35">
        <f>SUM(D3:D4)</f>
        <v>3</v>
      </c>
      <c r="E5" s="27"/>
      <c r="F5" s="27"/>
      <c r="G5" s="27"/>
      <c r="H5" s="27"/>
      <c r="I5" s="27"/>
      <c r="J5" s="27"/>
      <c r="K5" s="27"/>
      <c r="L5" s="36" t="s">
        <v>166</v>
      </c>
      <c r="M5" s="37">
        <f>COUNTIF(Adhérents!Q7:Q221,"Jeune 2016 et avant")</f>
        <v>0</v>
      </c>
      <c r="N5" s="27"/>
      <c r="O5" s="27"/>
      <c r="P5" s="27"/>
      <c r="Q5" s="27"/>
      <c r="R5" s="27"/>
      <c r="S5" s="27"/>
    </row>
    <row r="6" spans="1:19" ht="15.75" x14ac:dyDescent="0.2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36" t="s">
        <v>99</v>
      </c>
      <c r="M6" s="68">
        <f>+COUNTIF(Adhérents!Q7:Q221,"Etudiant")</f>
        <v>1</v>
      </c>
      <c r="N6" s="27"/>
      <c r="O6" s="27"/>
      <c r="P6" s="27"/>
      <c r="Q6" s="27"/>
      <c r="R6" s="27"/>
      <c r="S6" s="27"/>
    </row>
    <row r="7" spans="1:19" ht="15.75" x14ac:dyDescent="0.2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36" t="s">
        <v>76</v>
      </c>
      <c r="M7" s="37">
        <f>COUNTIF(Adhérents!Q7:Q221,"Adulte")+COUNTIF(Adhérents!Q7:Q221,"Parent")+COUNTIF(Adhérents!Q7:Q221,"Licence Padel")+COUNTIF(Adhérents!Q7:Q221,"Licence Tennis")</f>
        <v>2</v>
      </c>
      <c r="N7" s="27"/>
      <c r="O7" s="27"/>
      <c r="P7" s="27"/>
      <c r="Q7" s="27"/>
      <c r="R7" s="27"/>
      <c r="S7" s="27"/>
    </row>
    <row r="8" spans="1:19" x14ac:dyDescent="0.25">
      <c r="A8" s="27"/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</row>
    <row r="9" spans="1:19" ht="15.75" x14ac:dyDescent="0.25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36" t="s">
        <v>77</v>
      </c>
      <c r="M9" s="37">
        <f>M2+M3+M4+M5+M6+M7</f>
        <v>3</v>
      </c>
      <c r="N9" s="27"/>
      <c r="O9" s="27"/>
      <c r="P9" s="27"/>
      <c r="Q9" s="27"/>
      <c r="R9" s="27"/>
      <c r="S9" s="27"/>
    </row>
    <row r="10" spans="1:19" x14ac:dyDescent="0.25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</row>
    <row r="11" spans="1:19" x14ac:dyDescent="0.25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</row>
    <row r="12" spans="1:19" x14ac:dyDescent="0.25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</row>
    <row r="13" spans="1:19" ht="13.5" customHeight="1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</row>
    <row r="14" spans="1:19" ht="17.25" customHeight="1" x14ac:dyDescent="0.35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8" t="s">
        <v>68</v>
      </c>
      <c r="M14" s="29">
        <f>COUNTIFS(Adhérents!J6:J220,"BORDEAUX")</f>
        <v>0</v>
      </c>
      <c r="N14" s="27"/>
      <c r="O14" s="27"/>
      <c r="P14" s="27"/>
      <c r="Q14" s="27"/>
      <c r="R14" s="27"/>
      <c r="S14" s="27"/>
    </row>
    <row r="15" spans="1:19" ht="18" customHeight="1" x14ac:dyDescent="0.35">
      <c r="A15" s="27"/>
      <c r="B15" s="27"/>
      <c r="C15" s="27"/>
      <c r="D15" s="31" t="s">
        <v>141</v>
      </c>
      <c r="E15" s="32">
        <f>COUNTIF(Adhérents!S7:S221,"EDT 2016 et avant")</f>
        <v>0</v>
      </c>
      <c r="F15" s="27"/>
      <c r="G15" s="27"/>
      <c r="H15" s="27"/>
      <c r="I15" s="27"/>
      <c r="J15" s="27"/>
      <c r="K15" s="27"/>
      <c r="L15" s="28" t="s">
        <v>69</v>
      </c>
      <c r="M15" s="29">
        <f>COUNTIFS(Adhérents!J6:J220,"TALENCE")</f>
        <v>0</v>
      </c>
      <c r="N15" s="27"/>
      <c r="O15" s="27"/>
      <c r="P15" s="27"/>
      <c r="Q15" s="27"/>
      <c r="R15" s="27"/>
      <c r="S15" s="27"/>
    </row>
    <row r="16" spans="1:19" ht="18" customHeight="1" x14ac:dyDescent="0.35">
      <c r="A16" s="27"/>
      <c r="B16" s="27"/>
      <c r="C16" s="27"/>
      <c r="D16" s="31" t="s">
        <v>142</v>
      </c>
      <c r="E16" s="32">
        <f>COUNTIF(Adhérents!S7:S221,"EDT 2017-2018")</f>
        <v>0</v>
      </c>
      <c r="F16" s="27"/>
      <c r="G16" s="27"/>
      <c r="H16" s="27"/>
      <c r="I16" s="27"/>
      <c r="J16" s="27"/>
      <c r="K16" s="27"/>
      <c r="L16" s="28" t="s">
        <v>70</v>
      </c>
      <c r="M16" s="29">
        <f>COUNTIFS(Adhérents!J6:J220,"BEGLES")</f>
        <v>0</v>
      </c>
      <c r="N16" s="27"/>
      <c r="O16" s="27"/>
      <c r="P16" s="27"/>
      <c r="Q16" s="27"/>
      <c r="R16" s="27"/>
      <c r="S16" s="27"/>
    </row>
    <row r="17" spans="1:19" ht="15.75" customHeight="1" x14ac:dyDescent="0.35">
      <c r="A17" s="27"/>
      <c r="B17" s="27"/>
      <c r="C17" s="27"/>
      <c r="D17" s="33" t="s">
        <v>143</v>
      </c>
      <c r="E17" s="32">
        <f>COUNTIF(Adhérents!S7:S221,"EDT 2019 et 2020")</f>
        <v>0</v>
      </c>
      <c r="F17" s="27"/>
      <c r="G17" s="27"/>
      <c r="H17" s="27"/>
      <c r="I17" s="27"/>
      <c r="J17" s="27"/>
      <c r="K17" s="27"/>
      <c r="L17" s="28" t="s">
        <v>97</v>
      </c>
      <c r="M17" s="29">
        <f>D5-M14-M15-M16-M18</f>
        <v>3</v>
      </c>
      <c r="N17" s="27"/>
      <c r="O17" s="27"/>
      <c r="P17" s="27"/>
      <c r="Q17" s="27"/>
      <c r="R17" s="27"/>
      <c r="S17" s="27"/>
    </row>
    <row r="18" spans="1:19" ht="19.5" customHeight="1" x14ac:dyDescent="0.35">
      <c r="A18" s="27"/>
      <c r="B18" s="27"/>
      <c r="C18" s="27"/>
      <c r="D18" s="34" t="s">
        <v>12</v>
      </c>
      <c r="E18" s="32">
        <f>SUM(E15:E17)</f>
        <v>0</v>
      </c>
      <c r="F18" s="27"/>
      <c r="G18" s="27"/>
      <c r="H18" s="27"/>
      <c r="I18" s="27"/>
      <c r="J18" s="27"/>
      <c r="K18" s="27"/>
      <c r="L18" s="28" t="s">
        <v>79</v>
      </c>
      <c r="M18" s="30">
        <f>COUNTIFS(Adhérents!J6:J220,"PESSAC")</f>
        <v>0</v>
      </c>
      <c r="N18" s="27"/>
      <c r="O18" s="27"/>
      <c r="P18" s="27"/>
      <c r="Q18" s="27"/>
      <c r="R18" s="27"/>
      <c r="S18" s="27"/>
    </row>
    <row r="19" spans="1:19" ht="15.75" customHeight="1" x14ac:dyDescent="0.35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8" t="s">
        <v>73</v>
      </c>
      <c r="M19" s="30">
        <f>COUNTIFS(Adhérents!J6:J220,"VILLENAVE D'ORNON")</f>
        <v>0</v>
      </c>
      <c r="N19" s="27"/>
      <c r="O19" s="27"/>
      <c r="P19" s="27"/>
      <c r="Q19" s="27"/>
      <c r="R19" s="27"/>
      <c r="S19" s="27"/>
    </row>
    <row r="20" spans="1:19" ht="18" customHeight="1" x14ac:dyDescent="0.35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8" t="s">
        <v>74</v>
      </c>
      <c r="M20" s="30">
        <f>COUNTIFS(Adhérents!J6:J220,"GRADIGNAN")</f>
        <v>0</v>
      </c>
      <c r="N20" s="27"/>
      <c r="O20" s="27"/>
      <c r="P20" s="27"/>
      <c r="Q20" s="27"/>
      <c r="R20" s="27"/>
      <c r="S20" s="27"/>
    </row>
    <row r="21" spans="1:19" ht="17.25" customHeight="1" x14ac:dyDescent="0.35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8" t="s">
        <v>78</v>
      </c>
      <c r="M21" s="30">
        <f>COUNTIFS(Adhérents!J6:J220,"BRUGES")</f>
        <v>0</v>
      </c>
      <c r="N21" s="27"/>
      <c r="O21" s="27"/>
      <c r="P21" s="27"/>
      <c r="Q21" s="27"/>
      <c r="R21" s="27"/>
      <c r="S21" s="27"/>
    </row>
    <row r="22" spans="1:19" ht="14.25" customHeight="1" x14ac:dyDescent="0.35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8"/>
      <c r="M22" s="30"/>
      <c r="N22" s="27"/>
      <c r="O22" s="27"/>
      <c r="P22" s="27"/>
      <c r="Q22" s="27"/>
      <c r="R22" s="27"/>
      <c r="S22" s="27"/>
    </row>
    <row r="23" spans="1:19" ht="16.5" customHeight="1" x14ac:dyDescent="0.25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64" t="s">
        <v>12</v>
      </c>
      <c r="M23" s="65">
        <f>SUM(M14:M18)</f>
        <v>3</v>
      </c>
      <c r="N23" s="27"/>
      <c r="O23" s="27"/>
      <c r="P23" s="27"/>
      <c r="Q23" s="27"/>
      <c r="R23" s="27"/>
      <c r="S23" s="27"/>
    </row>
    <row r="24" spans="1:19" s="66" customFormat="1" ht="21.75" customHeight="1" x14ac:dyDescent="0.35">
      <c r="A24" s="63"/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28"/>
      <c r="M24" s="30"/>
      <c r="N24" s="63"/>
      <c r="O24" s="63"/>
      <c r="P24" s="63"/>
      <c r="Q24" s="63"/>
      <c r="R24" s="63"/>
      <c r="S24" s="63"/>
    </row>
    <row r="25" spans="1:19" s="66" customFormat="1" ht="23.1" customHeight="1" x14ac:dyDescent="0.25">
      <c r="A25" s="63"/>
      <c r="B25" s="63"/>
      <c r="C25" s="63"/>
      <c r="D25" s="76" t="s">
        <v>20</v>
      </c>
      <c r="E25" s="26">
        <f>COUNTIFS(Adhérents!W7:W221,"Oui")</f>
        <v>1</v>
      </c>
      <c r="F25" s="63"/>
      <c r="G25" s="67" t="s">
        <v>44</v>
      </c>
      <c r="H25" s="26">
        <f>COUNTIFS(Adhérents!U7:U221,"Cours Co")+COUNTIFS(Adhérents!U7:U221,"Cours Co 1h30")</f>
        <v>0</v>
      </c>
      <c r="I25" s="63"/>
      <c r="J25" s="67" t="s">
        <v>53</v>
      </c>
      <c r="K25" s="26">
        <f>COUNTIFS(Adhérents!U7:U221,"Cours Co Etudiant")</f>
        <v>1</v>
      </c>
      <c r="L25" s="63"/>
      <c r="M25" s="67" t="s">
        <v>98</v>
      </c>
      <c r="N25" s="26">
        <f>COUNTIFS(Adhérents!U7:U221,"Padel 300")+COUNTIFS(Adhérents!U7:U221,"Padel 360")+COUNTIFS(Adhérents!Y7:Y221,"Padel 300")+COUNTIFS(Adhérents!Y7:Y221,"Padel 360")+COUNTIFS(Adhérents!U7:U221,"Padel 150")+COUNTIFS(Adhérents!Y7:Y221,"Padel 150")+COUNTIFS(Adhérents!S7:S221,"Padel 300")+COUNTIFS(Adhérents!S7:S221,"Padel 360")+COUNTIFS(Adhérents!S7:S221,"Padel 150")+COUNTIFS(Adhérents!Y7:Y221,"Padel 150")</f>
        <v>2</v>
      </c>
      <c r="O25" s="63"/>
      <c r="P25" s="67" t="s">
        <v>58</v>
      </c>
      <c r="Q25" s="26">
        <f>COUNTIFS(Adhérents!U7:U221,"Ecompet 1h")</f>
        <v>0</v>
      </c>
      <c r="R25" s="63"/>
      <c r="S25" s="63"/>
    </row>
    <row r="26" spans="1:19" x14ac:dyDescent="0.25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</row>
    <row r="27" spans="1:19" ht="21" x14ac:dyDescent="0.25">
      <c r="A27" s="27"/>
      <c r="B27" s="76" t="s">
        <v>11</v>
      </c>
      <c r="C27" s="96">
        <f>Adhérents!D20</f>
        <v>0</v>
      </c>
      <c r="D27" s="27"/>
      <c r="E27" s="184" t="s">
        <v>107</v>
      </c>
      <c r="F27" s="184"/>
      <c r="G27" s="26">
        <f>Adhérents!D19</f>
        <v>0</v>
      </c>
      <c r="H27" s="27"/>
      <c r="I27" s="76" t="s">
        <v>104</v>
      </c>
      <c r="J27" s="26">
        <f>COUNTIFS(Adhérents!Q7:Q221,"Parent")</f>
        <v>0</v>
      </c>
      <c r="K27" s="27"/>
      <c r="L27" s="76" t="s">
        <v>105</v>
      </c>
      <c r="M27" s="26">
        <f>COUNTIFS(Adhérents!Q7:Q221,"Honoraire")</f>
        <v>0</v>
      </c>
      <c r="N27" s="27"/>
      <c r="O27" s="76" t="s">
        <v>106</v>
      </c>
      <c r="P27" s="26">
        <f ca="1">COUNTIFS(Adhérents!G7:G221,"&gt;34")</f>
        <v>3</v>
      </c>
      <c r="Q27" s="27"/>
      <c r="R27" s="27"/>
      <c r="S27" s="27"/>
    </row>
    <row r="28" spans="1:19" x14ac:dyDescent="0.25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</row>
    <row r="33" spans="5:7" ht="21" x14ac:dyDescent="0.35">
      <c r="E33" s="184" t="s">
        <v>107</v>
      </c>
      <c r="F33" s="184"/>
      <c r="G33" s="99">
        <f>COUNTIFS(Adhérents!Y7:Y221,"LICENCE EXT")+COUNTIFS(Adhérents!Y7:Y221,"FAMILLE+LICENCE EXT")+COUNTIFS(Adhérents!Y7:Y221,"CHOMEUR+LICENCE EXT")</f>
        <v>0</v>
      </c>
    </row>
  </sheetData>
  <mergeCells count="2">
    <mergeCell ref="E27:F27"/>
    <mergeCell ref="E33:F33"/>
  </mergeCells>
  <printOptions horizontalCentered="1" verticalCentered="1"/>
  <pageMargins left="3.937007874015748E-2" right="3.937007874015748E-2" top="0.15748031496062992" bottom="0.15748031496062992" header="0.11811023622047245" footer="0.11811023622047245"/>
  <pageSetup paperSize="9" scale="65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FA5C8-C6ED-4197-ADFA-1844B902C46B}">
  <sheetPr codeName="Feuil2">
    <tabColor rgb="FF0000FF"/>
    <pageSetUpPr fitToPage="1"/>
  </sheetPr>
  <dimension ref="A6:AS967"/>
  <sheetViews>
    <sheetView tabSelected="1" zoomScale="84" zoomScaleNormal="84" workbookViewId="0">
      <pane ySplit="6" topLeftCell="A7" activePane="bottomLeft" state="frozen"/>
      <selection pane="bottomLeft" activeCell="H12" sqref="H12"/>
    </sheetView>
  </sheetViews>
  <sheetFormatPr baseColWidth="10" defaultRowHeight="15.75" x14ac:dyDescent="0.25"/>
  <cols>
    <col min="1" max="1" width="5.42578125" style="6" customWidth="1"/>
    <col min="2" max="2" width="14.7109375" customWidth="1"/>
    <col min="3" max="3" width="21.5703125" customWidth="1"/>
    <col min="4" max="4" width="16.5703125" customWidth="1"/>
    <col min="5" max="5" width="7.5703125" style="6" customWidth="1"/>
    <col min="6" max="6" width="25" style="6" bestFit="1" customWidth="1"/>
    <col min="7" max="7" width="10.85546875" style="6" bestFit="1" customWidth="1"/>
    <col min="8" max="8" width="25.42578125" customWidth="1"/>
    <col min="9" max="9" width="10.28515625" style="8" customWidth="1"/>
    <col min="10" max="10" width="14.42578125" customWidth="1"/>
    <col min="11" max="11" width="16.5703125" style="9" bestFit="1" customWidth="1"/>
    <col min="12" max="12" width="16" style="9" bestFit="1" customWidth="1"/>
    <col min="13" max="13" width="28.140625" style="87" customWidth="1"/>
    <col min="14" max="14" width="12.140625" style="6" customWidth="1"/>
    <col min="15" max="15" width="20.85546875" style="12" customWidth="1"/>
    <col min="16" max="16" width="18.28515625" style="12" bestFit="1" customWidth="1"/>
    <col min="17" max="17" width="19.140625" style="8" customWidth="1"/>
    <col min="18" max="18" width="19.28515625" style="11" bestFit="1" customWidth="1"/>
    <col min="19" max="19" width="16.7109375" style="8" bestFit="1" customWidth="1"/>
    <col min="20" max="20" width="18.5703125" style="11" bestFit="1" customWidth="1"/>
    <col min="21" max="21" width="21.42578125" style="6" bestFit="1" customWidth="1"/>
    <col min="22" max="22" width="17.140625" style="11" bestFit="1" customWidth="1"/>
    <col min="23" max="23" width="15.140625" style="6" customWidth="1"/>
    <col min="24" max="24" width="14.7109375" style="11" bestFit="1" customWidth="1"/>
    <col min="25" max="25" width="24.140625" style="8" customWidth="1"/>
    <col min="26" max="26" width="20" style="77" bestFit="1" customWidth="1"/>
    <col min="27" max="27" width="19.28515625" style="177" bestFit="1" customWidth="1"/>
    <col min="28" max="28" width="25" style="6" bestFit="1" customWidth="1"/>
    <col min="29" max="29" width="24.85546875" style="6" bestFit="1" customWidth="1"/>
    <col min="30" max="30" width="18.42578125" style="11" bestFit="1" customWidth="1"/>
    <col min="31" max="31" width="25" style="10" bestFit="1" customWidth="1"/>
    <col min="32" max="32" width="24.85546875" style="6" bestFit="1" customWidth="1"/>
    <col min="33" max="33" width="17.5703125" style="77" bestFit="1" customWidth="1"/>
    <col min="34" max="34" width="25" style="6" bestFit="1" customWidth="1"/>
    <col min="35" max="35" width="24.85546875" style="6" bestFit="1" customWidth="1"/>
    <col min="36" max="36" width="17.5703125" style="77" bestFit="1" customWidth="1"/>
    <col min="37" max="37" width="25" style="6" bestFit="1" customWidth="1"/>
    <col min="38" max="38" width="24.85546875" style="6" bestFit="1" customWidth="1"/>
    <col min="39" max="39" width="17.5703125" style="11" bestFit="1" customWidth="1"/>
    <col min="40" max="40" width="25" style="6" bestFit="1" customWidth="1"/>
    <col min="41" max="41" width="24.85546875" style="6" bestFit="1" customWidth="1"/>
    <col min="42" max="42" width="17.5703125" style="11" bestFit="1" customWidth="1"/>
    <col min="43" max="43" width="25" bestFit="1" customWidth="1"/>
    <col min="44" max="44" width="26.140625" style="5" bestFit="1" customWidth="1"/>
  </cols>
  <sheetData>
    <row r="6" spans="1:45" s="16" customFormat="1" ht="18.75" x14ac:dyDescent="0.25">
      <c r="A6" s="17" t="s">
        <v>64</v>
      </c>
      <c r="B6" s="18" t="s">
        <v>0</v>
      </c>
      <c r="C6" s="19" t="s">
        <v>1</v>
      </c>
      <c r="D6" s="19" t="s">
        <v>2</v>
      </c>
      <c r="E6" s="19" t="s">
        <v>3</v>
      </c>
      <c r="F6" s="20" t="s">
        <v>4</v>
      </c>
      <c r="G6" s="19" t="s">
        <v>63</v>
      </c>
      <c r="H6" s="19" t="s">
        <v>5</v>
      </c>
      <c r="I6" s="21" t="s">
        <v>6</v>
      </c>
      <c r="J6" s="19" t="s">
        <v>7</v>
      </c>
      <c r="K6" s="22" t="s">
        <v>8</v>
      </c>
      <c r="L6" s="22" t="s">
        <v>9</v>
      </c>
      <c r="M6" s="86" t="s">
        <v>10</v>
      </c>
      <c r="N6" s="122" t="s">
        <v>11</v>
      </c>
      <c r="O6" s="23" t="s">
        <v>12</v>
      </c>
      <c r="P6" s="23" t="s">
        <v>13</v>
      </c>
      <c r="Q6" s="19" t="s">
        <v>14</v>
      </c>
      <c r="R6" s="24" t="s">
        <v>15</v>
      </c>
      <c r="S6" s="19" t="s">
        <v>16</v>
      </c>
      <c r="T6" s="24" t="s">
        <v>17</v>
      </c>
      <c r="U6" s="21" t="s">
        <v>18</v>
      </c>
      <c r="V6" s="24" t="s">
        <v>19</v>
      </c>
      <c r="W6" s="19" t="s">
        <v>20</v>
      </c>
      <c r="X6" s="24" t="s">
        <v>21</v>
      </c>
      <c r="Y6" s="19" t="s">
        <v>22</v>
      </c>
      <c r="Z6" s="24" t="s">
        <v>23</v>
      </c>
      <c r="AA6" s="176" t="s">
        <v>24</v>
      </c>
      <c r="AB6" s="19" t="s">
        <v>25</v>
      </c>
      <c r="AC6" s="20" t="s">
        <v>26</v>
      </c>
      <c r="AD6" s="24" t="s">
        <v>27</v>
      </c>
      <c r="AE6" s="25" t="s">
        <v>28</v>
      </c>
      <c r="AF6" s="19" t="s">
        <v>29</v>
      </c>
      <c r="AG6" s="78" t="s">
        <v>30</v>
      </c>
      <c r="AH6" s="19" t="s">
        <v>31</v>
      </c>
      <c r="AI6" s="19" t="s">
        <v>32</v>
      </c>
      <c r="AJ6" s="78" t="s">
        <v>33</v>
      </c>
      <c r="AK6" s="19" t="s">
        <v>34</v>
      </c>
      <c r="AL6" s="19" t="s">
        <v>35</v>
      </c>
      <c r="AM6" s="24" t="s">
        <v>36</v>
      </c>
      <c r="AN6" s="19" t="s">
        <v>37</v>
      </c>
      <c r="AO6" s="19" t="s">
        <v>38</v>
      </c>
      <c r="AP6" s="24" t="s">
        <v>39</v>
      </c>
      <c r="AQ6" s="19" t="s">
        <v>65</v>
      </c>
      <c r="AR6" s="19" t="s">
        <v>66</v>
      </c>
      <c r="AS6" s="122" t="s">
        <v>178</v>
      </c>
    </row>
    <row r="7" spans="1:45" ht="18.75" customHeight="1" x14ac:dyDescent="0.3">
      <c r="A7" s="6" t="s">
        <v>64</v>
      </c>
      <c r="B7" s="110" t="s">
        <v>179</v>
      </c>
      <c r="C7" t="s">
        <v>173</v>
      </c>
      <c r="D7" t="s">
        <v>174</v>
      </c>
      <c r="E7" s="6" t="s">
        <v>46</v>
      </c>
      <c r="F7" s="7" t="s">
        <v>180</v>
      </c>
      <c r="G7" s="6">
        <f ca="1">DATEDIF(TAdhérents[[#This Row],[Date Nais]],TODAY(),"y")</f>
        <v>20</v>
      </c>
      <c r="H7" t="s">
        <v>171</v>
      </c>
      <c r="I7" s="6" t="s">
        <v>181</v>
      </c>
      <c r="J7" t="s">
        <v>172</v>
      </c>
      <c r="K7" s="9" t="s">
        <v>67</v>
      </c>
      <c r="L7" s="9" t="s">
        <v>175</v>
      </c>
      <c r="M7" s="170" t="s">
        <v>67</v>
      </c>
      <c r="N7" s="171" t="s">
        <v>67</v>
      </c>
      <c r="O7" s="13">
        <f>R7+T7+V7+X7+Z7</f>
        <v>680</v>
      </c>
      <c r="P7" s="14">
        <f>O7-AA7-AD7-AG7-AJ7-AM7-AP7</f>
        <v>0</v>
      </c>
      <c r="Q7" s="8" t="s">
        <v>55</v>
      </c>
      <c r="R7" s="11">
        <f>_xlfn.SWITCH(Q7,"Adulte",380,"Ménage",600,"Famille",800,"Etudiant",195,"Jeune 2016 et avant",130,"Jeune 2017-2018",80,"Jeune 2019 et 2020",50,"Parent",100,"Honoraire",120,"Licence Tennis",33,"Licence Padel",26,"",0)</f>
        <v>195</v>
      </c>
      <c r="S7" s="8" t="s">
        <v>100</v>
      </c>
      <c r="T7" s="11">
        <f>_xlfn.SWITCH(S7,"EDT 2016 et avant",150,"EDT 2017-2018",150,"EDT 2019 et 2020",135,"Padel 165",165,"Padel 300",300,"Padel 360",360,"",0)</f>
        <v>300</v>
      </c>
      <c r="U7" s="6" t="s">
        <v>53</v>
      </c>
      <c r="V7" s="11">
        <f>_xlfn.SWITCH(U7,"Cours Co",300,"Cours Co 1h30",450,"Cours Co Etudiant",165,"Cours Co Etudiant 1h30",245.5,"ECompet 1h",150,"ECompet 2h",150,"EDT 2016 et avant",150,"EDT 2017-2018",150,"EDT 2019 à 2020",135,"Padel 165",165,"Padel 300",300,"Padel 360",360,"Entrainement",165,"",0)</f>
        <v>165</v>
      </c>
      <c r="W7" s="6" t="s">
        <v>45</v>
      </c>
      <c r="X7" s="11">
        <f>_xlfn.SWITCH(W7,"Oui",20,"Non",0,"",0)</f>
        <v>20</v>
      </c>
      <c r="Y7" s="8" t="s">
        <v>67</v>
      </c>
      <c r="Z7" s="183" t="s">
        <v>175</v>
      </c>
      <c r="AA7" s="177" t="s">
        <v>182</v>
      </c>
      <c r="AB7" s="6" t="s">
        <v>150</v>
      </c>
      <c r="AC7" s="6" t="s">
        <v>151</v>
      </c>
      <c r="AD7" s="83" t="s">
        <v>183</v>
      </c>
      <c r="AE7" s="10" t="s">
        <v>150</v>
      </c>
      <c r="AF7" s="6" t="s">
        <v>152</v>
      </c>
      <c r="AG7" s="83" t="s">
        <v>183</v>
      </c>
      <c r="AH7" s="6" t="s">
        <v>150</v>
      </c>
      <c r="AI7" s="6" t="s">
        <v>153</v>
      </c>
      <c r="AJ7" s="83" t="s">
        <v>183</v>
      </c>
      <c r="AK7" s="6" t="s">
        <v>150</v>
      </c>
      <c r="AL7" s="6" t="s">
        <v>154</v>
      </c>
      <c r="AM7" s="83" t="s">
        <v>175</v>
      </c>
      <c r="AN7" s="6" t="s">
        <v>67</v>
      </c>
      <c r="AO7" s="6" t="s">
        <v>67</v>
      </c>
      <c r="AP7" s="83" t="s">
        <v>175</v>
      </c>
      <c r="AQ7" t="s">
        <v>67</v>
      </c>
      <c r="AR7" s="5" t="s">
        <v>67</v>
      </c>
      <c r="AS7" s="6" t="s">
        <v>184</v>
      </c>
    </row>
    <row r="8" spans="1:45" ht="18.75" customHeight="1" x14ac:dyDescent="0.3">
      <c r="A8" s="6" t="s">
        <v>64</v>
      </c>
      <c r="B8" s="110" t="s">
        <v>194</v>
      </c>
      <c r="C8" t="s">
        <v>176</v>
      </c>
      <c r="D8" t="s">
        <v>176</v>
      </c>
      <c r="E8" s="6" t="s">
        <v>75</v>
      </c>
      <c r="F8" s="7">
        <v>31274</v>
      </c>
      <c r="G8" s="174">
        <f ca="1">DATEDIF(TAdhérents[[#This Row],[Date Nais]],TODAY(),"y")</f>
        <v>40</v>
      </c>
      <c r="H8" t="s">
        <v>67</v>
      </c>
      <c r="I8" s="6" t="s">
        <v>67</v>
      </c>
      <c r="J8" t="s">
        <v>67</v>
      </c>
      <c r="K8" s="9" t="s">
        <v>67</v>
      </c>
      <c r="L8" s="9" t="s">
        <v>67</v>
      </c>
      <c r="M8" s="170" t="s">
        <v>67</v>
      </c>
      <c r="N8" s="175" t="s">
        <v>67</v>
      </c>
      <c r="O8" s="13">
        <f>R8+T8+V8+X8+Z8</f>
        <v>680</v>
      </c>
      <c r="P8" s="14">
        <f>O8-AA8-AD8-AG8-AJ8-AM8-AP8</f>
        <v>0</v>
      </c>
      <c r="Q8" s="8" t="s">
        <v>52</v>
      </c>
      <c r="R8" s="11">
        <f>_xlfn.SWITCH(Q8,"Adulte",380,"Ménage",600,"Famille",800,"Etudiant",195,"Jeune 2016 et avant",130,"Jeune 2017-2018",80,"Jeune 2019 et 2020",50,"Parent",100,"Honoraire",120,"Licence Tennis",33,"Licence Padel",26,"",0)</f>
        <v>380</v>
      </c>
      <c r="S8" s="8" t="s">
        <v>67</v>
      </c>
      <c r="T8" s="11">
        <f>_xlfn.SWITCH(S8,"EDT 2016 et avant",150,"EDT 2017-2018",150,"EDT 2019 et 2020",135,"Padel 165",165,"Padel 300",300,"Padel 360",360,"",0)</f>
        <v>0</v>
      </c>
      <c r="U8" s="6" t="s">
        <v>100</v>
      </c>
      <c r="V8" s="11">
        <f>_xlfn.SWITCH(U8,"Cours Co",300,"Cours Co 1h30",450,"Cours Co Etudiant",165,"Cours Co Etudiant 1h30",245.5,"ECompet 1h",150,"ECompet 2h",150,"EDT 2016 et avant",150,"EDT 2017-2018",150,"EDT 2019 à 2020",135,"Padel 165",165,"Padel 300",300,"Padel 360",360,"Entrainement",165,"",0)</f>
        <v>300</v>
      </c>
      <c r="W8" s="6" t="s">
        <v>67</v>
      </c>
      <c r="X8" s="11">
        <f>_xlfn.SWITCH(W8,"Oui",20,"Non",0,"",0)</f>
        <v>0</v>
      </c>
      <c r="Y8" s="8" t="s">
        <v>67</v>
      </c>
      <c r="Z8" s="183" t="s">
        <v>175</v>
      </c>
      <c r="AA8" s="177" t="s">
        <v>177</v>
      </c>
      <c r="AB8" s="6" t="s">
        <v>47</v>
      </c>
      <c r="AC8" s="6" t="s">
        <v>67</v>
      </c>
      <c r="AD8" s="11" t="s">
        <v>175</v>
      </c>
      <c r="AE8" s="10" t="s">
        <v>67</v>
      </c>
      <c r="AF8" s="6" t="s">
        <v>67</v>
      </c>
      <c r="AG8" s="11" t="s">
        <v>175</v>
      </c>
      <c r="AH8" s="6" t="s">
        <v>67</v>
      </c>
      <c r="AI8" s="6" t="s">
        <v>67</v>
      </c>
      <c r="AJ8" s="11" t="s">
        <v>175</v>
      </c>
      <c r="AK8" s="6" t="s">
        <v>67</v>
      </c>
      <c r="AL8" s="6" t="s">
        <v>67</v>
      </c>
      <c r="AM8" s="11" t="s">
        <v>175</v>
      </c>
      <c r="AN8" s="6" t="s">
        <v>67</v>
      </c>
      <c r="AO8" s="6" t="s">
        <v>67</v>
      </c>
      <c r="AP8" s="11" t="s">
        <v>175</v>
      </c>
      <c r="AQ8" t="s">
        <v>67</v>
      </c>
      <c r="AR8" s="5" t="s">
        <v>67</v>
      </c>
      <c r="AS8" s="6" t="s">
        <v>67</v>
      </c>
    </row>
    <row r="9" spans="1:45" ht="18.75" customHeight="1" x14ac:dyDescent="0.3">
      <c r="A9" s="6" t="s">
        <v>64</v>
      </c>
      <c r="B9" s="110" t="s">
        <v>185</v>
      </c>
      <c r="C9" t="s">
        <v>186</v>
      </c>
      <c r="D9" t="s">
        <v>187</v>
      </c>
      <c r="E9" s="6" t="s">
        <v>75</v>
      </c>
      <c r="F9" s="7">
        <v>19614</v>
      </c>
      <c r="G9" s="174">
        <f ca="1">DATEDIF(TAdhérents[[#This Row],[Date Nais]],TODAY(),"y")</f>
        <v>72</v>
      </c>
      <c r="H9" t="s">
        <v>188</v>
      </c>
      <c r="I9" s="6" t="s">
        <v>189</v>
      </c>
      <c r="J9" t="s">
        <v>190</v>
      </c>
      <c r="K9" s="9" t="s">
        <v>191</v>
      </c>
      <c r="L9" s="9" t="s">
        <v>192</v>
      </c>
      <c r="M9" s="170" t="s">
        <v>193</v>
      </c>
      <c r="N9" s="175" t="s">
        <v>67</v>
      </c>
      <c r="O9" s="13" t="e">
        <f>R9+T9+V9+X9+Z9</f>
        <v>#VALUE!</v>
      </c>
      <c r="P9" s="14" t="e">
        <f>O9-AA9-AD9-AG9-AJ9-AM9-AP9</f>
        <v>#VALUE!</v>
      </c>
      <c r="Q9" s="8" t="s">
        <v>52</v>
      </c>
      <c r="R9" s="11">
        <f>_xlfn.SWITCH(Q9,"Adulte",380,"Ménage",600,"Famille",800,"Etudiant",195,"Jeune 2016 et avant",130,"Jeune 2017-2018",80,"Jeune 2019 et 2020",50,"Parent",100,"Honoraire",120,"Licence Tennis",33,"Licence Padel",26,"",0)</f>
        <v>380</v>
      </c>
      <c r="S9" s="8" t="s">
        <v>67</v>
      </c>
      <c r="T9" s="11">
        <f>_xlfn.SWITCH(S9,"EDT 2016 et avant",150,"EDT 2017-2018",150,"EDT 2019 et 2020",135,"Padel 165",165,"Padel 300",300,"Padel 360",360,"",0)</f>
        <v>0</v>
      </c>
      <c r="U9" s="6" t="s">
        <v>67</v>
      </c>
      <c r="V9" s="11">
        <f>_xlfn.SWITCH(U9,"Cours Co",300,"Cours Co 1h30",450,"Cours Co Etudiant",165,"Cours Co Etudiant 1h30",245.5,"ECompet 1h",150,"ECompet 2h",150,"EDT 2016 et avant",150,"EDT 2017-2018",150,"EDT 2019 à 2020",135,"Padel 165",165,"Padel 300",300,"Padel 360",360,"Entrainement",165,"",0)</f>
        <v>0</v>
      </c>
      <c r="W9" s="6" t="s">
        <v>67</v>
      </c>
      <c r="X9" s="11">
        <f>_xlfn.SWITCH(W9,"Oui",20,"Non",0,"",0)</f>
        <v>0</v>
      </c>
      <c r="Y9" s="8" t="s">
        <v>67</v>
      </c>
      <c r="Z9" s="183" t="s">
        <v>67</v>
      </c>
      <c r="AA9" s="177" t="s">
        <v>67</v>
      </c>
      <c r="AB9" s="6" t="s">
        <v>67</v>
      </c>
      <c r="AC9" s="6" t="s">
        <v>67</v>
      </c>
      <c r="AD9" s="11" t="s">
        <v>67</v>
      </c>
      <c r="AE9" s="10" t="s">
        <v>67</v>
      </c>
      <c r="AF9" s="6" t="s">
        <v>67</v>
      </c>
      <c r="AG9" s="11" t="s">
        <v>67</v>
      </c>
      <c r="AH9" s="6" t="s">
        <v>67</v>
      </c>
      <c r="AI9" s="6" t="s">
        <v>67</v>
      </c>
      <c r="AJ9" s="11" t="s">
        <v>67</v>
      </c>
      <c r="AK9" s="6" t="s">
        <v>67</v>
      </c>
      <c r="AL9" s="6" t="s">
        <v>67</v>
      </c>
      <c r="AM9" s="11" t="s">
        <v>67</v>
      </c>
      <c r="AN9" s="6" t="s">
        <v>67</v>
      </c>
      <c r="AO9" s="6" t="s">
        <v>67</v>
      </c>
      <c r="AP9" s="11" t="s">
        <v>67</v>
      </c>
      <c r="AQ9" t="s">
        <v>67</v>
      </c>
      <c r="AR9" s="5" t="s">
        <v>67</v>
      </c>
      <c r="AS9" s="6" t="s">
        <v>184</v>
      </c>
    </row>
    <row r="10" spans="1:45" ht="18.75" customHeight="1" x14ac:dyDescent="0.3">
      <c r="B10" s="110"/>
    </row>
    <row r="11" spans="1:45" ht="18.75" customHeight="1" x14ac:dyDescent="0.3">
      <c r="B11" s="110"/>
    </row>
    <row r="12" spans="1:45" ht="18.75" customHeight="1" x14ac:dyDescent="0.3">
      <c r="B12" s="110"/>
      <c r="L12"/>
      <c r="M12" s="9"/>
      <c r="N12"/>
      <c r="O12" s="9"/>
      <c r="P12"/>
      <c r="Q12" s="9"/>
      <c r="R12"/>
      <c r="S12" s="9"/>
      <c r="T12"/>
      <c r="U12" s="9"/>
      <c r="V12"/>
      <c r="W12" s="9"/>
      <c r="X12"/>
      <c r="Y12" s="9"/>
      <c r="Z12"/>
      <c r="AA12" s="9"/>
      <c r="AB12"/>
      <c r="AC12" s="9"/>
      <c r="AD12"/>
      <c r="AE12" s="9"/>
      <c r="AF12"/>
      <c r="AG12" s="9"/>
      <c r="AH12"/>
      <c r="AI12" s="9"/>
      <c r="AJ12">
        <v>36</v>
      </c>
      <c r="AK12" s="9">
        <v>37</v>
      </c>
      <c r="AL12"/>
      <c r="AM12" s="9"/>
      <c r="AN12"/>
      <c r="AO12" s="9"/>
      <c r="AP12"/>
      <c r="AQ12" s="9"/>
      <c r="AR12"/>
    </row>
    <row r="13" spans="1:45" ht="18.75" customHeight="1" x14ac:dyDescent="0.3">
      <c r="B13" s="110"/>
    </row>
    <row r="14" spans="1:45" ht="18.75" customHeight="1" x14ac:dyDescent="0.3">
      <c r="B14" s="110"/>
      <c r="G14" s="6" t="s">
        <v>170</v>
      </c>
    </row>
    <row r="15" spans="1:45" ht="18.75" customHeight="1" x14ac:dyDescent="0.3">
      <c r="B15" s="110"/>
      <c r="G15" s="173">
        <f ca="1">AVERAGE(G7:G14)</f>
        <v>44</v>
      </c>
    </row>
    <row r="16" spans="1:45" ht="18.75" customHeight="1" x14ac:dyDescent="0.3">
      <c r="B16" s="110"/>
    </row>
    <row r="17" spans="1:45" ht="18.75" customHeight="1" x14ac:dyDescent="0.25">
      <c r="A17" s="5"/>
      <c r="B17" s="111" t="s">
        <v>120</v>
      </c>
      <c r="C17" s="66"/>
      <c r="D17" s="112"/>
      <c r="E17" s="5"/>
      <c r="F17" s="5" t="s">
        <v>117</v>
      </c>
      <c r="G17" s="5"/>
      <c r="H17" s="113" t="s">
        <v>118</v>
      </c>
      <c r="I17" s="114"/>
      <c r="J17" s="66"/>
      <c r="K17" s="115"/>
      <c r="L17" s="115"/>
      <c r="M17" s="116"/>
      <c r="N17" s="5"/>
      <c r="O17" s="117"/>
      <c r="P17" s="117"/>
      <c r="Q17" s="114"/>
      <c r="R17" s="118"/>
      <c r="S17" s="114"/>
      <c r="T17" s="118"/>
      <c r="U17" s="5"/>
      <c r="V17" s="118"/>
      <c r="W17" s="5"/>
      <c r="X17" s="118"/>
      <c r="Y17" s="114"/>
      <c r="Z17" s="119"/>
      <c r="AA17" s="178"/>
      <c r="AB17" s="5"/>
      <c r="AC17" s="5"/>
      <c r="AD17" s="118"/>
      <c r="AE17" s="120"/>
      <c r="AF17" s="5"/>
      <c r="AG17" s="119"/>
      <c r="AH17" s="5"/>
      <c r="AI17" s="5"/>
      <c r="AJ17" s="119"/>
      <c r="AK17" s="5"/>
      <c r="AL17" s="5"/>
      <c r="AM17" s="118"/>
      <c r="AN17" s="5"/>
      <c r="AO17" s="5"/>
      <c r="AP17" s="118"/>
      <c r="AQ17" s="66"/>
      <c r="AS17" s="66"/>
    </row>
    <row r="18" spans="1:45" s="66" customFormat="1" ht="22.5" customHeight="1" x14ac:dyDescent="0.35">
      <c r="A18" s="70"/>
      <c r="B18" s="90"/>
      <c r="C18"/>
      <c r="D18" s="90"/>
      <c r="E18" s="89"/>
      <c r="F18" s="91">
        <f>COUNTIF(Adhérents!F7:F9,"&lt;"&amp;F21)</f>
        <v>0</v>
      </c>
      <c r="G18" s="89"/>
      <c r="H18" s="90"/>
      <c r="I18" s="88"/>
      <c r="J18" s="90"/>
      <c r="K18" s="92"/>
      <c r="L18" s="92"/>
      <c r="M18" s="88"/>
      <c r="N18" s="89"/>
      <c r="O18" s="84"/>
      <c r="P18" s="84"/>
      <c r="Q18" s="88"/>
      <c r="R18" s="93"/>
      <c r="S18" s="88"/>
      <c r="T18" s="93"/>
      <c r="U18" s="89"/>
      <c r="V18" s="93"/>
      <c r="W18" s="89"/>
      <c r="X18" s="93"/>
      <c r="Y18" s="88"/>
      <c r="Z18" s="94"/>
      <c r="AA18" s="179"/>
      <c r="AB18" s="89"/>
      <c r="AC18" s="89"/>
      <c r="AD18" s="93"/>
      <c r="AE18" s="95"/>
      <c r="AF18" s="70"/>
      <c r="AG18" s="94"/>
      <c r="AH18" s="89"/>
      <c r="AI18" s="89"/>
      <c r="AJ18" s="94"/>
      <c r="AK18" s="89"/>
      <c r="AL18" s="89"/>
      <c r="AM18" s="93"/>
      <c r="AN18" s="89"/>
      <c r="AO18" s="89"/>
      <c r="AP18" s="93"/>
      <c r="AQ18" s="70"/>
      <c r="AR18" s="70"/>
      <c r="AS18" s="70"/>
    </row>
    <row r="19" spans="1:45" s="70" customFormat="1" ht="18.75" customHeight="1" x14ac:dyDescent="0.35">
      <c r="B19" s="70" t="s">
        <v>113</v>
      </c>
      <c r="D19" s="97"/>
      <c r="E19" s="69"/>
      <c r="F19" s="69"/>
      <c r="G19" s="69"/>
      <c r="I19" s="71"/>
      <c r="K19" s="72"/>
      <c r="L19" s="72"/>
      <c r="M19" s="172" t="e">
        <f>SUM(O7:O9)</f>
        <v>#VALUE!</v>
      </c>
      <c r="N19" s="105"/>
      <c r="O19" s="106">
        <f>AA19+AD19+AG19+AJ19+AM19+AP19</f>
        <v>0</v>
      </c>
      <c r="P19" s="121" t="e">
        <f>SUM(P7:P9)</f>
        <v>#VALUE!</v>
      </c>
      <c r="Q19" s="71"/>
      <c r="R19" s="12">
        <f>SUM(R7:R9)</f>
        <v>955</v>
      </c>
      <c r="S19" s="73"/>
      <c r="T19" s="12">
        <f>SUM(T7:T9)</f>
        <v>300</v>
      </c>
      <c r="U19" s="73"/>
      <c r="V19" s="12">
        <f>SUM(V7:V9)</f>
        <v>465</v>
      </c>
      <c r="W19" s="73"/>
      <c r="X19" s="12">
        <f>SUM(X7:X9)</f>
        <v>20</v>
      </c>
      <c r="Y19" s="73"/>
      <c r="Z19" s="12">
        <f>SUM(Z7:Z9)</f>
        <v>0</v>
      </c>
      <c r="AA19" s="180">
        <f>SUM(AA7:AA9)</f>
        <v>0</v>
      </c>
      <c r="AB19" s="73"/>
      <c r="AC19" s="73"/>
      <c r="AD19" s="12">
        <f>SUM(AD7:AD9)</f>
        <v>0</v>
      </c>
      <c r="AE19" s="74"/>
      <c r="AF19" s="69"/>
      <c r="AG19" s="12">
        <f>SUM(AG7:AG9)</f>
        <v>0</v>
      </c>
      <c r="AH19" s="69"/>
      <c r="AI19" s="69"/>
      <c r="AJ19" s="12">
        <f>SUM(AJ7:AJ9)</f>
        <v>0</v>
      </c>
      <c r="AK19" s="69"/>
      <c r="AL19" s="69"/>
      <c r="AM19" s="12">
        <f>SUM(AM7:AM9)</f>
        <v>0</v>
      </c>
      <c r="AN19" s="69"/>
      <c r="AO19" s="69"/>
      <c r="AP19" s="12">
        <f>SUM(AP7:AP9)</f>
        <v>0</v>
      </c>
    </row>
    <row r="20" spans="1:45" s="70" customFormat="1" ht="23.25" x14ac:dyDescent="0.35">
      <c r="B20" s="70" t="s">
        <v>110</v>
      </c>
      <c r="D20" s="98"/>
      <c r="E20" s="69"/>
      <c r="F20" s="69"/>
      <c r="G20" s="69"/>
      <c r="I20" s="71"/>
      <c r="K20" s="72"/>
      <c r="L20" s="72"/>
      <c r="M20" s="107"/>
      <c r="N20" s="105"/>
      <c r="O20" s="108"/>
      <c r="P20" s="108"/>
      <c r="Q20" s="71"/>
      <c r="R20" s="75"/>
      <c r="S20" s="71"/>
      <c r="T20" s="75"/>
      <c r="U20" s="69"/>
      <c r="V20" s="75"/>
      <c r="W20" s="69"/>
      <c r="X20" s="75"/>
      <c r="Y20" s="71"/>
      <c r="Z20" s="79"/>
      <c r="AA20" s="181"/>
      <c r="AB20" s="69"/>
      <c r="AC20" s="69"/>
      <c r="AD20" s="75"/>
      <c r="AE20" s="74"/>
      <c r="AF20" s="69"/>
      <c r="AG20" s="79"/>
      <c r="AH20" s="69"/>
      <c r="AI20" s="69"/>
      <c r="AJ20" s="79"/>
      <c r="AK20" s="69"/>
      <c r="AL20" s="69"/>
      <c r="AM20" s="75"/>
      <c r="AN20" s="69"/>
      <c r="AO20" s="69"/>
      <c r="AP20" s="75"/>
    </row>
    <row r="21" spans="1:45" s="70" customFormat="1" ht="23.25" x14ac:dyDescent="0.35">
      <c r="B21" s="70" t="s">
        <v>61</v>
      </c>
      <c r="D21" s="100"/>
      <c r="E21" s="69"/>
      <c r="F21" s="85"/>
      <c r="G21" s="69"/>
      <c r="I21" s="71"/>
      <c r="K21" s="72"/>
      <c r="L21" s="72"/>
      <c r="M21" s="107"/>
      <c r="N21" s="105"/>
      <c r="O21" s="109"/>
      <c r="P21" s="109"/>
      <c r="Q21" s="73"/>
      <c r="AA21" s="182"/>
      <c r="AF21" s="69"/>
    </row>
    <row r="22" spans="1:45" s="70" customFormat="1" ht="23.25" x14ac:dyDescent="0.35">
      <c r="B22" s="70" t="s">
        <v>111</v>
      </c>
      <c r="D22" s="104"/>
      <c r="E22" s="69"/>
      <c r="F22" s="69"/>
      <c r="G22" s="69"/>
      <c r="I22" s="71"/>
      <c r="K22" s="72"/>
      <c r="L22" s="72"/>
      <c r="M22" s="107"/>
      <c r="N22" s="105"/>
      <c r="O22" s="108"/>
      <c r="P22" s="108"/>
      <c r="Q22" s="71"/>
      <c r="R22" s="75" t="e">
        <f>M19-R19-T19-V19-X19-Z19</f>
        <v>#VALUE!</v>
      </c>
      <c r="S22" s="71"/>
      <c r="T22" s="75"/>
      <c r="U22" s="69"/>
      <c r="V22" s="75"/>
      <c r="W22" s="69"/>
      <c r="X22" s="75"/>
      <c r="Y22" s="71"/>
      <c r="Z22" s="79"/>
      <c r="AA22" s="181"/>
      <c r="AB22" s="69"/>
      <c r="AC22" s="69"/>
      <c r="AD22" s="75"/>
      <c r="AE22" s="74"/>
      <c r="AF22" s="69"/>
      <c r="AG22" s="79"/>
      <c r="AH22" s="69"/>
      <c r="AI22" s="69"/>
      <c r="AJ22" s="79"/>
      <c r="AK22" s="69"/>
      <c r="AL22" s="69"/>
      <c r="AM22" s="75"/>
      <c r="AN22" s="69"/>
      <c r="AO22" s="69"/>
      <c r="AP22" s="75"/>
    </row>
    <row r="23" spans="1:45" s="70" customFormat="1" ht="23.25" x14ac:dyDescent="0.35">
      <c r="B23" s="70" t="s">
        <v>157</v>
      </c>
      <c r="D23" s="102"/>
      <c r="E23" s="69"/>
      <c r="F23" s="69"/>
      <c r="G23" s="69"/>
      <c r="I23" s="71"/>
      <c r="K23" s="72"/>
      <c r="L23" s="72"/>
      <c r="M23" s="107"/>
      <c r="N23" s="105"/>
      <c r="O23" s="108"/>
      <c r="P23" s="108"/>
      <c r="Q23" s="71"/>
      <c r="R23" s="75"/>
      <c r="S23" s="71"/>
      <c r="T23" s="75"/>
      <c r="U23" s="69"/>
      <c r="V23" s="75"/>
      <c r="W23" s="69"/>
      <c r="X23" s="75"/>
      <c r="Y23" s="71"/>
      <c r="Z23" s="79"/>
      <c r="AA23" s="181"/>
      <c r="AB23" s="69"/>
      <c r="AC23" s="69"/>
      <c r="AD23" s="75"/>
      <c r="AE23" s="74"/>
      <c r="AF23" s="69"/>
      <c r="AG23" s="79"/>
      <c r="AH23" s="69"/>
      <c r="AI23" s="69"/>
      <c r="AJ23" s="79"/>
      <c r="AK23" s="69"/>
      <c r="AL23" s="69"/>
      <c r="AM23" s="75"/>
      <c r="AN23" s="69"/>
      <c r="AO23" s="69"/>
      <c r="AP23" s="75"/>
    </row>
    <row r="24" spans="1:45" s="70" customFormat="1" ht="23.25" x14ac:dyDescent="0.35">
      <c r="E24" s="69"/>
      <c r="F24" s="69"/>
      <c r="G24" s="69"/>
      <c r="I24" s="71"/>
      <c r="K24" s="72"/>
      <c r="L24" s="72"/>
      <c r="M24" s="107"/>
      <c r="N24" s="105"/>
      <c r="O24" s="108"/>
      <c r="P24" s="108"/>
      <c r="Q24" s="71"/>
      <c r="R24" s="75"/>
      <c r="S24" s="71"/>
      <c r="T24" s="75"/>
      <c r="U24" s="69"/>
      <c r="V24" s="75"/>
      <c r="W24" s="69"/>
      <c r="X24" s="75"/>
      <c r="Y24" s="71"/>
      <c r="Z24" s="79"/>
      <c r="AA24" s="181"/>
      <c r="AB24" s="69"/>
      <c r="AC24" s="69"/>
      <c r="AD24" s="75"/>
      <c r="AE24" s="74"/>
      <c r="AF24" s="69"/>
      <c r="AG24" s="79"/>
      <c r="AH24" s="69"/>
      <c r="AI24" s="69"/>
      <c r="AJ24" s="79"/>
      <c r="AK24" s="69"/>
      <c r="AL24" s="69"/>
      <c r="AM24" s="75"/>
      <c r="AN24" s="69"/>
      <c r="AO24" s="69"/>
      <c r="AP24" s="75"/>
    </row>
    <row r="25" spans="1:45" s="70" customFormat="1" ht="23.25" x14ac:dyDescent="0.35">
      <c r="D25" s="80">
        <f>COUNTIFS(Adhérents!E6:E221,"M")+COUNTIFS(Adhérents!E6:E221,"F")-D23</f>
        <v>3</v>
      </c>
      <c r="E25" s="70" t="s">
        <v>112</v>
      </c>
      <c r="F25" s="69"/>
      <c r="G25" s="69"/>
      <c r="I25" s="71"/>
      <c r="K25" s="72"/>
      <c r="L25" s="72"/>
      <c r="M25" s="107"/>
      <c r="N25" s="105"/>
      <c r="O25" s="108"/>
      <c r="P25" s="108"/>
      <c r="Q25" s="71"/>
      <c r="R25" s="75"/>
      <c r="S25" s="71"/>
      <c r="T25" s="75"/>
      <c r="U25" s="69"/>
      <c r="V25" s="75"/>
      <c r="W25" s="69"/>
      <c r="X25" s="75"/>
      <c r="Y25" s="71"/>
      <c r="Z25" s="79"/>
      <c r="AA25" s="181"/>
      <c r="AB25" s="69"/>
      <c r="AC25" s="69"/>
      <c r="AD25" s="75"/>
      <c r="AE25" s="74"/>
      <c r="AF25" s="69"/>
      <c r="AG25" s="79"/>
      <c r="AH25" s="69"/>
      <c r="AI25" s="69"/>
      <c r="AJ25" s="79"/>
      <c r="AK25" s="69"/>
      <c r="AL25" s="69"/>
      <c r="AM25" s="75"/>
      <c r="AN25" s="69"/>
      <c r="AO25" s="69"/>
      <c r="AP25" s="75"/>
    </row>
    <row r="26" spans="1:45" s="70" customFormat="1" ht="23.25" x14ac:dyDescent="0.35">
      <c r="D26" s="103">
        <f>COUNTIFS(Adhérents!E6:E221,"M")+COUNTIFS(Adhérents!E6:E221,"F")-D20-D23</f>
        <v>3</v>
      </c>
      <c r="E26" s="70" t="s">
        <v>116</v>
      </c>
      <c r="F26" s="69"/>
      <c r="G26" s="69"/>
      <c r="I26" s="71"/>
      <c r="K26" s="72"/>
      <c r="L26" s="72"/>
      <c r="M26" s="107"/>
      <c r="N26" s="105"/>
      <c r="O26" s="108"/>
      <c r="P26" s="108"/>
      <c r="Q26" s="71"/>
      <c r="R26" s="75"/>
      <c r="S26" s="71"/>
      <c r="T26" s="75"/>
      <c r="U26" s="69"/>
      <c r="V26" s="75"/>
      <c r="W26" s="69"/>
      <c r="X26" s="75"/>
      <c r="Y26" s="71"/>
      <c r="Z26" s="79"/>
      <c r="AA26" s="181"/>
      <c r="AB26" s="69"/>
      <c r="AC26" s="69"/>
      <c r="AD26" s="75"/>
      <c r="AE26" s="74"/>
      <c r="AF26" s="69"/>
      <c r="AG26" s="79"/>
      <c r="AH26" s="69"/>
      <c r="AI26" s="69"/>
      <c r="AJ26" s="79"/>
      <c r="AK26" s="69"/>
      <c r="AL26" s="69"/>
      <c r="AM26" s="75"/>
      <c r="AN26" s="69"/>
      <c r="AO26" s="69"/>
      <c r="AP26" s="75"/>
    </row>
    <row r="27" spans="1:45" s="70" customFormat="1" ht="23.25" x14ac:dyDescent="0.35">
      <c r="D27" s="80">
        <f>COUNTIFS(Adhérents!E6:E221,"M")+COUNTIFS(Adhérents!E6:E221,"F")-D19-D21</f>
        <v>3</v>
      </c>
      <c r="E27" s="70" t="s">
        <v>114</v>
      </c>
      <c r="F27" s="69"/>
      <c r="G27" s="69"/>
      <c r="I27" s="71"/>
      <c r="K27" s="72"/>
      <c r="L27" s="72"/>
      <c r="M27" s="107"/>
      <c r="N27" s="105"/>
      <c r="O27" s="108"/>
      <c r="P27" s="108"/>
      <c r="Q27" s="71"/>
      <c r="R27" s="75"/>
      <c r="S27" s="71"/>
      <c r="T27" s="75"/>
      <c r="U27" s="69"/>
      <c r="V27" s="75"/>
      <c r="W27" s="69"/>
      <c r="X27" s="75"/>
      <c r="Y27" s="71"/>
      <c r="Z27" s="79"/>
      <c r="AA27" s="181"/>
      <c r="AB27" s="69"/>
      <c r="AC27" s="69"/>
      <c r="AD27" s="75"/>
      <c r="AE27" s="74"/>
      <c r="AF27" s="69"/>
      <c r="AG27" s="79"/>
      <c r="AH27" s="69"/>
      <c r="AI27" s="69"/>
      <c r="AJ27" s="79"/>
      <c r="AK27" s="69"/>
      <c r="AL27" s="69"/>
      <c r="AM27" s="75"/>
      <c r="AN27" s="69"/>
      <c r="AO27" s="69"/>
      <c r="AP27" s="75"/>
    </row>
    <row r="28" spans="1:45" s="70" customFormat="1" ht="23.25" x14ac:dyDescent="0.35">
      <c r="D28" s="101">
        <f>COUNTIFS(Adhérents!E6:E221,"M")+COUNTIFS(Adhérents!E6:E221,"F")-D19-D21-D23</f>
        <v>3</v>
      </c>
      <c r="E28" s="70" t="s">
        <v>115</v>
      </c>
      <c r="F28" s="69"/>
      <c r="G28" s="69"/>
      <c r="I28" s="71"/>
      <c r="K28" s="72"/>
      <c r="L28" s="72"/>
      <c r="M28" s="107"/>
      <c r="N28" s="105"/>
      <c r="O28" s="108"/>
      <c r="P28" s="108"/>
      <c r="Q28" s="71"/>
      <c r="R28" s="75"/>
      <c r="S28" s="71"/>
      <c r="T28" s="75"/>
      <c r="U28" s="69"/>
      <c r="V28" s="75"/>
      <c r="W28" s="69"/>
      <c r="X28" s="75"/>
      <c r="Y28" s="71"/>
      <c r="Z28" s="79"/>
      <c r="AA28" s="181"/>
      <c r="AB28" s="69"/>
      <c r="AC28" s="69"/>
      <c r="AD28" s="75"/>
      <c r="AE28" s="74"/>
      <c r="AF28" s="69"/>
      <c r="AG28" s="79"/>
      <c r="AH28" s="69"/>
      <c r="AI28" s="69"/>
      <c r="AJ28" s="79"/>
      <c r="AK28" s="69"/>
      <c r="AL28" s="69"/>
      <c r="AM28" s="75"/>
      <c r="AN28" s="69"/>
      <c r="AO28" s="69"/>
      <c r="AP28" s="75"/>
    </row>
    <row r="29" spans="1:45" s="70" customFormat="1" ht="23.25" x14ac:dyDescent="0.35">
      <c r="A29" s="6"/>
      <c r="B29"/>
      <c r="C29"/>
      <c r="D29"/>
      <c r="E29" s="6"/>
      <c r="F29" s="6"/>
      <c r="G29" s="6"/>
      <c r="H29"/>
      <c r="I29" s="8"/>
      <c r="J29"/>
      <c r="K29" s="9"/>
      <c r="L29" s="9"/>
      <c r="M29" s="107"/>
      <c r="N29" s="105"/>
      <c r="O29" s="108"/>
      <c r="P29" s="108"/>
      <c r="Q29" s="8"/>
      <c r="R29" s="11"/>
      <c r="S29" s="8"/>
      <c r="T29" s="11"/>
      <c r="U29" s="6"/>
      <c r="V29" s="11"/>
      <c r="W29" s="6"/>
      <c r="X29" s="11"/>
      <c r="Y29" s="8"/>
      <c r="Z29" s="77"/>
      <c r="AA29" s="177"/>
      <c r="AB29" s="6"/>
      <c r="AC29" s="6"/>
      <c r="AD29" s="11"/>
      <c r="AE29" s="10"/>
      <c r="AF29" s="6"/>
      <c r="AG29" s="77"/>
      <c r="AH29" s="6"/>
      <c r="AI29" s="6"/>
      <c r="AJ29" s="77"/>
      <c r="AK29" s="6"/>
      <c r="AL29" s="6"/>
      <c r="AM29" s="11"/>
      <c r="AN29" s="6"/>
      <c r="AO29" s="6"/>
      <c r="AP29" s="11"/>
      <c r="AQ29"/>
      <c r="AR29" s="5"/>
      <c r="AS29"/>
    </row>
    <row r="30" spans="1:45" ht="21" x14ac:dyDescent="0.35">
      <c r="M30" s="107"/>
      <c r="N30" s="105"/>
      <c r="O30" s="108"/>
      <c r="P30" s="108"/>
    </row>
    <row r="31" spans="1:45" ht="21" x14ac:dyDescent="0.35">
      <c r="M31" s="107"/>
      <c r="N31" s="105"/>
      <c r="O31" s="108"/>
      <c r="P31" s="108"/>
    </row>
    <row r="32" spans="1:45" ht="21" x14ac:dyDescent="0.35">
      <c r="M32" s="107"/>
      <c r="N32" s="105"/>
      <c r="O32" s="108"/>
      <c r="P32" s="108"/>
    </row>
    <row r="33" spans="13:16" ht="21" x14ac:dyDescent="0.35">
      <c r="M33" s="107"/>
      <c r="N33" s="105"/>
      <c r="O33" s="108"/>
      <c r="P33" s="108"/>
    </row>
    <row r="34" spans="13:16" ht="21" x14ac:dyDescent="0.35">
      <c r="M34" s="107"/>
      <c r="N34" s="105"/>
      <c r="O34" s="108"/>
      <c r="P34" s="108"/>
    </row>
    <row r="35" spans="13:16" ht="21" x14ac:dyDescent="0.35">
      <c r="M35" s="107"/>
      <c r="N35" s="105"/>
      <c r="O35" s="108"/>
      <c r="P35" s="108"/>
    </row>
    <row r="36" spans="13:16" ht="21" x14ac:dyDescent="0.35">
      <c r="M36" s="107"/>
      <c r="N36" s="105"/>
      <c r="O36" s="108"/>
      <c r="P36" s="108"/>
    </row>
    <row r="37" spans="13:16" ht="21" x14ac:dyDescent="0.35">
      <c r="M37" s="107"/>
      <c r="N37" s="105"/>
      <c r="O37" s="108"/>
      <c r="P37" s="108"/>
    </row>
    <row r="38" spans="13:16" ht="21" x14ac:dyDescent="0.35">
      <c r="M38" s="107"/>
      <c r="N38" s="105"/>
      <c r="O38" s="108"/>
      <c r="P38" s="108"/>
    </row>
    <row r="39" spans="13:16" ht="21" x14ac:dyDescent="0.35">
      <c r="M39" s="107"/>
      <c r="N39" s="105"/>
      <c r="O39" s="108"/>
      <c r="P39" s="108"/>
    </row>
    <row r="40" spans="13:16" ht="21" x14ac:dyDescent="0.35">
      <c r="M40" s="107"/>
      <c r="N40" s="105"/>
      <c r="O40" s="108"/>
      <c r="P40" s="108"/>
    </row>
    <row r="41" spans="13:16" ht="21" x14ac:dyDescent="0.35">
      <c r="M41" s="107"/>
      <c r="N41" s="105"/>
      <c r="O41" s="108"/>
      <c r="P41" s="108"/>
    </row>
    <row r="42" spans="13:16" ht="21" x14ac:dyDescent="0.35">
      <c r="M42" s="107"/>
      <c r="N42" s="105"/>
      <c r="O42" s="108"/>
      <c r="P42" s="108"/>
    </row>
    <row r="43" spans="13:16" ht="21" x14ac:dyDescent="0.35">
      <c r="M43" s="107"/>
      <c r="N43" s="105"/>
      <c r="O43" s="108"/>
      <c r="P43" s="108"/>
    </row>
    <row r="44" spans="13:16" ht="21" x14ac:dyDescent="0.35">
      <c r="M44" s="107"/>
      <c r="N44" s="105"/>
      <c r="O44" s="108"/>
      <c r="P44" s="108"/>
    </row>
    <row r="45" spans="13:16" ht="21" x14ac:dyDescent="0.35">
      <c r="M45" s="107"/>
      <c r="N45" s="105"/>
      <c r="O45" s="108"/>
      <c r="P45" s="108"/>
    </row>
    <row r="46" spans="13:16" ht="21" x14ac:dyDescent="0.35">
      <c r="M46" s="107"/>
      <c r="N46" s="105"/>
      <c r="O46" s="108"/>
      <c r="P46" s="108"/>
    </row>
    <row r="47" spans="13:16" ht="21" x14ac:dyDescent="0.35">
      <c r="M47" s="107"/>
      <c r="N47" s="105"/>
      <c r="O47" s="108"/>
      <c r="P47" s="108"/>
    </row>
    <row r="48" spans="13:16" ht="21" x14ac:dyDescent="0.35">
      <c r="M48" s="107"/>
      <c r="N48" s="105"/>
      <c r="O48" s="108"/>
      <c r="P48" s="108"/>
    </row>
    <row r="49" spans="13:16" ht="21" x14ac:dyDescent="0.35">
      <c r="M49" s="107"/>
      <c r="N49" s="105"/>
      <c r="O49" s="108"/>
      <c r="P49" s="108"/>
    </row>
    <row r="50" spans="13:16" ht="21" x14ac:dyDescent="0.35">
      <c r="M50" s="107"/>
      <c r="N50" s="105"/>
      <c r="O50" s="108"/>
      <c r="P50" s="108"/>
    </row>
    <row r="51" spans="13:16" ht="21" x14ac:dyDescent="0.35">
      <c r="M51" s="107"/>
      <c r="N51" s="105"/>
      <c r="O51" s="108"/>
      <c r="P51" s="108"/>
    </row>
    <row r="52" spans="13:16" ht="21" x14ac:dyDescent="0.35">
      <c r="M52" s="107"/>
      <c r="N52" s="105"/>
      <c r="O52" s="108"/>
      <c r="P52" s="108"/>
    </row>
    <row r="53" spans="13:16" ht="21" x14ac:dyDescent="0.35">
      <c r="M53" s="107"/>
      <c r="N53" s="105"/>
      <c r="O53" s="108"/>
      <c r="P53" s="108"/>
    </row>
    <row r="54" spans="13:16" ht="21" x14ac:dyDescent="0.35">
      <c r="M54" s="107"/>
      <c r="N54" s="105"/>
      <c r="O54" s="108"/>
      <c r="P54" s="108"/>
    </row>
    <row r="55" spans="13:16" ht="21" x14ac:dyDescent="0.35">
      <c r="M55" s="107"/>
      <c r="N55" s="105"/>
      <c r="O55" s="108"/>
      <c r="P55" s="108"/>
    </row>
    <row r="56" spans="13:16" ht="21" x14ac:dyDescent="0.35">
      <c r="M56" s="107"/>
      <c r="N56" s="105"/>
      <c r="O56" s="108"/>
      <c r="P56" s="108"/>
    </row>
    <row r="57" spans="13:16" ht="21" x14ac:dyDescent="0.35">
      <c r="M57" s="107"/>
      <c r="N57" s="105"/>
      <c r="O57" s="108"/>
      <c r="P57" s="108"/>
    </row>
    <row r="58" spans="13:16" ht="21" x14ac:dyDescent="0.35">
      <c r="M58" s="107"/>
      <c r="N58" s="105"/>
      <c r="O58" s="108"/>
      <c r="P58" s="108"/>
    </row>
    <row r="59" spans="13:16" ht="21" x14ac:dyDescent="0.35">
      <c r="M59" s="107"/>
      <c r="N59" s="105"/>
      <c r="O59" s="108"/>
      <c r="P59" s="108"/>
    </row>
    <row r="60" spans="13:16" ht="21" x14ac:dyDescent="0.35">
      <c r="M60" s="107"/>
      <c r="N60" s="105"/>
      <c r="O60" s="108"/>
      <c r="P60" s="108"/>
    </row>
    <row r="61" spans="13:16" ht="21" x14ac:dyDescent="0.35">
      <c r="M61" s="107"/>
      <c r="N61" s="105"/>
      <c r="O61" s="108"/>
      <c r="P61" s="108"/>
    </row>
    <row r="62" spans="13:16" ht="21" x14ac:dyDescent="0.35">
      <c r="M62" s="107"/>
      <c r="N62" s="105"/>
      <c r="O62" s="108"/>
      <c r="P62" s="108"/>
    </row>
    <row r="63" spans="13:16" ht="21" x14ac:dyDescent="0.35">
      <c r="M63" s="107"/>
      <c r="N63" s="105"/>
      <c r="O63" s="108"/>
      <c r="P63" s="108"/>
    </row>
    <row r="64" spans="13:16" ht="21" x14ac:dyDescent="0.35">
      <c r="M64" s="107"/>
      <c r="N64" s="105"/>
      <c r="O64" s="108"/>
      <c r="P64" s="108"/>
    </row>
    <row r="65" spans="13:16" ht="21" x14ac:dyDescent="0.35">
      <c r="M65" s="107"/>
      <c r="N65" s="105"/>
      <c r="O65" s="108"/>
      <c r="P65" s="108"/>
    </row>
    <row r="66" spans="13:16" ht="21" x14ac:dyDescent="0.35">
      <c r="M66" s="107"/>
      <c r="N66" s="105"/>
      <c r="O66" s="108"/>
      <c r="P66" s="108"/>
    </row>
    <row r="67" spans="13:16" ht="21" x14ac:dyDescent="0.35">
      <c r="M67" s="107"/>
      <c r="N67" s="105"/>
      <c r="O67" s="108"/>
      <c r="P67" s="108"/>
    </row>
    <row r="68" spans="13:16" ht="21" x14ac:dyDescent="0.35">
      <c r="M68" s="107"/>
      <c r="N68" s="105"/>
      <c r="O68" s="108"/>
      <c r="P68" s="108"/>
    </row>
    <row r="69" spans="13:16" ht="21" x14ac:dyDescent="0.35">
      <c r="M69" s="107"/>
      <c r="N69" s="105"/>
      <c r="O69" s="108"/>
      <c r="P69" s="108"/>
    </row>
    <row r="70" spans="13:16" ht="21" x14ac:dyDescent="0.35">
      <c r="M70" s="107"/>
      <c r="N70" s="105"/>
      <c r="O70" s="108"/>
      <c r="P70" s="108"/>
    </row>
    <row r="71" spans="13:16" ht="21" x14ac:dyDescent="0.35">
      <c r="M71" s="107"/>
      <c r="N71" s="105"/>
      <c r="O71" s="108"/>
      <c r="P71" s="108"/>
    </row>
    <row r="72" spans="13:16" ht="21" x14ac:dyDescent="0.35">
      <c r="M72" s="107"/>
      <c r="N72" s="105"/>
      <c r="O72" s="108"/>
      <c r="P72" s="108"/>
    </row>
    <row r="73" spans="13:16" ht="21" x14ac:dyDescent="0.35">
      <c r="M73" s="107"/>
      <c r="N73" s="105"/>
      <c r="O73" s="108"/>
      <c r="P73" s="108"/>
    </row>
    <row r="74" spans="13:16" ht="21" x14ac:dyDescent="0.35">
      <c r="M74" s="107"/>
      <c r="N74" s="105"/>
      <c r="O74" s="108"/>
      <c r="P74" s="108"/>
    </row>
    <row r="75" spans="13:16" ht="21" x14ac:dyDescent="0.35">
      <c r="M75" s="107"/>
      <c r="N75" s="105"/>
      <c r="O75" s="108"/>
      <c r="P75" s="108"/>
    </row>
    <row r="76" spans="13:16" ht="21" x14ac:dyDescent="0.35">
      <c r="M76" s="107"/>
      <c r="N76" s="105"/>
      <c r="O76" s="108"/>
      <c r="P76" s="108"/>
    </row>
    <row r="77" spans="13:16" ht="21" x14ac:dyDescent="0.35">
      <c r="M77" s="107"/>
      <c r="N77" s="105"/>
      <c r="O77" s="108"/>
      <c r="P77" s="108"/>
    </row>
    <row r="78" spans="13:16" ht="21" x14ac:dyDescent="0.35">
      <c r="M78" s="107"/>
      <c r="N78" s="105"/>
      <c r="O78" s="108"/>
      <c r="P78" s="108"/>
    </row>
    <row r="79" spans="13:16" ht="21" x14ac:dyDescent="0.35">
      <c r="M79" s="107"/>
      <c r="N79" s="105"/>
      <c r="O79" s="108"/>
      <c r="P79" s="108"/>
    </row>
    <row r="80" spans="13:16" ht="21" x14ac:dyDescent="0.35">
      <c r="M80" s="107"/>
      <c r="N80" s="105"/>
      <c r="O80" s="108"/>
      <c r="P80" s="108"/>
    </row>
    <row r="81" spans="13:16" ht="21" x14ac:dyDescent="0.35">
      <c r="M81" s="107"/>
      <c r="N81" s="105"/>
      <c r="O81" s="108"/>
      <c r="P81" s="108"/>
    </row>
    <row r="82" spans="13:16" ht="21" x14ac:dyDescent="0.35">
      <c r="M82" s="107"/>
      <c r="N82" s="105"/>
      <c r="O82" s="108"/>
      <c r="P82" s="108"/>
    </row>
    <row r="83" spans="13:16" ht="21" x14ac:dyDescent="0.35">
      <c r="M83" s="107"/>
      <c r="N83" s="105"/>
      <c r="O83" s="108"/>
      <c r="P83" s="108"/>
    </row>
    <row r="84" spans="13:16" ht="21" x14ac:dyDescent="0.35">
      <c r="M84" s="107"/>
      <c r="N84" s="105"/>
      <c r="O84" s="108"/>
      <c r="P84" s="108"/>
    </row>
    <row r="85" spans="13:16" ht="21" x14ac:dyDescent="0.35">
      <c r="M85" s="107"/>
      <c r="N85" s="105"/>
      <c r="O85" s="108"/>
      <c r="P85" s="108"/>
    </row>
    <row r="86" spans="13:16" ht="21" x14ac:dyDescent="0.35">
      <c r="M86" s="107"/>
      <c r="N86" s="105"/>
      <c r="O86" s="108"/>
      <c r="P86" s="108"/>
    </row>
    <row r="87" spans="13:16" ht="21" x14ac:dyDescent="0.35">
      <c r="M87" s="107"/>
      <c r="N87" s="105"/>
      <c r="O87" s="108"/>
      <c r="P87" s="108"/>
    </row>
    <row r="88" spans="13:16" ht="21" x14ac:dyDescent="0.35">
      <c r="M88" s="107"/>
      <c r="N88" s="105"/>
      <c r="O88" s="108"/>
      <c r="P88" s="108"/>
    </row>
    <row r="89" spans="13:16" ht="21" x14ac:dyDescent="0.35">
      <c r="M89" s="107"/>
      <c r="N89" s="105"/>
      <c r="O89" s="108"/>
      <c r="P89" s="108"/>
    </row>
    <row r="90" spans="13:16" ht="21" x14ac:dyDescent="0.35">
      <c r="M90" s="107"/>
      <c r="N90" s="105"/>
      <c r="O90" s="108"/>
      <c r="P90" s="108"/>
    </row>
    <row r="91" spans="13:16" ht="21" x14ac:dyDescent="0.35">
      <c r="M91" s="107"/>
      <c r="N91" s="105"/>
      <c r="O91" s="108"/>
      <c r="P91" s="108"/>
    </row>
    <row r="92" spans="13:16" ht="21" x14ac:dyDescent="0.35">
      <c r="M92" s="107"/>
      <c r="N92" s="105"/>
      <c r="O92" s="108"/>
      <c r="P92" s="108"/>
    </row>
    <row r="93" spans="13:16" ht="21" x14ac:dyDescent="0.35">
      <c r="M93" s="107"/>
      <c r="N93" s="105"/>
      <c r="O93" s="108"/>
      <c r="P93" s="108"/>
    </row>
    <row r="94" spans="13:16" ht="21" x14ac:dyDescent="0.35">
      <c r="M94" s="107"/>
      <c r="N94" s="105"/>
      <c r="O94" s="108"/>
      <c r="P94" s="108"/>
    </row>
    <row r="95" spans="13:16" ht="21" x14ac:dyDescent="0.35">
      <c r="M95" s="107"/>
      <c r="N95" s="105"/>
      <c r="O95" s="108"/>
      <c r="P95" s="108"/>
    </row>
    <row r="96" spans="13:16" ht="21" x14ac:dyDescent="0.35">
      <c r="M96" s="107"/>
      <c r="N96" s="105"/>
      <c r="O96" s="108"/>
      <c r="P96" s="108"/>
    </row>
    <row r="97" spans="13:16" ht="21" x14ac:dyDescent="0.35">
      <c r="M97" s="107"/>
      <c r="N97" s="105"/>
      <c r="O97" s="108"/>
      <c r="P97" s="108"/>
    </row>
    <row r="98" spans="13:16" ht="21" x14ac:dyDescent="0.35">
      <c r="M98" s="107"/>
      <c r="N98" s="105"/>
      <c r="O98" s="108"/>
      <c r="P98" s="108"/>
    </row>
    <row r="99" spans="13:16" ht="21" x14ac:dyDescent="0.35">
      <c r="M99" s="107"/>
      <c r="N99" s="105"/>
      <c r="O99" s="108"/>
      <c r="P99" s="108"/>
    </row>
    <row r="100" spans="13:16" ht="21" x14ac:dyDescent="0.35">
      <c r="M100" s="107"/>
      <c r="N100" s="105"/>
      <c r="O100" s="108"/>
      <c r="P100" s="108"/>
    </row>
    <row r="101" spans="13:16" ht="21" x14ac:dyDescent="0.35">
      <c r="M101" s="107"/>
      <c r="N101" s="105"/>
      <c r="O101" s="108"/>
      <c r="P101" s="108"/>
    </row>
    <row r="102" spans="13:16" ht="21" x14ac:dyDescent="0.35">
      <c r="M102" s="107"/>
      <c r="N102" s="105"/>
      <c r="O102" s="108"/>
      <c r="P102" s="108"/>
    </row>
    <row r="103" spans="13:16" ht="21" x14ac:dyDescent="0.35">
      <c r="M103" s="107"/>
      <c r="N103" s="105"/>
      <c r="O103" s="108"/>
      <c r="P103" s="108"/>
    </row>
    <row r="104" spans="13:16" ht="21" x14ac:dyDescent="0.35">
      <c r="M104" s="107"/>
      <c r="N104" s="105"/>
      <c r="O104" s="108"/>
      <c r="P104" s="108"/>
    </row>
    <row r="105" spans="13:16" ht="21" x14ac:dyDescent="0.35">
      <c r="M105" s="107"/>
      <c r="N105" s="105"/>
      <c r="O105" s="108"/>
      <c r="P105" s="108"/>
    </row>
    <row r="106" spans="13:16" ht="21" x14ac:dyDescent="0.35">
      <c r="M106" s="107"/>
      <c r="N106" s="105"/>
      <c r="O106" s="108"/>
      <c r="P106" s="108"/>
    </row>
    <row r="107" spans="13:16" ht="21" x14ac:dyDescent="0.35">
      <c r="M107" s="107"/>
      <c r="N107" s="105"/>
      <c r="O107" s="108"/>
      <c r="P107" s="108"/>
    </row>
    <row r="108" spans="13:16" ht="21" x14ac:dyDescent="0.35">
      <c r="M108" s="107"/>
      <c r="N108" s="105"/>
      <c r="O108" s="108"/>
      <c r="P108" s="108"/>
    </row>
    <row r="109" spans="13:16" ht="21" x14ac:dyDescent="0.35">
      <c r="M109" s="107"/>
      <c r="N109" s="105"/>
      <c r="O109" s="108"/>
      <c r="P109" s="108"/>
    </row>
    <row r="110" spans="13:16" ht="21" x14ac:dyDescent="0.35">
      <c r="M110" s="107"/>
      <c r="N110" s="105"/>
      <c r="O110" s="108"/>
      <c r="P110" s="108"/>
    </row>
    <row r="111" spans="13:16" ht="21" x14ac:dyDescent="0.35">
      <c r="M111" s="107"/>
      <c r="N111" s="105"/>
      <c r="O111" s="108"/>
      <c r="P111" s="108"/>
    </row>
    <row r="112" spans="13:16" ht="21" x14ac:dyDescent="0.35">
      <c r="M112" s="107"/>
      <c r="N112" s="105"/>
      <c r="O112" s="108"/>
      <c r="P112" s="108"/>
    </row>
    <row r="113" spans="13:16" ht="21" x14ac:dyDescent="0.35">
      <c r="M113" s="107"/>
      <c r="N113" s="105"/>
      <c r="O113" s="108"/>
      <c r="P113" s="108"/>
    </row>
    <row r="114" spans="13:16" ht="21" x14ac:dyDescent="0.35">
      <c r="M114" s="107"/>
      <c r="N114" s="105"/>
      <c r="O114" s="108"/>
      <c r="P114" s="108"/>
    </row>
    <row r="115" spans="13:16" ht="21" x14ac:dyDescent="0.35">
      <c r="M115" s="107"/>
      <c r="N115" s="105"/>
      <c r="O115" s="108"/>
      <c r="P115" s="108"/>
    </row>
    <row r="116" spans="13:16" ht="21" x14ac:dyDescent="0.35">
      <c r="M116" s="107"/>
      <c r="N116" s="105"/>
      <c r="O116" s="108"/>
      <c r="P116" s="108"/>
    </row>
    <row r="117" spans="13:16" ht="21" x14ac:dyDescent="0.35">
      <c r="M117" s="107"/>
      <c r="N117" s="105"/>
      <c r="O117" s="108"/>
      <c r="P117" s="108"/>
    </row>
    <row r="118" spans="13:16" ht="21" x14ac:dyDescent="0.35">
      <c r="M118" s="107"/>
      <c r="N118" s="105"/>
      <c r="O118" s="108"/>
      <c r="P118" s="108"/>
    </row>
    <row r="119" spans="13:16" ht="21" x14ac:dyDescent="0.35">
      <c r="M119" s="107"/>
      <c r="N119" s="105"/>
      <c r="O119" s="108"/>
      <c r="P119" s="108"/>
    </row>
    <row r="120" spans="13:16" ht="21" x14ac:dyDescent="0.35">
      <c r="M120" s="107"/>
      <c r="N120" s="105"/>
      <c r="O120" s="108"/>
      <c r="P120" s="108"/>
    </row>
    <row r="121" spans="13:16" ht="21" x14ac:dyDescent="0.35">
      <c r="M121" s="107"/>
      <c r="N121" s="105"/>
      <c r="O121" s="108"/>
      <c r="P121" s="108"/>
    </row>
    <row r="122" spans="13:16" ht="21" x14ac:dyDescent="0.35">
      <c r="M122" s="107"/>
      <c r="N122" s="105"/>
      <c r="O122" s="108"/>
      <c r="P122" s="108"/>
    </row>
    <row r="123" spans="13:16" ht="21" x14ac:dyDescent="0.35">
      <c r="M123" s="107"/>
      <c r="N123" s="105"/>
      <c r="O123" s="108"/>
      <c r="P123" s="108"/>
    </row>
    <row r="124" spans="13:16" ht="21" x14ac:dyDescent="0.35">
      <c r="M124" s="107"/>
      <c r="N124" s="105"/>
      <c r="O124" s="108"/>
      <c r="P124" s="108"/>
    </row>
    <row r="125" spans="13:16" ht="21" x14ac:dyDescent="0.35">
      <c r="M125" s="107"/>
      <c r="N125" s="105"/>
      <c r="O125" s="108"/>
      <c r="P125" s="108"/>
    </row>
    <row r="126" spans="13:16" ht="21" x14ac:dyDescent="0.35">
      <c r="M126" s="107"/>
      <c r="N126" s="105"/>
      <c r="O126" s="108"/>
      <c r="P126" s="108"/>
    </row>
    <row r="127" spans="13:16" ht="21" x14ac:dyDescent="0.35">
      <c r="M127" s="107"/>
      <c r="N127" s="105"/>
      <c r="O127" s="108"/>
      <c r="P127" s="108"/>
    </row>
    <row r="128" spans="13:16" ht="21" x14ac:dyDescent="0.35">
      <c r="M128" s="107"/>
      <c r="N128" s="105"/>
      <c r="O128" s="108"/>
      <c r="P128" s="108"/>
    </row>
    <row r="129" spans="13:16" ht="21" x14ac:dyDescent="0.35">
      <c r="M129" s="107"/>
      <c r="N129" s="105"/>
      <c r="O129" s="108"/>
      <c r="P129" s="108"/>
    </row>
    <row r="130" spans="13:16" ht="21" x14ac:dyDescent="0.35">
      <c r="M130" s="107"/>
      <c r="N130" s="105"/>
      <c r="O130" s="108"/>
      <c r="P130" s="108"/>
    </row>
    <row r="131" spans="13:16" ht="21" x14ac:dyDescent="0.35">
      <c r="M131" s="107"/>
      <c r="N131" s="105"/>
      <c r="O131" s="108"/>
      <c r="P131" s="108"/>
    </row>
    <row r="132" spans="13:16" ht="21" x14ac:dyDescent="0.35">
      <c r="M132" s="107"/>
      <c r="N132" s="105"/>
      <c r="O132" s="108"/>
      <c r="P132" s="108"/>
    </row>
    <row r="133" spans="13:16" ht="21" x14ac:dyDescent="0.35">
      <c r="M133" s="107"/>
      <c r="N133" s="105"/>
      <c r="O133" s="108"/>
      <c r="P133" s="108"/>
    </row>
    <row r="134" spans="13:16" ht="21" x14ac:dyDescent="0.35">
      <c r="M134" s="107"/>
      <c r="N134" s="105"/>
      <c r="O134" s="108"/>
      <c r="P134" s="108"/>
    </row>
    <row r="135" spans="13:16" ht="21" x14ac:dyDescent="0.35">
      <c r="M135" s="107"/>
      <c r="N135" s="105"/>
      <c r="O135" s="108"/>
      <c r="P135" s="108"/>
    </row>
    <row r="136" spans="13:16" ht="21" x14ac:dyDescent="0.35">
      <c r="M136" s="107"/>
      <c r="N136" s="105"/>
      <c r="O136" s="108"/>
      <c r="P136" s="108"/>
    </row>
    <row r="137" spans="13:16" ht="21" x14ac:dyDescent="0.35">
      <c r="M137" s="107"/>
      <c r="N137" s="105"/>
      <c r="O137" s="108"/>
      <c r="P137" s="108"/>
    </row>
    <row r="138" spans="13:16" ht="21" x14ac:dyDescent="0.35">
      <c r="M138" s="107"/>
      <c r="N138" s="105"/>
      <c r="O138" s="108"/>
      <c r="P138" s="108"/>
    </row>
    <row r="139" spans="13:16" ht="21" x14ac:dyDescent="0.35">
      <c r="M139" s="107"/>
      <c r="N139" s="105"/>
      <c r="O139" s="108"/>
      <c r="P139" s="108"/>
    </row>
    <row r="140" spans="13:16" ht="21" x14ac:dyDescent="0.35">
      <c r="M140" s="107"/>
      <c r="N140" s="105"/>
      <c r="O140" s="108"/>
      <c r="P140" s="108"/>
    </row>
    <row r="141" spans="13:16" ht="21" x14ac:dyDescent="0.35">
      <c r="M141" s="107"/>
      <c r="N141" s="105"/>
      <c r="O141" s="108"/>
      <c r="P141" s="108"/>
    </row>
    <row r="142" spans="13:16" ht="21" x14ac:dyDescent="0.35">
      <c r="M142" s="107"/>
      <c r="N142" s="105"/>
      <c r="O142" s="108"/>
      <c r="P142" s="108"/>
    </row>
    <row r="143" spans="13:16" ht="21" x14ac:dyDescent="0.35">
      <c r="M143" s="107"/>
      <c r="N143" s="105"/>
      <c r="O143" s="108"/>
      <c r="P143" s="108"/>
    </row>
    <row r="144" spans="13:16" ht="21" x14ac:dyDescent="0.35">
      <c r="M144" s="107"/>
      <c r="N144" s="105"/>
      <c r="O144" s="108"/>
      <c r="P144" s="108"/>
    </row>
    <row r="145" spans="13:16" ht="21" x14ac:dyDescent="0.35">
      <c r="M145" s="107"/>
      <c r="N145" s="105"/>
      <c r="O145" s="108"/>
      <c r="P145" s="108"/>
    </row>
    <row r="146" spans="13:16" ht="21" x14ac:dyDescent="0.35">
      <c r="M146" s="107"/>
      <c r="N146" s="105"/>
      <c r="O146" s="108"/>
      <c r="P146" s="108"/>
    </row>
    <row r="147" spans="13:16" ht="21" x14ac:dyDescent="0.35">
      <c r="M147" s="107"/>
      <c r="N147" s="105"/>
      <c r="O147" s="108"/>
      <c r="P147" s="108"/>
    </row>
    <row r="148" spans="13:16" ht="21" x14ac:dyDescent="0.35">
      <c r="M148" s="107"/>
      <c r="N148" s="105"/>
      <c r="O148" s="108"/>
      <c r="P148" s="108"/>
    </row>
    <row r="149" spans="13:16" ht="21" x14ac:dyDescent="0.35">
      <c r="M149" s="107"/>
      <c r="N149" s="105"/>
      <c r="O149" s="108"/>
      <c r="P149" s="108"/>
    </row>
    <row r="150" spans="13:16" ht="21" x14ac:dyDescent="0.35">
      <c r="M150" s="107"/>
      <c r="N150" s="105"/>
      <c r="O150" s="108"/>
      <c r="P150" s="108"/>
    </row>
    <row r="151" spans="13:16" ht="21" x14ac:dyDescent="0.35">
      <c r="M151" s="107"/>
      <c r="N151" s="105"/>
      <c r="O151" s="108"/>
      <c r="P151" s="108"/>
    </row>
    <row r="152" spans="13:16" ht="21" x14ac:dyDescent="0.35">
      <c r="M152" s="107"/>
      <c r="N152" s="105"/>
      <c r="O152" s="108"/>
      <c r="P152" s="108"/>
    </row>
    <row r="153" spans="13:16" ht="21" x14ac:dyDescent="0.35">
      <c r="M153" s="107"/>
      <c r="N153" s="105"/>
      <c r="O153" s="108"/>
      <c r="P153" s="108"/>
    </row>
    <row r="154" spans="13:16" ht="21" x14ac:dyDescent="0.35">
      <c r="M154" s="107"/>
      <c r="N154" s="105"/>
      <c r="O154" s="108"/>
      <c r="P154" s="108"/>
    </row>
    <row r="155" spans="13:16" ht="21" x14ac:dyDescent="0.35">
      <c r="M155" s="107"/>
      <c r="N155" s="105"/>
      <c r="O155" s="108"/>
      <c r="P155" s="108"/>
    </row>
    <row r="156" spans="13:16" ht="21" x14ac:dyDescent="0.35">
      <c r="M156" s="107"/>
      <c r="N156" s="105"/>
      <c r="O156" s="108"/>
      <c r="P156" s="108"/>
    </row>
    <row r="157" spans="13:16" ht="21" x14ac:dyDescent="0.35">
      <c r="M157" s="107"/>
      <c r="N157" s="105"/>
      <c r="O157" s="108"/>
      <c r="P157" s="108"/>
    </row>
    <row r="158" spans="13:16" ht="21" x14ac:dyDescent="0.35">
      <c r="M158" s="107"/>
      <c r="N158" s="105"/>
      <c r="O158" s="108"/>
      <c r="P158" s="108"/>
    </row>
    <row r="159" spans="13:16" ht="21" x14ac:dyDescent="0.35">
      <c r="M159" s="107"/>
      <c r="N159" s="105"/>
      <c r="O159" s="108"/>
      <c r="P159" s="108"/>
    </row>
    <row r="160" spans="13:16" ht="21" x14ac:dyDescent="0.35">
      <c r="M160" s="107"/>
      <c r="N160" s="105"/>
      <c r="O160" s="108"/>
      <c r="P160" s="108"/>
    </row>
    <row r="161" spans="13:16" ht="21" x14ac:dyDescent="0.35">
      <c r="M161" s="107"/>
      <c r="N161" s="105"/>
      <c r="O161" s="108"/>
      <c r="P161" s="108"/>
    </row>
    <row r="162" spans="13:16" ht="21" x14ac:dyDescent="0.35">
      <c r="M162" s="107"/>
      <c r="N162" s="105"/>
      <c r="O162" s="108"/>
      <c r="P162" s="108"/>
    </row>
    <row r="163" spans="13:16" ht="21" x14ac:dyDescent="0.35">
      <c r="M163" s="107"/>
      <c r="N163" s="105"/>
      <c r="O163" s="108"/>
      <c r="P163" s="108"/>
    </row>
    <row r="164" spans="13:16" ht="21" x14ac:dyDescent="0.35">
      <c r="M164" s="107"/>
      <c r="N164" s="105"/>
      <c r="O164" s="108"/>
      <c r="P164" s="108"/>
    </row>
    <row r="165" spans="13:16" ht="21" x14ac:dyDescent="0.35">
      <c r="M165" s="107"/>
      <c r="N165" s="105"/>
      <c r="O165" s="108"/>
      <c r="P165" s="108"/>
    </row>
    <row r="166" spans="13:16" ht="21" x14ac:dyDescent="0.35">
      <c r="M166" s="107"/>
      <c r="N166" s="105"/>
      <c r="O166" s="108"/>
      <c r="P166" s="108"/>
    </row>
    <row r="167" spans="13:16" ht="21" x14ac:dyDescent="0.35">
      <c r="M167" s="107"/>
      <c r="N167" s="105"/>
      <c r="O167" s="108"/>
      <c r="P167" s="108"/>
    </row>
    <row r="168" spans="13:16" ht="21" x14ac:dyDescent="0.35">
      <c r="M168" s="107"/>
      <c r="N168" s="105"/>
      <c r="O168" s="108"/>
      <c r="P168" s="108"/>
    </row>
    <row r="169" spans="13:16" ht="21" x14ac:dyDescent="0.35">
      <c r="M169" s="107"/>
      <c r="N169" s="105"/>
      <c r="O169" s="108"/>
      <c r="P169" s="108"/>
    </row>
    <row r="170" spans="13:16" ht="21" x14ac:dyDescent="0.35">
      <c r="M170" s="107"/>
      <c r="N170" s="105"/>
      <c r="O170" s="108"/>
      <c r="P170" s="108"/>
    </row>
    <row r="171" spans="13:16" ht="21" x14ac:dyDescent="0.35">
      <c r="M171" s="107"/>
      <c r="N171" s="105"/>
      <c r="O171" s="108"/>
      <c r="P171" s="108"/>
    </row>
    <row r="172" spans="13:16" ht="21" x14ac:dyDescent="0.35">
      <c r="M172" s="107"/>
      <c r="N172" s="105"/>
      <c r="O172" s="108"/>
      <c r="P172" s="108"/>
    </row>
    <row r="173" spans="13:16" ht="21" x14ac:dyDescent="0.35">
      <c r="M173" s="107"/>
      <c r="N173" s="105"/>
      <c r="O173" s="108"/>
      <c r="P173" s="108"/>
    </row>
    <row r="174" spans="13:16" ht="21" x14ac:dyDescent="0.35">
      <c r="M174" s="107"/>
      <c r="N174" s="105"/>
      <c r="O174" s="108"/>
      <c r="P174" s="108"/>
    </row>
    <row r="175" spans="13:16" ht="21" x14ac:dyDescent="0.35">
      <c r="M175" s="107"/>
      <c r="N175" s="105"/>
      <c r="O175" s="108"/>
      <c r="P175" s="108"/>
    </row>
    <row r="176" spans="13:16" ht="21" x14ac:dyDescent="0.35">
      <c r="M176" s="107"/>
      <c r="N176" s="105"/>
      <c r="O176" s="108"/>
      <c r="P176" s="108"/>
    </row>
    <row r="177" spans="13:16" ht="21" x14ac:dyDescent="0.35">
      <c r="M177" s="107"/>
      <c r="N177" s="105"/>
      <c r="O177" s="108"/>
      <c r="P177" s="108"/>
    </row>
    <row r="178" spans="13:16" ht="21" x14ac:dyDescent="0.35">
      <c r="M178" s="107"/>
      <c r="N178" s="105"/>
      <c r="O178" s="108"/>
      <c r="P178" s="108"/>
    </row>
    <row r="179" spans="13:16" ht="21" x14ac:dyDescent="0.35">
      <c r="M179" s="107"/>
      <c r="N179" s="105"/>
      <c r="O179" s="108"/>
      <c r="P179" s="108"/>
    </row>
    <row r="180" spans="13:16" ht="21" x14ac:dyDescent="0.35">
      <c r="M180" s="107"/>
      <c r="N180" s="105"/>
      <c r="O180" s="108"/>
      <c r="P180" s="108"/>
    </row>
    <row r="181" spans="13:16" ht="21" x14ac:dyDescent="0.35">
      <c r="M181" s="107"/>
      <c r="N181" s="105"/>
      <c r="O181" s="108"/>
      <c r="P181" s="108"/>
    </row>
    <row r="182" spans="13:16" ht="21" x14ac:dyDescent="0.35">
      <c r="M182" s="107"/>
      <c r="N182" s="105"/>
      <c r="O182" s="108"/>
      <c r="P182" s="108"/>
    </row>
    <row r="183" spans="13:16" ht="21" x14ac:dyDescent="0.35">
      <c r="M183" s="107"/>
      <c r="N183" s="105"/>
      <c r="O183" s="108"/>
      <c r="P183" s="108"/>
    </row>
    <row r="184" spans="13:16" ht="21" x14ac:dyDescent="0.35">
      <c r="M184" s="107"/>
      <c r="N184" s="105"/>
      <c r="O184" s="108"/>
      <c r="P184" s="108"/>
    </row>
    <row r="185" spans="13:16" ht="21" x14ac:dyDescent="0.35">
      <c r="M185" s="107"/>
      <c r="N185" s="105"/>
      <c r="O185" s="108"/>
      <c r="P185" s="108"/>
    </row>
    <row r="186" spans="13:16" ht="21" x14ac:dyDescent="0.35">
      <c r="M186" s="107"/>
      <c r="N186" s="105"/>
      <c r="O186" s="108"/>
      <c r="P186" s="108"/>
    </row>
    <row r="187" spans="13:16" ht="21" x14ac:dyDescent="0.35">
      <c r="M187" s="107"/>
      <c r="N187" s="105"/>
      <c r="O187" s="108"/>
      <c r="P187" s="108"/>
    </row>
    <row r="188" spans="13:16" ht="21" x14ac:dyDescent="0.35">
      <c r="M188" s="107"/>
      <c r="N188" s="105"/>
      <c r="O188" s="108"/>
      <c r="P188" s="108"/>
    </row>
    <row r="189" spans="13:16" ht="21" x14ac:dyDescent="0.35">
      <c r="M189" s="107"/>
      <c r="N189" s="105"/>
      <c r="O189" s="108"/>
      <c r="P189" s="108"/>
    </row>
    <row r="190" spans="13:16" ht="21" x14ac:dyDescent="0.35">
      <c r="M190" s="107"/>
      <c r="N190" s="105"/>
      <c r="O190" s="108"/>
      <c r="P190" s="108"/>
    </row>
    <row r="191" spans="13:16" ht="21" x14ac:dyDescent="0.35">
      <c r="M191" s="107"/>
      <c r="N191" s="105"/>
      <c r="O191" s="108"/>
      <c r="P191" s="108"/>
    </row>
    <row r="192" spans="13:16" ht="21" x14ac:dyDescent="0.35">
      <c r="M192" s="107"/>
      <c r="N192" s="105"/>
      <c r="O192" s="108"/>
      <c r="P192" s="108"/>
    </row>
    <row r="193" spans="13:16" ht="21" x14ac:dyDescent="0.35">
      <c r="M193" s="107"/>
      <c r="N193" s="105"/>
      <c r="O193" s="108"/>
      <c r="P193" s="108"/>
    </row>
    <row r="194" spans="13:16" ht="21" x14ac:dyDescent="0.35">
      <c r="M194" s="107"/>
      <c r="N194" s="105"/>
      <c r="O194" s="108"/>
      <c r="P194" s="108"/>
    </row>
    <row r="195" spans="13:16" ht="21" x14ac:dyDescent="0.35">
      <c r="M195" s="107"/>
      <c r="N195" s="105"/>
      <c r="O195" s="108"/>
      <c r="P195" s="108"/>
    </row>
    <row r="196" spans="13:16" ht="21" x14ac:dyDescent="0.35">
      <c r="M196" s="107"/>
      <c r="N196" s="105"/>
      <c r="O196" s="108"/>
      <c r="P196" s="108"/>
    </row>
    <row r="197" spans="13:16" ht="21" x14ac:dyDescent="0.35">
      <c r="M197" s="107"/>
      <c r="N197" s="105"/>
      <c r="O197" s="108"/>
      <c r="P197" s="108"/>
    </row>
    <row r="198" spans="13:16" ht="21" x14ac:dyDescent="0.35">
      <c r="M198" s="107"/>
      <c r="N198" s="105"/>
      <c r="O198" s="108"/>
      <c r="P198" s="108"/>
    </row>
    <row r="199" spans="13:16" ht="21" x14ac:dyDescent="0.35">
      <c r="M199" s="107"/>
      <c r="N199" s="105"/>
      <c r="O199" s="108"/>
      <c r="P199" s="108"/>
    </row>
    <row r="200" spans="13:16" ht="21" x14ac:dyDescent="0.35">
      <c r="M200" s="107"/>
      <c r="N200" s="105"/>
      <c r="O200" s="108"/>
      <c r="P200" s="108"/>
    </row>
    <row r="201" spans="13:16" ht="21" x14ac:dyDescent="0.35">
      <c r="M201" s="107"/>
      <c r="N201" s="105"/>
      <c r="O201" s="108"/>
      <c r="P201" s="108"/>
    </row>
    <row r="202" spans="13:16" ht="21" x14ac:dyDescent="0.35">
      <c r="M202" s="107"/>
      <c r="N202" s="105"/>
      <c r="O202" s="108"/>
      <c r="P202" s="108"/>
    </row>
    <row r="203" spans="13:16" ht="21" x14ac:dyDescent="0.35">
      <c r="M203" s="107"/>
      <c r="N203" s="105"/>
      <c r="O203" s="108"/>
      <c r="P203" s="108"/>
    </row>
    <row r="204" spans="13:16" ht="21" x14ac:dyDescent="0.35">
      <c r="M204" s="107"/>
      <c r="N204" s="105"/>
      <c r="O204" s="108"/>
      <c r="P204" s="108"/>
    </row>
    <row r="205" spans="13:16" ht="21" x14ac:dyDescent="0.35">
      <c r="M205" s="107"/>
      <c r="N205" s="105"/>
      <c r="O205" s="108"/>
      <c r="P205" s="108"/>
    </row>
    <row r="206" spans="13:16" ht="21" x14ac:dyDescent="0.35">
      <c r="M206" s="107"/>
      <c r="N206" s="105"/>
      <c r="O206" s="108"/>
      <c r="P206" s="108"/>
    </row>
    <row r="207" spans="13:16" ht="21" x14ac:dyDescent="0.35">
      <c r="M207" s="107"/>
      <c r="N207" s="105"/>
      <c r="O207" s="108"/>
      <c r="P207" s="108"/>
    </row>
    <row r="208" spans="13:16" ht="21" x14ac:dyDescent="0.35">
      <c r="M208" s="107"/>
      <c r="N208" s="105"/>
      <c r="O208" s="108"/>
      <c r="P208" s="108"/>
    </row>
    <row r="209" spans="13:16" ht="21" x14ac:dyDescent="0.35">
      <c r="M209" s="107"/>
      <c r="N209" s="105"/>
      <c r="O209" s="108"/>
      <c r="P209" s="108"/>
    </row>
    <row r="210" spans="13:16" ht="21" x14ac:dyDescent="0.35">
      <c r="M210" s="107"/>
      <c r="N210" s="105"/>
      <c r="O210" s="108"/>
      <c r="P210" s="108"/>
    </row>
    <row r="211" spans="13:16" ht="21" x14ac:dyDescent="0.35">
      <c r="M211" s="107"/>
      <c r="N211" s="105"/>
      <c r="O211" s="108"/>
      <c r="P211" s="108"/>
    </row>
    <row r="212" spans="13:16" ht="21" x14ac:dyDescent="0.35">
      <c r="M212" s="107"/>
      <c r="N212" s="105"/>
      <c r="O212" s="108"/>
      <c r="P212" s="108"/>
    </row>
    <row r="213" spans="13:16" ht="21" x14ac:dyDescent="0.35">
      <c r="M213" s="107"/>
      <c r="N213" s="105"/>
      <c r="O213" s="108"/>
      <c r="P213" s="108"/>
    </row>
    <row r="214" spans="13:16" ht="21" x14ac:dyDescent="0.35">
      <c r="M214" s="107"/>
      <c r="N214" s="105"/>
      <c r="O214" s="108"/>
      <c r="P214" s="108"/>
    </row>
    <row r="215" spans="13:16" ht="21" x14ac:dyDescent="0.35">
      <c r="M215" s="107"/>
      <c r="N215" s="105"/>
      <c r="O215" s="108"/>
      <c r="P215" s="108"/>
    </row>
    <row r="216" spans="13:16" ht="21" x14ac:dyDescent="0.35">
      <c r="M216" s="107"/>
      <c r="N216" s="105"/>
      <c r="O216" s="108"/>
      <c r="P216" s="108"/>
    </row>
    <row r="217" spans="13:16" ht="21" x14ac:dyDescent="0.35">
      <c r="M217" s="107"/>
      <c r="N217" s="105"/>
      <c r="O217" s="108"/>
      <c r="P217" s="108"/>
    </row>
    <row r="218" spans="13:16" ht="21" x14ac:dyDescent="0.35">
      <c r="M218" s="107"/>
      <c r="N218" s="105"/>
      <c r="O218" s="108"/>
      <c r="P218" s="108"/>
    </row>
    <row r="219" spans="13:16" ht="21" x14ac:dyDescent="0.35">
      <c r="M219" s="107"/>
      <c r="N219" s="105"/>
      <c r="O219" s="108"/>
      <c r="P219" s="108"/>
    </row>
    <row r="220" spans="13:16" ht="21" x14ac:dyDescent="0.35">
      <c r="M220" s="107"/>
      <c r="N220" s="105"/>
      <c r="O220" s="108"/>
      <c r="P220" s="108"/>
    </row>
    <row r="221" spans="13:16" ht="21" x14ac:dyDescent="0.35">
      <c r="M221" s="107"/>
      <c r="N221" s="105"/>
      <c r="O221" s="108"/>
      <c r="P221" s="108"/>
    </row>
    <row r="222" spans="13:16" ht="21" x14ac:dyDescent="0.35">
      <c r="M222" s="107"/>
      <c r="N222" s="105"/>
      <c r="O222" s="108"/>
      <c r="P222" s="108"/>
    </row>
    <row r="223" spans="13:16" ht="21" x14ac:dyDescent="0.35">
      <c r="M223" s="107"/>
      <c r="N223" s="105"/>
      <c r="O223" s="108"/>
      <c r="P223" s="108"/>
    </row>
    <row r="224" spans="13:16" ht="21" x14ac:dyDescent="0.35">
      <c r="M224" s="107"/>
      <c r="N224" s="105"/>
      <c r="O224" s="108"/>
      <c r="P224" s="108"/>
    </row>
    <row r="225" spans="13:16" ht="21" x14ac:dyDescent="0.35">
      <c r="M225" s="107"/>
      <c r="N225" s="105"/>
      <c r="O225" s="108"/>
      <c r="P225" s="108"/>
    </row>
    <row r="226" spans="13:16" ht="21" x14ac:dyDescent="0.35">
      <c r="M226" s="107"/>
      <c r="N226" s="105"/>
      <c r="O226" s="108"/>
      <c r="P226" s="108"/>
    </row>
    <row r="227" spans="13:16" ht="21" x14ac:dyDescent="0.35">
      <c r="M227" s="107"/>
      <c r="N227" s="105"/>
      <c r="O227" s="108"/>
      <c r="P227" s="108"/>
    </row>
    <row r="228" spans="13:16" ht="21" x14ac:dyDescent="0.35">
      <c r="M228" s="107"/>
      <c r="N228" s="105"/>
      <c r="O228" s="108"/>
      <c r="P228" s="108"/>
    </row>
    <row r="229" spans="13:16" ht="21" x14ac:dyDescent="0.35">
      <c r="M229" s="107"/>
      <c r="N229" s="105"/>
      <c r="O229" s="108"/>
      <c r="P229" s="108"/>
    </row>
    <row r="230" spans="13:16" ht="21" x14ac:dyDescent="0.35">
      <c r="M230" s="107"/>
      <c r="N230" s="105"/>
      <c r="O230" s="108"/>
      <c r="P230" s="108"/>
    </row>
    <row r="231" spans="13:16" ht="21" x14ac:dyDescent="0.35">
      <c r="M231" s="107"/>
      <c r="N231" s="105"/>
      <c r="O231" s="108"/>
      <c r="P231" s="108"/>
    </row>
    <row r="232" spans="13:16" ht="21" x14ac:dyDescent="0.35">
      <c r="M232" s="107"/>
      <c r="N232" s="105"/>
      <c r="O232" s="108"/>
      <c r="P232" s="108"/>
    </row>
    <row r="233" spans="13:16" ht="21" x14ac:dyDescent="0.35">
      <c r="M233" s="107"/>
      <c r="N233" s="105"/>
      <c r="O233" s="108"/>
      <c r="P233" s="108"/>
    </row>
    <row r="234" spans="13:16" ht="21" x14ac:dyDescent="0.35">
      <c r="M234" s="107"/>
      <c r="N234" s="105"/>
      <c r="O234" s="108"/>
      <c r="P234" s="108"/>
    </row>
    <row r="235" spans="13:16" ht="21" x14ac:dyDescent="0.35">
      <c r="M235" s="107"/>
      <c r="N235" s="105"/>
      <c r="O235" s="108"/>
      <c r="P235" s="108"/>
    </row>
    <row r="236" spans="13:16" ht="21" x14ac:dyDescent="0.35">
      <c r="M236" s="107"/>
      <c r="N236" s="105"/>
      <c r="O236" s="108"/>
      <c r="P236" s="108"/>
    </row>
    <row r="237" spans="13:16" ht="21" x14ac:dyDescent="0.35">
      <c r="M237" s="107"/>
      <c r="N237" s="105"/>
      <c r="O237" s="108"/>
      <c r="P237" s="108"/>
    </row>
    <row r="238" spans="13:16" ht="21" x14ac:dyDescent="0.35">
      <c r="M238" s="107"/>
      <c r="N238" s="105"/>
      <c r="O238" s="108"/>
      <c r="P238" s="108"/>
    </row>
    <row r="239" spans="13:16" ht="21" x14ac:dyDescent="0.35">
      <c r="M239" s="107"/>
      <c r="N239" s="105"/>
      <c r="O239" s="108"/>
      <c r="P239" s="108"/>
    </row>
    <row r="240" spans="13:16" ht="21" x14ac:dyDescent="0.35">
      <c r="M240" s="107"/>
      <c r="N240" s="105"/>
      <c r="O240" s="108"/>
      <c r="P240" s="108"/>
    </row>
    <row r="241" spans="13:16" ht="21" x14ac:dyDescent="0.35">
      <c r="M241" s="107"/>
      <c r="N241" s="105"/>
      <c r="O241" s="108"/>
      <c r="P241" s="108"/>
    </row>
    <row r="242" spans="13:16" ht="21" x14ac:dyDescent="0.35">
      <c r="M242" s="107"/>
      <c r="N242" s="105"/>
      <c r="O242" s="108"/>
      <c r="P242" s="108"/>
    </row>
    <row r="243" spans="13:16" ht="21" x14ac:dyDescent="0.35">
      <c r="M243" s="107"/>
      <c r="N243" s="105"/>
      <c r="O243" s="108"/>
      <c r="P243" s="108"/>
    </row>
    <row r="244" spans="13:16" ht="21" x14ac:dyDescent="0.35">
      <c r="M244" s="107"/>
      <c r="N244" s="105"/>
      <c r="O244" s="108"/>
      <c r="P244" s="108"/>
    </row>
    <row r="245" spans="13:16" ht="21" x14ac:dyDescent="0.35">
      <c r="M245" s="107"/>
      <c r="N245" s="105"/>
      <c r="O245" s="108"/>
      <c r="P245" s="108"/>
    </row>
    <row r="246" spans="13:16" ht="21" x14ac:dyDescent="0.35">
      <c r="M246" s="107"/>
      <c r="N246" s="105"/>
      <c r="O246" s="108"/>
      <c r="P246" s="108"/>
    </row>
    <row r="247" spans="13:16" ht="21" x14ac:dyDescent="0.35">
      <c r="M247" s="107"/>
      <c r="N247" s="105"/>
      <c r="O247" s="108"/>
      <c r="P247" s="108"/>
    </row>
    <row r="248" spans="13:16" ht="21" x14ac:dyDescent="0.35">
      <c r="M248" s="107"/>
      <c r="N248" s="105"/>
      <c r="O248" s="108"/>
      <c r="P248" s="108"/>
    </row>
    <row r="249" spans="13:16" ht="21" x14ac:dyDescent="0.35">
      <c r="M249" s="107"/>
      <c r="N249" s="105"/>
      <c r="O249" s="108"/>
      <c r="P249" s="108"/>
    </row>
    <row r="250" spans="13:16" ht="21" x14ac:dyDescent="0.35">
      <c r="M250" s="107"/>
      <c r="N250" s="105"/>
      <c r="O250" s="108"/>
      <c r="P250" s="108"/>
    </row>
    <row r="251" spans="13:16" ht="21" x14ac:dyDescent="0.35">
      <c r="M251" s="107"/>
      <c r="N251" s="105"/>
      <c r="O251" s="108"/>
      <c r="P251" s="108"/>
    </row>
    <row r="252" spans="13:16" ht="21" x14ac:dyDescent="0.35">
      <c r="M252" s="107"/>
      <c r="N252" s="105"/>
      <c r="O252" s="108"/>
      <c r="P252" s="108"/>
    </row>
    <row r="253" spans="13:16" ht="21" x14ac:dyDescent="0.35">
      <c r="M253" s="107"/>
      <c r="N253" s="105"/>
      <c r="O253" s="108"/>
      <c r="P253" s="108"/>
    </row>
    <row r="254" spans="13:16" ht="21" x14ac:dyDescent="0.35">
      <c r="M254" s="107"/>
      <c r="N254" s="105"/>
      <c r="O254" s="108"/>
      <c r="P254" s="108"/>
    </row>
    <row r="255" spans="13:16" ht="21" x14ac:dyDescent="0.35">
      <c r="M255" s="107"/>
      <c r="N255" s="105"/>
      <c r="O255" s="108"/>
      <c r="P255" s="108"/>
    </row>
    <row r="256" spans="13:16" ht="21" x14ac:dyDescent="0.35">
      <c r="M256" s="107"/>
      <c r="N256" s="105"/>
      <c r="O256" s="108"/>
      <c r="P256" s="108"/>
    </row>
    <row r="257" spans="13:16" ht="21" x14ac:dyDescent="0.35">
      <c r="M257" s="107"/>
      <c r="N257" s="105"/>
      <c r="O257" s="108"/>
      <c r="P257" s="108"/>
    </row>
    <row r="258" spans="13:16" ht="21" x14ac:dyDescent="0.35">
      <c r="M258" s="107"/>
      <c r="N258" s="105"/>
      <c r="O258" s="108"/>
      <c r="P258" s="108"/>
    </row>
    <row r="259" spans="13:16" ht="21" x14ac:dyDescent="0.35">
      <c r="M259" s="107"/>
      <c r="N259" s="105"/>
      <c r="O259" s="108"/>
      <c r="P259" s="108"/>
    </row>
    <row r="260" spans="13:16" ht="21" x14ac:dyDescent="0.35">
      <c r="M260" s="107"/>
      <c r="N260" s="105"/>
      <c r="O260" s="108"/>
      <c r="P260" s="108"/>
    </row>
    <row r="261" spans="13:16" ht="21" x14ac:dyDescent="0.35">
      <c r="M261" s="107"/>
      <c r="N261" s="105"/>
      <c r="O261" s="108"/>
      <c r="P261" s="108"/>
    </row>
    <row r="262" spans="13:16" ht="21" x14ac:dyDescent="0.35">
      <c r="M262" s="107"/>
      <c r="N262" s="105"/>
      <c r="O262" s="108"/>
      <c r="P262" s="108"/>
    </row>
    <row r="263" spans="13:16" ht="21" x14ac:dyDescent="0.35">
      <c r="M263" s="107"/>
      <c r="N263" s="105"/>
      <c r="O263" s="108"/>
      <c r="P263" s="108"/>
    </row>
    <row r="264" spans="13:16" ht="21" x14ac:dyDescent="0.35">
      <c r="M264" s="107"/>
      <c r="N264" s="105"/>
      <c r="O264" s="108"/>
      <c r="P264" s="108"/>
    </row>
    <row r="265" spans="13:16" ht="21" x14ac:dyDescent="0.35">
      <c r="M265" s="107"/>
      <c r="N265" s="105"/>
      <c r="O265" s="108"/>
      <c r="P265" s="108"/>
    </row>
    <row r="266" spans="13:16" ht="21" x14ac:dyDescent="0.35">
      <c r="M266" s="107"/>
      <c r="N266" s="105"/>
      <c r="O266" s="108"/>
      <c r="P266" s="108"/>
    </row>
    <row r="267" spans="13:16" ht="21" x14ac:dyDescent="0.35">
      <c r="M267" s="107"/>
      <c r="N267" s="105"/>
      <c r="O267" s="108"/>
      <c r="P267" s="108"/>
    </row>
    <row r="268" spans="13:16" ht="21" x14ac:dyDescent="0.35">
      <c r="M268" s="107"/>
      <c r="N268" s="105"/>
      <c r="O268" s="108"/>
      <c r="P268" s="108"/>
    </row>
    <row r="269" spans="13:16" ht="21" x14ac:dyDescent="0.35">
      <c r="M269" s="107"/>
      <c r="N269" s="105"/>
      <c r="O269" s="108"/>
      <c r="P269" s="108"/>
    </row>
    <row r="270" spans="13:16" ht="21" x14ac:dyDescent="0.35">
      <c r="M270" s="107"/>
      <c r="N270" s="105"/>
      <c r="O270" s="108"/>
      <c r="P270" s="108"/>
    </row>
    <row r="271" spans="13:16" ht="21" x14ac:dyDescent="0.35">
      <c r="M271" s="107"/>
      <c r="N271" s="105"/>
      <c r="O271" s="108"/>
      <c r="P271" s="108"/>
    </row>
    <row r="272" spans="13:16" ht="21" x14ac:dyDescent="0.35">
      <c r="M272" s="107"/>
      <c r="N272" s="105"/>
      <c r="O272" s="108"/>
      <c r="P272" s="108"/>
    </row>
    <row r="273" spans="13:16" ht="21" x14ac:dyDescent="0.35">
      <c r="M273" s="107"/>
      <c r="N273" s="105"/>
      <c r="O273" s="108"/>
      <c r="P273" s="108"/>
    </row>
    <row r="274" spans="13:16" ht="21" x14ac:dyDescent="0.35">
      <c r="M274" s="107"/>
      <c r="N274" s="105"/>
      <c r="O274" s="108"/>
      <c r="P274" s="108"/>
    </row>
    <row r="275" spans="13:16" ht="21" x14ac:dyDescent="0.35">
      <c r="M275" s="107"/>
      <c r="N275" s="105"/>
      <c r="O275" s="108"/>
      <c r="P275" s="108"/>
    </row>
    <row r="276" spans="13:16" ht="21" x14ac:dyDescent="0.35">
      <c r="M276" s="107"/>
      <c r="N276" s="105"/>
      <c r="O276" s="108"/>
      <c r="P276" s="108"/>
    </row>
    <row r="277" spans="13:16" ht="21" x14ac:dyDescent="0.35">
      <c r="M277" s="107"/>
      <c r="N277" s="105"/>
      <c r="O277" s="108"/>
      <c r="P277" s="108"/>
    </row>
    <row r="278" spans="13:16" ht="21" x14ac:dyDescent="0.35">
      <c r="M278" s="107"/>
      <c r="N278" s="105"/>
      <c r="O278" s="108"/>
      <c r="P278" s="108"/>
    </row>
    <row r="279" spans="13:16" ht="21" x14ac:dyDescent="0.35">
      <c r="M279" s="107"/>
      <c r="N279" s="105"/>
      <c r="O279" s="108"/>
      <c r="P279" s="108"/>
    </row>
    <row r="280" spans="13:16" ht="21" x14ac:dyDescent="0.35">
      <c r="M280" s="107"/>
      <c r="N280" s="105"/>
      <c r="O280" s="108"/>
      <c r="P280" s="108"/>
    </row>
    <row r="281" spans="13:16" ht="21" x14ac:dyDescent="0.35">
      <c r="M281" s="107"/>
      <c r="N281" s="105"/>
      <c r="O281" s="108"/>
      <c r="P281" s="108"/>
    </row>
    <row r="282" spans="13:16" ht="21" x14ac:dyDescent="0.35">
      <c r="M282" s="107"/>
      <c r="N282" s="105"/>
      <c r="O282" s="108"/>
      <c r="P282" s="108"/>
    </row>
    <row r="283" spans="13:16" ht="21" x14ac:dyDescent="0.35">
      <c r="M283" s="107"/>
      <c r="N283" s="105"/>
      <c r="O283" s="108"/>
      <c r="P283" s="108"/>
    </row>
    <row r="284" spans="13:16" ht="21" x14ac:dyDescent="0.35">
      <c r="M284" s="107"/>
      <c r="N284" s="105"/>
      <c r="O284" s="108"/>
      <c r="P284" s="108"/>
    </row>
    <row r="285" spans="13:16" ht="21" x14ac:dyDescent="0.35">
      <c r="M285" s="107"/>
      <c r="N285" s="105"/>
      <c r="O285" s="108"/>
      <c r="P285" s="108"/>
    </row>
    <row r="286" spans="13:16" ht="21" x14ac:dyDescent="0.35">
      <c r="M286" s="107"/>
      <c r="N286" s="105"/>
      <c r="O286" s="108"/>
      <c r="P286" s="108"/>
    </row>
    <row r="287" spans="13:16" ht="21" x14ac:dyDescent="0.35">
      <c r="M287" s="107"/>
      <c r="N287" s="105"/>
      <c r="O287" s="108"/>
      <c r="P287" s="108"/>
    </row>
    <row r="288" spans="13:16" ht="21" x14ac:dyDescent="0.35">
      <c r="M288" s="107"/>
      <c r="N288" s="105"/>
      <c r="O288" s="108"/>
      <c r="P288" s="108"/>
    </row>
    <row r="289" spans="13:16" ht="21" x14ac:dyDescent="0.35">
      <c r="M289" s="107"/>
      <c r="N289" s="105"/>
      <c r="O289" s="108"/>
      <c r="P289" s="108"/>
    </row>
    <row r="290" spans="13:16" ht="21" x14ac:dyDescent="0.35">
      <c r="M290" s="107"/>
      <c r="N290" s="105"/>
      <c r="O290" s="108"/>
      <c r="P290" s="108"/>
    </row>
    <row r="291" spans="13:16" ht="21" x14ac:dyDescent="0.35">
      <c r="M291" s="107"/>
      <c r="N291" s="105"/>
      <c r="O291" s="108"/>
      <c r="P291" s="108"/>
    </row>
    <row r="292" spans="13:16" ht="21" x14ac:dyDescent="0.35">
      <c r="M292" s="107"/>
      <c r="N292" s="105"/>
      <c r="O292" s="108"/>
      <c r="P292" s="108"/>
    </row>
    <row r="293" spans="13:16" ht="21" x14ac:dyDescent="0.35">
      <c r="M293" s="107"/>
      <c r="N293" s="105"/>
      <c r="O293" s="108"/>
      <c r="P293" s="108"/>
    </row>
    <row r="294" spans="13:16" ht="21" x14ac:dyDescent="0.35">
      <c r="M294" s="107"/>
      <c r="N294" s="105"/>
      <c r="O294" s="108"/>
      <c r="P294" s="108"/>
    </row>
    <row r="295" spans="13:16" ht="21" x14ac:dyDescent="0.35">
      <c r="M295" s="107"/>
      <c r="N295" s="105"/>
      <c r="O295" s="108"/>
      <c r="P295" s="108"/>
    </row>
    <row r="296" spans="13:16" ht="21" x14ac:dyDescent="0.35">
      <c r="M296" s="107"/>
      <c r="N296" s="105"/>
      <c r="O296" s="108"/>
      <c r="P296" s="108"/>
    </row>
    <row r="297" spans="13:16" ht="21" x14ac:dyDescent="0.35">
      <c r="M297" s="107"/>
      <c r="N297" s="105"/>
      <c r="O297" s="108"/>
      <c r="P297" s="108"/>
    </row>
    <row r="298" spans="13:16" ht="21" x14ac:dyDescent="0.35">
      <c r="M298" s="107"/>
      <c r="N298" s="105"/>
      <c r="O298" s="108"/>
      <c r="P298" s="108"/>
    </row>
    <row r="299" spans="13:16" ht="21" x14ac:dyDescent="0.35">
      <c r="M299" s="107"/>
      <c r="N299" s="105"/>
      <c r="O299" s="108"/>
      <c r="P299" s="108"/>
    </row>
    <row r="300" spans="13:16" ht="21" x14ac:dyDescent="0.35">
      <c r="M300" s="107"/>
      <c r="N300" s="105"/>
      <c r="O300" s="108"/>
      <c r="P300" s="108"/>
    </row>
    <row r="301" spans="13:16" ht="21" x14ac:dyDescent="0.35">
      <c r="M301" s="107"/>
      <c r="N301" s="105"/>
      <c r="O301" s="108"/>
      <c r="P301" s="108"/>
    </row>
    <row r="302" spans="13:16" ht="21" x14ac:dyDescent="0.35">
      <c r="M302" s="107"/>
      <c r="N302" s="105"/>
      <c r="O302" s="108"/>
      <c r="P302" s="108"/>
    </row>
    <row r="303" spans="13:16" ht="21" x14ac:dyDescent="0.35">
      <c r="M303" s="107"/>
      <c r="N303" s="105"/>
      <c r="O303" s="108"/>
      <c r="P303" s="108"/>
    </row>
    <row r="304" spans="13:16" ht="21" x14ac:dyDescent="0.35">
      <c r="M304" s="107"/>
      <c r="N304" s="105"/>
      <c r="O304" s="108"/>
      <c r="P304" s="108"/>
    </row>
    <row r="305" spans="13:16" ht="21" x14ac:dyDescent="0.35">
      <c r="M305" s="107"/>
      <c r="N305" s="105"/>
      <c r="O305" s="108"/>
      <c r="P305" s="108"/>
    </row>
    <row r="306" spans="13:16" ht="21" x14ac:dyDescent="0.35">
      <c r="M306" s="107"/>
      <c r="N306" s="105"/>
      <c r="O306" s="108"/>
      <c r="P306" s="108"/>
    </row>
    <row r="307" spans="13:16" ht="21" x14ac:dyDescent="0.35">
      <c r="M307" s="107"/>
      <c r="N307" s="105"/>
      <c r="O307" s="108"/>
      <c r="P307" s="108"/>
    </row>
    <row r="308" spans="13:16" ht="21" x14ac:dyDescent="0.35">
      <c r="M308" s="107"/>
      <c r="N308" s="105"/>
      <c r="O308" s="108"/>
      <c r="P308" s="108"/>
    </row>
    <row r="309" spans="13:16" ht="21" x14ac:dyDescent="0.35">
      <c r="M309" s="107"/>
      <c r="N309" s="105"/>
      <c r="O309" s="108"/>
      <c r="P309" s="108"/>
    </row>
    <row r="310" spans="13:16" ht="21" x14ac:dyDescent="0.35">
      <c r="M310" s="107"/>
      <c r="N310" s="105"/>
      <c r="O310" s="108"/>
      <c r="P310" s="108"/>
    </row>
    <row r="311" spans="13:16" ht="21" x14ac:dyDescent="0.35">
      <c r="M311" s="107"/>
      <c r="N311" s="105"/>
      <c r="O311" s="108"/>
      <c r="P311" s="108"/>
    </row>
    <row r="312" spans="13:16" ht="21" x14ac:dyDescent="0.35">
      <c r="M312" s="107"/>
      <c r="N312" s="105"/>
      <c r="O312" s="108"/>
      <c r="P312" s="108"/>
    </row>
    <row r="313" spans="13:16" ht="21" x14ac:dyDescent="0.35">
      <c r="M313" s="107"/>
      <c r="N313" s="105"/>
      <c r="O313" s="108"/>
      <c r="P313" s="108"/>
    </row>
    <row r="314" spans="13:16" ht="21" x14ac:dyDescent="0.35">
      <c r="M314" s="107"/>
      <c r="N314" s="105"/>
      <c r="O314" s="108"/>
      <c r="P314" s="108"/>
    </row>
    <row r="315" spans="13:16" ht="21" x14ac:dyDescent="0.35">
      <c r="M315" s="107"/>
      <c r="N315" s="105"/>
      <c r="O315" s="108"/>
      <c r="P315" s="108"/>
    </row>
    <row r="316" spans="13:16" ht="21" x14ac:dyDescent="0.35">
      <c r="M316" s="107"/>
      <c r="N316" s="105"/>
      <c r="O316" s="108"/>
      <c r="P316" s="108"/>
    </row>
    <row r="317" spans="13:16" ht="21" x14ac:dyDescent="0.35">
      <c r="M317" s="107"/>
      <c r="N317" s="105"/>
      <c r="O317" s="108"/>
      <c r="P317" s="108"/>
    </row>
    <row r="318" spans="13:16" ht="21" x14ac:dyDescent="0.35">
      <c r="M318" s="107"/>
      <c r="N318" s="105"/>
      <c r="O318" s="108"/>
      <c r="P318" s="108"/>
    </row>
    <row r="319" spans="13:16" ht="21" x14ac:dyDescent="0.35">
      <c r="M319" s="107"/>
      <c r="N319" s="105"/>
      <c r="O319" s="108"/>
      <c r="P319" s="108"/>
    </row>
    <row r="320" spans="13:16" ht="21" x14ac:dyDescent="0.35">
      <c r="M320" s="107"/>
      <c r="N320" s="105"/>
      <c r="O320" s="108"/>
      <c r="P320" s="108"/>
    </row>
    <row r="321" spans="13:16" ht="21" x14ac:dyDescent="0.35">
      <c r="M321" s="107"/>
      <c r="N321" s="105"/>
      <c r="O321" s="108"/>
      <c r="P321" s="108"/>
    </row>
    <row r="322" spans="13:16" ht="21" x14ac:dyDescent="0.35">
      <c r="M322" s="107"/>
      <c r="N322" s="105"/>
      <c r="O322" s="108"/>
      <c r="P322" s="108"/>
    </row>
    <row r="323" spans="13:16" ht="21" x14ac:dyDescent="0.35">
      <c r="M323" s="107"/>
      <c r="N323" s="105"/>
      <c r="O323" s="108"/>
      <c r="P323" s="108"/>
    </row>
    <row r="324" spans="13:16" ht="21" x14ac:dyDescent="0.35">
      <c r="M324" s="107"/>
      <c r="N324" s="105"/>
      <c r="O324" s="108"/>
      <c r="P324" s="108"/>
    </row>
    <row r="325" spans="13:16" ht="21" x14ac:dyDescent="0.35">
      <c r="M325" s="107"/>
      <c r="N325" s="105"/>
      <c r="O325" s="108"/>
      <c r="P325" s="108"/>
    </row>
    <row r="326" spans="13:16" ht="21" x14ac:dyDescent="0.35">
      <c r="M326" s="107"/>
      <c r="N326" s="105"/>
      <c r="O326" s="108"/>
      <c r="P326" s="108"/>
    </row>
    <row r="327" spans="13:16" ht="21" x14ac:dyDescent="0.35">
      <c r="M327" s="107"/>
      <c r="N327" s="105"/>
      <c r="O327" s="108"/>
      <c r="P327" s="108"/>
    </row>
    <row r="328" spans="13:16" ht="21" x14ac:dyDescent="0.35">
      <c r="M328" s="107"/>
      <c r="N328" s="105"/>
      <c r="O328" s="108"/>
      <c r="P328" s="108"/>
    </row>
    <row r="329" spans="13:16" ht="21" x14ac:dyDescent="0.35">
      <c r="M329" s="107"/>
      <c r="N329" s="105"/>
      <c r="O329" s="108"/>
      <c r="P329" s="108"/>
    </row>
    <row r="330" spans="13:16" ht="21" x14ac:dyDescent="0.35">
      <c r="M330" s="107"/>
      <c r="N330" s="105"/>
      <c r="O330" s="108"/>
      <c r="P330" s="108"/>
    </row>
    <row r="331" spans="13:16" ht="21" x14ac:dyDescent="0.35">
      <c r="M331" s="107"/>
      <c r="N331" s="105"/>
      <c r="O331" s="108"/>
      <c r="P331" s="108"/>
    </row>
    <row r="332" spans="13:16" ht="21" x14ac:dyDescent="0.35">
      <c r="M332" s="107"/>
      <c r="N332" s="105"/>
      <c r="O332" s="108"/>
      <c r="P332" s="108"/>
    </row>
    <row r="333" spans="13:16" ht="21" x14ac:dyDescent="0.35">
      <c r="M333" s="107"/>
      <c r="N333" s="105"/>
      <c r="O333" s="108"/>
      <c r="P333" s="108"/>
    </row>
    <row r="334" spans="13:16" ht="21" x14ac:dyDescent="0.35">
      <c r="M334" s="107"/>
      <c r="N334" s="105"/>
      <c r="O334" s="108"/>
      <c r="P334" s="108"/>
    </row>
    <row r="335" spans="13:16" ht="21" x14ac:dyDescent="0.35">
      <c r="M335" s="107"/>
      <c r="N335" s="105"/>
      <c r="O335" s="108"/>
      <c r="P335" s="108"/>
    </row>
    <row r="336" spans="13:16" ht="21" x14ac:dyDescent="0.35">
      <c r="M336" s="107"/>
      <c r="N336" s="105"/>
      <c r="O336" s="108"/>
      <c r="P336" s="108"/>
    </row>
    <row r="337" spans="13:16" ht="21" x14ac:dyDescent="0.35">
      <c r="M337" s="107"/>
      <c r="N337" s="105"/>
      <c r="O337" s="108"/>
      <c r="P337" s="108"/>
    </row>
    <row r="338" spans="13:16" ht="21" x14ac:dyDescent="0.35">
      <c r="M338" s="107"/>
      <c r="N338" s="105"/>
      <c r="O338" s="108"/>
      <c r="P338" s="108"/>
    </row>
    <row r="339" spans="13:16" ht="21" x14ac:dyDescent="0.35">
      <c r="M339" s="107"/>
      <c r="N339" s="105"/>
      <c r="O339" s="108"/>
      <c r="P339" s="108"/>
    </row>
    <row r="340" spans="13:16" ht="21" x14ac:dyDescent="0.35">
      <c r="M340" s="107"/>
      <c r="N340" s="105"/>
      <c r="O340" s="108"/>
      <c r="P340" s="108"/>
    </row>
    <row r="341" spans="13:16" ht="21" x14ac:dyDescent="0.35">
      <c r="M341" s="107"/>
      <c r="N341" s="105"/>
      <c r="O341" s="108"/>
      <c r="P341" s="108"/>
    </row>
    <row r="342" spans="13:16" ht="21" x14ac:dyDescent="0.35">
      <c r="M342" s="107"/>
      <c r="N342" s="105"/>
      <c r="O342" s="108"/>
      <c r="P342" s="108"/>
    </row>
    <row r="343" spans="13:16" ht="21" x14ac:dyDescent="0.35">
      <c r="M343" s="107"/>
      <c r="N343" s="105"/>
      <c r="O343" s="108"/>
      <c r="P343" s="108"/>
    </row>
    <row r="344" spans="13:16" ht="21" x14ac:dyDescent="0.35">
      <c r="M344" s="107"/>
      <c r="N344" s="105"/>
      <c r="O344" s="108"/>
      <c r="P344" s="108"/>
    </row>
    <row r="345" spans="13:16" ht="21" x14ac:dyDescent="0.35">
      <c r="M345" s="107"/>
      <c r="N345" s="105"/>
      <c r="O345" s="108"/>
      <c r="P345" s="108"/>
    </row>
    <row r="346" spans="13:16" ht="21" x14ac:dyDescent="0.35">
      <c r="M346" s="107"/>
      <c r="N346" s="105"/>
      <c r="O346" s="108"/>
      <c r="P346" s="108"/>
    </row>
    <row r="347" spans="13:16" ht="21" x14ac:dyDescent="0.35">
      <c r="M347" s="107"/>
      <c r="N347" s="105"/>
      <c r="O347" s="108"/>
      <c r="P347" s="108"/>
    </row>
    <row r="348" spans="13:16" ht="21" x14ac:dyDescent="0.35">
      <c r="M348" s="107"/>
      <c r="N348" s="105"/>
      <c r="O348" s="108"/>
      <c r="P348" s="108"/>
    </row>
    <row r="349" spans="13:16" ht="21" x14ac:dyDescent="0.35">
      <c r="M349" s="107"/>
      <c r="N349" s="105"/>
      <c r="O349" s="108"/>
      <c r="P349" s="108"/>
    </row>
    <row r="350" spans="13:16" ht="21" x14ac:dyDescent="0.35">
      <c r="M350" s="107"/>
      <c r="N350" s="105"/>
      <c r="O350" s="108"/>
      <c r="P350" s="108"/>
    </row>
    <row r="351" spans="13:16" ht="21" x14ac:dyDescent="0.35">
      <c r="M351" s="107"/>
      <c r="N351" s="105"/>
      <c r="O351" s="108"/>
      <c r="P351" s="108"/>
    </row>
    <row r="352" spans="13:16" ht="21" x14ac:dyDescent="0.35">
      <c r="M352" s="107"/>
      <c r="N352" s="105"/>
      <c r="O352" s="108"/>
      <c r="P352" s="108"/>
    </row>
    <row r="353" spans="13:16" ht="21" x14ac:dyDescent="0.35">
      <c r="M353" s="107"/>
      <c r="N353" s="105"/>
      <c r="O353" s="108"/>
      <c r="P353" s="108"/>
    </row>
    <row r="354" spans="13:16" ht="21" x14ac:dyDescent="0.35">
      <c r="M354" s="107"/>
      <c r="N354" s="105"/>
      <c r="O354" s="108"/>
      <c r="P354" s="108"/>
    </row>
    <row r="355" spans="13:16" ht="21" x14ac:dyDescent="0.35">
      <c r="M355" s="107"/>
      <c r="N355" s="105"/>
      <c r="O355" s="108"/>
      <c r="P355" s="108"/>
    </row>
    <row r="356" spans="13:16" ht="21" x14ac:dyDescent="0.35">
      <c r="M356" s="107"/>
      <c r="N356" s="105"/>
      <c r="O356" s="108"/>
      <c r="P356" s="108"/>
    </row>
    <row r="357" spans="13:16" ht="21" x14ac:dyDescent="0.35">
      <c r="M357" s="107"/>
      <c r="N357" s="105"/>
      <c r="O357" s="108"/>
      <c r="P357" s="108"/>
    </row>
    <row r="358" spans="13:16" ht="21" x14ac:dyDescent="0.35">
      <c r="M358" s="107"/>
      <c r="N358" s="105"/>
      <c r="O358" s="108"/>
      <c r="P358" s="108"/>
    </row>
    <row r="359" spans="13:16" ht="21" x14ac:dyDescent="0.35">
      <c r="M359" s="107"/>
      <c r="N359" s="105"/>
      <c r="O359" s="108"/>
      <c r="P359" s="108"/>
    </row>
    <row r="360" spans="13:16" ht="21" x14ac:dyDescent="0.35">
      <c r="M360" s="107"/>
      <c r="N360" s="105"/>
      <c r="O360" s="108"/>
      <c r="P360" s="108"/>
    </row>
    <row r="361" spans="13:16" ht="21" x14ac:dyDescent="0.35">
      <c r="M361" s="107"/>
      <c r="N361" s="105"/>
      <c r="O361" s="108"/>
      <c r="P361" s="108"/>
    </row>
    <row r="362" spans="13:16" ht="21" x14ac:dyDescent="0.35">
      <c r="M362" s="107"/>
      <c r="N362" s="105"/>
      <c r="O362" s="108"/>
      <c r="P362" s="108"/>
    </row>
    <row r="363" spans="13:16" ht="21" x14ac:dyDescent="0.35">
      <c r="M363" s="107"/>
      <c r="N363" s="105"/>
      <c r="O363" s="108"/>
      <c r="P363" s="108"/>
    </row>
    <row r="364" spans="13:16" ht="21" x14ac:dyDescent="0.35">
      <c r="M364" s="107"/>
      <c r="N364" s="105"/>
      <c r="O364" s="108"/>
      <c r="P364" s="108"/>
    </row>
    <row r="365" spans="13:16" ht="21" x14ac:dyDescent="0.35">
      <c r="M365" s="107"/>
      <c r="N365" s="105"/>
      <c r="O365" s="108"/>
      <c r="P365" s="108"/>
    </row>
    <row r="366" spans="13:16" ht="21" x14ac:dyDescent="0.35">
      <c r="M366" s="107"/>
      <c r="N366" s="105"/>
      <c r="O366" s="108"/>
      <c r="P366" s="108"/>
    </row>
    <row r="367" spans="13:16" ht="21" x14ac:dyDescent="0.35">
      <c r="M367" s="107"/>
      <c r="N367" s="105"/>
      <c r="O367" s="108"/>
      <c r="P367" s="108"/>
    </row>
    <row r="368" spans="13:16" ht="21" x14ac:dyDescent="0.35">
      <c r="M368" s="107"/>
      <c r="N368" s="105"/>
      <c r="O368" s="108"/>
      <c r="P368" s="108"/>
    </row>
    <row r="369" spans="13:16" ht="21" x14ac:dyDescent="0.35">
      <c r="M369" s="107"/>
      <c r="N369" s="105"/>
      <c r="O369" s="108"/>
      <c r="P369" s="108"/>
    </row>
    <row r="370" spans="13:16" ht="21" x14ac:dyDescent="0.35">
      <c r="M370" s="107"/>
      <c r="N370" s="105"/>
      <c r="O370" s="108"/>
      <c r="P370" s="108"/>
    </row>
    <row r="371" spans="13:16" ht="21" x14ac:dyDescent="0.35">
      <c r="M371" s="107"/>
      <c r="N371" s="105"/>
      <c r="O371" s="108"/>
      <c r="P371" s="108"/>
    </row>
    <row r="372" spans="13:16" ht="21" x14ac:dyDescent="0.35">
      <c r="M372" s="107"/>
      <c r="N372" s="105"/>
      <c r="O372" s="108"/>
      <c r="P372" s="108"/>
    </row>
    <row r="373" spans="13:16" ht="21" x14ac:dyDescent="0.35">
      <c r="M373" s="107"/>
      <c r="N373" s="105"/>
      <c r="O373" s="108"/>
      <c r="P373" s="108"/>
    </row>
    <row r="374" spans="13:16" ht="21" x14ac:dyDescent="0.35">
      <c r="M374" s="107"/>
      <c r="N374" s="105"/>
      <c r="O374" s="108"/>
      <c r="P374" s="108"/>
    </row>
    <row r="375" spans="13:16" ht="21" x14ac:dyDescent="0.35">
      <c r="M375" s="107"/>
      <c r="N375" s="105"/>
      <c r="O375" s="108"/>
      <c r="P375" s="108"/>
    </row>
    <row r="376" spans="13:16" ht="21" x14ac:dyDescent="0.35">
      <c r="M376" s="107"/>
      <c r="N376" s="105"/>
      <c r="O376" s="108"/>
      <c r="P376" s="108"/>
    </row>
    <row r="377" spans="13:16" ht="21" x14ac:dyDescent="0.35">
      <c r="M377" s="107"/>
      <c r="N377" s="105"/>
      <c r="O377" s="108"/>
      <c r="P377" s="108"/>
    </row>
    <row r="378" spans="13:16" ht="21" x14ac:dyDescent="0.35">
      <c r="M378" s="107"/>
      <c r="N378" s="105"/>
      <c r="O378" s="108"/>
      <c r="P378" s="108"/>
    </row>
    <row r="379" spans="13:16" ht="21" x14ac:dyDescent="0.35">
      <c r="M379" s="107"/>
      <c r="N379" s="105"/>
      <c r="O379" s="108"/>
      <c r="P379" s="108"/>
    </row>
    <row r="380" spans="13:16" ht="21" x14ac:dyDescent="0.35">
      <c r="M380" s="107"/>
      <c r="N380" s="105"/>
      <c r="O380" s="108"/>
      <c r="P380" s="108"/>
    </row>
    <row r="381" spans="13:16" ht="21" x14ac:dyDescent="0.35">
      <c r="M381" s="107"/>
      <c r="N381" s="105"/>
      <c r="O381" s="108"/>
      <c r="P381" s="108"/>
    </row>
    <row r="382" spans="13:16" ht="21" x14ac:dyDescent="0.35">
      <c r="M382" s="107"/>
      <c r="N382" s="105"/>
      <c r="O382" s="108"/>
      <c r="P382" s="108"/>
    </row>
    <row r="383" spans="13:16" ht="21" x14ac:dyDescent="0.35">
      <c r="M383" s="107"/>
      <c r="N383" s="105"/>
      <c r="O383" s="108"/>
      <c r="P383" s="108"/>
    </row>
    <row r="384" spans="13:16" ht="21" x14ac:dyDescent="0.35">
      <c r="M384" s="107"/>
      <c r="N384" s="105"/>
      <c r="O384" s="108"/>
      <c r="P384" s="108"/>
    </row>
    <row r="385" spans="13:16" ht="21" x14ac:dyDescent="0.35">
      <c r="M385" s="107"/>
      <c r="N385" s="105"/>
      <c r="O385" s="108"/>
      <c r="P385" s="108"/>
    </row>
    <row r="386" spans="13:16" ht="21" x14ac:dyDescent="0.35">
      <c r="M386" s="107"/>
      <c r="N386" s="105"/>
      <c r="O386" s="108"/>
      <c r="P386" s="108"/>
    </row>
    <row r="387" spans="13:16" ht="21" x14ac:dyDescent="0.35">
      <c r="M387" s="107"/>
      <c r="N387" s="105"/>
      <c r="O387" s="108"/>
      <c r="P387" s="108"/>
    </row>
    <row r="388" spans="13:16" ht="21" x14ac:dyDescent="0.35">
      <c r="M388" s="107"/>
      <c r="N388" s="105"/>
      <c r="O388" s="108"/>
      <c r="P388" s="108"/>
    </row>
    <row r="389" spans="13:16" ht="21" x14ac:dyDescent="0.35">
      <c r="M389" s="107"/>
      <c r="N389" s="105"/>
      <c r="O389" s="108"/>
      <c r="P389" s="108"/>
    </row>
    <row r="390" spans="13:16" ht="21" x14ac:dyDescent="0.35">
      <c r="M390" s="107"/>
      <c r="N390" s="105"/>
      <c r="O390" s="108"/>
      <c r="P390" s="108"/>
    </row>
    <row r="391" spans="13:16" ht="21" x14ac:dyDescent="0.35">
      <c r="M391" s="107"/>
      <c r="N391" s="105"/>
      <c r="O391" s="108"/>
      <c r="P391" s="108"/>
    </row>
    <row r="392" spans="13:16" ht="21" x14ac:dyDescent="0.35">
      <c r="M392" s="107"/>
      <c r="N392" s="105"/>
      <c r="O392" s="108"/>
      <c r="P392" s="108"/>
    </row>
    <row r="393" spans="13:16" ht="21" x14ac:dyDescent="0.35">
      <c r="M393" s="107"/>
      <c r="N393" s="105"/>
      <c r="O393" s="108"/>
      <c r="P393" s="108"/>
    </row>
    <row r="394" spans="13:16" ht="21" x14ac:dyDescent="0.35">
      <c r="M394" s="107"/>
      <c r="N394" s="105"/>
      <c r="O394" s="108"/>
      <c r="P394" s="108"/>
    </row>
    <row r="395" spans="13:16" ht="21" x14ac:dyDescent="0.35">
      <c r="M395" s="107"/>
      <c r="N395" s="105"/>
      <c r="O395" s="108"/>
      <c r="P395" s="108"/>
    </row>
    <row r="396" spans="13:16" ht="21" x14ac:dyDescent="0.35">
      <c r="M396" s="107"/>
      <c r="N396" s="105"/>
      <c r="O396" s="108"/>
      <c r="P396" s="108"/>
    </row>
    <row r="397" spans="13:16" ht="21" x14ac:dyDescent="0.35">
      <c r="M397" s="107"/>
      <c r="N397" s="105"/>
      <c r="O397" s="108"/>
      <c r="P397" s="108"/>
    </row>
    <row r="398" spans="13:16" ht="21" x14ac:dyDescent="0.35">
      <c r="M398" s="107"/>
      <c r="N398" s="105"/>
      <c r="O398" s="108"/>
      <c r="P398" s="108"/>
    </row>
    <row r="399" spans="13:16" ht="21" x14ac:dyDescent="0.35">
      <c r="M399" s="107"/>
      <c r="N399" s="105"/>
      <c r="O399" s="108"/>
      <c r="P399" s="108"/>
    </row>
    <row r="400" spans="13:16" ht="21" x14ac:dyDescent="0.35">
      <c r="M400" s="107"/>
      <c r="N400" s="105"/>
      <c r="O400" s="108"/>
      <c r="P400" s="108"/>
    </row>
    <row r="401" spans="13:16" ht="21" x14ac:dyDescent="0.35">
      <c r="M401" s="107"/>
      <c r="N401" s="105"/>
      <c r="O401" s="108"/>
      <c r="P401" s="108"/>
    </row>
    <row r="402" spans="13:16" ht="21" x14ac:dyDescent="0.35">
      <c r="M402" s="107"/>
      <c r="N402" s="105"/>
      <c r="O402" s="108"/>
      <c r="P402" s="108"/>
    </row>
    <row r="403" spans="13:16" ht="21" x14ac:dyDescent="0.35">
      <c r="M403" s="107"/>
      <c r="N403" s="105"/>
      <c r="O403" s="108"/>
      <c r="P403" s="108"/>
    </row>
    <row r="404" spans="13:16" ht="21" x14ac:dyDescent="0.35">
      <c r="M404" s="107"/>
      <c r="N404" s="105"/>
      <c r="O404" s="108"/>
      <c r="P404" s="108"/>
    </row>
    <row r="405" spans="13:16" ht="21" x14ac:dyDescent="0.35">
      <c r="M405" s="107"/>
      <c r="N405" s="105"/>
      <c r="O405" s="108"/>
      <c r="P405" s="108"/>
    </row>
    <row r="406" spans="13:16" ht="21" x14ac:dyDescent="0.35">
      <c r="M406" s="107"/>
      <c r="N406" s="105"/>
      <c r="O406" s="108"/>
      <c r="P406" s="108"/>
    </row>
    <row r="407" spans="13:16" ht="21" x14ac:dyDescent="0.35">
      <c r="M407" s="107"/>
      <c r="N407" s="105"/>
      <c r="O407" s="108"/>
      <c r="P407" s="108"/>
    </row>
    <row r="408" spans="13:16" ht="21" x14ac:dyDescent="0.35">
      <c r="M408" s="107"/>
      <c r="N408" s="105"/>
      <c r="O408" s="108"/>
      <c r="P408" s="108"/>
    </row>
    <row r="409" spans="13:16" ht="21" x14ac:dyDescent="0.35">
      <c r="M409" s="107"/>
      <c r="N409" s="105"/>
      <c r="O409" s="108"/>
      <c r="P409" s="108"/>
    </row>
    <row r="410" spans="13:16" ht="21" x14ac:dyDescent="0.35">
      <c r="M410" s="107"/>
      <c r="N410" s="105"/>
      <c r="O410" s="108"/>
      <c r="P410" s="108"/>
    </row>
    <row r="411" spans="13:16" ht="21" x14ac:dyDescent="0.35">
      <c r="M411" s="107"/>
      <c r="N411" s="105"/>
      <c r="O411" s="108"/>
      <c r="P411" s="108"/>
    </row>
    <row r="412" spans="13:16" ht="21" x14ac:dyDescent="0.35">
      <c r="M412" s="107"/>
      <c r="N412" s="105"/>
      <c r="O412" s="108"/>
      <c r="P412" s="108"/>
    </row>
    <row r="413" spans="13:16" ht="21" x14ac:dyDescent="0.35">
      <c r="M413" s="107"/>
      <c r="N413" s="105"/>
      <c r="O413" s="108"/>
      <c r="P413" s="108"/>
    </row>
    <row r="414" spans="13:16" ht="21" x14ac:dyDescent="0.35">
      <c r="M414" s="107"/>
      <c r="N414" s="105"/>
      <c r="O414" s="108"/>
      <c r="P414" s="108"/>
    </row>
    <row r="415" spans="13:16" ht="21" x14ac:dyDescent="0.35">
      <c r="M415" s="107"/>
      <c r="N415" s="105"/>
      <c r="O415" s="108"/>
      <c r="P415" s="108"/>
    </row>
    <row r="416" spans="13:16" ht="21" x14ac:dyDescent="0.35">
      <c r="M416" s="107"/>
      <c r="N416" s="105"/>
      <c r="O416" s="108"/>
      <c r="P416" s="108"/>
    </row>
    <row r="417" spans="13:16" ht="21" x14ac:dyDescent="0.35">
      <c r="M417" s="107"/>
      <c r="N417" s="105"/>
      <c r="O417" s="108"/>
      <c r="P417" s="108"/>
    </row>
    <row r="418" spans="13:16" ht="21" x14ac:dyDescent="0.35">
      <c r="M418" s="107"/>
      <c r="N418" s="105"/>
      <c r="O418" s="108"/>
      <c r="P418" s="108"/>
    </row>
    <row r="419" spans="13:16" ht="21" x14ac:dyDescent="0.35">
      <c r="M419" s="107"/>
      <c r="N419" s="105"/>
      <c r="O419" s="108"/>
      <c r="P419" s="108"/>
    </row>
    <row r="420" spans="13:16" ht="21" x14ac:dyDescent="0.35">
      <c r="M420" s="107"/>
      <c r="N420" s="105"/>
      <c r="O420" s="108"/>
      <c r="P420" s="108"/>
    </row>
    <row r="421" spans="13:16" ht="21" x14ac:dyDescent="0.35">
      <c r="M421" s="107"/>
      <c r="N421" s="105"/>
      <c r="O421" s="108"/>
      <c r="P421" s="108"/>
    </row>
    <row r="422" spans="13:16" ht="21" x14ac:dyDescent="0.35">
      <c r="M422" s="107"/>
      <c r="N422" s="105"/>
      <c r="O422" s="108"/>
      <c r="P422" s="108"/>
    </row>
    <row r="423" spans="13:16" ht="21" x14ac:dyDescent="0.35">
      <c r="M423" s="107"/>
      <c r="N423" s="105"/>
      <c r="O423" s="108"/>
      <c r="P423" s="108"/>
    </row>
    <row r="424" spans="13:16" ht="21" x14ac:dyDescent="0.35">
      <c r="M424" s="107"/>
      <c r="N424" s="105"/>
      <c r="O424" s="108"/>
      <c r="P424" s="108"/>
    </row>
    <row r="425" spans="13:16" ht="21" x14ac:dyDescent="0.35">
      <c r="M425" s="107"/>
      <c r="N425" s="105"/>
      <c r="O425" s="108"/>
      <c r="P425" s="108"/>
    </row>
    <row r="426" spans="13:16" ht="21" x14ac:dyDescent="0.35">
      <c r="M426" s="107"/>
      <c r="N426" s="105"/>
      <c r="O426" s="108"/>
      <c r="P426" s="108"/>
    </row>
    <row r="427" spans="13:16" ht="21" x14ac:dyDescent="0.35">
      <c r="M427" s="107"/>
      <c r="N427" s="105"/>
      <c r="O427" s="108"/>
      <c r="P427" s="108"/>
    </row>
    <row r="428" spans="13:16" ht="21" x14ac:dyDescent="0.35">
      <c r="M428" s="107"/>
      <c r="N428" s="105"/>
      <c r="O428" s="108"/>
      <c r="P428" s="108"/>
    </row>
    <row r="429" spans="13:16" ht="21" x14ac:dyDescent="0.35">
      <c r="M429" s="107"/>
      <c r="N429" s="105"/>
      <c r="O429" s="108"/>
      <c r="P429" s="108"/>
    </row>
    <row r="430" spans="13:16" ht="21" x14ac:dyDescent="0.35">
      <c r="M430" s="107"/>
      <c r="N430" s="105"/>
      <c r="O430" s="108"/>
      <c r="P430" s="108"/>
    </row>
    <row r="431" spans="13:16" ht="21" x14ac:dyDescent="0.35">
      <c r="M431" s="107"/>
      <c r="N431" s="105"/>
      <c r="O431" s="108"/>
      <c r="P431" s="108"/>
    </row>
    <row r="432" spans="13:16" ht="21" x14ac:dyDescent="0.35">
      <c r="M432" s="107"/>
      <c r="N432" s="105"/>
      <c r="O432" s="108"/>
      <c r="P432" s="108"/>
    </row>
    <row r="433" spans="13:16" ht="21" x14ac:dyDescent="0.35">
      <c r="M433" s="107"/>
      <c r="N433" s="105"/>
      <c r="O433" s="108"/>
      <c r="P433" s="108"/>
    </row>
    <row r="434" spans="13:16" ht="21" x14ac:dyDescent="0.35">
      <c r="M434" s="107"/>
      <c r="N434" s="105"/>
      <c r="O434" s="108"/>
      <c r="P434" s="108"/>
    </row>
    <row r="435" spans="13:16" ht="21" x14ac:dyDescent="0.35">
      <c r="M435" s="107"/>
      <c r="N435" s="105"/>
      <c r="O435" s="108"/>
      <c r="P435" s="108"/>
    </row>
    <row r="436" spans="13:16" ht="21" x14ac:dyDescent="0.35">
      <c r="M436" s="107"/>
      <c r="N436" s="105"/>
      <c r="O436" s="108"/>
      <c r="P436" s="108"/>
    </row>
    <row r="437" spans="13:16" ht="21" x14ac:dyDescent="0.35">
      <c r="M437" s="107"/>
      <c r="N437" s="105"/>
      <c r="O437" s="108"/>
      <c r="P437" s="108"/>
    </row>
    <row r="438" spans="13:16" ht="21" x14ac:dyDescent="0.35">
      <c r="M438" s="107"/>
      <c r="N438" s="105"/>
      <c r="O438" s="108"/>
      <c r="P438" s="108"/>
    </row>
    <row r="439" spans="13:16" ht="21" x14ac:dyDescent="0.35">
      <c r="M439" s="107"/>
      <c r="N439" s="105"/>
      <c r="O439" s="108"/>
      <c r="P439" s="108"/>
    </row>
    <row r="440" spans="13:16" ht="21" x14ac:dyDescent="0.35">
      <c r="M440" s="107"/>
      <c r="N440" s="105"/>
      <c r="O440" s="108"/>
      <c r="P440" s="108"/>
    </row>
    <row r="441" spans="13:16" ht="21" x14ac:dyDescent="0.35">
      <c r="M441" s="107"/>
      <c r="N441" s="105"/>
      <c r="O441" s="108"/>
      <c r="P441" s="108"/>
    </row>
    <row r="442" spans="13:16" ht="21" x14ac:dyDescent="0.35">
      <c r="M442" s="107"/>
      <c r="N442" s="105"/>
      <c r="O442" s="108"/>
      <c r="P442" s="108"/>
    </row>
    <row r="443" spans="13:16" ht="21" x14ac:dyDescent="0.35">
      <c r="M443" s="107"/>
      <c r="N443" s="105"/>
      <c r="O443" s="108"/>
      <c r="P443" s="108"/>
    </row>
    <row r="444" spans="13:16" ht="21" x14ac:dyDescent="0.35">
      <c r="M444" s="107"/>
      <c r="N444" s="105"/>
      <c r="O444" s="108"/>
      <c r="P444" s="108"/>
    </row>
    <row r="445" spans="13:16" ht="21" x14ac:dyDescent="0.35">
      <c r="M445" s="107"/>
      <c r="N445" s="105"/>
      <c r="O445" s="108"/>
      <c r="P445" s="108"/>
    </row>
    <row r="446" spans="13:16" ht="21" x14ac:dyDescent="0.35">
      <c r="M446" s="107"/>
      <c r="N446" s="105"/>
      <c r="O446" s="108"/>
      <c r="P446" s="108"/>
    </row>
    <row r="447" spans="13:16" ht="21" x14ac:dyDescent="0.35">
      <c r="M447" s="107"/>
      <c r="N447" s="105"/>
      <c r="O447" s="108"/>
      <c r="P447" s="108"/>
    </row>
    <row r="448" spans="13:16" ht="21" x14ac:dyDescent="0.35">
      <c r="M448" s="107"/>
      <c r="N448" s="105"/>
      <c r="O448" s="108"/>
      <c r="P448" s="108"/>
    </row>
    <row r="449" spans="13:16" ht="21" x14ac:dyDescent="0.35">
      <c r="M449" s="107"/>
      <c r="N449" s="105"/>
      <c r="O449" s="108"/>
      <c r="P449" s="108"/>
    </row>
    <row r="450" spans="13:16" ht="21" x14ac:dyDescent="0.35">
      <c r="M450" s="107"/>
      <c r="N450" s="105"/>
      <c r="O450" s="108"/>
      <c r="P450" s="108"/>
    </row>
    <row r="451" spans="13:16" ht="21" x14ac:dyDescent="0.35">
      <c r="M451" s="107"/>
      <c r="N451" s="105"/>
      <c r="O451" s="108"/>
      <c r="P451" s="108"/>
    </row>
    <row r="452" spans="13:16" ht="21" x14ac:dyDescent="0.35">
      <c r="M452" s="107"/>
      <c r="N452" s="105"/>
      <c r="O452" s="108"/>
      <c r="P452" s="108"/>
    </row>
    <row r="453" spans="13:16" ht="21" x14ac:dyDescent="0.35">
      <c r="M453" s="107"/>
      <c r="N453" s="105"/>
      <c r="O453" s="108"/>
      <c r="P453" s="108"/>
    </row>
    <row r="454" spans="13:16" ht="21" x14ac:dyDescent="0.35">
      <c r="M454" s="107"/>
      <c r="N454" s="105"/>
      <c r="O454" s="108"/>
      <c r="P454" s="108"/>
    </row>
    <row r="455" spans="13:16" ht="21" x14ac:dyDescent="0.35">
      <c r="M455" s="107"/>
      <c r="N455" s="105"/>
      <c r="O455" s="108"/>
      <c r="P455" s="108"/>
    </row>
    <row r="456" spans="13:16" ht="21" x14ac:dyDescent="0.35">
      <c r="M456" s="107"/>
      <c r="N456" s="105"/>
      <c r="O456" s="108"/>
      <c r="P456" s="108"/>
    </row>
    <row r="457" spans="13:16" ht="21" x14ac:dyDescent="0.35">
      <c r="M457" s="107"/>
      <c r="N457" s="105"/>
      <c r="O457" s="108"/>
      <c r="P457" s="108"/>
    </row>
    <row r="458" spans="13:16" ht="21" x14ac:dyDescent="0.35">
      <c r="M458" s="107"/>
      <c r="N458" s="105"/>
      <c r="O458" s="108"/>
      <c r="P458" s="108"/>
    </row>
    <row r="459" spans="13:16" ht="21" x14ac:dyDescent="0.35">
      <c r="M459" s="107"/>
      <c r="N459" s="105"/>
      <c r="O459" s="108"/>
      <c r="P459" s="108"/>
    </row>
    <row r="460" spans="13:16" ht="21" x14ac:dyDescent="0.35">
      <c r="M460" s="107"/>
      <c r="N460" s="105"/>
      <c r="O460" s="108"/>
      <c r="P460" s="108"/>
    </row>
    <row r="461" spans="13:16" ht="21" x14ac:dyDescent="0.35">
      <c r="M461" s="107"/>
      <c r="N461" s="105"/>
      <c r="O461" s="108"/>
      <c r="P461" s="108"/>
    </row>
    <row r="462" spans="13:16" ht="21" x14ac:dyDescent="0.35">
      <c r="M462" s="107"/>
      <c r="N462" s="105"/>
      <c r="O462" s="108"/>
      <c r="P462" s="108"/>
    </row>
    <row r="463" spans="13:16" ht="21" x14ac:dyDescent="0.35">
      <c r="M463" s="107"/>
      <c r="N463" s="105"/>
      <c r="O463" s="108"/>
      <c r="P463" s="108"/>
    </row>
    <row r="464" spans="13:16" ht="21" x14ac:dyDescent="0.35">
      <c r="M464" s="107"/>
      <c r="N464" s="105"/>
      <c r="O464" s="108"/>
      <c r="P464" s="108"/>
    </row>
    <row r="465" spans="13:16" ht="21" x14ac:dyDescent="0.35">
      <c r="M465" s="107"/>
      <c r="N465" s="105"/>
      <c r="O465" s="108"/>
      <c r="P465" s="108"/>
    </row>
    <row r="466" spans="13:16" ht="21" x14ac:dyDescent="0.35">
      <c r="M466" s="107"/>
      <c r="N466" s="105"/>
      <c r="O466" s="108"/>
      <c r="P466" s="108"/>
    </row>
    <row r="467" spans="13:16" ht="21" x14ac:dyDescent="0.35">
      <c r="M467" s="107"/>
      <c r="N467" s="105"/>
      <c r="O467" s="108"/>
      <c r="P467" s="108"/>
    </row>
    <row r="468" spans="13:16" ht="21" x14ac:dyDescent="0.35">
      <c r="M468" s="107"/>
      <c r="N468" s="105"/>
      <c r="O468" s="108"/>
      <c r="P468" s="108"/>
    </row>
    <row r="469" spans="13:16" ht="21" x14ac:dyDescent="0.35">
      <c r="M469" s="107"/>
      <c r="N469" s="105"/>
      <c r="O469" s="108"/>
      <c r="P469" s="108"/>
    </row>
    <row r="470" spans="13:16" ht="21" x14ac:dyDescent="0.35">
      <c r="M470" s="107"/>
      <c r="N470" s="105"/>
      <c r="O470" s="108"/>
      <c r="P470" s="108"/>
    </row>
    <row r="471" spans="13:16" ht="21" x14ac:dyDescent="0.35">
      <c r="M471" s="107"/>
      <c r="N471" s="105"/>
      <c r="O471" s="108"/>
      <c r="P471" s="108"/>
    </row>
    <row r="472" spans="13:16" ht="21" x14ac:dyDescent="0.35">
      <c r="M472" s="107"/>
      <c r="N472" s="105"/>
      <c r="O472" s="108"/>
      <c r="P472" s="108"/>
    </row>
    <row r="473" spans="13:16" ht="21" x14ac:dyDescent="0.35">
      <c r="M473" s="107"/>
      <c r="N473" s="105"/>
      <c r="O473" s="108"/>
      <c r="P473" s="108"/>
    </row>
    <row r="474" spans="13:16" ht="21" x14ac:dyDescent="0.35">
      <c r="M474" s="107"/>
      <c r="N474" s="105"/>
      <c r="O474" s="108"/>
      <c r="P474" s="108"/>
    </row>
    <row r="475" spans="13:16" ht="21" x14ac:dyDescent="0.35">
      <c r="M475" s="107"/>
      <c r="N475" s="105"/>
      <c r="O475" s="108"/>
      <c r="P475" s="108"/>
    </row>
    <row r="476" spans="13:16" ht="21" x14ac:dyDescent="0.35">
      <c r="M476" s="107"/>
      <c r="N476" s="105"/>
      <c r="O476" s="108"/>
      <c r="P476" s="108"/>
    </row>
    <row r="477" spans="13:16" ht="21" x14ac:dyDescent="0.35">
      <c r="M477" s="107"/>
      <c r="N477" s="105"/>
      <c r="O477" s="108"/>
      <c r="P477" s="108"/>
    </row>
    <row r="478" spans="13:16" ht="21" x14ac:dyDescent="0.35">
      <c r="M478" s="107"/>
      <c r="N478" s="105"/>
      <c r="O478" s="108"/>
      <c r="P478" s="108"/>
    </row>
    <row r="479" spans="13:16" ht="21" x14ac:dyDescent="0.35">
      <c r="M479" s="107"/>
      <c r="N479" s="105"/>
      <c r="O479" s="108"/>
      <c r="P479" s="108"/>
    </row>
    <row r="480" spans="13:16" ht="21" x14ac:dyDescent="0.35">
      <c r="M480" s="107"/>
      <c r="N480" s="105"/>
      <c r="O480" s="108"/>
      <c r="P480" s="108"/>
    </row>
    <row r="481" spans="13:16" ht="21" x14ac:dyDescent="0.35">
      <c r="M481" s="107"/>
      <c r="N481" s="105"/>
      <c r="O481" s="108"/>
      <c r="P481" s="108"/>
    </row>
    <row r="482" spans="13:16" ht="21" x14ac:dyDescent="0.35">
      <c r="M482" s="107"/>
      <c r="N482" s="105"/>
      <c r="O482" s="108"/>
      <c r="P482" s="108"/>
    </row>
    <row r="483" spans="13:16" ht="21" x14ac:dyDescent="0.35">
      <c r="M483" s="107"/>
      <c r="N483" s="105"/>
      <c r="O483" s="108"/>
      <c r="P483" s="108"/>
    </row>
    <row r="484" spans="13:16" ht="21" x14ac:dyDescent="0.35">
      <c r="M484" s="107"/>
      <c r="N484" s="105"/>
      <c r="O484" s="108"/>
      <c r="P484" s="108"/>
    </row>
    <row r="485" spans="13:16" ht="21" x14ac:dyDescent="0.35">
      <c r="M485" s="107"/>
      <c r="N485" s="105"/>
      <c r="O485" s="108"/>
      <c r="P485" s="108"/>
    </row>
    <row r="486" spans="13:16" ht="21" x14ac:dyDescent="0.35">
      <c r="M486" s="107"/>
      <c r="N486" s="105"/>
      <c r="O486" s="108"/>
      <c r="P486" s="108"/>
    </row>
    <row r="487" spans="13:16" ht="21" x14ac:dyDescent="0.35">
      <c r="M487" s="107"/>
      <c r="N487" s="105"/>
      <c r="O487" s="108"/>
      <c r="P487" s="108"/>
    </row>
    <row r="488" spans="13:16" ht="21" x14ac:dyDescent="0.35">
      <c r="M488" s="107"/>
      <c r="N488" s="105"/>
      <c r="O488" s="108"/>
      <c r="P488" s="108"/>
    </row>
    <row r="489" spans="13:16" ht="21" x14ac:dyDescent="0.35">
      <c r="M489" s="107"/>
      <c r="N489" s="105"/>
      <c r="O489" s="108"/>
      <c r="P489" s="108"/>
    </row>
    <row r="490" spans="13:16" ht="21" x14ac:dyDescent="0.35">
      <c r="M490" s="107"/>
      <c r="N490" s="105"/>
      <c r="O490" s="108"/>
      <c r="P490" s="108"/>
    </row>
    <row r="491" spans="13:16" ht="21" x14ac:dyDescent="0.35">
      <c r="M491" s="107"/>
      <c r="N491" s="105"/>
      <c r="O491" s="108"/>
      <c r="P491" s="108"/>
    </row>
    <row r="492" spans="13:16" ht="21" x14ac:dyDescent="0.35">
      <c r="M492" s="107"/>
      <c r="N492" s="105"/>
      <c r="O492" s="108"/>
      <c r="P492" s="108"/>
    </row>
    <row r="493" spans="13:16" ht="21" x14ac:dyDescent="0.35">
      <c r="M493" s="107"/>
      <c r="N493" s="105"/>
      <c r="O493" s="108"/>
      <c r="P493" s="108"/>
    </row>
    <row r="494" spans="13:16" ht="21" x14ac:dyDescent="0.35">
      <c r="M494" s="107"/>
      <c r="N494" s="105"/>
      <c r="O494" s="108"/>
      <c r="P494" s="108"/>
    </row>
    <row r="495" spans="13:16" ht="21" x14ac:dyDescent="0.35">
      <c r="M495" s="107"/>
      <c r="N495" s="105"/>
      <c r="O495" s="108"/>
      <c r="P495" s="108"/>
    </row>
    <row r="496" spans="13:16" ht="21" x14ac:dyDescent="0.35">
      <c r="M496" s="107"/>
      <c r="N496" s="105"/>
      <c r="O496" s="108"/>
      <c r="P496" s="108"/>
    </row>
    <row r="497" spans="13:16" ht="21" x14ac:dyDescent="0.35">
      <c r="M497" s="107"/>
      <c r="N497" s="105"/>
      <c r="O497" s="108"/>
      <c r="P497" s="108"/>
    </row>
    <row r="498" spans="13:16" ht="21" x14ac:dyDescent="0.35">
      <c r="M498" s="107"/>
      <c r="N498" s="105"/>
      <c r="O498" s="108"/>
      <c r="P498" s="108"/>
    </row>
    <row r="499" spans="13:16" ht="21" x14ac:dyDescent="0.35">
      <c r="M499" s="107"/>
      <c r="N499" s="105"/>
      <c r="O499" s="108"/>
      <c r="P499" s="108"/>
    </row>
    <row r="500" spans="13:16" ht="21" x14ac:dyDescent="0.35">
      <c r="M500" s="107"/>
      <c r="N500" s="105"/>
      <c r="O500" s="108"/>
      <c r="P500" s="108"/>
    </row>
    <row r="501" spans="13:16" ht="21" x14ac:dyDescent="0.35">
      <c r="M501" s="107"/>
      <c r="N501" s="105"/>
      <c r="O501" s="108"/>
      <c r="P501" s="108"/>
    </row>
    <row r="502" spans="13:16" ht="21" x14ac:dyDescent="0.35">
      <c r="M502" s="107"/>
      <c r="N502" s="105"/>
      <c r="O502" s="108"/>
      <c r="P502" s="108"/>
    </row>
    <row r="503" spans="13:16" ht="21" x14ac:dyDescent="0.35">
      <c r="M503" s="107"/>
      <c r="N503" s="105"/>
      <c r="O503" s="108"/>
      <c r="P503" s="108"/>
    </row>
    <row r="504" spans="13:16" ht="21" x14ac:dyDescent="0.35">
      <c r="M504" s="107"/>
      <c r="N504" s="105"/>
      <c r="O504" s="108"/>
      <c r="P504" s="108"/>
    </row>
    <row r="505" spans="13:16" ht="21" x14ac:dyDescent="0.35">
      <c r="M505" s="107"/>
      <c r="N505" s="105"/>
      <c r="O505" s="108"/>
      <c r="P505" s="108"/>
    </row>
    <row r="506" spans="13:16" ht="21" x14ac:dyDescent="0.35">
      <c r="M506" s="107"/>
      <c r="N506" s="105"/>
      <c r="O506" s="108"/>
      <c r="P506" s="108"/>
    </row>
    <row r="507" spans="13:16" ht="21" x14ac:dyDescent="0.35">
      <c r="M507" s="107"/>
      <c r="N507" s="105"/>
      <c r="O507" s="108"/>
      <c r="P507" s="108"/>
    </row>
    <row r="508" spans="13:16" ht="21" x14ac:dyDescent="0.35">
      <c r="M508" s="107"/>
      <c r="N508" s="105"/>
      <c r="O508" s="108"/>
      <c r="P508" s="108"/>
    </row>
    <row r="509" spans="13:16" ht="21" x14ac:dyDescent="0.35">
      <c r="M509" s="107"/>
      <c r="N509" s="105"/>
      <c r="O509" s="108"/>
      <c r="P509" s="108"/>
    </row>
    <row r="510" spans="13:16" ht="21" x14ac:dyDescent="0.35">
      <c r="M510" s="107"/>
      <c r="N510" s="105"/>
      <c r="O510" s="108"/>
      <c r="P510" s="108"/>
    </row>
    <row r="511" spans="13:16" ht="21" x14ac:dyDescent="0.35">
      <c r="M511" s="107"/>
      <c r="N511" s="105"/>
      <c r="O511" s="108"/>
      <c r="P511" s="108"/>
    </row>
    <row r="512" spans="13:16" ht="21" x14ac:dyDescent="0.35">
      <c r="M512" s="107"/>
      <c r="N512" s="105"/>
      <c r="O512" s="108"/>
      <c r="P512" s="108"/>
    </row>
    <row r="513" spans="13:16" ht="21" x14ac:dyDescent="0.35">
      <c r="M513" s="107"/>
      <c r="N513" s="105"/>
      <c r="O513" s="108"/>
      <c r="P513" s="108"/>
    </row>
    <row r="514" spans="13:16" ht="21" x14ac:dyDescent="0.35">
      <c r="M514" s="107"/>
      <c r="N514" s="105"/>
      <c r="O514" s="108"/>
      <c r="P514" s="108"/>
    </row>
    <row r="515" spans="13:16" ht="21" x14ac:dyDescent="0.35">
      <c r="M515" s="107"/>
      <c r="N515" s="105"/>
      <c r="O515" s="108"/>
      <c r="P515" s="108"/>
    </row>
    <row r="516" spans="13:16" ht="21" x14ac:dyDescent="0.35">
      <c r="M516" s="107"/>
      <c r="N516" s="105"/>
      <c r="O516" s="108"/>
      <c r="P516" s="108"/>
    </row>
    <row r="517" spans="13:16" ht="21" x14ac:dyDescent="0.35">
      <c r="M517" s="107"/>
      <c r="N517" s="105"/>
      <c r="O517" s="108"/>
      <c r="P517" s="108"/>
    </row>
    <row r="518" spans="13:16" ht="21" x14ac:dyDescent="0.35">
      <c r="M518" s="107"/>
      <c r="N518" s="105"/>
      <c r="O518" s="108"/>
      <c r="P518" s="108"/>
    </row>
    <row r="519" spans="13:16" ht="21" x14ac:dyDescent="0.35">
      <c r="M519" s="107"/>
      <c r="N519" s="105"/>
      <c r="O519" s="108"/>
      <c r="P519" s="108"/>
    </row>
    <row r="520" spans="13:16" ht="21" x14ac:dyDescent="0.35">
      <c r="M520" s="107"/>
      <c r="N520" s="105"/>
      <c r="O520" s="108"/>
      <c r="P520" s="108"/>
    </row>
    <row r="521" spans="13:16" ht="21" x14ac:dyDescent="0.35">
      <c r="M521" s="107"/>
      <c r="N521" s="105"/>
      <c r="O521" s="108"/>
      <c r="P521" s="108"/>
    </row>
    <row r="522" spans="13:16" ht="21" x14ac:dyDescent="0.35">
      <c r="M522" s="107"/>
      <c r="N522" s="105"/>
      <c r="O522" s="108"/>
      <c r="P522" s="108"/>
    </row>
    <row r="523" spans="13:16" ht="21" x14ac:dyDescent="0.35">
      <c r="M523" s="107"/>
      <c r="N523" s="105"/>
      <c r="O523" s="108"/>
      <c r="P523" s="108"/>
    </row>
    <row r="524" spans="13:16" ht="21" x14ac:dyDescent="0.35">
      <c r="M524" s="107"/>
      <c r="N524" s="105"/>
      <c r="O524" s="108"/>
      <c r="P524" s="108"/>
    </row>
    <row r="525" spans="13:16" ht="21" x14ac:dyDescent="0.35">
      <c r="M525" s="107"/>
      <c r="N525" s="105"/>
      <c r="O525" s="108"/>
      <c r="P525" s="108"/>
    </row>
    <row r="526" spans="13:16" ht="21" x14ac:dyDescent="0.35">
      <c r="M526" s="107"/>
      <c r="N526" s="105"/>
      <c r="O526" s="108"/>
      <c r="P526" s="108"/>
    </row>
    <row r="527" spans="13:16" ht="21" x14ac:dyDescent="0.35">
      <c r="M527" s="107"/>
      <c r="N527" s="105"/>
      <c r="O527" s="108"/>
      <c r="P527" s="108"/>
    </row>
    <row r="528" spans="13:16" ht="21" x14ac:dyDescent="0.35">
      <c r="M528" s="107"/>
      <c r="N528" s="105"/>
      <c r="O528" s="108"/>
      <c r="P528" s="108"/>
    </row>
    <row r="529" spans="13:16" ht="21" x14ac:dyDescent="0.35">
      <c r="M529" s="107"/>
      <c r="N529" s="105"/>
      <c r="O529" s="108"/>
      <c r="P529" s="108"/>
    </row>
    <row r="530" spans="13:16" ht="21" x14ac:dyDescent="0.35">
      <c r="M530" s="107"/>
      <c r="N530" s="105"/>
      <c r="O530" s="108"/>
      <c r="P530" s="108"/>
    </row>
    <row r="531" spans="13:16" ht="21" x14ac:dyDescent="0.35">
      <c r="M531" s="107"/>
      <c r="N531" s="105"/>
      <c r="O531" s="108"/>
      <c r="P531" s="108"/>
    </row>
    <row r="532" spans="13:16" ht="21" x14ac:dyDescent="0.35">
      <c r="M532" s="107"/>
      <c r="N532" s="105"/>
      <c r="O532" s="108"/>
      <c r="P532" s="108"/>
    </row>
    <row r="533" spans="13:16" ht="21" x14ac:dyDescent="0.35">
      <c r="M533" s="107"/>
      <c r="N533" s="105"/>
      <c r="O533" s="108"/>
      <c r="P533" s="108"/>
    </row>
    <row r="534" spans="13:16" ht="21" x14ac:dyDescent="0.35">
      <c r="M534" s="107"/>
      <c r="N534" s="105"/>
      <c r="O534" s="108"/>
      <c r="P534" s="108"/>
    </row>
    <row r="535" spans="13:16" ht="21" x14ac:dyDescent="0.35">
      <c r="M535" s="107"/>
      <c r="N535" s="105"/>
      <c r="O535" s="108"/>
      <c r="P535" s="108"/>
    </row>
    <row r="536" spans="13:16" ht="21" x14ac:dyDescent="0.35">
      <c r="M536" s="107"/>
      <c r="N536" s="105"/>
      <c r="O536" s="108"/>
      <c r="P536" s="108"/>
    </row>
    <row r="537" spans="13:16" ht="21" x14ac:dyDescent="0.35">
      <c r="M537" s="107"/>
      <c r="N537" s="105"/>
      <c r="O537" s="108"/>
      <c r="P537" s="108"/>
    </row>
    <row r="538" spans="13:16" ht="21" x14ac:dyDescent="0.35">
      <c r="M538" s="107"/>
      <c r="N538" s="105"/>
      <c r="O538" s="108"/>
      <c r="P538" s="108"/>
    </row>
    <row r="539" spans="13:16" ht="21" x14ac:dyDescent="0.35">
      <c r="M539" s="107"/>
      <c r="N539" s="105"/>
      <c r="O539" s="108"/>
      <c r="P539" s="108"/>
    </row>
    <row r="540" spans="13:16" ht="21" x14ac:dyDescent="0.35">
      <c r="M540" s="107"/>
      <c r="N540" s="105"/>
      <c r="O540" s="108"/>
      <c r="P540" s="108"/>
    </row>
    <row r="541" spans="13:16" ht="21" x14ac:dyDescent="0.35">
      <c r="M541" s="107"/>
      <c r="N541" s="105"/>
      <c r="O541" s="108"/>
      <c r="P541" s="108"/>
    </row>
    <row r="542" spans="13:16" ht="21" x14ac:dyDescent="0.35">
      <c r="M542" s="107"/>
      <c r="N542" s="105"/>
      <c r="O542" s="108"/>
      <c r="P542" s="108"/>
    </row>
    <row r="543" spans="13:16" ht="21" x14ac:dyDescent="0.35">
      <c r="M543" s="107"/>
      <c r="N543" s="105"/>
      <c r="O543" s="108"/>
      <c r="P543" s="108"/>
    </row>
    <row r="544" spans="13:16" ht="21" x14ac:dyDescent="0.35">
      <c r="M544" s="107"/>
      <c r="N544" s="105"/>
      <c r="O544" s="108"/>
      <c r="P544" s="108"/>
    </row>
    <row r="545" spans="13:16" ht="21" x14ac:dyDescent="0.35">
      <c r="M545" s="107"/>
      <c r="N545" s="105"/>
      <c r="O545" s="108"/>
      <c r="P545" s="108"/>
    </row>
    <row r="546" spans="13:16" ht="21" x14ac:dyDescent="0.35">
      <c r="M546" s="107"/>
      <c r="N546" s="105"/>
      <c r="O546" s="108"/>
      <c r="P546" s="108"/>
    </row>
    <row r="547" spans="13:16" ht="21" x14ac:dyDescent="0.35">
      <c r="M547" s="107"/>
      <c r="N547" s="105"/>
      <c r="O547" s="108"/>
      <c r="P547" s="108"/>
    </row>
    <row r="548" spans="13:16" ht="21" x14ac:dyDescent="0.35">
      <c r="M548" s="107"/>
      <c r="N548" s="105"/>
      <c r="O548" s="108"/>
      <c r="P548" s="108"/>
    </row>
    <row r="549" spans="13:16" ht="21" x14ac:dyDescent="0.35">
      <c r="M549" s="107"/>
      <c r="N549" s="105"/>
      <c r="O549" s="108"/>
      <c r="P549" s="108"/>
    </row>
    <row r="550" spans="13:16" ht="21" x14ac:dyDescent="0.35">
      <c r="M550" s="107"/>
      <c r="N550" s="105"/>
      <c r="O550" s="108"/>
      <c r="P550" s="108"/>
    </row>
    <row r="551" spans="13:16" ht="21" x14ac:dyDescent="0.35">
      <c r="M551" s="107"/>
      <c r="N551" s="105"/>
      <c r="O551" s="108"/>
      <c r="P551" s="108"/>
    </row>
    <row r="552" spans="13:16" ht="21" x14ac:dyDescent="0.35">
      <c r="M552" s="107"/>
      <c r="N552" s="105"/>
      <c r="O552" s="108"/>
      <c r="P552" s="108"/>
    </row>
    <row r="553" spans="13:16" ht="21" x14ac:dyDescent="0.35">
      <c r="M553" s="107"/>
      <c r="N553" s="105"/>
      <c r="O553" s="108"/>
      <c r="P553" s="108"/>
    </row>
    <row r="554" spans="13:16" ht="21" x14ac:dyDescent="0.35">
      <c r="M554" s="107"/>
      <c r="N554" s="105"/>
      <c r="O554" s="108"/>
      <c r="P554" s="108"/>
    </row>
    <row r="555" spans="13:16" ht="21" x14ac:dyDescent="0.35">
      <c r="M555" s="107"/>
      <c r="N555" s="105"/>
      <c r="O555" s="108"/>
      <c r="P555" s="108"/>
    </row>
    <row r="556" spans="13:16" ht="21" x14ac:dyDescent="0.35">
      <c r="M556" s="107"/>
      <c r="N556" s="105"/>
      <c r="O556" s="108"/>
      <c r="P556" s="108"/>
    </row>
    <row r="557" spans="13:16" ht="21" x14ac:dyDescent="0.35">
      <c r="M557" s="107"/>
      <c r="N557" s="105"/>
      <c r="O557" s="108"/>
      <c r="P557" s="108"/>
    </row>
    <row r="558" spans="13:16" ht="21" x14ac:dyDescent="0.35">
      <c r="M558" s="107"/>
      <c r="N558" s="105"/>
      <c r="O558" s="108"/>
      <c r="P558" s="108"/>
    </row>
    <row r="559" spans="13:16" ht="21" x14ac:dyDescent="0.35">
      <c r="M559" s="107"/>
      <c r="N559" s="105"/>
      <c r="O559" s="108"/>
      <c r="P559" s="108"/>
    </row>
    <row r="560" spans="13:16" ht="21" x14ac:dyDescent="0.35">
      <c r="M560" s="107"/>
      <c r="N560" s="105"/>
      <c r="O560" s="108"/>
      <c r="P560" s="108"/>
    </row>
    <row r="561" spans="13:16" ht="21" x14ac:dyDescent="0.35">
      <c r="M561" s="107"/>
      <c r="N561" s="105"/>
      <c r="O561" s="108"/>
      <c r="P561" s="108"/>
    </row>
    <row r="562" spans="13:16" ht="21" x14ac:dyDescent="0.35">
      <c r="M562" s="107"/>
      <c r="N562" s="105"/>
      <c r="O562" s="108"/>
      <c r="P562" s="108"/>
    </row>
    <row r="563" spans="13:16" ht="21" x14ac:dyDescent="0.35">
      <c r="M563" s="107"/>
      <c r="N563" s="105"/>
      <c r="O563" s="108"/>
      <c r="P563" s="108"/>
    </row>
    <row r="564" spans="13:16" ht="21" x14ac:dyDescent="0.35">
      <c r="M564" s="107"/>
      <c r="N564" s="105"/>
      <c r="O564" s="108"/>
      <c r="P564" s="108"/>
    </row>
    <row r="565" spans="13:16" ht="21" x14ac:dyDescent="0.35">
      <c r="M565" s="107"/>
      <c r="N565" s="105"/>
      <c r="O565" s="108"/>
      <c r="P565" s="108"/>
    </row>
    <row r="566" spans="13:16" ht="21" x14ac:dyDescent="0.35">
      <c r="M566" s="107"/>
      <c r="N566" s="105"/>
      <c r="O566" s="108"/>
      <c r="P566" s="108"/>
    </row>
    <row r="567" spans="13:16" ht="21" x14ac:dyDescent="0.35">
      <c r="M567" s="107"/>
      <c r="N567" s="105"/>
      <c r="O567" s="108"/>
      <c r="P567" s="108"/>
    </row>
    <row r="568" spans="13:16" ht="21" x14ac:dyDescent="0.35">
      <c r="M568" s="107"/>
      <c r="N568" s="105"/>
      <c r="O568" s="108"/>
      <c r="P568" s="108"/>
    </row>
    <row r="569" spans="13:16" ht="21" x14ac:dyDescent="0.35">
      <c r="M569" s="107"/>
      <c r="N569" s="105"/>
      <c r="O569" s="108"/>
      <c r="P569" s="108"/>
    </row>
    <row r="570" spans="13:16" ht="21" x14ac:dyDescent="0.35">
      <c r="M570" s="107"/>
      <c r="N570" s="105"/>
      <c r="O570" s="108"/>
      <c r="P570" s="108"/>
    </row>
    <row r="571" spans="13:16" ht="21" x14ac:dyDescent="0.35">
      <c r="M571" s="107"/>
      <c r="N571" s="105"/>
      <c r="O571" s="108"/>
      <c r="P571" s="108"/>
    </row>
    <row r="572" spans="13:16" ht="21" x14ac:dyDescent="0.35">
      <c r="M572" s="107"/>
      <c r="N572" s="105"/>
      <c r="O572" s="108"/>
      <c r="P572" s="108"/>
    </row>
    <row r="573" spans="13:16" ht="21" x14ac:dyDescent="0.35">
      <c r="M573" s="107"/>
      <c r="N573" s="105"/>
      <c r="O573" s="108"/>
      <c r="P573" s="108"/>
    </row>
    <row r="574" spans="13:16" ht="21" x14ac:dyDescent="0.35">
      <c r="M574" s="107"/>
      <c r="N574" s="105"/>
      <c r="O574" s="108"/>
      <c r="P574" s="108"/>
    </row>
    <row r="575" spans="13:16" ht="21" x14ac:dyDescent="0.35">
      <c r="M575" s="107"/>
      <c r="N575" s="105"/>
      <c r="O575" s="108"/>
      <c r="P575" s="108"/>
    </row>
    <row r="576" spans="13:16" ht="21" x14ac:dyDescent="0.35">
      <c r="M576" s="107"/>
      <c r="N576" s="105"/>
      <c r="O576" s="108"/>
      <c r="P576" s="108"/>
    </row>
    <row r="577" spans="13:16" ht="21" x14ac:dyDescent="0.35">
      <c r="M577" s="107"/>
      <c r="N577" s="105"/>
      <c r="O577" s="108"/>
      <c r="P577" s="108"/>
    </row>
    <row r="578" spans="13:16" ht="21" x14ac:dyDescent="0.35">
      <c r="M578" s="107"/>
      <c r="N578" s="105"/>
      <c r="O578" s="108"/>
      <c r="P578" s="108"/>
    </row>
    <row r="579" spans="13:16" ht="21" x14ac:dyDescent="0.35">
      <c r="M579" s="107"/>
      <c r="N579" s="105"/>
      <c r="O579" s="108"/>
      <c r="P579" s="108"/>
    </row>
    <row r="580" spans="13:16" ht="21" x14ac:dyDescent="0.35">
      <c r="M580" s="107"/>
      <c r="N580" s="105"/>
      <c r="O580" s="108"/>
      <c r="P580" s="108"/>
    </row>
    <row r="581" spans="13:16" ht="21" x14ac:dyDescent="0.35">
      <c r="M581" s="107"/>
      <c r="N581" s="105"/>
      <c r="O581" s="108"/>
      <c r="P581" s="108"/>
    </row>
    <row r="582" spans="13:16" ht="21" x14ac:dyDescent="0.35">
      <c r="M582" s="107"/>
      <c r="N582" s="105"/>
      <c r="O582" s="108"/>
      <c r="P582" s="108"/>
    </row>
    <row r="583" spans="13:16" ht="21" x14ac:dyDescent="0.35">
      <c r="M583" s="107"/>
      <c r="N583" s="105"/>
      <c r="O583" s="108"/>
      <c r="P583" s="108"/>
    </row>
    <row r="584" spans="13:16" ht="21" x14ac:dyDescent="0.35">
      <c r="M584" s="107"/>
      <c r="N584" s="105"/>
      <c r="O584" s="108"/>
      <c r="P584" s="108"/>
    </row>
    <row r="585" spans="13:16" ht="21" x14ac:dyDescent="0.35">
      <c r="M585" s="107"/>
      <c r="N585" s="105"/>
      <c r="O585" s="108"/>
      <c r="P585" s="108"/>
    </row>
    <row r="586" spans="13:16" ht="21" x14ac:dyDescent="0.35">
      <c r="M586" s="107"/>
      <c r="N586" s="105"/>
      <c r="O586" s="108"/>
      <c r="P586" s="108"/>
    </row>
    <row r="587" spans="13:16" ht="21" x14ac:dyDescent="0.35">
      <c r="M587" s="107"/>
      <c r="N587" s="105"/>
      <c r="O587" s="108"/>
      <c r="P587" s="108"/>
    </row>
    <row r="588" spans="13:16" ht="21" x14ac:dyDescent="0.35">
      <c r="M588" s="107"/>
      <c r="N588" s="105"/>
      <c r="O588" s="108"/>
      <c r="P588" s="108"/>
    </row>
    <row r="589" spans="13:16" ht="21" x14ac:dyDescent="0.35">
      <c r="M589" s="107"/>
      <c r="N589" s="105"/>
      <c r="O589" s="108"/>
      <c r="P589" s="108"/>
    </row>
    <row r="590" spans="13:16" ht="21" x14ac:dyDescent="0.35">
      <c r="M590" s="107"/>
      <c r="N590" s="105"/>
      <c r="O590" s="108"/>
      <c r="P590" s="108"/>
    </row>
    <row r="591" spans="13:16" ht="21" x14ac:dyDescent="0.35">
      <c r="M591" s="107"/>
      <c r="N591" s="105"/>
      <c r="O591" s="108"/>
      <c r="P591" s="108"/>
    </row>
    <row r="592" spans="13:16" ht="21" x14ac:dyDescent="0.35">
      <c r="M592" s="107"/>
      <c r="N592" s="105"/>
      <c r="O592" s="108"/>
      <c r="P592" s="108"/>
    </row>
    <row r="593" spans="13:16" ht="21" x14ac:dyDescent="0.35">
      <c r="M593" s="107"/>
      <c r="N593" s="105"/>
      <c r="O593" s="108"/>
      <c r="P593" s="108"/>
    </row>
    <row r="594" spans="13:16" ht="21" x14ac:dyDescent="0.35">
      <c r="M594" s="107"/>
      <c r="N594" s="105"/>
      <c r="O594" s="108"/>
      <c r="P594" s="108"/>
    </row>
    <row r="595" spans="13:16" ht="21" x14ac:dyDescent="0.35">
      <c r="M595" s="107"/>
      <c r="N595" s="105"/>
      <c r="O595" s="108"/>
      <c r="P595" s="108"/>
    </row>
    <row r="596" spans="13:16" ht="21" x14ac:dyDescent="0.35">
      <c r="M596" s="107"/>
      <c r="N596" s="105"/>
      <c r="O596" s="108"/>
      <c r="P596" s="108"/>
    </row>
    <row r="597" spans="13:16" ht="21" x14ac:dyDescent="0.35">
      <c r="M597" s="107"/>
      <c r="N597" s="105"/>
      <c r="O597" s="108"/>
      <c r="P597" s="108"/>
    </row>
    <row r="598" spans="13:16" ht="21" x14ac:dyDescent="0.35">
      <c r="M598" s="107"/>
      <c r="N598" s="105"/>
      <c r="O598" s="108"/>
      <c r="P598" s="108"/>
    </row>
    <row r="599" spans="13:16" ht="21" x14ac:dyDescent="0.35">
      <c r="M599" s="107"/>
      <c r="N599" s="105"/>
      <c r="O599" s="108"/>
      <c r="P599" s="108"/>
    </row>
    <row r="600" spans="13:16" ht="21" x14ac:dyDescent="0.35">
      <c r="M600" s="107"/>
      <c r="N600" s="105"/>
      <c r="O600" s="108"/>
      <c r="P600" s="108"/>
    </row>
    <row r="601" spans="13:16" ht="21" x14ac:dyDescent="0.35">
      <c r="M601" s="107"/>
      <c r="N601" s="105"/>
      <c r="O601" s="108"/>
      <c r="P601" s="108"/>
    </row>
    <row r="602" spans="13:16" ht="21" x14ac:dyDescent="0.35">
      <c r="M602" s="107"/>
      <c r="N602" s="105"/>
      <c r="O602" s="108"/>
      <c r="P602" s="108"/>
    </row>
    <row r="603" spans="13:16" ht="21" x14ac:dyDescent="0.35">
      <c r="M603" s="107"/>
      <c r="N603" s="105"/>
      <c r="O603" s="108"/>
      <c r="P603" s="108"/>
    </row>
    <row r="604" spans="13:16" ht="21" x14ac:dyDescent="0.35">
      <c r="M604" s="107"/>
      <c r="N604" s="105"/>
      <c r="O604" s="108"/>
      <c r="P604" s="108"/>
    </row>
    <row r="605" spans="13:16" ht="21" x14ac:dyDescent="0.35">
      <c r="M605" s="107"/>
      <c r="N605" s="105"/>
      <c r="O605" s="108"/>
      <c r="P605" s="108"/>
    </row>
    <row r="606" spans="13:16" ht="21" x14ac:dyDescent="0.35">
      <c r="M606" s="107"/>
      <c r="N606" s="105"/>
      <c r="O606" s="108"/>
      <c r="P606" s="108"/>
    </row>
    <row r="607" spans="13:16" ht="21" x14ac:dyDescent="0.35">
      <c r="M607" s="107"/>
      <c r="N607" s="105"/>
      <c r="O607" s="108"/>
      <c r="P607" s="108"/>
    </row>
    <row r="608" spans="13:16" ht="21" x14ac:dyDescent="0.35">
      <c r="M608" s="107"/>
      <c r="N608" s="105"/>
      <c r="O608" s="108"/>
      <c r="P608" s="108"/>
    </row>
    <row r="609" spans="13:16" ht="21" x14ac:dyDescent="0.35">
      <c r="M609" s="107"/>
      <c r="N609" s="105"/>
      <c r="O609" s="108"/>
      <c r="P609" s="108"/>
    </row>
    <row r="610" spans="13:16" ht="21" x14ac:dyDescent="0.35">
      <c r="M610" s="107"/>
      <c r="N610" s="105"/>
      <c r="O610" s="108"/>
      <c r="P610" s="108"/>
    </row>
    <row r="611" spans="13:16" ht="21" x14ac:dyDescent="0.35">
      <c r="M611" s="107"/>
      <c r="N611" s="105"/>
      <c r="O611" s="108"/>
      <c r="P611" s="108"/>
    </row>
    <row r="612" spans="13:16" ht="21" x14ac:dyDescent="0.35">
      <c r="M612" s="107"/>
      <c r="N612" s="105"/>
      <c r="O612" s="108"/>
      <c r="P612" s="108"/>
    </row>
    <row r="613" spans="13:16" ht="21" x14ac:dyDescent="0.35">
      <c r="M613" s="107"/>
      <c r="N613" s="105"/>
      <c r="O613" s="108"/>
      <c r="P613" s="108"/>
    </row>
    <row r="614" spans="13:16" ht="21" x14ac:dyDescent="0.35">
      <c r="M614" s="107"/>
      <c r="N614" s="105"/>
      <c r="O614" s="108"/>
      <c r="P614" s="108"/>
    </row>
    <row r="615" spans="13:16" ht="21" x14ac:dyDescent="0.35">
      <c r="M615" s="107"/>
      <c r="N615" s="105"/>
      <c r="O615" s="108"/>
      <c r="P615" s="108"/>
    </row>
    <row r="616" spans="13:16" ht="21" x14ac:dyDescent="0.35">
      <c r="M616" s="107"/>
      <c r="N616" s="105"/>
      <c r="O616" s="108"/>
      <c r="P616" s="108"/>
    </row>
    <row r="617" spans="13:16" ht="21" x14ac:dyDescent="0.35">
      <c r="M617" s="107"/>
      <c r="N617" s="105"/>
      <c r="O617" s="108"/>
      <c r="P617" s="108"/>
    </row>
    <row r="618" spans="13:16" ht="21" x14ac:dyDescent="0.35">
      <c r="M618" s="107"/>
      <c r="N618" s="105"/>
      <c r="O618" s="108"/>
      <c r="P618" s="108"/>
    </row>
    <row r="619" spans="13:16" ht="21" x14ac:dyDescent="0.35">
      <c r="M619" s="107"/>
      <c r="N619" s="105"/>
      <c r="O619" s="108"/>
      <c r="P619" s="108"/>
    </row>
    <row r="620" spans="13:16" ht="21" x14ac:dyDescent="0.35">
      <c r="M620" s="107"/>
      <c r="N620" s="105"/>
      <c r="O620" s="108"/>
      <c r="P620" s="108"/>
    </row>
    <row r="621" spans="13:16" ht="21" x14ac:dyDescent="0.35">
      <c r="M621" s="107"/>
      <c r="N621" s="105"/>
      <c r="O621" s="108"/>
      <c r="P621" s="108"/>
    </row>
    <row r="622" spans="13:16" ht="21" x14ac:dyDescent="0.35">
      <c r="M622" s="107"/>
      <c r="N622" s="105"/>
      <c r="O622" s="108"/>
      <c r="P622" s="108"/>
    </row>
    <row r="623" spans="13:16" ht="21" x14ac:dyDescent="0.35">
      <c r="M623" s="107"/>
      <c r="N623" s="105"/>
      <c r="O623" s="108"/>
      <c r="P623" s="108"/>
    </row>
    <row r="624" spans="13:16" ht="21" x14ac:dyDescent="0.35">
      <c r="M624" s="107"/>
      <c r="N624" s="105"/>
      <c r="O624" s="108"/>
      <c r="P624" s="108"/>
    </row>
    <row r="625" spans="13:16" ht="21" x14ac:dyDescent="0.35">
      <c r="M625" s="107"/>
      <c r="N625" s="105"/>
      <c r="O625" s="108"/>
      <c r="P625" s="108"/>
    </row>
    <row r="626" spans="13:16" ht="21" x14ac:dyDescent="0.35">
      <c r="M626" s="107"/>
      <c r="N626" s="105"/>
      <c r="O626" s="108"/>
      <c r="P626" s="108"/>
    </row>
    <row r="627" spans="13:16" ht="21" x14ac:dyDescent="0.35">
      <c r="M627" s="107"/>
      <c r="N627" s="105"/>
      <c r="O627" s="108"/>
      <c r="P627" s="108"/>
    </row>
    <row r="628" spans="13:16" ht="21" x14ac:dyDescent="0.35">
      <c r="M628" s="107"/>
      <c r="N628" s="105"/>
      <c r="O628" s="108"/>
      <c r="P628" s="108"/>
    </row>
    <row r="629" spans="13:16" ht="21" x14ac:dyDescent="0.35">
      <c r="M629" s="107"/>
      <c r="N629" s="105"/>
      <c r="O629" s="108"/>
      <c r="P629" s="108"/>
    </row>
    <row r="630" spans="13:16" ht="21" x14ac:dyDescent="0.35">
      <c r="M630" s="107"/>
      <c r="N630" s="105"/>
      <c r="O630" s="108"/>
      <c r="P630" s="108"/>
    </row>
    <row r="631" spans="13:16" ht="21" x14ac:dyDescent="0.35">
      <c r="M631" s="107"/>
      <c r="N631" s="105"/>
      <c r="O631" s="108"/>
      <c r="P631" s="108"/>
    </row>
    <row r="632" spans="13:16" ht="21" x14ac:dyDescent="0.35">
      <c r="M632" s="107"/>
      <c r="N632" s="105"/>
      <c r="O632" s="108"/>
      <c r="P632" s="108"/>
    </row>
    <row r="633" spans="13:16" ht="21" x14ac:dyDescent="0.35">
      <c r="M633" s="107"/>
      <c r="N633" s="105"/>
      <c r="O633" s="108"/>
      <c r="P633" s="108"/>
    </row>
    <row r="634" spans="13:16" ht="21" x14ac:dyDescent="0.35">
      <c r="M634" s="107"/>
      <c r="N634" s="105"/>
      <c r="O634" s="108"/>
      <c r="P634" s="108"/>
    </row>
    <row r="635" spans="13:16" ht="21" x14ac:dyDescent="0.35">
      <c r="M635" s="107"/>
      <c r="N635" s="105"/>
      <c r="O635" s="108"/>
      <c r="P635" s="108"/>
    </row>
    <row r="636" spans="13:16" ht="21" x14ac:dyDescent="0.35">
      <c r="M636" s="107"/>
      <c r="N636" s="105"/>
      <c r="O636" s="108"/>
      <c r="P636" s="108"/>
    </row>
    <row r="637" spans="13:16" ht="21" x14ac:dyDescent="0.35">
      <c r="M637" s="107"/>
      <c r="N637" s="105"/>
      <c r="O637" s="108"/>
      <c r="P637" s="108"/>
    </row>
    <row r="638" spans="13:16" ht="21" x14ac:dyDescent="0.35">
      <c r="M638" s="107"/>
      <c r="N638" s="105"/>
      <c r="O638" s="108"/>
      <c r="P638" s="108"/>
    </row>
    <row r="639" spans="13:16" ht="21" x14ac:dyDescent="0.35">
      <c r="M639" s="107"/>
      <c r="N639" s="105"/>
      <c r="O639" s="108"/>
      <c r="P639" s="108"/>
    </row>
    <row r="640" spans="13:16" ht="21" x14ac:dyDescent="0.35">
      <c r="M640" s="107"/>
      <c r="N640" s="105"/>
      <c r="O640" s="108"/>
      <c r="P640" s="108"/>
    </row>
    <row r="641" spans="13:16" ht="21" x14ac:dyDescent="0.35">
      <c r="M641" s="107"/>
      <c r="N641" s="105"/>
      <c r="O641" s="108"/>
      <c r="P641" s="108"/>
    </row>
    <row r="642" spans="13:16" ht="21" x14ac:dyDescent="0.35">
      <c r="M642" s="107"/>
      <c r="N642" s="105"/>
      <c r="O642" s="108"/>
      <c r="P642" s="108"/>
    </row>
    <row r="643" spans="13:16" ht="21" x14ac:dyDescent="0.35">
      <c r="M643" s="107"/>
      <c r="N643" s="105"/>
      <c r="O643" s="108"/>
      <c r="P643" s="108"/>
    </row>
    <row r="644" spans="13:16" ht="21" x14ac:dyDescent="0.35">
      <c r="M644" s="107"/>
      <c r="N644" s="105"/>
      <c r="O644" s="108"/>
      <c r="P644" s="108"/>
    </row>
    <row r="645" spans="13:16" ht="21" x14ac:dyDescent="0.35">
      <c r="M645" s="107"/>
      <c r="N645" s="105"/>
      <c r="O645" s="108"/>
      <c r="P645" s="108"/>
    </row>
    <row r="646" spans="13:16" ht="21" x14ac:dyDescent="0.35">
      <c r="M646" s="107"/>
      <c r="N646" s="105"/>
      <c r="O646" s="108"/>
      <c r="P646" s="108"/>
    </row>
    <row r="647" spans="13:16" ht="21" x14ac:dyDescent="0.35">
      <c r="M647" s="107"/>
      <c r="N647" s="105"/>
      <c r="O647" s="108"/>
      <c r="P647" s="108"/>
    </row>
    <row r="648" spans="13:16" ht="21" x14ac:dyDescent="0.35">
      <c r="M648" s="107"/>
      <c r="N648" s="105"/>
      <c r="O648" s="108"/>
      <c r="P648" s="108"/>
    </row>
    <row r="649" spans="13:16" ht="21" x14ac:dyDescent="0.35">
      <c r="M649" s="107"/>
      <c r="N649" s="105"/>
      <c r="O649" s="108"/>
      <c r="P649" s="108"/>
    </row>
    <row r="650" spans="13:16" ht="21" x14ac:dyDescent="0.35">
      <c r="M650" s="107"/>
      <c r="N650" s="105"/>
      <c r="O650" s="108"/>
      <c r="P650" s="108"/>
    </row>
    <row r="651" spans="13:16" ht="21" x14ac:dyDescent="0.35">
      <c r="M651" s="107"/>
      <c r="N651" s="105"/>
      <c r="O651" s="108"/>
      <c r="P651" s="108"/>
    </row>
    <row r="652" spans="13:16" ht="21" x14ac:dyDescent="0.35">
      <c r="M652" s="107"/>
      <c r="N652" s="105"/>
      <c r="O652" s="108"/>
      <c r="P652" s="108"/>
    </row>
    <row r="653" spans="13:16" ht="21" x14ac:dyDescent="0.35">
      <c r="M653" s="107"/>
      <c r="N653" s="105"/>
      <c r="O653" s="108"/>
      <c r="P653" s="108"/>
    </row>
    <row r="654" spans="13:16" ht="21" x14ac:dyDescent="0.35">
      <c r="M654" s="107"/>
      <c r="N654" s="105"/>
      <c r="O654" s="108"/>
      <c r="P654" s="108"/>
    </row>
    <row r="655" spans="13:16" ht="21" x14ac:dyDescent="0.35">
      <c r="M655" s="107"/>
      <c r="N655" s="105"/>
      <c r="O655" s="108"/>
      <c r="P655" s="108"/>
    </row>
    <row r="656" spans="13:16" ht="21" x14ac:dyDescent="0.35">
      <c r="M656" s="107"/>
      <c r="N656" s="105"/>
      <c r="O656" s="108"/>
      <c r="P656" s="108"/>
    </row>
    <row r="657" spans="13:16" ht="21" x14ac:dyDescent="0.35">
      <c r="M657" s="107"/>
      <c r="N657" s="105"/>
      <c r="O657" s="108"/>
      <c r="P657" s="108"/>
    </row>
    <row r="658" spans="13:16" ht="21" x14ac:dyDescent="0.35">
      <c r="M658" s="107"/>
      <c r="N658" s="105"/>
      <c r="O658" s="108"/>
      <c r="P658" s="108"/>
    </row>
    <row r="659" spans="13:16" ht="21" x14ac:dyDescent="0.35">
      <c r="M659" s="107"/>
      <c r="N659" s="105"/>
      <c r="O659" s="108"/>
      <c r="P659" s="108"/>
    </row>
    <row r="660" spans="13:16" ht="21" x14ac:dyDescent="0.35">
      <c r="M660" s="107"/>
      <c r="N660" s="105"/>
      <c r="O660" s="108"/>
      <c r="P660" s="108"/>
    </row>
    <row r="661" spans="13:16" ht="21" x14ac:dyDescent="0.35">
      <c r="M661" s="107"/>
      <c r="N661" s="105"/>
      <c r="O661" s="108"/>
      <c r="P661" s="108"/>
    </row>
    <row r="662" spans="13:16" ht="21" x14ac:dyDescent="0.35">
      <c r="M662" s="107"/>
      <c r="N662" s="105"/>
      <c r="O662" s="108"/>
      <c r="P662" s="108"/>
    </row>
    <row r="663" spans="13:16" ht="21" x14ac:dyDescent="0.35">
      <c r="M663" s="107"/>
      <c r="N663" s="105"/>
      <c r="O663" s="108"/>
      <c r="P663" s="108"/>
    </row>
    <row r="664" spans="13:16" ht="21" x14ac:dyDescent="0.35">
      <c r="M664" s="107"/>
      <c r="N664" s="105"/>
      <c r="O664" s="108"/>
      <c r="P664" s="108"/>
    </row>
    <row r="665" spans="13:16" ht="21" x14ac:dyDescent="0.35">
      <c r="M665" s="107"/>
      <c r="N665" s="105"/>
      <c r="O665" s="108"/>
      <c r="P665" s="108"/>
    </row>
    <row r="666" spans="13:16" ht="21" x14ac:dyDescent="0.35">
      <c r="M666" s="107"/>
      <c r="N666" s="105"/>
      <c r="O666" s="108"/>
      <c r="P666" s="108"/>
    </row>
    <row r="667" spans="13:16" ht="21" x14ac:dyDescent="0.35">
      <c r="M667" s="107"/>
      <c r="N667" s="105"/>
      <c r="O667" s="108"/>
      <c r="P667" s="108"/>
    </row>
    <row r="668" spans="13:16" ht="21" x14ac:dyDescent="0.35">
      <c r="M668" s="107"/>
      <c r="N668" s="105"/>
      <c r="O668" s="108"/>
      <c r="P668" s="108"/>
    </row>
    <row r="669" spans="13:16" ht="21" x14ac:dyDescent="0.35">
      <c r="M669" s="107"/>
      <c r="N669" s="105"/>
      <c r="O669" s="108"/>
      <c r="P669" s="108"/>
    </row>
    <row r="670" spans="13:16" ht="21" x14ac:dyDescent="0.35">
      <c r="M670" s="107"/>
      <c r="N670" s="105"/>
      <c r="O670" s="108"/>
      <c r="P670" s="108"/>
    </row>
    <row r="671" spans="13:16" ht="21" x14ac:dyDescent="0.35">
      <c r="M671" s="107"/>
      <c r="N671" s="105"/>
      <c r="O671" s="108"/>
      <c r="P671" s="108"/>
    </row>
    <row r="672" spans="13:16" ht="21" x14ac:dyDescent="0.35">
      <c r="M672" s="107"/>
      <c r="N672" s="105"/>
      <c r="O672" s="108"/>
      <c r="P672" s="108"/>
    </row>
    <row r="673" spans="13:16" ht="21" x14ac:dyDescent="0.35">
      <c r="M673" s="107"/>
      <c r="N673" s="105"/>
      <c r="O673" s="108"/>
      <c r="P673" s="108"/>
    </row>
    <row r="674" spans="13:16" ht="21" x14ac:dyDescent="0.35">
      <c r="M674" s="107"/>
      <c r="N674" s="105"/>
      <c r="O674" s="108"/>
      <c r="P674" s="108"/>
    </row>
    <row r="675" spans="13:16" ht="21" x14ac:dyDescent="0.35">
      <c r="M675" s="107"/>
      <c r="N675" s="105"/>
      <c r="O675" s="108"/>
      <c r="P675" s="108"/>
    </row>
    <row r="676" spans="13:16" ht="21" x14ac:dyDescent="0.35">
      <c r="M676" s="107"/>
      <c r="N676" s="105"/>
      <c r="O676" s="108"/>
      <c r="P676" s="108"/>
    </row>
    <row r="677" spans="13:16" ht="21" x14ac:dyDescent="0.35">
      <c r="M677" s="107"/>
      <c r="N677" s="105"/>
      <c r="O677" s="108"/>
      <c r="P677" s="108"/>
    </row>
    <row r="678" spans="13:16" ht="21" x14ac:dyDescent="0.35">
      <c r="M678" s="107"/>
      <c r="N678" s="105"/>
      <c r="O678" s="108"/>
      <c r="P678" s="108"/>
    </row>
    <row r="679" spans="13:16" ht="21" x14ac:dyDescent="0.35">
      <c r="M679" s="107"/>
      <c r="N679" s="105"/>
      <c r="O679" s="108"/>
      <c r="P679" s="108"/>
    </row>
    <row r="680" spans="13:16" ht="21" x14ac:dyDescent="0.35">
      <c r="M680" s="107"/>
      <c r="N680" s="105"/>
      <c r="O680" s="108"/>
      <c r="P680" s="108"/>
    </row>
    <row r="681" spans="13:16" ht="21" x14ac:dyDescent="0.35">
      <c r="M681" s="107"/>
      <c r="N681" s="105"/>
      <c r="O681" s="108"/>
      <c r="P681" s="108"/>
    </row>
    <row r="682" spans="13:16" ht="21" x14ac:dyDescent="0.35">
      <c r="M682" s="107"/>
      <c r="N682" s="105"/>
      <c r="O682" s="108"/>
      <c r="P682" s="108"/>
    </row>
    <row r="683" spans="13:16" ht="21" x14ac:dyDescent="0.35">
      <c r="M683" s="107"/>
      <c r="N683" s="105"/>
      <c r="O683" s="108"/>
      <c r="P683" s="108"/>
    </row>
    <row r="684" spans="13:16" ht="21" x14ac:dyDescent="0.35">
      <c r="M684" s="107"/>
      <c r="N684" s="105"/>
      <c r="O684" s="108"/>
      <c r="P684" s="108"/>
    </row>
    <row r="685" spans="13:16" ht="21" x14ac:dyDescent="0.35">
      <c r="M685" s="107"/>
      <c r="N685" s="105"/>
      <c r="O685" s="108"/>
      <c r="P685" s="108"/>
    </row>
    <row r="686" spans="13:16" ht="21" x14ac:dyDescent="0.35">
      <c r="M686" s="107"/>
      <c r="N686" s="105"/>
      <c r="O686" s="108"/>
      <c r="P686" s="108"/>
    </row>
    <row r="687" spans="13:16" ht="21" x14ac:dyDescent="0.35">
      <c r="M687" s="107"/>
      <c r="N687" s="105"/>
      <c r="O687" s="108"/>
      <c r="P687" s="108"/>
    </row>
    <row r="688" spans="13:16" ht="21" x14ac:dyDescent="0.35">
      <c r="M688" s="107"/>
      <c r="N688" s="105"/>
      <c r="O688" s="108"/>
      <c r="P688" s="108"/>
    </row>
    <row r="689" spans="13:16" ht="21" x14ac:dyDescent="0.35">
      <c r="M689" s="107"/>
      <c r="N689" s="105"/>
      <c r="O689" s="108"/>
      <c r="P689" s="108"/>
    </row>
    <row r="690" spans="13:16" ht="21" x14ac:dyDescent="0.35">
      <c r="M690" s="107"/>
      <c r="N690" s="105"/>
      <c r="O690" s="108"/>
      <c r="P690" s="108"/>
    </row>
    <row r="691" spans="13:16" ht="21" x14ac:dyDescent="0.35">
      <c r="M691" s="107"/>
      <c r="N691" s="105"/>
      <c r="O691" s="108"/>
      <c r="P691" s="108"/>
    </row>
    <row r="692" spans="13:16" ht="21" x14ac:dyDescent="0.35">
      <c r="M692" s="107"/>
      <c r="N692" s="105"/>
      <c r="O692" s="108"/>
      <c r="P692" s="108"/>
    </row>
    <row r="693" spans="13:16" ht="21" x14ac:dyDescent="0.35">
      <c r="M693" s="107"/>
      <c r="N693" s="105"/>
      <c r="O693" s="108"/>
      <c r="P693" s="108"/>
    </row>
    <row r="694" spans="13:16" ht="21" x14ac:dyDescent="0.35">
      <c r="M694" s="107"/>
      <c r="N694" s="105"/>
      <c r="O694" s="108"/>
      <c r="P694" s="108"/>
    </row>
    <row r="695" spans="13:16" ht="21" x14ac:dyDescent="0.35">
      <c r="M695" s="107"/>
      <c r="N695" s="105"/>
      <c r="O695" s="108"/>
      <c r="P695" s="108"/>
    </row>
    <row r="696" spans="13:16" ht="21" x14ac:dyDescent="0.35">
      <c r="M696" s="107"/>
      <c r="N696" s="105"/>
      <c r="O696" s="108"/>
      <c r="P696" s="108"/>
    </row>
    <row r="697" spans="13:16" ht="21" x14ac:dyDescent="0.35">
      <c r="M697" s="107"/>
      <c r="N697" s="105"/>
      <c r="O697" s="108"/>
      <c r="P697" s="108"/>
    </row>
    <row r="698" spans="13:16" ht="21" x14ac:dyDescent="0.35">
      <c r="M698" s="107"/>
      <c r="N698" s="105"/>
      <c r="O698" s="108"/>
      <c r="P698" s="108"/>
    </row>
    <row r="699" spans="13:16" ht="21" x14ac:dyDescent="0.35">
      <c r="M699" s="107"/>
      <c r="N699" s="105"/>
      <c r="O699" s="108"/>
      <c r="P699" s="108"/>
    </row>
    <row r="700" spans="13:16" ht="21" x14ac:dyDescent="0.35">
      <c r="M700" s="107"/>
      <c r="N700" s="105"/>
      <c r="O700" s="108"/>
      <c r="P700" s="108"/>
    </row>
    <row r="701" spans="13:16" ht="21" x14ac:dyDescent="0.35">
      <c r="M701" s="107"/>
      <c r="N701" s="105"/>
      <c r="O701" s="108"/>
      <c r="P701" s="108"/>
    </row>
    <row r="702" spans="13:16" ht="21" x14ac:dyDescent="0.35">
      <c r="M702" s="107"/>
      <c r="N702" s="105"/>
      <c r="O702" s="108"/>
      <c r="P702" s="108"/>
    </row>
    <row r="703" spans="13:16" ht="21" x14ac:dyDescent="0.35">
      <c r="M703" s="107"/>
      <c r="N703" s="105"/>
      <c r="O703" s="108"/>
      <c r="P703" s="108"/>
    </row>
    <row r="704" spans="13:16" ht="21" x14ac:dyDescent="0.35">
      <c r="M704" s="107"/>
      <c r="N704" s="105"/>
      <c r="O704" s="108"/>
      <c r="P704" s="108"/>
    </row>
    <row r="705" spans="13:16" ht="21" x14ac:dyDescent="0.35">
      <c r="M705" s="107"/>
      <c r="N705" s="105"/>
      <c r="O705" s="108"/>
      <c r="P705" s="108"/>
    </row>
    <row r="706" spans="13:16" ht="21" x14ac:dyDescent="0.35">
      <c r="M706" s="107"/>
      <c r="N706" s="105"/>
      <c r="O706" s="108"/>
      <c r="P706" s="108"/>
    </row>
    <row r="707" spans="13:16" ht="21" x14ac:dyDescent="0.35">
      <c r="M707" s="107"/>
      <c r="N707" s="105"/>
      <c r="O707" s="108"/>
      <c r="P707" s="108"/>
    </row>
    <row r="708" spans="13:16" ht="21" x14ac:dyDescent="0.35">
      <c r="M708" s="107"/>
      <c r="N708" s="105"/>
      <c r="O708" s="108"/>
      <c r="P708" s="108"/>
    </row>
    <row r="709" spans="13:16" ht="21" x14ac:dyDescent="0.35">
      <c r="M709" s="107"/>
      <c r="N709" s="105"/>
      <c r="O709" s="108"/>
      <c r="P709" s="108"/>
    </row>
    <row r="710" spans="13:16" ht="21" x14ac:dyDescent="0.35">
      <c r="M710" s="107"/>
      <c r="N710" s="105"/>
      <c r="O710" s="108"/>
      <c r="P710" s="108"/>
    </row>
    <row r="711" spans="13:16" ht="21" x14ac:dyDescent="0.35">
      <c r="M711" s="107"/>
      <c r="N711" s="105"/>
      <c r="O711" s="108"/>
      <c r="P711" s="108"/>
    </row>
    <row r="712" spans="13:16" ht="21" x14ac:dyDescent="0.35">
      <c r="M712" s="107"/>
      <c r="N712" s="105"/>
      <c r="O712" s="108"/>
      <c r="P712" s="108"/>
    </row>
    <row r="713" spans="13:16" ht="21" x14ac:dyDescent="0.35">
      <c r="M713" s="107"/>
      <c r="N713" s="105"/>
      <c r="O713" s="108"/>
      <c r="P713" s="108"/>
    </row>
    <row r="714" spans="13:16" ht="21" x14ac:dyDescent="0.35">
      <c r="M714" s="107"/>
      <c r="N714" s="105"/>
      <c r="O714" s="108"/>
      <c r="P714" s="108"/>
    </row>
    <row r="715" spans="13:16" ht="21" x14ac:dyDescent="0.35">
      <c r="M715" s="107"/>
      <c r="N715" s="105"/>
      <c r="O715" s="108"/>
      <c r="P715" s="108"/>
    </row>
    <row r="716" spans="13:16" ht="21" x14ac:dyDescent="0.35">
      <c r="M716" s="107"/>
      <c r="N716" s="105"/>
      <c r="O716" s="108"/>
      <c r="P716" s="108"/>
    </row>
    <row r="717" spans="13:16" ht="21" x14ac:dyDescent="0.35">
      <c r="M717" s="107"/>
      <c r="N717" s="105"/>
      <c r="O717" s="108"/>
      <c r="P717" s="108"/>
    </row>
    <row r="718" spans="13:16" ht="21" x14ac:dyDescent="0.35">
      <c r="M718" s="107"/>
      <c r="N718" s="105"/>
      <c r="O718" s="108"/>
      <c r="P718" s="108"/>
    </row>
    <row r="719" spans="13:16" ht="21" x14ac:dyDescent="0.35">
      <c r="M719" s="107"/>
      <c r="N719" s="105"/>
      <c r="O719" s="108"/>
      <c r="P719" s="108"/>
    </row>
    <row r="720" spans="13:16" ht="21" x14ac:dyDescent="0.35">
      <c r="M720" s="107"/>
      <c r="N720" s="105"/>
      <c r="O720" s="108"/>
      <c r="P720" s="108"/>
    </row>
    <row r="721" spans="13:16" ht="21" x14ac:dyDescent="0.35">
      <c r="M721" s="107"/>
      <c r="N721" s="105"/>
      <c r="O721" s="108"/>
      <c r="P721" s="108"/>
    </row>
    <row r="722" spans="13:16" ht="21" x14ac:dyDescent="0.35">
      <c r="M722" s="107"/>
      <c r="N722" s="105"/>
      <c r="O722" s="108"/>
      <c r="P722" s="108"/>
    </row>
    <row r="723" spans="13:16" ht="21" x14ac:dyDescent="0.35">
      <c r="M723" s="107"/>
      <c r="N723" s="105"/>
      <c r="O723" s="108"/>
      <c r="P723" s="108"/>
    </row>
    <row r="724" spans="13:16" ht="21" x14ac:dyDescent="0.35">
      <c r="M724" s="107"/>
      <c r="N724" s="105"/>
      <c r="O724" s="108"/>
      <c r="P724" s="108"/>
    </row>
    <row r="725" spans="13:16" ht="21" x14ac:dyDescent="0.35">
      <c r="M725" s="107"/>
      <c r="N725" s="105"/>
      <c r="O725" s="108"/>
      <c r="P725" s="108"/>
    </row>
    <row r="726" spans="13:16" ht="21" x14ac:dyDescent="0.35">
      <c r="M726" s="107"/>
      <c r="N726" s="105"/>
      <c r="O726" s="108"/>
      <c r="P726" s="108"/>
    </row>
    <row r="727" spans="13:16" ht="21" x14ac:dyDescent="0.35">
      <c r="M727" s="107"/>
      <c r="N727" s="105"/>
      <c r="O727" s="108"/>
      <c r="P727" s="108"/>
    </row>
    <row r="728" spans="13:16" ht="21" x14ac:dyDescent="0.35">
      <c r="M728" s="107"/>
      <c r="N728" s="105"/>
      <c r="O728" s="108"/>
      <c r="P728" s="108"/>
    </row>
    <row r="729" spans="13:16" ht="21" x14ac:dyDescent="0.35">
      <c r="M729" s="107"/>
      <c r="N729" s="105"/>
      <c r="O729" s="108"/>
      <c r="P729" s="108"/>
    </row>
    <row r="730" spans="13:16" ht="21" x14ac:dyDescent="0.35">
      <c r="M730" s="107"/>
      <c r="N730" s="105"/>
      <c r="O730" s="108"/>
      <c r="P730" s="108"/>
    </row>
    <row r="731" spans="13:16" ht="21" x14ac:dyDescent="0.35">
      <c r="M731" s="107"/>
      <c r="N731" s="105"/>
      <c r="O731" s="108"/>
      <c r="P731" s="108"/>
    </row>
    <row r="732" spans="13:16" ht="21" x14ac:dyDescent="0.35">
      <c r="M732" s="107"/>
      <c r="N732" s="105"/>
      <c r="O732" s="108"/>
      <c r="P732" s="108"/>
    </row>
    <row r="733" spans="13:16" ht="21" x14ac:dyDescent="0.35">
      <c r="M733" s="107"/>
      <c r="N733" s="105"/>
      <c r="O733" s="108"/>
      <c r="P733" s="108"/>
    </row>
    <row r="734" spans="13:16" ht="21" x14ac:dyDescent="0.35">
      <c r="M734" s="107"/>
      <c r="N734" s="105"/>
      <c r="O734" s="108"/>
      <c r="P734" s="108"/>
    </row>
    <row r="735" spans="13:16" ht="21" x14ac:dyDescent="0.35">
      <c r="M735" s="107"/>
      <c r="N735" s="105"/>
      <c r="O735" s="108"/>
      <c r="P735" s="108"/>
    </row>
    <row r="736" spans="13:16" ht="21" x14ac:dyDescent="0.35">
      <c r="M736" s="107"/>
      <c r="N736" s="105"/>
      <c r="O736" s="108"/>
      <c r="P736" s="108"/>
    </row>
    <row r="737" spans="13:16" ht="21" x14ac:dyDescent="0.35">
      <c r="M737" s="107"/>
      <c r="N737" s="105"/>
      <c r="O737" s="108"/>
      <c r="P737" s="108"/>
    </row>
    <row r="738" spans="13:16" ht="21" x14ac:dyDescent="0.35">
      <c r="M738" s="107"/>
      <c r="N738" s="105"/>
      <c r="O738" s="108"/>
      <c r="P738" s="108"/>
    </row>
    <row r="739" spans="13:16" ht="21" x14ac:dyDescent="0.35">
      <c r="M739" s="107"/>
      <c r="N739" s="105"/>
      <c r="O739" s="108"/>
      <c r="P739" s="108"/>
    </row>
    <row r="740" spans="13:16" ht="21" x14ac:dyDescent="0.35">
      <c r="M740" s="107"/>
      <c r="N740" s="105"/>
      <c r="O740" s="108"/>
      <c r="P740" s="108"/>
    </row>
    <row r="741" spans="13:16" ht="21" x14ac:dyDescent="0.35">
      <c r="M741" s="107"/>
      <c r="N741" s="105"/>
      <c r="O741" s="108"/>
      <c r="P741" s="108"/>
    </row>
    <row r="742" spans="13:16" ht="21" x14ac:dyDescent="0.35">
      <c r="M742" s="107"/>
      <c r="N742" s="105"/>
      <c r="O742" s="108"/>
      <c r="P742" s="108"/>
    </row>
    <row r="743" spans="13:16" ht="21" x14ac:dyDescent="0.35">
      <c r="M743" s="107"/>
      <c r="N743" s="105"/>
      <c r="O743" s="108"/>
      <c r="P743" s="108"/>
    </row>
    <row r="744" spans="13:16" ht="21" x14ac:dyDescent="0.35">
      <c r="M744" s="107"/>
      <c r="N744" s="105"/>
      <c r="O744" s="108"/>
      <c r="P744" s="108"/>
    </row>
    <row r="745" spans="13:16" ht="21" x14ac:dyDescent="0.35">
      <c r="M745" s="107"/>
      <c r="N745" s="105"/>
      <c r="O745" s="108"/>
      <c r="P745" s="108"/>
    </row>
    <row r="746" spans="13:16" ht="21" x14ac:dyDescent="0.35">
      <c r="M746" s="107"/>
      <c r="N746" s="105"/>
      <c r="O746" s="108"/>
      <c r="P746" s="108"/>
    </row>
    <row r="747" spans="13:16" ht="21" x14ac:dyDescent="0.35">
      <c r="M747" s="107"/>
      <c r="N747" s="105"/>
      <c r="O747" s="108"/>
      <c r="P747" s="108"/>
    </row>
    <row r="748" spans="13:16" ht="21" x14ac:dyDescent="0.35">
      <c r="M748" s="107"/>
      <c r="N748" s="105"/>
      <c r="O748" s="108"/>
      <c r="P748" s="108"/>
    </row>
    <row r="749" spans="13:16" ht="21" x14ac:dyDescent="0.35">
      <c r="M749" s="107"/>
      <c r="N749" s="105"/>
      <c r="O749" s="108"/>
      <c r="P749" s="108"/>
    </row>
    <row r="750" spans="13:16" ht="21" x14ac:dyDescent="0.35">
      <c r="M750" s="107"/>
      <c r="N750" s="105"/>
      <c r="O750" s="108"/>
      <c r="P750" s="108"/>
    </row>
    <row r="751" spans="13:16" ht="21" x14ac:dyDescent="0.35">
      <c r="M751" s="107"/>
      <c r="N751" s="105"/>
      <c r="O751" s="108"/>
      <c r="P751" s="108"/>
    </row>
    <row r="752" spans="13:16" ht="21" x14ac:dyDescent="0.35">
      <c r="M752" s="107"/>
      <c r="N752" s="105"/>
      <c r="O752" s="108"/>
      <c r="P752" s="108"/>
    </row>
    <row r="753" spans="13:16" ht="21" x14ac:dyDescent="0.35">
      <c r="M753" s="107"/>
      <c r="N753" s="105"/>
      <c r="O753" s="108"/>
      <c r="P753" s="108"/>
    </row>
    <row r="754" spans="13:16" ht="21" x14ac:dyDescent="0.35">
      <c r="M754" s="107"/>
      <c r="N754" s="105"/>
      <c r="O754" s="108"/>
      <c r="P754" s="108"/>
    </row>
    <row r="755" spans="13:16" ht="21" x14ac:dyDescent="0.35">
      <c r="M755" s="107"/>
      <c r="N755" s="105"/>
      <c r="O755" s="108"/>
      <c r="P755" s="108"/>
    </row>
    <row r="756" spans="13:16" ht="21" x14ac:dyDescent="0.35">
      <c r="M756" s="107"/>
      <c r="N756" s="105"/>
      <c r="O756" s="108"/>
      <c r="P756" s="108"/>
    </row>
    <row r="757" spans="13:16" ht="21" x14ac:dyDescent="0.35">
      <c r="M757" s="107"/>
      <c r="N757" s="105"/>
      <c r="O757" s="108"/>
      <c r="P757" s="108"/>
    </row>
    <row r="758" spans="13:16" ht="21" x14ac:dyDescent="0.35">
      <c r="M758" s="107"/>
      <c r="N758" s="105"/>
      <c r="O758" s="108"/>
      <c r="P758" s="108"/>
    </row>
    <row r="759" spans="13:16" ht="21" x14ac:dyDescent="0.35">
      <c r="M759" s="107"/>
      <c r="N759" s="105"/>
      <c r="O759" s="108"/>
      <c r="P759" s="108"/>
    </row>
    <row r="760" spans="13:16" ht="21" x14ac:dyDescent="0.35">
      <c r="M760" s="107"/>
      <c r="N760" s="105"/>
      <c r="O760" s="108"/>
      <c r="P760" s="108"/>
    </row>
    <row r="761" spans="13:16" ht="21" x14ac:dyDescent="0.35">
      <c r="M761" s="107"/>
      <c r="N761" s="105"/>
      <c r="O761" s="108"/>
      <c r="P761" s="108"/>
    </row>
    <row r="762" spans="13:16" ht="21" x14ac:dyDescent="0.35">
      <c r="M762" s="107"/>
      <c r="N762" s="105"/>
      <c r="O762" s="108"/>
      <c r="P762" s="108"/>
    </row>
    <row r="763" spans="13:16" ht="21" x14ac:dyDescent="0.35">
      <c r="M763" s="107"/>
      <c r="N763" s="105"/>
      <c r="O763" s="108"/>
      <c r="P763" s="108"/>
    </row>
    <row r="764" spans="13:16" ht="21" x14ac:dyDescent="0.35">
      <c r="M764" s="107"/>
      <c r="N764" s="105"/>
      <c r="O764" s="108"/>
      <c r="P764" s="108"/>
    </row>
    <row r="765" spans="13:16" ht="21" x14ac:dyDescent="0.35">
      <c r="M765" s="107"/>
      <c r="N765" s="105"/>
      <c r="O765" s="108"/>
      <c r="P765" s="108"/>
    </row>
    <row r="766" spans="13:16" ht="21" x14ac:dyDescent="0.35">
      <c r="M766" s="107"/>
      <c r="N766" s="105"/>
      <c r="O766" s="108"/>
      <c r="P766" s="108"/>
    </row>
    <row r="767" spans="13:16" ht="21" x14ac:dyDescent="0.35">
      <c r="M767" s="107"/>
      <c r="N767" s="105"/>
      <c r="O767" s="108"/>
      <c r="P767" s="108"/>
    </row>
    <row r="768" spans="13:16" ht="21" x14ac:dyDescent="0.35">
      <c r="M768" s="107"/>
      <c r="N768" s="105"/>
      <c r="O768" s="108"/>
      <c r="P768" s="108"/>
    </row>
    <row r="769" spans="13:16" ht="21" x14ac:dyDescent="0.35">
      <c r="M769" s="107"/>
      <c r="N769" s="105"/>
      <c r="O769" s="108"/>
      <c r="P769" s="108"/>
    </row>
    <row r="770" spans="13:16" ht="21" x14ac:dyDescent="0.35">
      <c r="M770" s="107"/>
      <c r="N770" s="105"/>
      <c r="O770" s="108"/>
      <c r="P770" s="108"/>
    </row>
    <row r="771" spans="13:16" ht="21" x14ac:dyDescent="0.35">
      <c r="M771" s="107"/>
      <c r="N771" s="105"/>
      <c r="O771" s="108"/>
      <c r="P771" s="108"/>
    </row>
    <row r="772" spans="13:16" ht="21" x14ac:dyDescent="0.35">
      <c r="M772" s="107"/>
      <c r="N772" s="105"/>
      <c r="O772" s="108"/>
      <c r="P772" s="108"/>
    </row>
    <row r="773" spans="13:16" ht="21" x14ac:dyDescent="0.35">
      <c r="M773" s="107"/>
      <c r="N773" s="105"/>
      <c r="O773" s="108"/>
      <c r="P773" s="108"/>
    </row>
    <row r="774" spans="13:16" ht="21" x14ac:dyDescent="0.35">
      <c r="M774" s="107"/>
      <c r="N774" s="105"/>
      <c r="O774" s="108"/>
      <c r="P774" s="108"/>
    </row>
    <row r="775" spans="13:16" ht="21" x14ac:dyDescent="0.35">
      <c r="M775" s="107"/>
      <c r="N775" s="105"/>
      <c r="O775" s="108"/>
      <c r="P775" s="108"/>
    </row>
    <row r="776" spans="13:16" ht="21" x14ac:dyDescent="0.35">
      <c r="M776" s="107"/>
      <c r="N776" s="105"/>
      <c r="O776" s="108"/>
      <c r="P776" s="108"/>
    </row>
    <row r="777" spans="13:16" ht="21" x14ac:dyDescent="0.35">
      <c r="M777" s="107"/>
      <c r="N777" s="105"/>
      <c r="O777" s="108"/>
      <c r="P777" s="108"/>
    </row>
    <row r="778" spans="13:16" ht="21" x14ac:dyDescent="0.35">
      <c r="M778" s="107"/>
      <c r="N778" s="105"/>
      <c r="O778" s="108"/>
      <c r="P778" s="108"/>
    </row>
    <row r="779" spans="13:16" ht="21" x14ac:dyDescent="0.35">
      <c r="M779" s="107"/>
      <c r="N779" s="105"/>
      <c r="O779" s="108"/>
      <c r="P779" s="108"/>
    </row>
    <row r="780" spans="13:16" ht="21" x14ac:dyDescent="0.35">
      <c r="M780" s="107"/>
      <c r="N780" s="105"/>
      <c r="O780" s="108"/>
      <c r="P780" s="108"/>
    </row>
    <row r="781" spans="13:16" ht="21" x14ac:dyDescent="0.35">
      <c r="M781" s="107"/>
      <c r="N781" s="105"/>
      <c r="O781" s="108"/>
      <c r="P781" s="108"/>
    </row>
    <row r="782" spans="13:16" ht="21" x14ac:dyDescent="0.35">
      <c r="M782" s="107"/>
      <c r="N782" s="105"/>
      <c r="O782" s="108"/>
      <c r="P782" s="108"/>
    </row>
    <row r="783" spans="13:16" ht="21" x14ac:dyDescent="0.35">
      <c r="M783" s="107"/>
      <c r="N783" s="105"/>
      <c r="O783" s="108"/>
      <c r="P783" s="108"/>
    </row>
    <row r="784" spans="13:16" ht="21" x14ac:dyDescent="0.35">
      <c r="M784" s="107"/>
      <c r="N784" s="105"/>
      <c r="O784" s="108"/>
      <c r="P784" s="108"/>
    </row>
    <row r="785" spans="13:16" ht="21" x14ac:dyDescent="0.35">
      <c r="M785" s="107"/>
      <c r="N785" s="105"/>
      <c r="O785" s="108"/>
      <c r="P785" s="108"/>
    </row>
    <row r="786" spans="13:16" ht="21" x14ac:dyDescent="0.35">
      <c r="M786" s="107"/>
      <c r="N786" s="105"/>
      <c r="O786" s="108"/>
      <c r="P786" s="108"/>
    </row>
    <row r="787" spans="13:16" ht="21" x14ac:dyDescent="0.35">
      <c r="M787" s="107"/>
      <c r="N787" s="105"/>
      <c r="O787" s="108"/>
      <c r="P787" s="108"/>
    </row>
    <row r="788" spans="13:16" ht="21" x14ac:dyDescent="0.35">
      <c r="M788" s="107"/>
      <c r="N788" s="105"/>
      <c r="O788" s="108"/>
      <c r="P788" s="108"/>
    </row>
    <row r="789" spans="13:16" ht="21" x14ac:dyDescent="0.35">
      <c r="M789" s="107"/>
      <c r="N789" s="105"/>
      <c r="O789" s="108"/>
      <c r="P789" s="108"/>
    </row>
    <row r="790" spans="13:16" ht="21" x14ac:dyDescent="0.35">
      <c r="M790" s="107"/>
      <c r="N790" s="105"/>
      <c r="O790" s="108"/>
      <c r="P790" s="108"/>
    </row>
    <row r="791" spans="13:16" ht="21" x14ac:dyDescent="0.35">
      <c r="M791" s="107"/>
      <c r="N791" s="105"/>
      <c r="O791" s="108"/>
      <c r="P791" s="108"/>
    </row>
    <row r="792" spans="13:16" ht="21" x14ac:dyDescent="0.35">
      <c r="M792" s="107"/>
      <c r="N792" s="105"/>
      <c r="O792" s="108"/>
      <c r="P792" s="108"/>
    </row>
    <row r="793" spans="13:16" ht="21" x14ac:dyDescent="0.35">
      <c r="M793" s="107"/>
      <c r="N793" s="105"/>
      <c r="O793" s="108"/>
      <c r="P793" s="108"/>
    </row>
    <row r="794" spans="13:16" ht="21" x14ac:dyDescent="0.35">
      <c r="M794" s="107"/>
      <c r="N794" s="105"/>
      <c r="O794" s="108"/>
      <c r="P794" s="108"/>
    </row>
    <row r="795" spans="13:16" ht="21" x14ac:dyDescent="0.35">
      <c r="M795" s="107"/>
      <c r="N795" s="105"/>
      <c r="O795" s="108"/>
      <c r="P795" s="108"/>
    </row>
    <row r="796" spans="13:16" ht="21" x14ac:dyDescent="0.35">
      <c r="M796" s="107"/>
      <c r="N796" s="105"/>
      <c r="O796" s="108"/>
      <c r="P796" s="108"/>
    </row>
    <row r="797" spans="13:16" ht="21" x14ac:dyDescent="0.35">
      <c r="M797" s="107"/>
      <c r="N797" s="105"/>
      <c r="O797" s="108"/>
      <c r="P797" s="108"/>
    </row>
    <row r="798" spans="13:16" ht="21" x14ac:dyDescent="0.35">
      <c r="M798" s="107"/>
      <c r="N798" s="105"/>
      <c r="O798" s="108"/>
      <c r="P798" s="108"/>
    </row>
    <row r="799" spans="13:16" ht="21" x14ac:dyDescent="0.35">
      <c r="M799" s="107"/>
      <c r="N799" s="105"/>
      <c r="O799" s="108"/>
      <c r="P799" s="108"/>
    </row>
    <row r="800" spans="13:16" ht="21" x14ac:dyDescent="0.35">
      <c r="M800" s="107"/>
      <c r="N800" s="105"/>
      <c r="O800" s="108"/>
      <c r="P800" s="108"/>
    </row>
    <row r="801" spans="13:16" ht="21" x14ac:dyDescent="0.35">
      <c r="M801" s="107"/>
      <c r="N801" s="105"/>
      <c r="O801" s="108"/>
      <c r="P801" s="108"/>
    </row>
    <row r="802" spans="13:16" ht="21" x14ac:dyDescent="0.35">
      <c r="M802" s="107"/>
      <c r="N802" s="105"/>
      <c r="O802" s="108"/>
      <c r="P802" s="108"/>
    </row>
    <row r="803" spans="13:16" ht="21" x14ac:dyDescent="0.35">
      <c r="M803" s="107"/>
      <c r="N803" s="105"/>
      <c r="O803" s="108"/>
      <c r="P803" s="108"/>
    </row>
    <row r="804" spans="13:16" ht="21" x14ac:dyDescent="0.35">
      <c r="M804" s="107"/>
      <c r="N804" s="105"/>
      <c r="O804" s="108"/>
      <c r="P804" s="108"/>
    </row>
    <row r="805" spans="13:16" ht="21" x14ac:dyDescent="0.35">
      <c r="M805" s="107"/>
      <c r="N805" s="105"/>
      <c r="O805" s="108"/>
      <c r="P805" s="108"/>
    </row>
    <row r="806" spans="13:16" ht="21" x14ac:dyDescent="0.35">
      <c r="M806" s="107"/>
      <c r="N806" s="105"/>
      <c r="O806" s="108"/>
      <c r="P806" s="108"/>
    </row>
    <row r="807" spans="13:16" ht="21" x14ac:dyDescent="0.35">
      <c r="M807" s="107"/>
      <c r="N807" s="105"/>
      <c r="O807" s="108"/>
      <c r="P807" s="108"/>
    </row>
    <row r="808" spans="13:16" ht="21" x14ac:dyDescent="0.35">
      <c r="M808" s="107"/>
      <c r="N808" s="105"/>
      <c r="O808" s="108"/>
      <c r="P808" s="108"/>
    </row>
    <row r="809" spans="13:16" ht="21" x14ac:dyDescent="0.35">
      <c r="M809" s="107"/>
      <c r="N809" s="105"/>
      <c r="O809" s="108"/>
      <c r="P809" s="108"/>
    </row>
    <row r="810" spans="13:16" ht="21" x14ac:dyDescent="0.35">
      <c r="M810" s="107"/>
      <c r="N810" s="105"/>
      <c r="O810" s="108"/>
      <c r="P810" s="108"/>
    </row>
    <row r="811" spans="13:16" ht="21" x14ac:dyDescent="0.35">
      <c r="M811" s="107"/>
      <c r="N811" s="105"/>
      <c r="O811" s="108"/>
      <c r="P811" s="108"/>
    </row>
    <row r="812" spans="13:16" ht="21" x14ac:dyDescent="0.35">
      <c r="M812" s="107"/>
      <c r="N812" s="105"/>
      <c r="O812" s="108"/>
      <c r="P812" s="108"/>
    </row>
    <row r="813" spans="13:16" ht="21" x14ac:dyDescent="0.35">
      <c r="M813" s="107"/>
      <c r="N813" s="105"/>
      <c r="O813" s="108"/>
      <c r="P813" s="108"/>
    </row>
    <row r="814" spans="13:16" ht="21" x14ac:dyDescent="0.35">
      <c r="M814" s="107"/>
      <c r="N814" s="105"/>
      <c r="O814" s="108"/>
      <c r="P814" s="108"/>
    </row>
    <row r="815" spans="13:16" ht="21" x14ac:dyDescent="0.35">
      <c r="M815" s="107"/>
      <c r="N815" s="105"/>
      <c r="O815" s="108"/>
      <c r="P815" s="108"/>
    </row>
    <row r="816" spans="13:16" ht="21" x14ac:dyDescent="0.35">
      <c r="M816" s="107"/>
      <c r="N816" s="105"/>
      <c r="O816" s="108"/>
      <c r="P816" s="108"/>
    </row>
    <row r="817" spans="13:16" ht="21" x14ac:dyDescent="0.35">
      <c r="M817" s="107"/>
      <c r="N817" s="105"/>
      <c r="O817" s="108"/>
      <c r="P817" s="108"/>
    </row>
    <row r="818" spans="13:16" ht="21" x14ac:dyDescent="0.35">
      <c r="M818" s="107"/>
      <c r="N818" s="105"/>
      <c r="O818" s="108"/>
      <c r="P818" s="108"/>
    </row>
    <row r="819" spans="13:16" ht="21" x14ac:dyDescent="0.35">
      <c r="M819" s="107"/>
      <c r="N819" s="105"/>
      <c r="O819" s="108"/>
      <c r="P819" s="108"/>
    </row>
    <row r="820" spans="13:16" ht="21" x14ac:dyDescent="0.35">
      <c r="M820" s="107"/>
      <c r="N820" s="105"/>
      <c r="O820" s="108"/>
      <c r="P820" s="108"/>
    </row>
    <row r="821" spans="13:16" ht="21" x14ac:dyDescent="0.35">
      <c r="M821" s="107"/>
      <c r="N821" s="105"/>
      <c r="O821" s="108"/>
      <c r="P821" s="108"/>
    </row>
    <row r="822" spans="13:16" ht="21" x14ac:dyDescent="0.35">
      <c r="M822" s="107"/>
      <c r="N822" s="105"/>
      <c r="O822" s="108"/>
      <c r="P822" s="108"/>
    </row>
    <row r="823" spans="13:16" ht="21" x14ac:dyDescent="0.35">
      <c r="M823" s="107"/>
      <c r="N823" s="105"/>
      <c r="O823" s="108"/>
      <c r="P823" s="108"/>
    </row>
    <row r="824" spans="13:16" ht="21" x14ac:dyDescent="0.35">
      <c r="M824" s="107"/>
      <c r="N824" s="105"/>
      <c r="O824" s="108"/>
      <c r="P824" s="108"/>
    </row>
    <row r="825" spans="13:16" ht="21" x14ac:dyDescent="0.35">
      <c r="M825" s="107"/>
      <c r="N825" s="105"/>
      <c r="O825" s="108"/>
      <c r="P825" s="108"/>
    </row>
    <row r="826" spans="13:16" ht="21" x14ac:dyDescent="0.35">
      <c r="M826" s="107"/>
      <c r="N826" s="105"/>
      <c r="O826" s="108"/>
      <c r="P826" s="108"/>
    </row>
    <row r="827" spans="13:16" ht="21" x14ac:dyDescent="0.35">
      <c r="M827" s="107"/>
      <c r="N827" s="105"/>
      <c r="O827" s="108"/>
      <c r="P827" s="108"/>
    </row>
    <row r="828" spans="13:16" ht="21" x14ac:dyDescent="0.35">
      <c r="M828" s="107"/>
      <c r="N828" s="105"/>
      <c r="O828" s="108"/>
      <c r="P828" s="108"/>
    </row>
    <row r="829" spans="13:16" ht="21" x14ac:dyDescent="0.35">
      <c r="M829" s="107"/>
      <c r="N829" s="105"/>
      <c r="O829" s="108"/>
      <c r="P829" s="108"/>
    </row>
    <row r="830" spans="13:16" ht="21" x14ac:dyDescent="0.35">
      <c r="M830" s="107"/>
      <c r="N830" s="105"/>
      <c r="O830" s="108"/>
      <c r="P830" s="108"/>
    </row>
    <row r="831" spans="13:16" ht="21" x14ac:dyDescent="0.35">
      <c r="M831" s="107"/>
      <c r="N831" s="105"/>
      <c r="O831" s="108"/>
      <c r="P831" s="108"/>
    </row>
    <row r="832" spans="13:16" ht="21" x14ac:dyDescent="0.35">
      <c r="M832" s="107"/>
      <c r="N832" s="105"/>
      <c r="O832" s="108"/>
      <c r="P832" s="108"/>
    </row>
    <row r="833" spans="13:16" ht="21" x14ac:dyDescent="0.35">
      <c r="M833" s="107"/>
      <c r="N833" s="105"/>
      <c r="O833" s="108"/>
      <c r="P833" s="108"/>
    </row>
    <row r="834" spans="13:16" ht="21" x14ac:dyDescent="0.35">
      <c r="M834" s="107"/>
      <c r="N834" s="105"/>
      <c r="O834" s="108"/>
      <c r="P834" s="108"/>
    </row>
    <row r="835" spans="13:16" ht="21" x14ac:dyDescent="0.35">
      <c r="M835" s="107"/>
      <c r="N835" s="105"/>
      <c r="O835" s="108"/>
      <c r="P835" s="108"/>
    </row>
    <row r="836" spans="13:16" ht="21" x14ac:dyDescent="0.35">
      <c r="M836" s="107"/>
      <c r="N836" s="105"/>
      <c r="O836" s="108"/>
      <c r="P836" s="108"/>
    </row>
    <row r="837" spans="13:16" ht="21" x14ac:dyDescent="0.35">
      <c r="M837" s="107"/>
      <c r="N837" s="105"/>
      <c r="O837" s="108"/>
      <c r="P837" s="108"/>
    </row>
    <row r="838" spans="13:16" ht="21" x14ac:dyDescent="0.35">
      <c r="M838" s="107"/>
      <c r="N838" s="105"/>
      <c r="O838" s="108"/>
      <c r="P838" s="108"/>
    </row>
    <row r="839" spans="13:16" ht="21" x14ac:dyDescent="0.35">
      <c r="M839" s="107"/>
      <c r="N839" s="105"/>
      <c r="O839" s="108"/>
      <c r="P839" s="108"/>
    </row>
    <row r="840" spans="13:16" ht="21" x14ac:dyDescent="0.35">
      <c r="M840" s="107"/>
      <c r="N840" s="105"/>
      <c r="O840" s="108"/>
      <c r="P840" s="108"/>
    </row>
    <row r="841" spans="13:16" ht="21" x14ac:dyDescent="0.35">
      <c r="M841" s="107"/>
      <c r="N841" s="105"/>
      <c r="O841" s="108"/>
      <c r="P841" s="108"/>
    </row>
    <row r="842" spans="13:16" ht="21" x14ac:dyDescent="0.35">
      <c r="M842" s="107"/>
      <c r="N842" s="105"/>
      <c r="O842" s="108"/>
      <c r="P842" s="108"/>
    </row>
    <row r="843" spans="13:16" ht="21" x14ac:dyDescent="0.35">
      <c r="M843" s="107"/>
      <c r="N843" s="105"/>
      <c r="O843" s="108"/>
      <c r="P843" s="108"/>
    </row>
    <row r="844" spans="13:16" ht="21" x14ac:dyDescent="0.35">
      <c r="M844" s="107"/>
      <c r="N844" s="105"/>
      <c r="O844" s="108"/>
      <c r="P844" s="108"/>
    </row>
    <row r="845" spans="13:16" ht="21" x14ac:dyDescent="0.35">
      <c r="M845" s="107"/>
      <c r="N845" s="105"/>
      <c r="O845" s="108"/>
      <c r="P845" s="108"/>
    </row>
    <row r="846" spans="13:16" ht="21" x14ac:dyDescent="0.35">
      <c r="M846" s="107"/>
      <c r="N846" s="105"/>
      <c r="O846" s="108"/>
      <c r="P846" s="108"/>
    </row>
    <row r="847" spans="13:16" ht="21" x14ac:dyDescent="0.35">
      <c r="M847" s="107"/>
      <c r="N847" s="105"/>
      <c r="O847" s="108"/>
      <c r="P847" s="108"/>
    </row>
    <row r="848" spans="13:16" ht="21" x14ac:dyDescent="0.35">
      <c r="M848" s="107"/>
      <c r="N848" s="105"/>
      <c r="O848" s="108"/>
      <c r="P848" s="108"/>
    </row>
    <row r="849" spans="13:16" ht="21" x14ac:dyDescent="0.35">
      <c r="M849" s="107"/>
      <c r="N849" s="105"/>
      <c r="O849" s="108"/>
      <c r="P849" s="108"/>
    </row>
    <row r="850" spans="13:16" ht="21" x14ac:dyDescent="0.35">
      <c r="M850" s="107"/>
      <c r="N850" s="105"/>
      <c r="O850" s="108"/>
      <c r="P850" s="108"/>
    </row>
    <row r="851" spans="13:16" ht="21" x14ac:dyDescent="0.35">
      <c r="M851" s="107"/>
      <c r="N851" s="105"/>
      <c r="O851" s="108"/>
      <c r="P851" s="108"/>
    </row>
    <row r="852" spans="13:16" ht="21" x14ac:dyDescent="0.35">
      <c r="M852" s="107"/>
      <c r="N852" s="105"/>
      <c r="O852" s="108"/>
      <c r="P852" s="108"/>
    </row>
    <row r="853" spans="13:16" ht="21" x14ac:dyDescent="0.35">
      <c r="M853" s="107"/>
      <c r="N853" s="105"/>
      <c r="O853" s="108"/>
      <c r="P853" s="108"/>
    </row>
    <row r="854" spans="13:16" ht="21" x14ac:dyDescent="0.35">
      <c r="M854" s="107"/>
      <c r="N854" s="105"/>
      <c r="O854" s="108"/>
      <c r="P854" s="108"/>
    </row>
    <row r="855" spans="13:16" ht="21" x14ac:dyDescent="0.35">
      <c r="M855" s="107"/>
      <c r="N855" s="105"/>
      <c r="O855" s="108"/>
      <c r="P855" s="108"/>
    </row>
    <row r="856" spans="13:16" ht="21" x14ac:dyDescent="0.35">
      <c r="M856" s="107"/>
      <c r="N856" s="105"/>
      <c r="O856" s="108"/>
      <c r="P856" s="108"/>
    </row>
    <row r="857" spans="13:16" ht="21" x14ac:dyDescent="0.35">
      <c r="M857" s="107"/>
      <c r="N857" s="105"/>
      <c r="O857" s="108"/>
      <c r="P857" s="108"/>
    </row>
    <row r="858" spans="13:16" ht="21" x14ac:dyDescent="0.35">
      <c r="M858" s="107"/>
      <c r="N858" s="105"/>
      <c r="O858" s="108"/>
      <c r="P858" s="108"/>
    </row>
    <row r="859" spans="13:16" ht="21" x14ac:dyDescent="0.35">
      <c r="M859" s="107"/>
      <c r="N859" s="105"/>
      <c r="O859" s="108"/>
      <c r="P859" s="108"/>
    </row>
    <row r="860" spans="13:16" ht="21" x14ac:dyDescent="0.35">
      <c r="M860" s="107"/>
      <c r="N860" s="105"/>
      <c r="O860" s="108"/>
      <c r="P860" s="108"/>
    </row>
    <row r="861" spans="13:16" ht="21" x14ac:dyDescent="0.35">
      <c r="M861" s="107"/>
      <c r="N861" s="105"/>
      <c r="O861" s="108"/>
      <c r="P861" s="108"/>
    </row>
    <row r="862" spans="13:16" ht="21" x14ac:dyDescent="0.35">
      <c r="M862" s="107"/>
      <c r="N862" s="105"/>
      <c r="O862" s="108"/>
      <c r="P862" s="108"/>
    </row>
    <row r="863" spans="13:16" ht="21" x14ac:dyDescent="0.35">
      <c r="M863" s="107"/>
      <c r="N863" s="105"/>
      <c r="O863" s="108"/>
      <c r="P863" s="108"/>
    </row>
    <row r="864" spans="13:16" ht="21" x14ac:dyDescent="0.35">
      <c r="M864" s="107"/>
      <c r="N864" s="105"/>
      <c r="O864" s="108"/>
      <c r="P864" s="108"/>
    </row>
    <row r="865" spans="13:16" ht="21" x14ac:dyDescent="0.35">
      <c r="M865" s="107"/>
      <c r="N865" s="105"/>
      <c r="O865" s="108"/>
      <c r="P865" s="108"/>
    </row>
    <row r="866" spans="13:16" ht="21" x14ac:dyDescent="0.35">
      <c r="M866" s="107"/>
      <c r="N866" s="105"/>
      <c r="O866" s="108"/>
      <c r="P866" s="108"/>
    </row>
    <row r="867" spans="13:16" ht="21" x14ac:dyDescent="0.35">
      <c r="M867" s="107"/>
      <c r="N867" s="105"/>
      <c r="O867" s="108"/>
      <c r="P867" s="108"/>
    </row>
    <row r="868" spans="13:16" ht="21" x14ac:dyDescent="0.35">
      <c r="M868" s="107"/>
      <c r="N868" s="105"/>
      <c r="O868" s="108"/>
      <c r="P868" s="108"/>
    </row>
    <row r="869" spans="13:16" ht="21" x14ac:dyDescent="0.35">
      <c r="M869" s="107"/>
      <c r="N869" s="105"/>
      <c r="O869" s="108"/>
      <c r="P869" s="108"/>
    </row>
    <row r="870" spans="13:16" ht="21" x14ac:dyDescent="0.35">
      <c r="M870" s="107"/>
      <c r="N870" s="105"/>
      <c r="O870" s="108"/>
      <c r="P870" s="108"/>
    </row>
    <row r="871" spans="13:16" ht="21" x14ac:dyDescent="0.35">
      <c r="M871" s="107"/>
      <c r="N871" s="105"/>
      <c r="O871" s="108"/>
      <c r="P871" s="108"/>
    </row>
    <row r="872" spans="13:16" ht="21" x14ac:dyDescent="0.35">
      <c r="M872" s="107"/>
      <c r="N872" s="105"/>
      <c r="O872" s="108"/>
      <c r="P872" s="108"/>
    </row>
    <row r="873" spans="13:16" ht="21" x14ac:dyDescent="0.35">
      <c r="M873" s="107"/>
      <c r="N873" s="105"/>
      <c r="O873" s="108"/>
      <c r="P873" s="108"/>
    </row>
    <row r="874" spans="13:16" ht="21" x14ac:dyDescent="0.35">
      <c r="M874" s="107"/>
      <c r="N874" s="105"/>
      <c r="O874" s="108"/>
      <c r="P874" s="108"/>
    </row>
    <row r="875" spans="13:16" ht="21" x14ac:dyDescent="0.35">
      <c r="M875" s="107"/>
      <c r="N875" s="105"/>
      <c r="O875" s="108"/>
      <c r="P875" s="108"/>
    </row>
    <row r="876" spans="13:16" ht="21" x14ac:dyDescent="0.35">
      <c r="M876" s="107"/>
      <c r="N876" s="105"/>
      <c r="O876" s="108"/>
      <c r="P876" s="108"/>
    </row>
    <row r="877" spans="13:16" ht="21" x14ac:dyDescent="0.35">
      <c r="M877" s="107"/>
      <c r="N877" s="105"/>
      <c r="O877" s="108"/>
      <c r="P877" s="108"/>
    </row>
    <row r="878" spans="13:16" ht="21" x14ac:dyDescent="0.35">
      <c r="M878" s="107"/>
      <c r="N878" s="105"/>
      <c r="O878" s="108"/>
      <c r="P878" s="108"/>
    </row>
    <row r="879" spans="13:16" ht="21" x14ac:dyDescent="0.35">
      <c r="M879" s="107"/>
      <c r="N879" s="105"/>
      <c r="O879" s="108"/>
      <c r="P879" s="108"/>
    </row>
    <row r="880" spans="13:16" ht="21" x14ac:dyDescent="0.35">
      <c r="M880" s="107"/>
      <c r="N880" s="105"/>
      <c r="O880" s="108"/>
      <c r="P880" s="108"/>
    </row>
    <row r="881" spans="13:16" ht="21" x14ac:dyDescent="0.35">
      <c r="M881" s="107"/>
      <c r="N881" s="105"/>
      <c r="O881" s="108"/>
      <c r="P881" s="108"/>
    </row>
    <row r="882" spans="13:16" ht="21" x14ac:dyDescent="0.35">
      <c r="M882" s="107"/>
      <c r="N882" s="105"/>
      <c r="O882" s="108"/>
      <c r="P882" s="108"/>
    </row>
    <row r="883" spans="13:16" ht="21" x14ac:dyDescent="0.35">
      <c r="M883" s="107"/>
      <c r="N883" s="105"/>
      <c r="O883" s="108"/>
      <c r="P883" s="108"/>
    </row>
    <row r="884" spans="13:16" ht="21" x14ac:dyDescent="0.35">
      <c r="M884" s="107"/>
      <c r="N884" s="105"/>
      <c r="O884" s="108"/>
      <c r="P884" s="108"/>
    </row>
    <row r="885" spans="13:16" ht="21" x14ac:dyDescent="0.35">
      <c r="M885" s="107"/>
      <c r="N885" s="105"/>
      <c r="O885" s="108"/>
      <c r="P885" s="108"/>
    </row>
    <row r="886" spans="13:16" ht="21" x14ac:dyDescent="0.35">
      <c r="M886" s="107"/>
      <c r="N886" s="105"/>
      <c r="O886" s="108"/>
      <c r="P886" s="108"/>
    </row>
    <row r="887" spans="13:16" ht="21" x14ac:dyDescent="0.35">
      <c r="M887" s="107"/>
      <c r="N887" s="105"/>
      <c r="O887" s="108"/>
      <c r="P887" s="108"/>
    </row>
    <row r="888" spans="13:16" ht="21" x14ac:dyDescent="0.35">
      <c r="M888" s="107"/>
      <c r="N888" s="105"/>
      <c r="O888" s="108"/>
      <c r="P888" s="108"/>
    </row>
    <row r="889" spans="13:16" ht="21" x14ac:dyDescent="0.35">
      <c r="M889" s="107"/>
      <c r="N889" s="105"/>
      <c r="O889" s="108"/>
      <c r="P889" s="108"/>
    </row>
    <row r="890" spans="13:16" ht="21" x14ac:dyDescent="0.35">
      <c r="M890" s="107"/>
      <c r="N890" s="105"/>
      <c r="O890" s="108"/>
      <c r="P890" s="108"/>
    </row>
    <row r="891" spans="13:16" ht="21" x14ac:dyDescent="0.35">
      <c r="M891" s="107"/>
      <c r="N891" s="105"/>
      <c r="O891" s="108"/>
      <c r="P891" s="108"/>
    </row>
    <row r="892" spans="13:16" ht="21" x14ac:dyDescent="0.35">
      <c r="M892" s="107"/>
      <c r="N892" s="105"/>
      <c r="O892" s="108"/>
      <c r="P892" s="108"/>
    </row>
    <row r="893" spans="13:16" ht="21" x14ac:dyDescent="0.35">
      <c r="M893" s="107"/>
      <c r="N893" s="105"/>
      <c r="O893" s="108"/>
      <c r="P893" s="108"/>
    </row>
    <row r="894" spans="13:16" ht="21" x14ac:dyDescent="0.35">
      <c r="M894" s="107"/>
      <c r="N894" s="105"/>
      <c r="O894" s="108"/>
      <c r="P894" s="108"/>
    </row>
    <row r="895" spans="13:16" ht="21" x14ac:dyDescent="0.35">
      <c r="M895" s="107"/>
      <c r="N895" s="105"/>
      <c r="O895" s="108"/>
      <c r="P895" s="108"/>
    </row>
    <row r="896" spans="13:16" ht="21" x14ac:dyDescent="0.35">
      <c r="M896" s="107"/>
      <c r="N896" s="105"/>
      <c r="O896" s="108"/>
      <c r="P896" s="108"/>
    </row>
    <row r="897" spans="13:16" ht="21" x14ac:dyDescent="0.35">
      <c r="M897" s="107"/>
      <c r="N897" s="105"/>
      <c r="O897" s="108"/>
      <c r="P897" s="108"/>
    </row>
    <row r="898" spans="13:16" ht="21" x14ac:dyDescent="0.35">
      <c r="M898" s="107"/>
      <c r="N898" s="105"/>
      <c r="O898" s="108"/>
      <c r="P898" s="108"/>
    </row>
    <row r="899" spans="13:16" ht="21" x14ac:dyDescent="0.35">
      <c r="M899" s="107"/>
      <c r="N899" s="105"/>
      <c r="O899" s="108"/>
      <c r="P899" s="108"/>
    </row>
    <row r="900" spans="13:16" ht="21" x14ac:dyDescent="0.35">
      <c r="M900" s="107"/>
      <c r="N900" s="105"/>
      <c r="O900" s="108"/>
      <c r="P900" s="108"/>
    </row>
    <row r="901" spans="13:16" ht="21" x14ac:dyDescent="0.35">
      <c r="M901" s="107"/>
      <c r="N901" s="105"/>
      <c r="O901" s="108"/>
      <c r="P901" s="108"/>
    </row>
    <row r="902" spans="13:16" ht="21" x14ac:dyDescent="0.35">
      <c r="M902" s="107"/>
      <c r="N902" s="105"/>
      <c r="O902" s="108"/>
      <c r="P902" s="108"/>
    </row>
    <row r="903" spans="13:16" ht="21" x14ac:dyDescent="0.35">
      <c r="M903" s="107"/>
      <c r="N903" s="105"/>
      <c r="O903" s="108"/>
      <c r="P903" s="108"/>
    </row>
    <row r="904" spans="13:16" ht="21" x14ac:dyDescent="0.35">
      <c r="M904" s="107"/>
      <c r="N904" s="105"/>
      <c r="O904" s="108"/>
      <c r="P904" s="108"/>
    </row>
    <row r="905" spans="13:16" ht="21" x14ac:dyDescent="0.35">
      <c r="M905" s="107"/>
      <c r="N905" s="105"/>
      <c r="O905" s="108"/>
      <c r="P905" s="108"/>
    </row>
    <row r="906" spans="13:16" ht="21" x14ac:dyDescent="0.35">
      <c r="M906" s="107"/>
      <c r="N906" s="105"/>
      <c r="O906" s="108"/>
      <c r="P906" s="108"/>
    </row>
    <row r="907" spans="13:16" ht="21" x14ac:dyDescent="0.35">
      <c r="M907" s="107"/>
      <c r="N907" s="105"/>
      <c r="O907" s="108"/>
      <c r="P907" s="108"/>
    </row>
    <row r="908" spans="13:16" ht="21" x14ac:dyDescent="0.35">
      <c r="M908" s="107"/>
      <c r="N908" s="105"/>
      <c r="O908" s="108"/>
      <c r="P908" s="108"/>
    </row>
    <row r="909" spans="13:16" ht="21" x14ac:dyDescent="0.35">
      <c r="M909" s="107"/>
      <c r="N909" s="105"/>
      <c r="O909" s="108"/>
      <c r="P909" s="108"/>
    </row>
    <row r="910" spans="13:16" ht="21" x14ac:dyDescent="0.35">
      <c r="M910" s="107"/>
      <c r="N910" s="105"/>
      <c r="O910" s="108"/>
      <c r="P910" s="108"/>
    </row>
    <row r="911" spans="13:16" ht="21" x14ac:dyDescent="0.35">
      <c r="M911" s="107"/>
      <c r="N911" s="105"/>
      <c r="O911" s="108"/>
      <c r="P911" s="108"/>
    </row>
    <row r="912" spans="13:16" ht="21" x14ac:dyDescent="0.35">
      <c r="M912" s="107"/>
      <c r="N912" s="105"/>
      <c r="O912" s="108"/>
      <c r="P912" s="108"/>
    </row>
    <row r="913" spans="13:16" ht="21" x14ac:dyDescent="0.35">
      <c r="M913" s="107"/>
      <c r="N913" s="105"/>
      <c r="O913" s="108"/>
      <c r="P913" s="108"/>
    </row>
    <row r="914" spans="13:16" ht="21" x14ac:dyDescent="0.35">
      <c r="M914" s="107"/>
      <c r="N914" s="105"/>
      <c r="O914" s="108"/>
      <c r="P914" s="108"/>
    </row>
    <row r="915" spans="13:16" ht="21" x14ac:dyDescent="0.35">
      <c r="M915" s="107"/>
      <c r="N915" s="105"/>
      <c r="O915" s="108"/>
      <c r="P915" s="108"/>
    </row>
    <row r="916" spans="13:16" ht="21" x14ac:dyDescent="0.35">
      <c r="M916" s="107"/>
      <c r="N916" s="105"/>
      <c r="O916" s="108"/>
      <c r="P916" s="108"/>
    </row>
    <row r="917" spans="13:16" ht="21" x14ac:dyDescent="0.35">
      <c r="M917" s="107"/>
      <c r="N917" s="105"/>
      <c r="O917" s="108"/>
      <c r="P917" s="108"/>
    </row>
    <row r="918" spans="13:16" ht="21" x14ac:dyDescent="0.35">
      <c r="M918" s="107"/>
      <c r="N918" s="105"/>
      <c r="O918" s="108"/>
      <c r="P918" s="108"/>
    </row>
    <row r="919" spans="13:16" ht="21" x14ac:dyDescent="0.35">
      <c r="M919" s="107"/>
      <c r="N919" s="105"/>
      <c r="O919" s="108"/>
      <c r="P919" s="108"/>
    </row>
    <row r="920" spans="13:16" ht="21" x14ac:dyDescent="0.35">
      <c r="M920" s="107"/>
      <c r="N920" s="105"/>
      <c r="O920" s="108"/>
      <c r="P920" s="108"/>
    </row>
    <row r="921" spans="13:16" ht="21" x14ac:dyDescent="0.35">
      <c r="M921" s="107"/>
      <c r="N921" s="105"/>
      <c r="O921" s="108"/>
      <c r="P921" s="108"/>
    </row>
    <row r="922" spans="13:16" ht="21" x14ac:dyDescent="0.35">
      <c r="M922" s="107"/>
      <c r="N922" s="105"/>
      <c r="O922" s="108"/>
      <c r="P922" s="108"/>
    </row>
    <row r="923" spans="13:16" ht="21" x14ac:dyDescent="0.35">
      <c r="M923" s="107"/>
      <c r="N923" s="105"/>
      <c r="O923" s="108"/>
      <c r="P923" s="108"/>
    </row>
    <row r="924" spans="13:16" ht="21" x14ac:dyDescent="0.35">
      <c r="M924" s="107"/>
      <c r="N924" s="105"/>
      <c r="O924" s="108"/>
      <c r="P924" s="108"/>
    </row>
    <row r="925" spans="13:16" ht="21" x14ac:dyDescent="0.35">
      <c r="M925" s="107"/>
      <c r="N925" s="105"/>
      <c r="O925" s="108"/>
      <c r="P925" s="108"/>
    </row>
    <row r="926" spans="13:16" ht="21" x14ac:dyDescent="0.35">
      <c r="M926" s="107"/>
      <c r="N926" s="105"/>
      <c r="O926" s="108"/>
      <c r="P926" s="108"/>
    </row>
    <row r="927" spans="13:16" ht="21" x14ac:dyDescent="0.35">
      <c r="M927" s="107"/>
      <c r="N927" s="105"/>
      <c r="O927" s="108"/>
      <c r="P927" s="108"/>
    </row>
    <row r="928" spans="13:16" ht="21" x14ac:dyDescent="0.35">
      <c r="M928" s="107"/>
      <c r="N928" s="105"/>
      <c r="O928" s="108"/>
      <c r="P928" s="108"/>
    </row>
    <row r="929" spans="13:16" ht="21" x14ac:dyDescent="0.35">
      <c r="M929" s="107"/>
      <c r="N929" s="105"/>
      <c r="O929" s="108"/>
      <c r="P929" s="108"/>
    </row>
    <row r="930" spans="13:16" ht="21" x14ac:dyDescent="0.35">
      <c r="M930" s="107"/>
      <c r="N930" s="105"/>
      <c r="O930" s="108"/>
      <c r="P930" s="108"/>
    </row>
    <row r="931" spans="13:16" ht="21" x14ac:dyDescent="0.35">
      <c r="M931" s="107"/>
      <c r="N931" s="105"/>
      <c r="O931" s="108"/>
      <c r="P931" s="108"/>
    </row>
    <row r="932" spans="13:16" ht="21" x14ac:dyDescent="0.35">
      <c r="M932" s="107"/>
      <c r="N932" s="105"/>
      <c r="O932" s="108"/>
      <c r="P932" s="108"/>
    </row>
    <row r="933" spans="13:16" ht="21" x14ac:dyDescent="0.35">
      <c r="M933" s="107"/>
      <c r="N933" s="105"/>
      <c r="O933" s="108"/>
      <c r="P933" s="108"/>
    </row>
    <row r="934" spans="13:16" ht="21" x14ac:dyDescent="0.35">
      <c r="M934" s="107"/>
      <c r="N934" s="105"/>
      <c r="O934" s="108"/>
      <c r="P934" s="108"/>
    </row>
    <row r="935" spans="13:16" ht="21" x14ac:dyDescent="0.35">
      <c r="M935" s="107"/>
      <c r="N935" s="105"/>
      <c r="O935" s="108"/>
      <c r="P935" s="108"/>
    </row>
    <row r="936" spans="13:16" ht="21" x14ac:dyDescent="0.35">
      <c r="M936" s="107"/>
      <c r="N936" s="105"/>
      <c r="O936" s="108"/>
      <c r="P936" s="108"/>
    </row>
    <row r="937" spans="13:16" ht="21" x14ac:dyDescent="0.35">
      <c r="M937" s="107"/>
      <c r="N937" s="105"/>
      <c r="O937" s="108"/>
      <c r="P937" s="108"/>
    </row>
    <row r="938" spans="13:16" ht="21" x14ac:dyDescent="0.35">
      <c r="M938" s="107"/>
      <c r="N938" s="105"/>
      <c r="O938" s="108"/>
      <c r="P938" s="108"/>
    </row>
    <row r="939" spans="13:16" ht="21" x14ac:dyDescent="0.35">
      <c r="M939" s="107"/>
      <c r="N939" s="105"/>
      <c r="O939" s="108"/>
      <c r="P939" s="108"/>
    </row>
    <row r="940" spans="13:16" ht="21" x14ac:dyDescent="0.35">
      <c r="M940" s="107"/>
      <c r="N940" s="105"/>
      <c r="O940" s="108"/>
      <c r="P940" s="108"/>
    </row>
    <row r="941" spans="13:16" ht="21" x14ac:dyDescent="0.35">
      <c r="M941" s="107"/>
      <c r="N941" s="105"/>
      <c r="O941" s="108"/>
      <c r="P941" s="108"/>
    </row>
    <row r="942" spans="13:16" ht="21" x14ac:dyDescent="0.35">
      <c r="M942" s="107"/>
      <c r="N942" s="105"/>
      <c r="O942" s="108"/>
      <c r="P942" s="108"/>
    </row>
    <row r="943" spans="13:16" ht="21" x14ac:dyDescent="0.35">
      <c r="M943" s="107"/>
      <c r="N943" s="105"/>
      <c r="O943" s="108"/>
      <c r="P943" s="108"/>
    </row>
    <row r="944" spans="13:16" ht="21" x14ac:dyDescent="0.35">
      <c r="M944" s="107"/>
      <c r="N944" s="105"/>
      <c r="O944" s="108"/>
      <c r="P944" s="108"/>
    </row>
    <row r="945" spans="13:16" ht="21" x14ac:dyDescent="0.35">
      <c r="M945" s="107"/>
      <c r="N945" s="105"/>
      <c r="O945" s="108"/>
      <c r="P945" s="108"/>
    </row>
    <row r="946" spans="13:16" ht="21" x14ac:dyDescent="0.35">
      <c r="M946" s="107"/>
      <c r="N946" s="105"/>
      <c r="O946" s="108"/>
      <c r="P946" s="108"/>
    </row>
    <row r="947" spans="13:16" ht="21" x14ac:dyDescent="0.35">
      <c r="M947" s="107"/>
      <c r="N947" s="105"/>
      <c r="O947" s="108"/>
      <c r="P947" s="108"/>
    </row>
    <row r="948" spans="13:16" ht="21" x14ac:dyDescent="0.35">
      <c r="M948" s="107"/>
      <c r="N948" s="105"/>
      <c r="O948" s="108"/>
      <c r="P948" s="108"/>
    </row>
    <row r="949" spans="13:16" ht="21" x14ac:dyDescent="0.35">
      <c r="M949" s="107"/>
      <c r="N949" s="105"/>
      <c r="O949" s="108"/>
      <c r="P949" s="108"/>
    </row>
    <row r="950" spans="13:16" ht="21" x14ac:dyDescent="0.35">
      <c r="M950" s="107"/>
      <c r="N950" s="105"/>
      <c r="O950" s="108"/>
      <c r="P950" s="108"/>
    </row>
    <row r="951" spans="13:16" ht="21" x14ac:dyDescent="0.35">
      <c r="M951" s="107"/>
      <c r="N951" s="105"/>
      <c r="O951" s="108"/>
      <c r="P951" s="108"/>
    </row>
    <row r="952" spans="13:16" ht="21" x14ac:dyDescent="0.35">
      <c r="M952" s="107"/>
      <c r="N952" s="105"/>
      <c r="O952" s="108"/>
      <c r="P952" s="108"/>
    </row>
    <row r="953" spans="13:16" ht="21" x14ac:dyDescent="0.35">
      <c r="M953" s="107"/>
      <c r="N953" s="105"/>
      <c r="O953" s="108"/>
      <c r="P953" s="108"/>
    </row>
    <row r="954" spans="13:16" ht="21" x14ac:dyDescent="0.35">
      <c r="M954" s="107"/>
      <c r="N954" s="105"/>
      <c r="O954" s="108"/>
      <c r="P954" s="108"/>
    </row>
    <row r="955" spans="13:16" ht="21" x14ac:dyDescent="0.35">
      <c r="M955" s="107"/>
      <c r="N955" s="105"/>
      <c r="O955" s="108"/>
      <c r="P955" s="108"/>
    </row>
    <row r="956" spans="13:16" ht="21" x14ac:dyDescent="0.35">
      <c r="M956" s="107"/>
      <c r="N956" s="105"/>
      <c r="O956" s="108"/>
      <c r="P956" s="108"/>
    </row>
    <row r="957" spans="13:16" ht="21" x14ac:dyDescent="0.35">
      <c r="M957" s="107"/>
      <c r="N957" s="105"/>
      <c r="O957" s="108"/>
      <c r="P957" s="108"/>
    </row>
    <row r="958" spans="13:16" ht="21" x14ac:dyDescent="0.35">
      <c r="M958" s="107"/>
      <c r="N958" s="105"/>
      <c r="O958" s="108"/>
      <c r="P958" s="108"/>
    </row>
    <row r="959" spans="13:16" ht="21" x14ac:dyDescent="0.35">
      <c r="M959" s="107"/>
      <c r="N959" s="105"/>
      <c r="O959" s="108"/>
      <c r="P959" s="108"/>
    </row>
    <row r="960" spans="13:16" ht="21" x14ac:dyDescent="0.35">
      <c r="M960" s="107"/>
      <c r="N960" s="105"/>
      <c r="O960" s="108"/>
      <c r="P960" s="108"/>
    </row>
    <row r="961" spans="13:16" ht="21" x14ac:dyDescent="0.35">
      <c r="M961" s="107"/>
      <c r="N961" s="105"/>
      <c r="O961" s="108"/>
      <c r="P961" s="108"/>
    </row>
    <row r="962" spans="13:16" ht="21" x14ac:dyDescent="0.35">
      <c r="M962" s="107"/>
      <c r="N962" s="105"/>
      <c r="O962" s="108"/>
      <c r="P962" s="108"/>
    </row>
    <row r="963" spans="13:16" ht="21" x14ac:dyDescent="0.35">
      <c r="M963" s="107"/>
      <c r="N963" s="105"/>
      <c r="O963" s="108"/>
      <c r="P963" s="108"/>
    </row>
    <row r="964" spans="13:16" ht="21" x14ac:dyDescent="0.35">
      <c r="M964" s="107"/>
      <c r="N964" s="105"/>
      <c r="O964" s="108"/>
      <c r="P964" s="108"/>
    </row>
    <row r="965" spans="13:16" ht="21" x14ac:dyDescent="0.35">
      <c r="M965" s="107"/>
      <c r="N965" s="105"/>
      <c r="O965" s="108"/>
      <c r="P965" s="108"/>
    </row>
    <row r="966" spans="13:16" ht="21" x14ac:dyDescent="0.35">
      <c r="M966" s="107"/>
      <c r="N966" s="105"/>
      <c r="O966" s="108"/>
      <c r="P966" s="108"/>
    </row>
    <row r="967" spans="13:16" ht="21" x14ac:dyDescent="0.35">
      <c r="M967" s="107"/>
      <c r="N967" s="105"/>
      <c r="O967" s="108"/>
      <c r="P967" s="108"/>
    </row>
  </sheetData>
  <sheetProtection selectLockedCells="1"/>
  <phoneticPr fontId="7" type="noConversion"/>
  <conditionalFormatting sqref="P7:P9">
    <cfRule type="cellIs" dxfId="1" priority="5" operator="equal">
      <formula>0</formula>
    </cfRule>
    <cfRule type="cellIs" dxfId="0" priority="6" operator="greaterThan">
      <formula>0</formula>
    </cfRule>
  </conditionalFormatting>
  <dataValidations count="6">
    <dataValidation type="list" allowBlank="1" showInputMessage="1" showErrorMessage="1" sqref="AB13:AB17 AE13:AE17 AE7:AE11 AB7:AB11 AK7:AK9 AH7:AH9 AN7:AN9 AQ7:AQ9" xr:uid="{3855009D-0BF4-4EEC-8DFF-753A9A555C3B}">
      <formula1>LISTEPAIEMENT</formula1>
    </dataValidation>
    <dataValidation type="list" allowBlank="1" showInputMessage="1" showErrorMessage="1" sqref="Q13:Q17 Q7:Q11" xr:uid="{51A45C34-2888-4D83-A7EC-5F799CC81B10}">
      <formula1>LISTETYPECOTISATION</formula1>
    </dataValidation>
    <dataValidation type="list" allowBlank="1" showInputMessage="1" showErrorMessage="1" sqref="S13:S17 S7:S11" xr:uid="{F073EC2A-C6C3-4915-9A66-F600EC8421AC}">
      <formula1>LISTETYPEEDT</formula1>
    </dataValidation>
    <dataValidation type="list" allowBlank="1" showInputMessage="1" showErrorMessage="1" sqref="U13:U17 U7:U11" xr:uid="{F5209D29-3C4D-4FDF-ACDD-6372BEE73A8F}">
      <formula1>LISTETYPECOURSCO</formula1>
    </dataValidation>
    <dataValidation type="list" allowBlank="1" showInputMessage="1" showErrorMessage="1" sqref="W13:W17 W7:W11" xr:uid="{696BA58E-0B28-4841-9D27-DC880986723F}">
      <formula1>LISTEENTREE</formula1>
    </dataValidation>
    <dataValidation type="list" allowBlank="1" showInputMessage="1" showErrorMessage="1" sqref="E7:E17" xr:uid="{F42A0C52-C610-4ED4-B107-3593F0DE8459}">
      <formula1>LISTESEXE</formula1>
    </dataValidation>
  </dataValidations>
  <printOptions horizontalCentered="1" verticalCentered="1"/>
  <pageMargins left="0" right="0" top="0" bottom="0" header="0" footer="0"/>
  <pageSetup paperSize="9" scale="10" orientation="landscape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A15E7-8C11-4640-BD07-C21C22322995}">
  <sheetPr codeName="Feuil5">
    <tabColor rgb="FFFF0000"/>
  </sheetPr>
  <dimension ref="A1:K262"/>
  <sheetViews>
    <sheetView topLeftCell="A16" workbookViewId="0">
      <selection activeCell="O28" sqref="O28"/>
    </sheetView>
  </sheetViews>
  <sheetFormatPr baseColWidth="10" defaultColWidth="11.140625" defaultRowHeight="15" x14ac:dyDescent="0.25"/>
  <cols>
    <col min="1" max="1" width="17.5703125" bestFit="1" customWidth="1"/>
    <col min="2" max="3" width="9.5703125" style="6" bestFit="1" customWidth="1"/>
    <col min="4" max="4" width="14.7109375" style="6" bestFit="1" customWidth="1"/>
    <col min="5" max="5" width="9.5703125" style="6" bestFit="1" customWidth="1"/>
    <col min="6" max="6" width="9.140625" style="6" bestFit="1" customWidth="1"/>
    <col min="7" max="7" width="7.85546875" style="6" bestFit="1" customWidth="1"/>
    <col min="8" max="8" width="9.5703125" style="6" bestFit="1" customWidth="1"/>
    <col min="9" max="9" width="11.7109375" style="6" bestFit="1" customWidth="1"/>
    <col min="10" max="10" width="13.7109375" style="123" bestFit="1" customWidth="1"/>
    <col min="11" max="11" width="20.85546875" bestFit="1" customWidth="1"/>
  </cols>
  <sheetData>
    <row r="1" spans="1:11" s="110" customFormat="1" ht="19.5" thickBot="1" x14ac:dyDescent="0.35">
      <c r="A1" s="165" t="s">
        <v>149</v>
      </c>
      <c r="B1" s="125" t="s">
        <v>123</v>
      </c>
      <c r="C1" s="125" t="s">
        <v>127</v>
      </c>
      <c r="D1" s="125" t="s">
        <v>128</v>
      </c>
      <c r="E1" s="125" t="s">
        <v>124</v>
      </c>
      <c r="F1" s="125" t="s">
        <v>125</v>
      </c>
      <c r="G1" s="125" t="s">
        <v>126</v>
      </c>
      <c r="H1" s="125" t="s">
        <v>16</v>
      </c>
      <c r="I1" s="125" t="s">
        <v>129</v>
      </c>
      <c r="J1" s="126" t="s">
        <v>130</v>
      </c>
      <c r="K1" s="127"/>
    </row>
    <row r="2" spans="1:11" s="110" customFormat="1" ht="18.75" x14ac:dyDescent="0.3">
      <c r="A2" s="128"/>
      <c r="B2" s="129"/>
      <c r="C2" s="130"/>
      <c r="D2" s="130"/>
      <c r="E2" s="130"/>
      <c r="F2" s="130"/>
      <c r="G2" s="130"/>
      <c r="H2" s="130"/>
      <c r="I2" s="130"/>
      <c r="J2" s="131"/>
      <c r="K2" s="132"/>
    </row>
    <row r="3" spans="1:11" x14ac:dyDescent="0.25">
      <c r="A3" s="153"/>
      <c r="B3" s="133"/>
      <c r="C3" s="134"/>
      <c r="D3" s="134"/>
      <c r="E3" s="134"/>
      <c r="F3" s="134"/>
      <c r="G3" s="134"/>
      <c r="H3" s="134"/>
      <c r="I3" s="134"/>
      <c r="J3" s="135"/>
      <c r="K3" s="136"/>
    </row>
    <row r="4" spans="1:11" x14ac:dyDescent="0.25">
      <c r="A4" s="153"/>
      <c r="B4" s="133"/>
      <c r="C4" s="134"/>
      <c r="D4" s="134"/>
      <c r="E4" s="134"/>
      <c r="F4" s="134"/>
      <c r="G4" s="134"/>
      <c r="H4" s="134"/>
      <c r="I4" s="134"/>
      <c r="J4" s="135"/>
      <c r="K4" s="137"/>
    </row>
    <row r="5" spans="1:11" x14ac:dyDescent="0.25">
      <c r="A5" s="153"/>
      <c r="B5" s="133"/>
      <c r="C5" s="134"/>
      <c r="D5" s="134"/>
      <c r="E5" s="134"/>
      <c r="F5" s="134"/>
      <c r="G5" s="134"/>
      <c r="H5" s="134"/>
      <c r="I5" s="134"/>
      <c r="J5" s="135"/>
      <c r="K5" s="136"/>
    </row>
    <row r="6" spans="1:11" x14ac:dyDescent="0.25">
      <c r="A6" s="153"/>
      <c r="B6" s="133"/>
      <c r="C6" s="134"/>
      <c r="D6" s="134"/>
      <c r="E6" s="134"/>
      <c r="F6" s="134"/>
      <c r="G6" s="134"/>
      <c r="H6" s="134"/>
      <c r="I6" s="134"/>
      <c r="J6" s="135"/>
      <c r="K6" s="136"/>
    </row>
    <row r="7" spans="1:11" x14ac:dyDescent="0.25">
      <c r="A7" s="153"/>
      <c r="B7" s="133"/>
      <c r="C7" s="134"/>
      <c r="D7" s="134"/>
      <c r="E7" s="134"/>
      <c r="F7" s="134"/>
      <c r="G7" s="134"/>
      <c r="H7" s="134"/>
      <c r="I7" s="134"/>
      <c r="J7" s="135"/>
      <c r="K7" s="136"/>
    </row>
    <row r="8" spans="1:11" ht="15.75" thickBot="1" x14ac:dyDescent="0.3">
      <c r="A8" s="154"/>
      <c r="B8" s="139"/>
      <c r="C8" s="140"/>
      <c r="D8" s="140"/>
      <c r="E8" s="140"/>
      <c r="F8" s="140"/>
      <c r="G8" s="140"/>
      <c r="H8" s="140"/>
      <c r="I8" s="140"/>
      <c r="J8" s="141"/>
      <c r="K8" s="142"/>
    </row>
    <row r="9" spans="1:11" s="124" customFormat="1" ht="16.5" thickBot="1" x14ac:dyDescent="0.3">
      <c r="B9" s="145" t="s">
        <v>123</v>
      </c>
      <c r="C9" s="146" t="s">
        <v>127</v>
      </c>
      <c r="D9" s="146" t="s">
        <v>128</v>
      </c>
      <c r="E9" s="146" t="s">
        <v>124</v>
      </c>
      <c r="F9" s="146" t="s">
        <v>125</v>
      </c>
      <c r="G9" s="146" t="s">
        <v>126</v>
      </c>
      <c r="H9" s="146" t="s">
        <v>16</v>
      </c>
      <c r="I9" s="147" t="s">
        <v>129</v>
      </c>
      <c r="J9" s="148"/>
      <c r="K9" s="149"/>
    </row>
    <row r="10" spans="1:11" ht="21.75" thickBot="1" x14ac:dyDescent="0.4">
      <c r="B10" s="150">
        <f t="shared" ref="B10:I10" si="0">SUM(B2:B9)</f>
        <v>0</v>
      </c>
      <c r="C10" s="151">
        <f t="shared" si="0"/>
        <v>0</v>
      </c>
      <c r="D10" s="151">
        <f t="shared" si="0"/>
        <v>0</v>
      </c>
      <c r="E10" s="151">
        <f t="shared" si="0"/>
        <v>0</v>
      </c>
      <c r="F10" s="151">
        <f t="shared" si="0"/>
        <v>0</v>
      </c>
      <c r="G10" s="151">
        <f t="shared" si="0"/>
        <v>0</v>
      </c>
      <c r="H10" s="151">
        <f t="shared" si="0"/>
        <v>0</v>
      </c>
      <c r="I10" s="152">
        <f t="shared" si="0"/>
        <v>0</v>
      </c>
      <c r="J10" s="143" t="s">
        <v>131</v>
      </c>
      <c r="K10" s="144">
        <f>SUM(B10:J10)</f>
        <v>0</v>
      </c>
    </row>
    <row r="12" spans="1:11" ht="15.75" thickBot="1" x14ac:dyDescent="0.3"/>
    <row r="13" spans="1:11" ht="27" thickBot="1" x14ac:dyDescent="0.45">
      <c r="J13" s="168" t="s">
        <v>131</v>
      </c>
      <c r="K13" s="169">
        <f>+K10</f>
        <v>0</v>
      </c>
    </row>
    <row r="14" spans="1:11" ht="15.75" thickBot="1" x14ac:dyDescent="0.3"/>
    <row r="15" spans="1:11" s="110" customFormat="1" ht="19.5" thickBot="1" x14ac:dyDescent="0.35">
      <c r="A15" s="165" t="s">
        <v>134</v>
      </c>
      <c r="B15" s="125" t="s">
        <v>123</v>
      </c>
      <c r="C15" s="125" t="s">
        <v>127</v>
      </c>
      <c r="D15" s="125" t="s">
        <v>128</v>
      </c>
      <c r="E15" s="125" t="s">
        <v>124</v>
      </c>
      <c r="F15" s="125" t="s">
        <v>125</v>
      </c>
      <c r="G15" s="125" t="s">
        <v>126</v>
      </c>
      <c r="H15" s="125" t="s">
        <v>16</v>
      </c>
      <c r="I15" s="125" t="s">
        <v>129</v>
      </c>
      <c r="J15" s="126" t="s">
        <v>130</v>
      </c>
      <c r="K15" s="127"/>
    </row>
    <row r="16" spans="1:11" s="110" customFormat="1" ht="18.75" x14ac:dyDescent="0.3">
      <c r="A16" s="128"/>
      <c r="B16" s="129"/>
      <c r="C16" s="130"/>
      <c r="D16" s="130"/>
      <c r="E16" s="130"/>
      <c r="F16" s="130"/>
      <c r="G16" s="130"/>
      <c r="H16" s="130"/>
      <c r="I16" s="130"/>
      <c r="J16" s="131"/>
      <c r="K16" s="132"/>
    </row>
    <row r="17" spans="1:11" x14ac:dyDescent="0.25">
      <c r="A17" s="153" t="s">
        <v>156</v>
      </c>
      <c r="B17" s="133"/>
      <c r="C17" s="134">
        <v>150</v>
      </c>
      <c r="D17" s="134"/>
      <c r="E17" s="134">
        <v>80</v>
      </c>
      <c r="F17" s="134"/>
      <c r="G17" s="134"/>
      <c r="H17" s="134"/>
      <c r="I17" s="134"/>
      <c r="J17" s="135"/>
      <c r="K17" s="136"/>
    </row>
    <row r="18" spans="1:11" x14ac:dyDescent="0.25">
      <c r="A18" s="153" t="s">
        <v>155</v>
      </c>
      <c r="B18" s="133"/>
      <c r="C18" s="134">
        <v>150</v>
      </c>
      <c r="D18" s="134"/>
      <c r="E18" s="134">
        <v>130</v>
      </c>
      <c r="F18" s="134"/>
      <c r="G18" s="134"/>
      <c r="H18" s="134"/>
      <c r="I18" s="134"/>
      <c r="J18" s="135"/>
      <c r="K18" s="137"/>
    </row>
    <row r="19" spans="1:11" x14ac:dyDescent="0.25">
      <c r="A19" s="153" t="s">
        <v>159</v>
      </c>
      <c r="B19" s="133">
        <v>380</v>
      </c>
      <c r="C19" s="134">
        <v>300</v>
      </c>
      <c r="D19" s="134"/>
      <c r="E19" s="134"/>
      <c r="F19" s="134"/>
      <c r="G19" s="134"/>
      <c r="H19" s="134"/>
      <c r="I19" s="134"/>
      <c r="J19" s="135"/>
      <c r="K19" s="136"/>
    </row>
    <row r="20" spans="1:11" x14ac:dyDescent="0.25">
      <c r="A20" s="153" t="s">
        <v>158</v>
      </c>
      <c r="B20" s="133">
        <v>380</v>
      </c>
      <c r="C20" s="134"/>
      <c r="D20" s="134"/>
      <c r="E20" s="134">
        <v>300</v>
      </c>
      <c r="F20" s="134"/>
      <c r="G20" s="134"/>
      <c r="H20" s="134"/>
      <c r="I20" s="134"/>
      <c r="J20" s="135"/>
      <c r="K20" s="136"/>
    </row>
    <row r="21" spans="1:11" x14ac:dyDescent="0.25">
      <c r="A21" s="153" t="s">
        <v>162</v>
      </c>
      <c r="B21" s="133"/>
      <c r="C21" s="134"/>
      <c r="D21" s="133">
        <v>130</v>
      </c>
      <c r="E21" s="134"/>
      <c r="F21" s="134"/>
      <c r="G21" s="134"/>
      <c r="H21" s="134">
        <v>150</v>
      </c>
      <c r="I21" s="134"/>
      <c r="J21" s="135"/>
      <c r="K21" s="136"/>
    </row>
    <row r="22" spans="1:11" x14ac:dyDescent="0.25">
      <c r="A22" s="153" t="s">
        <v>163</v>
      </c>
      <c r="B22" s="133"/>
      <c r="C22" s="134"/>
      <c r="D22" s="133">
        <v>130</v>
      </c>
      <c r="E22" s="134"/>
      <c r="F22" s="134"/>
      <c r="G22" s="134">
        <v>20</v>
      </c>
      <c r="H22" s="134">
        <v>150</v>
      </c>
      <c r="I22" s="134"/>
      <c r="J22" s="138"/>
      <c r="K22" s="136"/>
    </row>
    <row r="23" spans="1:11" x14ac:dyDescent="0.25">
      <c r="A23" s="153" t="s">
        <v>160</v>
      </c>
      <c r="B23" s="133">
        <v>380</v>
      </c>
      <c r="C23" s="134"/>
      <c r="D23" s="134"/>
      <c r="E23" s="134">
        <v>300</v>
      </c>
      <c r="F23" s="134"/>
      <c r="G23" s="134"/>
      <c r="H23" s="134"/>
      <c r="I23" s="134"/>
      <c r="J23" s="135"/>
      <c r="K23" s="136"/>
    </row>
    <row r="24" spans="1:11" x14ac:dyDescent="0.25">
      <c r="A24" s="153" t="s">
        <v>161</v>
      </c>
      <c r="B24" s="133"/>
      <c r="C24" s="134">
        <v>195</v>
      </c>
      <c r="D24" s="134"/>
      <c r="E24" s="134"/>
      <c r="F24" s="134">
        <v>165</v>
      </c>
      <c r="G24" s="134"/>
      <c r="H24" s="134"/>
      <c r="I24" s="134"/>
      <c r="J24" s="135"/>
      <c r="K24" s="136"/>
    </row>
    <row r="25" spans="1:11" x14ac:dyDescent="0.25">
      <c r="A25" s="153" t="s">
        <v>167</v>
      </c>
      <c r="B25" s="133"/>
      <c r="C25" s="134"/>
      <c r="D25" s="134">
        <v>130</v>
      </c>
      <c r="E25" s="134"/>
      <c r="F25" s="134"/>
      <c r="G25" s="134"/>
      <c r="H25" s="134"/>
      <c r="I25" s="134"/>
      <c r="J25" s="135"/>
      <c r="K25" s="136"/>
    </row>
    <row r="26" spans="1:11" x14ac:dyDescent="0.25">
      <c r="A26" s="153" t="s">
        <v>168</v>
      </c>
      <c r="B26" s="133"/>
      <c r="C26" s="134"/>
      <c r="D26" s="134"/>
      <c r="E26" s="134"/>
      <c r="F26" s="134"/>
      <c r="G26" s="134">
        <v>20</v>
      </c>
      <c r="H26" s="134"/>
      <c r="I26" s="134"/>
      <c r="J26" s="135"/>
      <c r="K26" s="136"/>
    </row>
    <row r="27" spans="1:11" x14ac:dyDescent="0.25">
      <c r="A27" s="153" t="s">
        <v>169</v>
      </c>
      <c r="B27" s="133">
        <v>195</v>
      </c>
      <c r="C27" s="134"/>
      <c r="D27" s="134"/>
      <c r="E27" s="134"/>
      <c r="F27" s="134">
        <v>165</v>
      </c>
      <c r="G27" s="134"/>
      <c r="H27" s="134"/>
      <c r="I27" s="134"/>
      <c r="J27" s="135"/>
      <c r="K27" s="136"/>
    </row>
    <row r="28" spans="1:11" x14ac:dyDescent="0.25">
      <c r="A28" s="153"/>
      <c r="B28" s="133"/>
      <c r="C28" s="134"/>
      <c r="D28" s="134"/>
      <c r="E28" s="134"/>
      <c r="F28" s="134"/>
      <c r="G28" s="134"/>
      <c r="H28" s="134"/>
      <c r="I28" s="134"/>
      <c r="J28" s="135"/>
      <c r="K28" s="136"/>
    </row>
    <row r="29" spans="1:11" x14ac:dyDescent="0.25">
      <c r="A29" s="153"/>
      <c r="B29" s="133"/>
      <c r="C29" s="134"/>
      <c r="D29" s="134"/>
      <c r="E29" s="134"/>
      <c r="F29" s="134"/>
      <c r="G29" s="134"/>
      <c r="H29" s="134"/>
      <c r="I29" s="134"/>
      <c r="J29" s="135"/>
      <c r="K29" s="136"/>
    </row>
    <row r="30" spans="1:11" x14ac:dyDescent="0.25">
      <c r="A30" s="153"/>
      <c r="B30" s="133"/>
      <c r="C30" s="134"/>
      <c r="D30" s="134"/>
      <c r="E30" s="134"/>
      <c r="F30" s="134"/>
      <c r="G30" s="134"/>
      <c r="H30" s="134"/>
      <c r="I30" s="134"/>
      <c r="J30" s="135"/>
      <c r="K30" s="136"/>
    </row>
    <row r="31" spans="1:11" x14ac:dyDescent="0.25">
      <c r="A31" s="153"/>
      <c r="B31" s="133"/>
      <c r="C31" s="134"/>
      <c r="D31" s="134"/>
      <c r="E31" s="134"/>
      <c r="F31" s="134"/>
      <c r="G31" s="134"/>
      <c r="H31" s="134"/>
      <c r="I31" s="134"/>
      <c r="J31" s="135"/>
      <c r="K31" s="136"/>
    </row>
    <row r="32" spans="1:11" x14ac:dyDescent="0.25">
      <c r="A32" s="153"/>
      <c r="B32" s="133"/>
      <c r="C32" s="134"/>
      <c r="D32" s="134"/>
      <c r="E32" s="134"/>
      <c r="F32" s="134"/>
      <c r="G32" s="134"/>
      <c r="H32" s="134"/>
      <c r="I32" s="134"/>
      <c r="J32" s="135"/>
      <c r="K32" s="136"/>
    </row>
    <row r="33" spans="1:11" x14ac:dyDescent="0.25">
      <c r="A33" s="153"/>
      <c r="B33" s="133"/>
      <c r="C33" s="134"/>
      <c r="D33" s="134"/>
      <c r="E33" s="134"/>
      <c r="F33" s="134"/>
      <c r="G33" s="134"/>
      <c r="H33" s="134"/>
      <c r="I33" s="134"/>
      <c r="J33" s="135"/>
      <c r="K33" s="136"/>
    </row>
    <row r="34" spans="1:11" x14ac:dyDescent="0.25">
      <c r="A34" s="153"/>
      <c r="B34" s="133"/>
      <c r="C34" s="134"/>
      <c r="D34" s="134"/>
      <c r="E34" s="134"/>
      <c r="F34" s="134"/>
      <c r="G34" s="134"/>
      <c r="H34" s="134"/>
      <c r="I34" s="134"/>
      <c r="J34" s="135"/>
      <c r="K34" s="136"/>
    </row>
    <row r="35" spans="1:11" x14ac:dyDescent="0.25">
      <c r="A35" s="153"/>
      <c r="B35" s="133"/>
      <c r="C35" s="134"/>
      <c r="D35" s="134"/>
      <c r="E35" s="134"/>
      <c r="F35" s="134"/>
      <c r="G35" s="134"/>
      <c r="H35" s="134"/>
      <c r="I35" s="134"/>
      <c r="J35" s="135"/>
      <c r="K35" s="136"/>
    </row>
    <row r="36" spans="1:11" ht="15.75" thickBot="1" x14ac:dyDescent="0.3">
      <c r="A36" s="154"/>
      <c r="B36" s="139"/>
      <c r="C36" s="140"/>
      <c r="D36" s="140"/>
      <c r="E36" s="140"/>
      <c r="F36" s="140"/>
      <c r="G36" s="140"/>
      <c r="H36" s="140"/>
      <c r="I36" s="140"/>
      <c r="J36" s="141"/>
      <c r="K36" s="142"/>
    </row>
    <row r="37" spans="1:11" s="124" customFormat="1" ht="16.5" thickBot="1" x14ac:dyDescent="0.3">
      <c r="B37" s="145" t="s">
        <v>123</v>
      </c>
      <c r="C37" s="146" t="s">
        <v>127</v>
      </c>
      <c r="D37" s="146" t="s">
        <v>128</v>
      </c>
      <c r="E37" s="146" t="s">
        <v>124</v>
      </c>
      <c r="F37" s="146" t="s">
        <v>125</v>
      </c>
      <c r="G37" s="146" t="s">
        <v>126</v>
      </c>
      <c r="H37" s="146" t="s">
        <v>16</v>
      </c>
      <c r="I37" s="147" t="s">
        <v>129</v>
      </c>
      <c r="J37" s="148"/>
      <c r="K37" s="149"/>
    </row>
    <row r="38" spans="1:11" ht="21.75" thickBot="1" x14ac:dyDescent="0.4">
      <c r="B38" s="150">
        <f t="shared" ref="B38:I38" si="1">SUM(B16:B37)</f>
        <v>1335</v>
      </c>
      <c r="C38" s="151">
        <f t="shared" si="1"/>
        <v>795</v>
      </c>
      <c r="D38" s="151">
        <f t="shared" si="1"/>
        <v>390</v>
      </c>
      <c r="E38" s="151">
        <f t="shared" si="1"/>
        <v>810</v>
      </c>
      <c r="F38" s="151">
        <f t="shared" si="1"/>
        <v>330</v>
      </c>
      <c r="G38" s="151">
        <f t="shared" si="1"/>
        <v>40</v>
      </c>
      <c r="H38" s="151">
        <f t="shared" si="1"/>
        <v>300</v>
      </c>
      <c r="I38" s="152">
        <f t="shared" si="1"/>
        <v>0</v>
      </c>
      <c r="J38" s="143" t="s">
        <v>131</v>
      </c>
      <c r="K38" s="144">
        <f>SUM(B38:J38)</f>
        <v>4000</v>
      </c>
    </row>
    <row r="40" spans="1:11" ht="15.75" thickBot="1" x14ac:dyDescent="0.3"/>
    <row r="41" spans="1:11" ht="27" thickBot="1" x14ac:dyDescent="0.45">
      <c r="J41" s="168" t="s">
        <v>131</v>
      </c>
      <c r="K41" s="169">
        <f>K13+K38</f>
        <v>4000</v>
      </c>
    </row>
    <row r="42" spans="1:11" ht="15.75" thickBot="1" x14ac:dyDescent="0.3"/>
    <row r="43" spans="1:11" s="110" customFormat="1" ht="19.5" thickBot="1" x14ac:dyDescent="0.35">
      <c r="A43" s="165" t="s">
        <v>133</v>
      </c>
      <c r="B43" s="125" t="s">
        <v>123</v>
      </c>
      <c r="C43" s="125" t="s">
        <v>127</v>
      </c>
      <c r="D43" s="125" t="s">
        <v>128</v>
      </c>
      <c r="E43" s="125" t="s">
        <v>124</v>
      </c>
      <c r="F43" s="125" t="s">
        <v>125</v>
      </c>
      <c r="G43" s="125" t="s">
        <v>126</v>
      </c>
      <c r="H43" s="125" t="s">
        <v>16</v>
      </c>
      <c r="I43" s="125" t="s">
        <v>129</v>
      </c>
      <c r="J43" s="126" t="s">
        <v>130</v>
      </c>
      <c r="K43" s="127"/>
    </row>
    <row r="44" spans="1:11" s="110" customFormat="1" ht="18.75" x14ac:dyDescent="0.3">
      <c r="A44" s="128"/>
      <c r="B44" s="129"/>
      <c r="C44" s="130"/>
      <c r="D44" s="130"/>
      <c r="E44" s="130"/>
      <c r="F44" s="130"/>
      <c r="G44" s="130"/>
      <c r="H44" s="130"/>
      <c r="I44" s="130"/>
      <c r="J44" s="131"/>
      <c r="K44" s="132"/>
    </row>
    <row r="45" spans="1:11" x14ac:dyDescent="0.25">
      <c r="A45" s="153"/>
      <c r="B45" s="133"/>
      <c r="C45" s="134"/>
      <c r="D45" s="134"/>
      <c r="E45" s="134"/>
      <c r="F45" s="134"/>
      <c r="G45" s="134"/>
      <c r="H45" s="134"/>
      <c r="I45" s="134"/>
      <c r="J45" s="135"/>
      <c r="K45" s="136"/>
    </row>
    <row r="46" spans="1:11" x14ac:dyDescent="0.25">
      <c r="A46" s="153"/>
      <c r="B46" s="133"/>
      <c r="C46" s="134"/>
      <c r="D46" s="134"/>
      <c r="E46" s="134"/>
      <c r="F46" s="134"/>
      <c r="G46" s="134"/>
      <c r="H46" s="134"/>
      <c r="I46" s="134"/>
      <c r="J46" s="135"/>
      <c r="K46" s="137"/>
    </row>
    <row r="47" spans="1:11" x14ac:dyDescent="0.25">
      <c r="A47" s="153"/>
      <c r="B47" s="133"/>
      <c r="C47" s="134"/>
      <c r="D47" s="134"/>
      <c r="E47" s="134"/>
      <c r="F47" s="134"/>
      <c r="G47" s="134"/>
      <c r="H47" s="134"/>
      <c r="I47" s="134"/>
      <c r="J47" s="135"/>
      <c r="K47" s="136"/>
    </row>
    <row r="48" spans="1:11" x14ac:dyDescent="0.25">
      <c r="A48" s="153"/>
      <c r="B48" s="133"/>
      <c r="C48" s="134"/>
      <c r="D48" s="134"/>
      <c r="E48" s="134"/>
      <c r="F48" s="134"/>
      <c r="G48" s="134"/>
      <c r="H48" s="134"/>
      <c r="I48" s="134"/>
      <c r="J48" s="135"/>
      <c r="K48" s="136"/>
    </row>
    <row r="49" spans="1:11" x14ac:dyDescent="0.25">
      <c r="A49" s="153"/>
      <c r="B49" s="133"/>
      <c r="C49" s="134"/>
      <c r="D49" s="134"/>
      <c r="E49" s="134"/>
      <c r="F49" s="134"/>
      <c r="G49" s="134"/>
      <c r="H49" s="134"/>
      <c r="I49" s="134"/>
      <c r="J49" s="135"/>
      <c r="K49" s="136"/>
    </row>
    <row r="50" spans="1:11" x14ac:dyDescent="0.25">
      <c r="A50" s="153"/>
      <c r="B50" s="133"/>
      <c r="C50" s="134"/>
      <c r="D50" s="134"/>
      <c r="E50" s="134"/>
      <c r="F50" s="134"/>
      <c r="G50" s="134"/>
      <c r="H50" s="134"/>
      <c r="I50" s="134"/>
      <c r="J50" s="135"/>
      <c r="K50" s="136"/>
    </row>
    <row r="51" spans="1:11" x14ac:dyDescent="0.25">
      <c r="A51" s="153"/>
      <c r="B51" s="133"/>
      <c r="C51" s="134"/>
      <c r="D51" s="134"/>
      <c r="E51" s="134"/>
      <c r="F51" s="134"/>
      <c r="G51" s="134"/>
      <c r="H51" s="134"/>
      <c r="I51" s="134"/>
      <c r="J51" s="135"/>
      <c r="K51" s="136"/>
    </row>
    <row r="52" spans="1:11" x14ac:dyDescent="0.25">
      <c r="A52" s="153"/>
      <c r="B52" s="133"/>
      <c r="C52" s="134"/>
      <c r="D52" s="134"/>
      <c r="E52" s="134"/>
      <c r="F52" s="134"/>
      <c r="G52" s="134"/>
      <c r="H52" s="134"/>
      <c r="I52" s="134"/>
      <c r="J52" s="135"/>
      <c r="K52" s="136"/>
    </row>
    <row r="53" spans="1:11" x14ac:dyDescent="0.25">
      <c r="A53" s="153"/>
      <c r="B53" s="133"/>
      <c r="C53" s="134"/>
      <c r="D53" s="134"/>
      <c r="E53" s="134"/>
      <c r="F53" s="134"/>
      <c r="G53" s="134"/>
      <c r="H53" s="134"/>
      <c r="I53" s="134"/>
      <c r="J53" s="135"/>
      <c r="K53" s="136"/>
    </row>
    <row r="54" spans="1:11" x14ac:dyDescent="0.25">
      <c r="A54" s="153"/>
      <c r="B54" s="133"/>
      <c r="C54" s="134"/>
      <c r="D54" s="134"/>
      <c r="E54" s="134"/>
      <c r="F54" s="134"/>
      <c r="G54" s="134"/>
      <c r="H54" s="134"/>
      <c r="I54" s="134"/>
      <c r="J54" s="135"/>
      <c r="K54" s="136"/>
    </row>
    <row r="55" spans="1:11" x14ac:dyDescent="0.25">
      <c r="A55" s="153"/>
      <c r="B55" s="133"/>
      <c r="C55" s="134"/>
      <c r="D55" s="134"/>
      <c r="E55" s="134"/>
      <c r="F55" s="134"/>
      <c r="G55" s="134"/>
      <c r="H55" s="134"/>
      <c r="I55" s="134"/>
      <c r="J55" s="135"/>
      <c r="K55" s="136"/>
    </row>
    <row r="56" spans="1:11" x14ac:dyDescent="0.25">
      <c r="A56" s="153"/>
      <c r="B56" s="133"/>
      <c r="C56" s="134"/>
      <c r="D56" s="134"/>
      <c r="E56" s="134"/>
      <c r="F56" s="134"/>
      <c r="G56" s="134"/>
      <c r="H56" s="134"/>
      <c r="I56" s="134"/>
      <c r="J56" s="135"/>
      <c r="K56" s="136"/>
    </row>
    <row r="57" spans="1:11" x14ac:dyDescent="0.25">
      <c r="A57" s="153"/>
      <c r="B57" s="133"/>
      <c r="C57" s="134"/>
      <c r="D57" s="134"/>
      <c r="E57" s="134"/>
      <c r="F57" s="134"/>
      <c r="G57" s="134"/>
      <c r="H57" s="134"/>
      <c r="I57" s="134"/>
      <c r="J57" s="135"/>
      <c r="K57" s="136"/>
    </row>
    <row r="58" spans="1:11" x14ac:dyDescent="0.25">
      <c r="A58" s="153"/>
      <c r="B58" s="133"/>
      <c r="C58" s="134"/>
      <c r="D58" s="134"/>
      <c r="E58" s="134"/>
      <c r="F58" s="134"/>
      <c r="G58" s="134"/>
      <c r="H58" s="134"/>
      <c r="I58" s="134"/>
      <c r="J58" s="135"/>
      <c r="K58" s="136"/>
    </row>
    <row r="59" spans="1:11" x14ac:dyDescent="0.25">
      <c r="A59" s="153"/>
      <c r="B59" s="133"/>
      <c r="C59" s="134"/>
      <c r="D59" s="134"/>
      <c r="E59" s="134"/>
      <c r="F59" s="134"/>
      <c r="G59" s="134"/>
      <c r="H59" s="134"/>
      <c r="I59" s="134"/>
      <c r="J59" s="135"/>
      <c r="K59" s="136"/>
    </row>
    <row r="60" spans="1:11" x14ac:dyDescent="0.25">
      <c r="A60" s="153"/>
      <c r="B60" s="133"/>
      <c r="C60" s="134"/>
      <c r="D60" s="134"/>
      <c r="E60" s="134"/>
      <c r="F60" s="134"/>
      <c r="G60" s="134"/>
      <c r="H60" s="134"/>
      <c r="I60" s="134"/>
      <c r="J60" s="135"/>
      <c r="K60" s="136"/>
    </row>
    <row r="61" spans="1:11" x14ac:dyDescent="0.25">
      <c r="A61" s="153"/>
      <c r="B61" s="133"/>
      <c r="C61" s="134"/>
      <c r="D61" s="134"/>
      <c r="E61" s="134"/>
      <c r="F61" s="134"/>
      <c r="G61" s="134"/>
      <c r="H61" s="134"/>
      <c r="I61" s="134"/>
      <c r="J61" s="135"/>
      <c r="K61" s="136"/>
    </row>
    <row r="62" spans="1:11" x14ac:dyDescent="0.25">
      <c r="A62" s="153"/>
      <c r="B62" s="133"/>
      <c r="C62" s="134"/>
      <c r="D62" s="134"/>
      <c r="E62" s="134"/>
      <c r="F62" s="134"/>
      <c r="G62" s="134"/>
      <c r="H62" s="134"/>
      <c r="I62" s="134"/>
      <c r="J62" s="135"/>
      <c r="K62" s="136"/>
    </row>
    <row r="63" spans="1:11" x14ac:dyDescent="0.25">
      <c r="A63" s="153"/>
      <c r="B63" s="133"/>
      <c r="C63" s="134"/>
      <c r="D63" s="134"/>
      <c r="E63" s="134"/>
      <c r="F63" s="134"/>
      <c r="G63" s="134"/>
      <c r="H63" s="134"/>
      <c r="I63" s="134"/>
      <c r="J63" s="135"/>
      <c r="K63" s="136"/>
    </row>
    <row r="64" spans="1:11" x14ac:dyDescent="0.25">
      <c r="A64" s="153"/>
      <c r="B64" s="133"/>
      <c r="C64" s="134"/>
      <c r="D64" s="134"/>
      <c r="E64" s="134"/>
      <c r="F64" s="134"/>
      <c r="G64" s="134"/>
      <c r="H64" s="134"/>
      <c r="I64" s="134"/>
      <c r="J64" s="135"/>
      <c r="K64" s="136"/>
    </row>
    <row r="65" spans="1:11" x14ac:dyDescent="0.25">
      <c r="A65" s="153"/>
      <c r="B65" s="133"/>
      <c r="C65" s="134"/>
      <c r="D65" s="134"/>
      <c r="E65" s="134"/>
      <c r="F65" s="134"/>
      <c r="G65" s="134"/>
      <c r="H65" s="134"/>
      <c r="I65" s="134"/>
      <c r="J65" s="135"/>
      <c r="K65" s="136"/>
    </row>
    <row r="66" spans="1:11" x14ac:dyDescent="0.25">
      <c r="A66" s="153"/>
      <c r="B66" s="133"/>
      <c r="C66" s="134"/>
      <c r="D66" s="134"/>
      <c r="E66" s="134"/>
      <c r="F66" s="134"/>
      <c r="G66" s="134"/>
      <c r="H66" s="134"/>
      <c r="I66" s="134"/>
      <c r="J66" s="135"/>
      <c r="K66" s="136"/>
    </row>
    <row r="67" spans="1:11" ht="15.75" thickBot="1" x14ac:dyDescent="0.3">
      <c r="A67" s="154"/>
      <c r="B67" s="139"/>
      <c r="C67" s="140"/>
      <c r="D67" s="140"/>
      <c r="E67" s="140"/>
      <c r="F67" s="140"/>
      <c r="G67" s="140"/>
      <c r="H67" s="140"/>
      <c r="I67" s="140"/>
      <c r="J67" s="141"/>
      <c r="K67" s="142"/>
    </row>
    <row r="68" spans="1:11" s="124" customFormat="1" ht="16.5" thickBot="1" x14ac:dyDescent="0.3">
      <c r="B68" s="145" t="s">
        <v>123</v>
      </c>
      <c r="C68" s="146" t="s">
        <v>127</v>
      </c>
      <c r="D68" s="146" t="s">
        <v>128</v>
      </c>
      <c r="E68" s="146" t="s">
        <v>124</v>
      </c>
      <c r="F68" s="146" t="s">
        <v>125</v>
      </c>
      <c r="G68" s="146" t="s">
        <v>126</v>
      </c>
      <c r="H68" s="146" t="s">
        <v>16</v>
      </c>
      <c r="I68" s="147" t="s">
        <v>129</v>
      </c>
      <c r="J68" s="148"/>
      <c r="K68" s="149"/>
    </row>
    <row r="69" spans="1:11" ht="21.75" thickBot="1" x14ac:dyDescent="0.4">
      <c r="B69" s="150">
        <f t="shared" ref="B69:I69" si="2">SUM(B44:B68)</f>
        <v>0</v>
      </c>
      <c r="C69" s="151">
        <f t="shared" si="2"/>
        <v>0</v>
      </c>
      <c r="D69" s="151">
        <f t="shared" si="2"/>
        <v>0</v>
      </c>
      <c r="E69" s="151">
        <f t="shared" si="2"/>
        <v>0</v>
      </c>
      <c r="F69" s="151">
        <f t="shared" si="2"/>
        <v>0</v>
      </c>
      <c r="G69" s="151">
        <f t="shared" si="2"/>
        <v>0</v>
      </c>
      <c r="H69" s="151">
        <f t="shared" si="2"/>
        <v>0</v>
      </c>
      <c r="I69" s="152">
        <f t="shared" si="2"/>
        <v>0</v>
      </c>
      <c r="J69" s="143" t="s">
        <v>131</v>
      </c>
      <c r="K69" s="144">
        <f>SUM(B69:J69)</f>
        <v>0</v>
      </c>
    </row>
    <row r="71" spans="1:11" ht="15.75" thickBot="1" x14ac:dyDescent="0.3"/>
    <row r="72" spans="1:11" ht="27" thickBot="1" x14ac:dyDescent="0.45">
      <c r="J72" s="168" t="s">
        <v>131</v>
      </c>
      <c r="K72" s="169">
        <f>K69+K41</f>
        <v>4000</v>
      </c>
    </row>
    <row r="73" spans="1:11" ht="15.75" thickBot="1" x14ac:dyDescent="0.3"/>
    <row r="74" spans="1:11" s="110" customFormat="1" ht="19.5" thickBot="1" x14ac:dyDescent="0.35">
      <c r="A74" s="165" t="s">
        <v>135</v>
      </c>
      <c r="B74" s="125" t="s">
        <v>123</v>
      </c>
      <c r="C74" s="125" t="s">
        <v>127</v>
      </c>
      <c r="D74" s="125" t="s">
        <v>128</v>
      </c>
      <c r="E74" s="125" t="s">
        <v>124</v>
      </c>
      <c r="F74" s="125" t="s">
        <v>125</v>
      </c>
      <c r="G74" s="125" t="s">
        <v>126</v>
      </c>
      <c r="H74" s="125" t="s">
        <v>16</v>
      </c>
      <c r="I74" s="125" t="s">
        <v>129</v>
      </c>
      <c r="J74" s="126" t="s">
        <v>130</v>
      </c>
      <c r="K74" s="127"/>
    </row>
    <row r="75" spans="1:11" ht="18.75" x14ac:dyDescent="0.3">
      <c r="A75" s="128"/>
      <c r="B75" s="129"/>
      <c r="C75" s="130"/>
      <c r="D75" s="130"/>
      <c r="E75" s="130"/>
      <c r="F75" s="130"/>
      <c r="G75" s="130"/>
      <c r="H75" s="130"/>
      <c r="I75" s="130"/>
      <c r="J75" s="131"/>
      <c r="K75" s="132"/>
    </row>
    <row r="76" spans="1:11" x14ac:dyDescent="0.25">
      <c r="A76" s="153"/>
      <c r="B76" s="133"/>
      <c r="C76" s="134"/>
      <c r="D76" s="134"/>
      <c r="E76" s="134"/>
      <c r="F76" s="134"/>
      <c r="G76" s="134"/>
      <c r="H76" s="134"/>
      <c r="I76" s="134"/>
      <c r="J76" s="135"/>
      <c r="K76" s="136"/>
    </row>
    <row r="77" spans="1:11" x14ac:dyDescent="0.25">
      <c r="A77" s="153"/>
      <c r="B77" s="133"/>
      <c r="C77" s="134"/>
      <c r="D77" s="134"/>
      <c r="E77" s="134"/>
      <c r="F77" s="134"/>
      <c r="G77" s="134"/>
      <c r="H77" s="134"/>
      <c r="I77" s="134"/>
      <c r="J77" s="135"/>
      <c r="K77" s="136"/>
    </row>
    <row r="78" spans="1:11" x14ac:dyDescent="0.25">
      <c r="A78" s="153"/>
      <c r="B78" s="133"/>
      <c r="C78" s="134"/>
      <c r="D78" s="134"/>
      <c r="E78" s="134"/>
      <c r="F78" s="134"/>
      <c r="G78" s="134"/>
      <c r="H78" s="134"/>
      <c r="I78" s="134"/>
      <c r="J78" s="135"/>
      <c r="K78" s="136"/>
    </row>
    <row r="79" spans="1:11" x14ac:dyDescent="0.25">
      <c r="A79" s="153"/>
      <c r="B79" s="133"/>
      <c r="C79" s="134"/>
      <c r="D79" s="134"/>
      <c r="E79" s="134"/>
      <c r="F79" s="134"/>
      <c r="G79" s="134"/>
      <c r="H79" s="134"/>
      <c r="I79" s="134"/>
      <c r="J79" s="138"/>
      <c r="K79" s="136"/>
    </row>
    <row r="80" spans="1:11" x14ac:dyDescent="0.25">
      <c r="A80" s="153"/>
      <c r="B80" s="133"/>
      <c r="C80" s="134"/>
      <c r="D80" s="134"/>
      <c r="E80" s="134"/>
      <c r="F80" s="134"/>
      <c r="G80" s="134"/>
      <c r="H80" s="134"/>
      <c r="I80" s="134"/>
      <c r="J80" s="135"/>
      <c r="K80" s="136"/>
    </row>
    <row r="81" spans="1:11" x14ac:dyDescent="0.25">
      <c r="A81" s="153"/>
      <c r="B81" s="133"/>
      <c r="C81" s="134"/>
      <c r="D81" s="134"/>
      <c r="E81" s="134"/>
      <c r="F81" s="134"/>
      <c r="G81" s="134"/>
      <c r="H81" s="134"/>
      <c r="I81" s="134"/>
      <c r="J81" s="135"/>
      <c r="K81" s="136"/>
    </row>
    <row r="82" spans="1:11" x14ac:dyDescent="0.25">
      <c r="A82" s="153"/>
      <c r="B82" s="133"/>
      <c r="C82" s="134"/>
      <c r="D82" s="134"/>
      <c r="E82" s="134"/>
      <c r="F82" s="134"/>
      <c r="G82" s="134"/>
      <c r="H82" s="134"/>
      <c r="I82" s="134"/>
      <c r="J82" s="135"/>
      <c r="K82" s="136"/>
    </row>
    <row r="83" spans="1:11" x14ac:dyDescent="0.25">
      <c r="A83" s="153"/>
      <c r="B83" s="133"/>
      <c r="C83" s="134"/>
      <c r="D83" s="134"/>
      <c r="E83" s="134"/>
      <c r="F83" s="134"/>
      <c r="G83" s="134"/>
      <c r="H83" s="134"/>
      <c r="I83" s="134"/>
      <c r="J83" s="135"/>
      <c r="K83" s="136"/>
    </row>
    <row r="84" spans="1:11" x14ac:dyDescent="0.25">
      <c r="A84" s="160"/>
      <c r="B84" s="161"/>
      <c r="C84" s="162"/>
      <c r="D84" s="162"/>
      <c r="E84" s="162"/>
      <c r="F84" s="162"/>
      <c r="G84" s="162"/>
      <c r="H84" s="162"/>
      <c r="I84" s="162"/>
      <c r="J84" s="163"/>
      <c r="K84" s="164"/>
    </row>
    <row r="85" spans="1:11" x14ac:dyDescent="0.25">
      <c r="A85" s="155"/>
      <c r="B85" s="156"/>
      <c r="C85" s="157"/>
      <c r="D85" s="157"/>
      <c r="E85" s="157"/>
      <c r="F85" s="157"/>
      <c r="G85" s="157"/>
      <c r="H85" s="157"/>
      <c r="I85" s="157"/>
      <c r="J85" s="158"/>
      <c r="K85" s="159"/>
    </row>
    <row r="86" spans="1:11" ht="15.75" thickBot="1" x14ac:dyDescent="0.3">
      <c r="A86" s="154"/>
      <c r="B86" s="139"/>
      <c r="C86" s="140"/>
      <c r="D86" s="140"/>
      <c r="E86" s="140"/>
      <c r="F86" s="140"/>
      <c r="G86" s="140"/>
      <c r="H86" s="140"/>
      <c r="I86" s="140"/>
      <c r="J86" s="141"/>
      <c r="K86" s="142"/>
    </row>
    <row r="87" spans="1:11" ht="16.5" thickBot="1" x14ac:dyDescent="0.3">
      <c r="A87" s="124"/>
      <c r="B87" s="145" t="s">
        <v>123</v>
      </c>
      <c r="C87" s="146" t="s">
        <v>127</v>
      </c>
      <c r="D87" s="146" t="s">
        <v>128</v>
      </c>
      <c r="E87" s="146" t="s">
        <v>124</v>
      </c>
      <c r="F87" s="146" t="s">
        <v>125</v>
      </c>
      <c r="G87" s="146" t="s">
        <v>126</v>
      </c>
      <c r="H87" s="146" t="s">
        <v>16</v>
      </c>
      <c r="I87" s="147" t="s">
        <v>129</v>
      </c>
      <c r="J87" s="148"/>
      <c r="K87" s="149"/>
    </row>
    <row r="88" spans="1:11" ht="21.75" thickBot="1" x14ac:dyDescent="0.4">
      <c r="B88" s="150">
        <f t="shared" ref="B88:I88" si="3">SUM(B75:B87)</f>
        <v>0</v>
      </c>
      <c r="C88" s="151">
        <f t="shared" si="3"/>
        <v>0</v>
      </c>
      <c r="D88" s="151">
        <f t="shared" si="3"/>
        <v>0</v>
      </c>
      <c r="E88" s="151">
        <f t="shared" si="3"/>
        <v>0</v>
      </c>
      <c r="F88" s="151">
        <f t="shared" si="3"/>
        <v>0</v>
      </c>
      <c r="G88" s="151">
        <f t="shared" si="3"/>
        <v>0</v>
      </c>
      <c r="H88" s="151">
        <f t="shared" si="3"/>
        <v>0</v>
      </c>
      <c r="I88" s="152">
        <f t="shared" si="3"/>
        <v>0</v>
      </c>
      <c r="J88" s="143" t="s">
        <v>131</v>
      </c>
      <c r="K88" s="144">
        <f>SUM(B88:J88)</f>
        <v>0</v>
      </c>
    </row>
    <row r="90" spans="1:11" ht="15.75" thickBot="1" x14ac:dyDescent="0.3"/>
    <row r="91" spans="1:11" s="166" customFormat="1" ht="27" thickBot="1" x14ac:dyDescent="0.45">
      <c r="B91" s="167"/>
      <c r="C91" s="167"/>
      <c r="D91" s="167"/>
      <c r="E91" s="167"/>
      <c r="F91" s="167"/>
      <c r="G91" s="167"/>
      <c r="H91" s="167"/>
      <c r="I91" s="167"/>
      <c r="J91" s="168" t="s">
        <v>131</v>
      </c>
      <c r="K91" s="169">
        <f>K72+K88</f>
        <v>4000</v>
      </c>
    </row>
    <row r="92" spans="1:11" ht="15.75" thickBot="1" x14ac:dyDescent="0.3"/>
    <row r="93" spans="1:11" s="110" customFormat="1" ht="19.5" thickBot="1" x14ac:dyDescent="0.35">
      <c r="A93" s="165" t="s">
        <v>136</v>
      </c>
      <c r="B93" s="125" t="s">
        <v>123</v>
      </c>
      <c r="C93" s="125" t="s">
        <v>127</v>
      </c>
      <c r="D93" s="125" t="s">
        <v>128</v>
      </c>
      <c r="E93" s="125" t="s">
        <v>124</v>
      </c>
      <c r="F93" s="125" t="s">
        <v>125</v>
      </c>
      <c r="G93" s="125" t="s">
        <v>126</v>
      </c>
      <c r="H93" s="125" t="s">
        <v>16</v>
      </c>
      <c r="I93" s="125" t="s">
        <v>129</v>
      </c>
      <c r="J93" s="126" t="s">
        <v>130</v>
      </c>
      <c r="K93" s="127"/>
    </row>
    <row r="94" spans="1:11" ht="18.75" x14ac:dyDescent="0.3">
      <c r="A94" s="128"/>
      <c r="B94" s="129"/>
      <c r="C94" s="130"/>
      <c r="D94" s="130"/>
      <c r="E94" s="130"/>
      <c r="F94" s="130"/>
      <c r="G94" s="130"/>
      <c r="H94" s="130"/>
      <c r="I94" s="130"/>
      <c r="J94" s="131"/>
      <c r="K94" s="132"/>
    </row>
    <row r="95" spans="1:11" x14ac:dyDescent="0.25">
      <c r="A95" s="153"/>
      <c r="B95" s="133"/>
      <c r="C95" s="134"/>
      <c r="D95" s="134"/>
      <c r="E95" s="134"/>
      <c r="F95" s="134"/>
      <c r="G95" s="134"/>
      <c r="H95" s="134"/>
      <c r="I95" s="134"/>
      <c r="J95" s="135"/>
      <c r="K95" s="136"/>
    </row>
    <row r="96" spans="1:11" x14ac:dyDescent="0.25">
      <c r="A96" s="153"/>
      <c r="B96" s="133"/>
      <c r="C96" s="134"/>
      <c r="D96" s="134"/>
      <c r="E96" s="134"/>
      <c r="F96" s="134"/>
      <c r="G96" s="134"/>
      <c r="H96" s="134"/>
      <c r="I96" s="134"/>
      <c r="J96" s="135"/>
      <c r="K96" s="136"/>
    </row>
    <row r="97" spans="1:11" x14ac:dyDescent="0.25">
      <c r="A97" s="153"/>
      <c r="B97" s="133"/>
      <c r="C97" s="134"/>
      <c r="D97" s="134"/>
      <c r="E97" s="134"/>
      <c r="F97" s="134"/>
      <c r="G97" s="134"/>
      <c r="H97" s="134"/>
      <c r="I97" s="134"/>
      <c r="J97" s="135"/>
      <c r="K97" s="136"/>
    </row>
    <row r="98" spans="1:11" x14ac:dyDescent="0.25">
      <c r="A98" s="153"/>
      <c r="B98" s="133"/>
      <c r="C98" s="134"/>
      <c r="D98" s="134"/>
      <c r="E98" s="134"/>
      <c r="F98" s="134"/>
      <c r="G98" s="134"/>
      <c r="H98" s="134"/>
      <c r="I98" s="134"/>
      <c r="J98" s="138"/>
      <c r="K98" s="136"/>
    </row>
    <row r="99" spans="1:11" x14ac:dyDescent="0.25">
      <c r="A99" s="153"/>
      <c r="B99" s="133"/>
      <c r="C99" s="134"/>
      <c r="D99" s="134"/>
      <c r="E99" s="134"/>
      <c r="F99" s="134"/>
      <c r="G99" s="134"/>
      <c r="H99" s="134"/>
      <c r="I99" s="134"/>
      <c r="J99" s="135"/>
      <c r="K99" s="136"/>
    </row>
    <row r="100" spans="1:11" x14ac:dyDescent="0.25">
      <c r="A100" s="153"/>
      <c r="B100" s="133"/>
      <c r="C100" s="134"/>
      <c r="D100" s="134"/>
      <c r="E100" s="134"/>
      <c r="F100" s="134"/>
      <c r="G100" s="134"/>
      <c r="H100" s="134"/>
      <c r="I100" s="134"/>
      <c r="J100" s="135"/>
      <c r="K100" s="136"/>
    </row>
    <row r="101" spans="1:11" x14ac:dyDescent="0.25">
      <c r="A101" s="153"/>
      <c r="B101" s="133"/>
      <c r="C101" s="134"/>
      <c r="D101" s="134"/>
      <c r="E101" s="134"/>
      <c r="F101" s="134"/>
      <c r="G101" s="134"/>
      <c r="H101" s="134"/>
      <c r="I101" s="134"/>
      <c r="J101" s="135"/>
      <c r="K101" s="136"/>
    </row>
    <row r="102" spans="1:11" x14ac:dyDescent="0.25">
      <c r="A102" s="153"/>
      <c r="B102" s="133"/>
      <c r="C102" s="134"/>
      <c r="D102" s="134"/>
      <c r="E102" s="134"/>
      <c r="F102" s="134"/>
      <c r="G102" s="134"/>
      <c r="H102" s="134"/>
      <c r="I102" s="134"/>
      <c r="J102" s="135"/>
      <c r="K102" s="136"/>
    </row>
    <row r="103" spans="1:11" x14ac:dyDescent="0.25">
      <c r="A103" s="153"/>
      <c r="B103" s="133"/>
      <c r="C103" s="134"/>
      <c r="D103" s="134"/>
      <c r="E103" s="134"/>
      <c r="F103" s="134"/>
      <c r="G103" s="134"/>
      <c r="H103" s="134"/>
      <c r="I103" s="134"/>
      <c r="J103" s="135"/>
      <c r="K103" s="136"/>
    </row>
    <row r="104" spans="1:11" x14ac:dyDescent="0.25">
      <c r="A104" s="153"/>
      <c r="B104" s="133"/>
      <c r="C104" s="134"/>
      <c r="D104" s="134"/>
      <c r="E104" s="134"/>
      <c r="F104" s="134"/>
      <c r="G104" s="134"/>
      <c r="H104" s="134"/>
      <c r="I104" s="134"/>
      <c r="J104" s="135"/>
      <c r="K104" s="136"/>
    </row>
    <row r="105" spans="1:11" x14ac:dyDescent="0.25">
      <c r="A105" s="153"/>
      <c r="B105" s="133"/>
      <c r="C105" s="134"/>
      <c r="D105" s="134"/>
      <c r="E105" s="134"/>
      <c r="F105" s="134"/>
      <c r="G105" s="134"/>
      <c r="H105" s="134"/>
      <c r="I105" s="134"/>
      <c r="J105" s="135"/>
      <c r="K105" s="136"/>
    </row>
    <row r="106" spans="1:11" x14ac:dyDescent="0.25">
      <c r="A106" s="153"/>
      <c r="B106" s="133"/>
      <c r="C106" s="134"/>
      <c r="D106" s="134"/>
      <c r="E106" s="134"/>
      <c r="F106" s="134"/>
      <c r="G106" s="134"/>
      <c r="H106" s="134"/>
      <c r="I106" s="134"/>
      <c r="J106" s="135"/>
      <c r="K106" s="136"/>
    </row>
    <row r="107" spans="1:11" x14ac:dyDescent="0.25">
      <c r="A107" s="153"/>
      <c r="B107" s="133"/>
      <c r="C107" s="134"/>
      <c r="D107" s="134"/>
      <c r="E107" s="134"/>
      <c r="F107" s="134"/>
      <c r="G107" s="134"/>
      <c r="H107" s="134"/>
      <c r="I107" s="134"/>
      <c r="J107" s="135"/>
      <c r="K107" s="136"/>
    </row>
    <row r="108" spans="1:11" x14ac:dyDescent="0.25">
      <c r="A108" s="160"/>
      <c r="B108" s="161"/>
      <c r="C108" s="162"/>
      <c r="D108" s="162"/>
      <c r="E108" s="162"/>
      <c r="F108" s="162"/>
      <c r="G108" s="162"/>
      <c r="H108" s="162"/>
      <c r="I108" s="162"/>
      <c r="J108" s="163"/>
      <c r="K108" s="164"/>
    </row>
    <row r="109" spans="1:11" x14ac:dyDescent="0.25">
      <c r="A109" s="155"/>
      <c r="B109" s="156"/>
      <c r="C109" s="157"/>
      <c r="D109" s="157"/>
      <c r="E109" s="157"/>
      <c r="F109" s="157"/>
      <c r="G109" s="157"/>
      <c r="H109" s="157"/>
      <c r="I109" s="157"/>
      <c r="J109" s="158"/>
      <c r="K109" s="159"/>
    </row>
    <row r="110" spans="1:11" ht="15.75" thickBot="1" x14ac:dyDescent="0.3">
      <c r="A110" s="154"/>
      <c r="B110" s="139"/>
      <c r="C110" s="140"/>
      <c r="D110" s="140"/>
      <c r="E110" s="140"/>
      <c r="F110" s="140"/>
      <c r="G110" s="140"/>
      <c r="H110" s="140"/>
      <c r="I110" s="140"/>
      <c r="J110" s="141"/>
      <c r="K110" s="142"/>
    </row>
    <row r="111" spans="1:11" ht="16.5" thickBot="1" x14ac:dyDescent="0.3">
      <c r="A111" s="124"/>
      <c r="B111" s="145" t="s">
        <v>123</v>
      </c>
      <c r="C111" s="146" t="s">
        <v>127</v>
      </c>
      <c r="D111" s="146" t="s">
        <v>128</v>
      </c>
      <c r="E111" s="146" t="s">
        <v>124</v>
      </c>
      <c r="F111" s="146" t="s">
        <v>125</v>
      </c>
      <c r="G111" s="146" t="s">
        <v>126</v>
      </c>
      <c r="H111" s="146" t="s">
        <v>16</v>
      </c>
      <c r="I111" s="147" t="s">
        <v>129</v>
      </c>
      <c r="J111" s="148"/>
      <c r="K111" s="149"/>
    </row>
    <row r="112" spans="1:11" ht="21.75" thickBot="1" x14ac:dyDescent="0.4">
      <c r="B112" s="150">
        <f t="shared" ref="B112:I112" si="4">SUM(B94:B111)</f>
        <v>0</v>
      </c>
      <c r="C112" s="151">
        <f t="shared" si="4"/>
        <v>0</v>
      </c>
      <c r="D112" s="151">
        <f t="shared" si="4"/>
        <v>0</v>
      </c>
      <c r="E112" s="151">
        <f t="shared" si="4"/>
        <v>0</v>
      </c>
      <c r="F112" s="151">
        <f t="shared" si="4"/>
        <v>0</v>
      </c>
      <c r="G112" s="151">
        <f t="shared" si="4"/>
        <v>0</v>
      </c>
      <c r="H112" s="151">
        <f t="shared" si="4"/>
        <v>0</v>
      </c>
      <c r="I112" s="152">
        <f t="shared" si="4"/>
        <v>0</v>
      </c>
      <c r="J112" s="143" t="s">
        <v>131</v>
      </c>
      <c r="K112" s="144">
        <f>SUM(B112:J112)</f>
        <v>0</v>
      </c>
    </row>
    <row r="114" spans="1:11" ht="15.75" thickBot="1" x14ac:dyDescent="0.3"/>
    <row r="115" spans="1:11" s="166" customFormat="1" ht="27" thickBot="1" x14ac:dyDescent="0.45">
      <c r="B115" s="167"/>
      <c r="C115" s="167"/>
      <c r="D115" s="167"/>
      <c r="E115" s="167"/>
      <c r="F115" s="167"/>
      <c r="G115" s="167"/>
      <c r="H115" s="167"/>
      <c r="I115" s="167"/>
      <c r="J115" s="168" t="s">
        <v>131</v>
      </c>
      <c r="K115" s="169">
        <f>K91+K112</f>
        <v>4000</v>
      </c>
    </row>
    <row r="116" spans="1:11" ht="15.75" thickBot="1" x14ac:dyDescent="0.3"/>
    <row r="117" spans="1:11" s="110" customFormat="1" ht="19.5" thickBot="1" x14ac:dyDescent="0.35">
      <c r="A117" s="165" t="s">
        <v>137</v>
      </c>
      <c r="B117" s="125" t="s">
        <v>123</v>
      </c>
      <c r="C117" s="125" t="s">
        <v>127</v>
      </c>
      <c r="D117" s="125" t="s">
        <v>128</v>
      </c>
      <c r="E117" s="125" t="s">
        <v>124</v>
      </c>
      <c r="F117" s="125" t="s">
        <v>125</v>
      </c>
      <c r="G117" s="125" t="s">
        <v>126</v>
      </c>
      <c r="H117" s="125" t="s">
        <v>16</v>
      </c>
      <c r="I117" s="125" t="s">
        <v>129</v>
      </c>
      <c r="J117" s="126" t="s">
        <v>130</v>
      </c>
      <c r="K117" s="127"/>
    </row>
    <row r="118" spans="1:11" ht="18.75" x14ac:dyDescent="0.3">
      <c r="A118" s="128"/>
      <c r="B118" s="129"/>
      <c r="C118" s="130"/>
      <c r="D118" s="130"/>
      <c r="E118" s="130"/>
      <c r="F118" s="130"/>
      <c r="G118" s="130"/>
      <c r="H118" s="130"/>
      <c r="I118" s="130"/>
      <c r="J118" s="131"/>
      <c r="K118" s="132"/>
    </row>
    <row r="119" spans="1:11" x14ac:dyDescent="0.25">
      <c r="A119" s="153"/>
      <c r="B119" s="133"/>
      <c r="C119" s="134"/>
      <c r="D119" s="134"/>
      <c r="E119" s="134"/>
      <c r="F119" s="134"/>
      <c r="G119" s="134"/>
      <c r="H119" s="134"/>
      <c r="I119" s="134"/>
      <c r="J119" s="135"/>
      <c r="K119" s="136"/>
    </row>
    <row r="120" spans="1:11" x14ac:dyDescent="0.25">
      <c r="A120" s="153"/>
      <c r="B120" s="133"/>
      <c r="C120" s="134"/>
      <c r="D120" s="134"/>
      <c r="E120" s="134"/>
      <c r="F120" s="134"/>
      <c r="G120" s="134"/>
      <c r="H120" s="134"/>
      <c r="I120" s="134"/>
      <c r="J120" s="135"/>
      <c r="K120" s="136"/>
    </row>
    <row r="121" spans="1:11" x14ac:dyDescent="0.25">
      <c r="A121" s="153"/>
      <c r="B121" s="133"/>
      <c r="C121" s="134"/>
      <c r="D121" s="134"/>
      <c r="E121" s="134"/>
      <c r="F121" s="134"/>
      <c r="G121" s="134"/>
      <c r="H121" s="134"/>
      <c r="I121" s="134"/>
      <c r="J121" s="138"/>
      <c r="K121" s="136"/>
    </row>
    <row r="122" spans="1:11" x14ac:dyDescent="0.25">
      <c r="A122" s="153"/>
      <c r="B122" s="133"/>
      <c r="C122" s="134"/>
      <c r="D122" s="134"/>
      <c r="E122" s="134"/>
      <c r="F122" s="134"/>
      <c r="G122" s="134"/>
      <c r="H122" s="134"/>
      <c r="I122" s="134"/>
      <c r="J122" s="135"/>
      <c r="K122" s="136"/>
    </row>
    <row r="123" spans="1:11" x14ac:dyDescent="0.25">
      <c r="A123" s="153"/>
      <c r="B123" s="133"/>
      <c r="C123" s="134"/>
      <c r="D123" s="134"/>
      <c r="E123" s="134"/>
      <c r="F123" s="134"/>
      <c r="G123" s="134"/>
      <c r="H123" s="134"/>
      <c r="I123" s="134"/>
      <c r="J123" s="135"/>
      <c r="K123" s="136"/>
    </row>
    <row r="124" spans="1:11" x14ac:dyDescent="0.25">
      <c r="A124" s="153"/>
      <c r="B124" s="133"/>
      <c r="C124" s="134"/>
      <c r="D124" s="134"/>
      <c r="E124" s="134"/>
      <c r="F124" s="134"/>
      <c r="G124" s="134"/>
      <c r="H124" s="134"/>
      <c r="I124" s="134"/>
      <c r="J124" s="135"/>
      <c r="K124" s="136"/>
    </row>
    <row r="125" spans="1:11" x14ac:dyDescent="0.25">
      <c r="A125" s="153"/>
      <c r="B125" s="133"/>
      <c r="C125" s="134"/>
      <c r="D125" s="134"/>
      <c r="E125" s="134"/>
      <c r="F125" s="134"/>
      <c r="G125" s="134"/>
      <c r="H125" s="134"/>
      <c r="I125" s="134"/>
      <c r="J125" s="135"/>
      <c r="K125" s="136"/>
    </row>
    <row r="126" spans="1:11" x14ac:dyDescent="0.25">
      <c r="A126" s="153"/>
      <c r="B126" s="133"/>
      <c r="C126" s="134"/>
      <c r="D126" s="134"/>
      <c r="E126" s="134"/>
      <c r="F126" s="134"/>
      <c r="G126" s="134"/>
      <c r="H126" s="134"/>
      <c r="I126" s="134"/>
      <c r="J126" s="135"/>
      <c r="K126" s="136"/>
    </row>
    <row r="127" spans="1:11" x14ac:dyDescent="0.25">
      <c r="A127" s="153"/>
      <c r="B127" s="133"/>
      <c r="C127" s="134"/>
      <c r="D127" s="134"/>
      <c r="E127" s="134"/>
      <c r="F127" s="134"/>
      <c r="G127" s="134"/>
      <c r="H127" s="134"/>
      <c r="I127" s="134"/>
      <c r="J127" s="135"/>
      <c r="K127" s="136"/>
    </row>
    <row r="128" spans="1:11" x14ac:dyDescent="0.25">
      <c r="A128" s="153"/>
      <c r="B128" s="133"/>
      <c r="C128" s="134"/>
      <c r="D128" s="134"/>
      <c r="E128" s="134"/>
      <c r="F128" s="134"/>
      <c r="G128" s="134"/>
      <c r="H128" s="134"/>
      <c r="I128" s="134"/>
      <c r="J128" s="135"/>
      <c r="K128" s="136"/>
    </row>
    <row r="129" spans="1:11" x14ac:dyDescent="0.25">
      <c r="A129" s="153"/>
      <c r="B129" s="133"/>
      <c r="C129" s="134"/>
      <c r="D129" s="134"/>
      <c r="E129" s="134"/>
      <c r="F129" s="134"/>
      <c r="G129" s="134"/>
      <c r="H129" s="134"/>
      <c r="I129" s="134"/>
      <c r="J129" s="135"/>
      <c r="K129" s="136"/>
    </row>
    <row r="130" spans="1:11" x14ac:dyDescent="0.25">
      <c r="A130" s="153"/>
      <c r="B130" s="133"/>
      <c r="C130" s="134"/>
      <c r="D130" s="134"/>
      <c r="E130" s="134"/>
      <c r="F130" s="134"/>
      <c r="G130" s="134"/>
      <c r="H130" s="134"/>
      <c r="I130" s="134"/>
      <c r="J130" s="135"/>
      <c r="K130" s="136"/>
    </row>
    <row r="131" spans="1:11" x14ac:dyDescent="0.25">
      <c r="A131" s="155"/>
      <c r="B131" s="156"/>
      <c r="C131" s="157"/>
      <c r="D131" s="157"/>
      <c r="E131" s="157"/>
      <c r="F131" s="157"/>
      <c r="G131" s="157"/>
      <c r="H131" s="157"/>
      <c r="I131" s="157"/>
      <c r="J131" s="158"/>
      <c r="K131" s="159"/>
    </row>
    <row r="132" spans="1:11" ht="15.75" thickBot="1" x14ac:dyDescent="0.3">
      <c r="A132" s="154"/>
      <c r="B132" s="139"/>
      <c r="C132" s="140"/>
      <c r="D132" s="140"/>
      <c r="E132" s="140"/>
      <c r="F132" s="140"/>
      <c r="G132" s="140"/>
      <c r="H132" s="140"/>
      <c r="I132" s="140"/>
      <c r="J132" s="141"/>
      <c r="K132" s="142"/>
    </row>
    <row r="133" spans="1:11" ht="16.5" thickBot="1" x14ac:dyDescent="0.3">
      <c r="A133" s="124"/>
      <c r="B133" s="145" t="s">
        <v>123</v>
      </c>
      <c r="C133" s="146" t="s">
        <v>127</v>
      </c>
      <c r="D133" s="146" t="s">
        <v>128</v>
      </c>
      <c r="E133" s="146" t="s">
        <v>124</v>
      </c>
      <c r="F133" s="146" t="s">
        <v>125</v>
      </c>
      <c r="G133" s="146" t="s">
        <v>126</v>
      </c>
      <c r="H133" s="146" t="s">
        <v>16</v>
      </c>
      <c r="I133" s="147" t="s">
        <v>129</v>
      </c>
      <c r="J133" s="148"/>
      <c r="K133" s="149"/>
    </row>
    <row r="134" spans="1:11" ht="21.75" thickBot="1" x14ac:dyDescent="0.4">
      <c r="B134" s="150">
        <f t="shared" ref="B134:I134" si="5">SUM(B118:B133)</f>
        <v>0</v>
      </c>
      <c r="C134" s="151">
        <f t="shared" si="5"/>
        <v>0</v>
      </c>
      <c r="D134" s="151">
        <f t="shared" si="5"/>
        <v>0</v>
      </c>
      <c r="E134" s="151">
        <f t="shared" si="5"/>
        <v>0</v>
      </c>
      <c r="F134" s="151">
        <f t="shared" si="5"/>
        <v>0</v>
      </c>
      <c r="G134" s="151">
        <f t="shared" si="5"/>
        <v>0</v>
      </c>
      <c r="H134" s="151">
        <f t="shared" si="5"/>
        <v>0</v>
      </c>
      <c r="I134" s="152">
        <f t="shared" si="5"/>
        <v>0</v>
      </c>
      <c r="J134" s="143" t="s">
        <v>131</v>
      </c>
      <c r="K134" s="144">
        <f>SUM(B134:J134)</f>
        <v>0</v>
      </c>
    </row>
    <row r="136" spans="1:11" ht="15.75" thickBot="1" x14ac:dyDescent="0.3"/>
    <row r="137" spans="1:11" s="166" customFormat="1" ht="27" thickBot="1" x14ac:dyDescent="0.45">
      <c r="B137" s="167"/>
      <c r="C137" s="167"/>
      <c r="D137" s="167"/>
      <c r="E137" s="167"/>
      <c r="F137" s="167"/>
      <c r="G137" s="167"/>
      <c r="H137" s="167"/>
      <c r="I137" s="167"/>
      <c r="J137" s="168" t="s">
        <v>131</v>
      </c>
      <c r="K137" s="169">
        <f>K115+K134</f>
        <v>4000</v>
      </c>
    </row>
    <row r="138" spans="1:11" ht="15.75" thickBot="1" x14ac:dyDescent="0.3"/>
    <row r="139" spans="1:11" ht="19.5" thickBot="1" x14ac:dyDescent="0.35">
      <c r="A139" s="165" t="s">
        <v>138</v>
      </c>
      <c r="B139" s="125" t="s">
        <v>123</v>
      </c>
      <c r="C139" s="125" t="s">
        <v>127</v>
      </c>
      <c r="D139" s="125" t="s">
        <v>128</v>
      </c>
      <c r="E139" s="125" t="s">
        <v>124</v>
      </c>
      <c r="F139" s="125" t="s">
        <v>125</v>
      </c>
      <c r="G139" s="125" t="s">
        <v>126</v>
      </c>
      <c r="H139" s="125" t="s">
        <v>16</v>
      </c>
      <c r="I139" s="125" t="s">
        <v>129</v>
      </c>
      <c r="J139" s="126" t="s">
        <v>130</v>
      </c>
      <c r="K139" s="127"/>
    </row>
    <row r="140" spans="1:11" ht="18.75" x14ac:dyDescent="0.3">
      <c r="A140" s="128"/>
      <c r="B140" s="129"/>
      <c r="C140" s="130"/>
      <c r="D140" s="130"/>
      <c r="E140" s="130"/>
      <c r="F140" s="130"/>
      <c r="G140" s="130"/>
      <c r="H140" s="130"/>
      <c r="I140" s="130"/>
      <c r="J140" s="131"/>
      <c r="K140" s="132"/>
    </row>
    <row r="141" spans="1:11" x14ac:dyDescent="0.25">
      <c r="A141" s="153"/>
      <c r="B141" s="133"/>
      <c r="C141" s="134"/>
      <c r="D141" s="134"/>
      <c r="E141" s="134"/>
      <c r="F141" s="134"/>
      <c r="G141" s="134"/>
      <c r="H141" s="134"/>
      <c r="I141" s="134"/>
      <c r="J141" s="135"/>
      <c r="K141" s="136"/>
    </row>
    <row r="142" spans="1:11" x14ac:dyDescent="0.25">
      <c r="A142" s="153"/>
      <c r="B142" s="133"/>
      <c r="C142" s="134"/>
      <c r="D142" s="134"/>
      <c r="E142" s="134"/>
      <c r="F142" s="134"/>
      <c r="G142" s="134"/>
      <c r="H142" s="134"/>
      <c r="I142" s="134"/>
      <c r="J142" s="135"/>
      <c r="K142" s="136"/>
    </row>
    <row r="143" spans="1:11" x14ac:dyDescent="0.25">
      <c r="A143" s="153"/>
      <c r="B143" s="133"/>
      <c r="C143" s="134"/>
      <c r="D143" s="134"/>
      <c r="E143" s="134"/>
      <c r="F143" s="134"/>
      <c r="G143" s="134"/>
      <c r="H143" s="134"/>
      <c r="I143" s="134"/>
      <c r="J143" s="138"/>
      <c r="K143" s="136"/>
    </row>
    <row r="144" spans="1:11" x14ac:dyDescent="0.25">
      <c r="A144" s="153"/>
      <c r="B144" s="133"/>
      <c r="C144" s="134"/>
      <c r="D144" s="134"/>
      <c r="E144" s="134"/>
      <c r="F144" s="134"/>
      <c r="G144" s="134"/>
      <c r="H144" s="134"/>
      <c r="I144" s="134"/>
      <c r="J144" s="135"/>
      <c r="K144" s="136"/>
    </row>
    <row r="145" spans="1:11" x14ac:dyDescent="0.25">
      <c r="A145" s="153"/>
      <c r="B145" s="133"/>
      <c r="C145" s="134"/>
      <c r="D145" s="134"/>
      <c r="E145" s="134"/>
      <c r="F145" s="134"/>
      <c r="G145" s="134"/>
      <c r="H145" s="134"/>
      <c r="I145" s="134"/>
      <c r="J145" s="135"/>
      <c r="K145" s="136"/>
    </row>
    <row r="146" spans="1:11" x14ac:dyDescent="0.25">
      <c r="A146" s="153"/>
      <c r="B146" s="133"/>
      <c r="C146" s="134"/>
      <c r="D146" s="134"/>
      <c r="E146" s="134"/>
      <c r="F146" s="134"/>
      <c r="G146" s="134"/>
      <c r="H146" s="134"/>
      <c r="I146" s="134"/>
      <c r="J146" s="135"/>
      <c r="K146" s="136"/>
    </row>
    <row r="147" spans="1:11" x14ac:dyDescent="0.25">
      <c r="A147" s="153"/>
      <c r="B147" s="133"/>
      <c r="C147" s="134"/>
      <c r="D147" s="134"/>
      <c r="E147" s="134"/>
      <c r="F147" s="134"/>
      <c r="G147" s="134"/>
      <c r="H147" s="134"/>
      <c r="I147" s="134"/>
      <c r="J147" s="135"/>
      <c r="K147" s="136"/>
    </row>
    <row r="148" spans="1:11" x14ac:dyDescent="0.25">
      <c r="A148" s="153"/>
      <c r="B148" s="133"/>
      <c r="C148" s="134"/>
      <c r="D148" s="134"/>
      <c r="E148" s="134"/>
      <c r="F148" s="134"/>
      <c r="G148" s="134"/>
      <c r="H148" s="134"/>
      <c r="I148" s="134"/>
      <c r="J148" s="135"/>
      <c r="K148" s="136"/>
    </row>
    <row r="149" spans="1:11" x14ac:dyDescent="0.25">
      <c r="A149" s="153"/>
      <c r="B149" s="133"/>
      <c r="C149" s="134"/>
      <c r="D149" s="134"/>
      <c r="E149" s="134"/>
      <c r="F149" s="134"/>
      <c r="G149" s="134"/>
      <c r="H149" s="134"/>
      <c r="I149" s="134"/>
      <c r="J149" s="135"/>
      <c r="K149" s="136"/>
    </row>
    <row r="150" spans="1:11" x14ac:dyDescent="0.25">
      <c r="A150" s="153"/>
      <c r="B150" s="133"/>
      <c r="C150" s="134"/>
      <c r="D150" s="134"/>
      <c r="E150" s="134"/>
      <c r="F150" s="134"/>
      <c r="G150" s="134"/>
      <c r="H150" s="134"/>
      <c r="I150" s="134"/>
      <c r="J150" s="135"/>
      <c r="K150" s="136"/>
    </row>
    <row r="151" spans="1:11" x14ac:dyDescent="0.25">
      <c r="A151" s="153"/>
      <c r="B151" s="133"/>
      <c r="C151" s="134"/>
      <c r="D151" s="134"/>
      <c r="E151" s="134"/>
      <c r="F151" s="134"/>
      <c r="G151" s="134"/>
      <c r="H151" s="134"/>
      <c r="I151" s="134"/>
      <c r="J151" s="135"/>
      <c r="K151" s="136"/>
    </row>
    <row r="152" spans="1:11" x14ac:dyDescent="0.25">
      <c r="A152" s="153"/>
      <c r="B152" s="133"/>
      <c r="C152" s="134"/>
      <c r="D152" s="134"/>
      <c r="E152" s="134"/>
      <c r="F152" s="134"/>
      <c r="G152" s="134"/>
      <c r="H152" s="134"/>
      <c r="I152" s="134"/>
      <c r="J152" s="135"/>
      <c r="K152" s="136"/>
    </row>
    <row r="153" spans="1:11" x14ac:dyDescent="0.25">
      <c r="A153" s="155"/>
      <c r="B153" s="156"/>
      <c r="C153" s="157"/>
      <c r="D153" s="157"/>
      <c r="E153" s="157"/>
      <c r="F153" s="157"/>
      <c r="G153" s="157"/>
      <c r="H153" s="157"/>
      <c r="I153" s="157"/>
      <c r="J153" s="158"/>
      <c r="K153" s="159"/>
    </row>
    <row r="154" spans="1:11" ht="15.75" thickBot="1" x14ac:dyDescent="0.3">
      <c r="A154" s="154"/>
      <c r="B154" s="139"/>
      <c r="C154" s="140"/>
      <c r="D154" s="140"/>
      <c r="E154" s="140"/>
      <c r="F154" s="140"/>
      <c r="G154" s="140"/>
      <c r="H154" s="140"/>
      <c r="I154" s="140"/>
      <c r="J154" s="141"/>
      <c r="K154" s="142"/>
    </row>
    <row r="155" spans="1:11" ht="16.5" thickBot="1" x14ac:dyDescent="0.3">
      <c r="A155" s="124"/>
      <c r="B155" s="145" t="s">
        <v>123</v>
      </c>
      <c r="C155" s="146" t="s">
        <v>127</v>
      </c>
      <c r="D155" s="146" t="s">
        <v>128</v>
      </c>
      <c r="E155" s="146" t="s">
        <v>124</v>
      </c>
      <c r="F155" s="146" t="s">
        <v>125</v>
      </c>
      <c r="G155" s="146" t="s">
        <v>126</v>
      </c>
      <c r="H155" s="146" t="s">
        <v>16</v>
      </c>
      <c r="I155" s="147" t="s">
        <v>129</v>
      </c>
      <c r="J155" s="148"/>
      <c r="K155" s="149"/>
    </row>
    <row r="156" spans="1:11" ht="21.75" thickBot="1" x14ac:dyDescent="0.4">
      <c r="B156" s="150">
        <f t="shared" ref="B156:I156" si="6">SUM(B140:B155)</f>
        <v>0</v>
      </c>
      <c r="C156" s="151">
        <f t="shared" si="6"/>
        <v>0</v>
      </c>
      <c r="D156" s="151">
        <f t="shared" si="6"/>
        <v>0</v>
      </c>
      <c r="E156" s="151">
        <f t="shared" si="6"/>
        <v>0</v>
      </c>
      <c r="F156" s="151">
        <f t="shared" si="6"/>
        <v>0</v>
      </c>
      <c r="G156" s="151">
        <f t="shared" si="6"/>
        <v>0</v>
      </c>
      <c r="H156" s="151">
        <f t="shared" si="6"/>
        <v>0</v>
      </c>
      <c r="I156" s="152">
        <f t="shared" si="6"/>
        <v>0</v>
      </c>
      <c r="J156" s="143" t="s">
        <v>131</v>
      </c>
      <c r="K156" s="144">
        <f>SUM(B156:J156)</f>
        <v>0</v>
      </c>
    </row>
    <row r="158" spans="1:11" ht="15.75" thickBot="1" x14ac:dyDescent="0.3"/>
    <row r="159" spans="1:11" ht="27" thickBot="1" x14ac:dyDescent="0.45">
      <c r="A159" s="166"/>
      <c r="B159" s="167"/>
      <c r="C159" s="167"/>
      <c r="D159" s="167"/>
      <c r="E159" s="167"/>
      <c r="F159" s="167"/>
      <c r="G159" s="167"/>
      <c r="H159" s="167"/>
      <c r="I159" s="167"/>
      <c r="J159" s="168" t="s">
        <v>131</v>
      </c>
      <c r="K159" s="169">
        <f>K137+K156</f>
        <v>4000</v>
      </c>
    </row>
    <row r="161" spans="1:11" ht="15.75" thickBot="1" x14ac:dyDescent="0.3"/>
    <row r="162" spans="1:11" ht="19.5" thickBot="1" x14ac:dyDescent="0.35">
      <c r="A162" s="165" t="s">
        <v>119</v>
      </c>
      <c r="B162" s="125" t="s">
        <v>123</v>
      </c>
      <c r="C162" s="125" t="s">
        <v>127</v>
      </c>
      <c r="D162" s="125" t="s">
        <v>128</v>
      </c>
      <c r="E162" s="125" t="s">
        <v>124</v>
      </c>
      <c r="F162" s="125" t="s">
        <v>125</v>
      </c>
      <c r="G162" s="125" t="s">
        <v>126</v>
      </c>
      <c r="H162" s="125" t="s">
        <v>16</v>
      </c>
      <c r="I162" s="125" t="s">
        <v>129</v>
      </c>
      <c r="J162" s="126" t="s">
        <v>130</v>
      </c>
      <c r="K162" s="127"/>
    </row>
    <row r="163" spans="1:11" ht="18.75" x14ac:dyDescent="0.3">
      <c r="A163" s="128"/>
      <c r="B163" s="129"/>
      <c r="C163" s="130"/>
      <c r="D163" s="130"/>
      <c r="E163" s="130"/>
      <c r="F163" s="130"/>
      <c r="G163" s="130"/>
      <c r="H163" s="130"/>
      <c r="I163" s="130"/>
      <c r="J163" s="131"/>
      <c r="K163" s="132"/>
    </row>
    <row r="164" spans="1:11" x14ac:dyDescent="0.25">
      <c r="A164" s="153"/>
      <c r="B164" s="133"/>
      <c r="C164" s="134"/>
      <c r="D164" s="134"/>
      <c r="E164" s="134"/>
      <c r="F164" s="134"/>
      <c r="G164" s="134"/>
      <c r="H164" s="134"/>
      <c r="I164" s="134"/>
      <c r="J164" s="135"/>
      <c r="K164" s="136"/>
    </row>
    <row r="165" spans="1:11" x14ac:dyDescent="0.25">
      <c r="A165" s="153"/>
      <c r="B165" s="133"/>
      <c r="C165" s="134"/>
      <c r="D165" s="134"/>
      <c r="E165" s="134"/>
      <c r="F165" s="134"/>
      <c r="G165" s="134"/>
      <c r="H165" s="134"/>
      <c r="I165" s="134"/>
      <c r="J165" s="135"/>
      <c r="K165" s="136"/>
    </row>
    <row r="166" spans="1:11" x14ac:dyDescent="0.25">
      <c r="A166" s="153"/>
      <c r="B166" s="133"/>
      <c r="C166" s="134"/>
      <c r="D166" s="134"/>
      <c r="E166" s="134"/>
      <c r="F166" s="134"/>
      <c r="G166" s="134"/>
      <c r="H166" s="134"/>
      <c r="I166" s="134"/>
      <c r="J166" s="138"/>
      <c r="K166" s="136"/>
    </row>
    <row r="167" spans="1:11" x14ac:dyDescent="0.25">
      <c r="A167" s="153"/>
      <c r="B167" s="133"/>
      <c r="C167" s="134"/>
      <c r="D167" s="134"/>
      <c r="E167" s="134"/>
      <c r="F167" s="134"/>
      <c r="G167" s="134"/>
      <c r="H167" s="134"/>
      <c r="I167" s="134"/>
      <c r="J167" s="135"/>
      <c r="K167" s="136"/>
    </row>
    <row r="168" spans="1:11" x14ac:dyDescent="0.25">
      <c r="A168" s="153"/>
      <c r="B168" s="133"/>
      <c r="C168" s="134"/>
      <c r="D168" s="134"/>
      <c r="E168" s="134"/>
      <c r="F168" s="134"/>
      <c r="G168" s="134"/>
      <c r="H168" s="134"/>
      <c r="I168" s="134"/>
      <c r="J168" s="135"/>
      <c r="K168" s="136"/>
    </row>
    <row r="169" spans="1:11" x14ac:dyDescent="0.25">
      <c r="A169" s="153"/>
      <c r="B169" s="133"/>
      <c r="C169" s="134"/>
      <c r="D169" s="134"/>
      <c r="E169" s="134"/>
      <c r="F169" s="134"/>
      <c r="G169" s="134"/>
      <c r="H169" s="134"/>
      <c r="I169" s="134"/>
      <c r="J169" s="135"/>
      <c r="K169" s="136"/>
    </row>
    <row r="170" spans="1:11" x14ac:dyDescent="0.25">
      <c r="A170" s="153"/>
      <c r="B170" s="133"/>
      <c r="C170" s="134"/>
      <c r="D170" s="134"/>
      <c r="E170" s="134"/>
      <c r="F170" s="134"/>
      <c r="G170" s="134"/>
      <c r="H170" s="134"/>
      <c r="I170" s="134"/>
      <c r="J170" s="135"/>
      <c r="K170" s="136"/>
    </row>
    <row r="171" spans="1:11" x14ac:dyDescent="0.25">
      <c r="A171" s="153"/>
      <c r="B171" s="133"/>
      <c r="C171" s="134"/>
      <c r="D171" s="134"/>
      <c r="E171" s="134"/>
      <c r="F171" s="134"/>
      <c r="G171" s="134"/>
      <c r="H171" s="134"/>
      <c r="I171" s="134"/>
      <c r="J171" s="135"/>
      <c r="K171" s="136"/>
    </row>
    <row r="172" spans="1:11" x14ac:dyDescent="0.25">
      <c r="A172" s="153"/>
      <c r="B172" s="133"/>
      <c r="C172" s="134"/>
      <c r="D172" s="134"/>
      <c r="E172" s="134"/>
      <c r="F172" s="134"/>
      <c r="G172" s="134"/>
      <c r="H172" s="134"/>
      <c r="I172" s="134"/>
      <c r="J172" s="135"/>
      <c r="K172" s="136"/>
    </row>
    <row r="173" spans="1:11" x14ac:dyDescent="0.25">
      <c r="A173" s="153"/>
      <c r="B173" s="133"/>
      <c r="C173" s="134"/>
      <c r="D173" s="134"/>
      <c r="E173" s="134"/>
      <c r="F173" s="134"/>
      <c r="G173" s="134"/>
      <c r="H173" s="134"/>
      <c r="I173" s="134"/>
      <c r="J173" s="135"/>
      <c r="K173" s="136"/>
    </row>
    <row r="174" spans="1:11" x14ac:dyDescent="0.25">
      <c r="A174" s="153"/>
      <c r="B174" s="133"/>
      <c r="C174" s="134"/>
      <c r="D174" s="134"/>
      <c r="E174" s="134"/>
      <c r="F174" s="134"/>
      <c r="G174" s="134"/>
      <c r="H174" s="134"/>
      <c r="I174" s="134"/>
      <c r="J174" s="135"/>
      <c r="K174" s="136"/>
    </row>
    <row r="175" spans="1:11" x14ac:dyDescent="0.25">
      <c r="A175" s="153"/>
      <c r="B175" s="133"/>
      <c r="C175" s="134"/>
      <c r="D175" s="134"/>
      <c r="E175" s="134"/>
      <c r="F175" s="134"/>
      <c r="G175" s="134"/>
      <c r="H175" s="134"/>
      <c r="I175" s="134"/>
      <c r="J175" s="135"/>
      <c r="K175" s="136"/>
    </row>
    <row r="176" spans="1:11" x14ac:dyDescent="0.25">
      <c r="A176" s="155"/>
      <c r="B176" s="156"/>
      <c r="C176" s="157"/>
      <c r="D176" s="157"/>
      <c r="E176" s="157"/>
      <c r="F176" s="157"/>
      <c r="G176" s="157"/>
      <c r="H176" s="157"/>
      <c r="I176" s="157"/>
      <c r="J176" s="158"/>
      <c r="K176" s="159"/>
    </row>
    <row r="177" spans="1:11" ht="15.75" thickBot="1" x14ac:dyDescent="0.3">
      <c r="A177" s="154"/>
      <c r="B177" s="139"/>
      <c r="C177" s="140"/>
      <c r="D177" s="140"/>
      <c r="E177" s="140"/>
      <c r="F177" s="140"/>
      <c r="G177" s="140"/>
      <c r="H177" s="140"/>
      <c r="I177" s="140"/>
      <c r="J177" s="141"/>
      <c r="K177" s="142"/>
    </row>
    <row r="178" spans="1:11" ht="16.5" thickBot="1" x14ac:dyDescent="0.3">
      <c r="A178" s="124"/>
      <c r="B178" s="145" t="s">
        <v>123</v>
      </c>
      <c r="C178" s="146" t="s">
        <v>127</v>
      </c>
      <c r="D178" s="146" t="s">
        <v>128</v>
      </c>
      <c r="E178" s="146" t="s">
        <v>124</v>
      </c>
      <c r="F178" s="146" t="s">
        <v>125</v>
      </c>
      <c r="G178" s="146" t="s">
        <v>126</v>
      </c>
      <c r="H178" s="146" t="s">
        <v>16</v>
      </c>
      <c r="I178" s="147" t="s">
        <v>129</v>
      </c>
      <c r="J178" s="148"/>
      <c r="K178" s="149"/>
    </row>
    <row r="179" spans="1:11" ht="21.75" thickBot="1" x14ac:dyDescent="0.4">
      <c r="B179" s="150">
        <f t="shared" ref="B179:I179" si="7">SUM(B163:B178)</f>
        <v>0</v>
      </c>
      <c r="C179" s="151">
        <f t="shared" si="7"/>
        <v>0</v>
      </c>
      <c r="D179" s="151">
        <f t="shared" si="7"/>
        <v>0</v>
      </c>
      <c r="E179" s="151">
        <f t="shared" si="7"/>
        <v>0</v>
      </c>
      <c r="F179" s="151">
        <f t="shared" si="7"/>
        <v>0</v>
      </c>
      <c r="G179" s="151">
        <f t="shared" si="7"/>
        <v>0</v>
      </c>
      <c r="H179" s="151">
        <f t="shared" si="7"/>
        <v>0</v>
      </c>
      <c r="I179" s="152">
        <f t="shared" si="7"/>
        <v>0</v>
      </c>
      <c r="J179" s="143" t="s">
        <v>131</v>
      </c>
      <c r="K179" s="144">
        <f>SUM(B179:J179)</f>
        <v>0</v>
      </c>
    </row>
    <row r="181" spans="1:11" ht="15.75" thickBot="1" x14ac:dyDescent="0.3"/>
    <row r="182" spans="1:11" ht="27" thickBot="1" x14ac:dyDescent="0.45">
      <c r="A182" s="166"/>
      <c r="B182" s="167"/>
      <c r="C182" s="167"/>
      <c r="D182" s="167"/>
      <c r="E182" s="167"/>
      <c r="F182" s="167"/>
      <c r="G182" s="167"/>
      <c r="H182" s="167"/>
      <c r="I182" s="167"/>
      <c r="J182" s="168" t="s">
        <v>131</v>
      </c>
      <c r="K182" s="169">
        <f>K159+K179</f>
        <v>4000</v>
      </c>
    </row>
    <row r="184" spans="1:11" ht="15.75" thickBot="1" x14ac:dyDescent="0.3"/>
    <row r="185" spans="1:11" ht="19.5" thickBot="1" x14ac:dyDescent="0.35">
      <c r="A185" s="165" t="s">
        <v>139</v>
      </c>
      <c r="B185" s="125" t="s">
        <v>123</v>
      </c>
      <c r="C185" s="125" t="s">
        <v>127</v>
      </c>
      <c r="D185" s="125" t="s">
        <v>128</v>
      </c>
      <c r="E185" s="125" t="s">
        <v>124</v>
      </c>
      <c r="F185" s="125" t="s">
        <v>125</v>
      </c>
      <c r="G185" s="125" t="s">
        <v>126</v>
      </c>
      <c r="H185" s="125" t="s">
        <v>16</v>
      </c>
      <c r="I185" s="125" t="s">
        <v>129</v>
      </c>
      <c r="J185" s="126" t="s">
        <v>130</v>
      </c>
      <c r="K185" s="127"/>
    </row>
    <row r="186" spans="1:11" ht="18.75" x14ac:dyDescent="0.3">
      <c r="A186" s="128"/>
      <c r="B186" s="129"/>
      <c r="C186" s="130"/>
      <c r="D186" s="130"/>
      <c r="E186" s="130"/>
      <c r="F186" s="130"/>
      <c r="G186" s="130"/>
      <c r="H186" s="130"/>
      <c r="I186" s="130"/>
      <c r="J186" s="131"/>
      <c r="K186" s="132"/>
    </row>
    <row r="187" spans="1:11" x14ac:dyDescent="0.25">
      <c r="A187" s="153"/>
      <c r="B187" s="133"/>
      <c r="C187" s="134"/>
      <c r="D187" s="134"/>
      <c r="E187" s="134"/>
      <c r="F187" s="134"/>
      <c r="G187" s="134"/>
      <c r="H187" s="134"/>
      <c r="I187" s="134"/>
      <c r="J187" s="135"/>
      <c r="K187" s="136"/>
    </row>
    <row r="188" spans="1:11" x14ac:dyDescent="0.25">
      <c r="A188" s="153"/>
      <c r="B188" s="133"/>
      <c r="C188" s="134"/>
      <c r="D188" s="134"/>
      <c r="E188" s="134"/>
      <c r="F188" s="134"/>
      <c r="G188" s="134"/>
      <c r="H188" s="134"/>
      <c r="I188" s="134"/>
      <c r="J188" s="135"/>
      <c r="K188" s="136"/>
    </row>
    <row r="189" spans="1:11" x14ac:dyDescent="0.25">
      <c r="A189" s="153"/>
      <c r="B189" s="133"/>
      <c r="C189" s="134"/>
      <c r="D189" s="134"/>
      <c r="E189" s="134"/>
      <c r="F189" s="134"/>
      <c r="G189" s="134"/>
      <c r="H189" s="134"/>
      <c r="I189" s="134"/>
      <c r="J189" s="138"/>
      <c r="K189" s="136"/>
    </row>
    <row r="190" spans="1:11" x14ac:dyDescent="0.25">
      <c r="A190" s="153"/>
      <c r="B190" s="133"/>
      <c r="C190" s="134"/>
      <c r="D190" s="134"/>
      <c r="E190" s="134"/>
      <c r="F190" s="134"/>
      <c r="G190" s="134"/>
      <c r="H190" s="134"/>
      <c r="I190" s="134"/>
      <c r="J190" s="135"/>
      <c r="K190" s="136"/>
    </row>
    <row r="191" spans="1:11" x14ac:dyDescent="0.25">
      <c r="A191" s="153"/>
      <c r="B191" s="133"/>
      <c r="C191" s="134"/>
      <c r="D191" s="134"/>
      <c r="E191" s="134"/>
      <c r="F191" s="134"/>
      <c r="G191" s="134"/>
      <c r="H191" s="134"/>
      <c r="I191" s="134"/>
      <c r="J191" s="135"/>
      <c r="K191" s="136"/>
    </row>
    <row r="192" spans="1:11" x14ac:dyDescent="0.25">
      <c r="A192" s="153"/>
      <c r="B192" s="133"/>
      <c r="C192" s="134"/>
      <c r="D192" s="134"/>
      <c r="E192" s="134"/>
      <c r="F192" s="134"/>
      <c r="G192" s="134"/>
      <c r="H192" s="134"/>
      <c r="I192" s="134"/>
      <c r="J192" s="135"/>
      <c r="K192" s="136"/>
    </row>
    <row r="193" spans="1:11" x14ac:dyDescent="0.25">
      <c r="A193" s="153"/>
      <c r="B193" s="133"/>
      <c r="C193" s="134"/>
      <c r="D193" s="134"/>
      <c r="E193" s="134"/>
      <c r="F193" s="134"/>
      <c r="G193" s="134"/>
      <c r="H193" s="134"/>
      <c r="I193" s="134"/>
      <c r="J193" s="135"/>
      <c r="K193" s="136"/>
    </row>
    <row r="194" spans="1:11" x14ac:dyDescent="0.25">
      <c r="A194" s="153"/>
      <c r="B194" s="133"/>
      <c r="C194" s="134"/>
      <c r="D194" s="134"/>
      <c r="E194" s="134"/>
      <c r="F194" s="134"/>
      <c r="G194" s="134"/>
      <c r="H194" s="134"/>
      <c r="I194" s="134"/>
      <c r="J194" s="135"/>
      <c r="K194" s="136"/>
    </row>
    <row r="195" spans="1:11" x14ac:dyDescent="0.25">
      <c r="A195" s="153"/>
      <c r="B195" s="133"/>
      <c r="C195" s="134"/>
      <c r="D195" s="134"/>
      <c r="E195" s="134"/>
      <c r="F195" s="134"/>
      <c r="G195" s="134"/>
      <c r="H195" s="134"/>
      <c r="I195" s="134"/>
      <c r="J195" s="135"/>
      <c r="K195" s="136"/>
    </row>
    <row r="196" spans="1:11" x14ac:dyDescent="0.25">
      <c r="A196" s="155"/>
      <c r="B196" s="156"/>
      <c r="C196" s="157"/>
      <c r="D196" s="157"/>
      <c r="E196" s="157"/>
      <c r="F196" s="157"/>
      <c r="G196" s="157"/>
      <c r="H196" s="157"/>
      <c r="I196" s="157"/>
      <c r="J196" s="158"/>
      <c r="K196" s="159"/>
    </row>
    <row r="197" spans="1:11" ht="15.75" thickBot="1" x14ac:dyDescent="0.3">
      <c r="A197" s="154"/>
      <c r="B197" s="139"/>
      <c r="C197" s="140"/>
      <c r="D197" s="140"/>
      <c r="E197" s="140"/>
      <c r="F197" s="140"/>
      <c r="G197" s="140"/>
      <c r="H197" s="140"/>
      <c r="I197" s="140"/>
      <c r="J197" s="141"/>
      <c r="K197" s="142"/>
    </row>
    <row r="198" spans="1:11" ht="16.5" thickBot="1" x14ac:dyDescent="0.3">
      <c r="A198" s="124"/>
      <c r="B198" s="145" t="s">
        <v>123</v>
      </c>
      <c r="C198" s="146" t="s">
        <v>127</v>
      </c>
      <c r="D198" s="146" t="s">
        <v>128</v>
      </c>
      <c r="E198" s="146" t="s">
        <v>124</v>
      </c>
      <c r="F198" s="146" t="s">
        <v>125</v>
      </c>
      <c r="G198" s="146" t="s">
        <v>126</v>
      </c>
      <c r="H198" s="146" t="s">
        <v>16</v>
      </c>
      <c r="I198" s="147" t="s">
        <v>129</v>
      </c>
      <c r="J198" s="148"/>
      <c r="K198" s="149"/>
    </row>
    <row r="199" spans="1:11" ht="21.75" thickBot="1" x14ac:dyDescent="0.4">
      <c r="B199" s="150">
        <f t="shared" ref="B199:I199" si="8">SUM(B186:B198)</f>
        <v>0</v>
      </c>
      <c r="C199" s="151">
        <f t="shared" si="8"/>
        <v>0</v>
      </c>
      <c r="D199" s="151">
        <f t="shared" si="8"/>
        <v>0</v>
      </c>
      <c r="E199" s="151">
        <f t="shared" si="8"/>
        <v>0</v>
      </c>
      <c r="F199" s="151">
        <f t="shared" si="8"/>
        <v>0</v>
      </c>
      <c r="G199" s="151">
        <f t="shared" si="8"/>
        <v>0</v>
      </c>
      <c r="H199" s="151">
        <f t="shared" si="8"/>
        <v>0</v>
      </c>
      <c r="I199" s="152">
        <f t="shared" si="8"/>
        <v>0</v>
      </c>
      <c r="J199" s="143" t="s">
        <v>131</v>
      </c>
      <c r="K199" s="144">
        <f>SUM(B199:J199)</f>
        <v>0</v>
      </c>
    </row>
    <row r="201" spans="1:11" ht="15.75" thickBot="1" x14ac:dyDescent="0.3"/>
    <row r="202" spans="1:11" ht="27" thickBot="1" x14ac:dyDescent="0.45">
      <c r="A202" s="166"/>
      <c r="B202" s="167"/>
      <c r="C202" s="167"/>
      <c r="D202" s="167"/>
      <c r="E202" s="167"/>
      <c r="F202" s="167"/>
      <c r="G202" s="167"/>
      <c r="H202" s="167"/>
      <c r="I202" s="167"/>
      <c r="J202" s="168" t="s">
        <v>131</v>
      </c>
      <c r="K202" s="169">
        <f>K182+K199</f>
        <v>4000</v>
      </c>
    </row>
    <row r="204" spans="1:11" ht="15.75" thickBot="1" x14ac:dyDescent="0.3"/>
    <row r="205" spans="1:11" ht="19.5" thickBot="1" x14ac:dyDescent="0.35">
      <c r="A205" s="165" t="s">
        <v>140</v>
      </c>
      <c r="B205" s="125" t="s">
        <v>123</v>
      </c>
      <c r="C205" s="125" t="s">
        <v>127</v>
      </c>
      <c r="D205" s="125" t="s">
        <v>128</v>
      </c>
      <c r="E205" s="125" t="s">
        <v>124</v>
      </c>
      <c r="F205" s="125" t="s">
        <v>125</v>
      </c>
      <c r="G205" s="125" t="s">
        <v>126</v>
      </c>
      <c r="H205" s="125" t="s">
        <v>16</v>
      </c>
      <c r="I205" s="125" t="s">
        <v>129</v>
      </c>
      <c r="J205" s="126" t="s">
        <v>130</v>
      </c>
      <c r="K205" s="127"/>
    </row>
    <row r="206" spans="1:11" ht="18.75" x14ac:dyDescent="0.3">
      <c r="A206" s="128"/>
      <c r="B206" s="129"/>
      <c r="C206" s="130"/>
      <c r="D206" s="130"/>
      <c r="E206" s="130"/>
      <c r="F206" s="130"/>
      <c r="G206" s="130"/>
      <c r="H206" s="130"/>
      <c r="I206" s="130"/>
      <c r="J206" s="131"/>
      <c r="K206" s="132"/>
    </row>
    <row r="207" spans="1:11" x14ac:dyDescent="0.25">
      <c r="A207" s="153"/>
      <c r="B207" s="133"/>
      <c r="C207" s="134"/>
      <c r="D207" s="134"/>
      <c r="E207" s="134"/>
      <c r="F207" s="134"/>
      <c r="G207" s="134"/>
      <c r="H207" s="134"/>
      <c r="I207" s="134"/>
      <c r="J207" s="135"/>
      <c r="K207" s="136"/>
    </row>
    <row r="208" spans="1:11" x14ac:dyDescent="0.25">
      <c r="A208" s="153"/>
      <c r="B208" s="133"/>
      <c r="C208" s="134"/>
      <c r="D208" s="134"/>
      <c r="E208" s="134"/>
      <c r="F208" s="134"/>
      <c r="G208" s="134"/>
      <c r="H208" s="134"/>
      <c r="I208" s="134"/>
      <c r="J208" s="135"/>
      <c r="K208" s="136"/>
    </row>
    <row r="209" spans="1:11" x14ac:dyDescent="0.25">
      <c r="A209" s="153"/>
      <c r="B209" s="133"/>
      <c r="C209" s="134"/>
      <c r="D209" s="134"/>
      <c r="E209" s="134"/>
      <c r="F209" s="134"/>
      <c r="G209" s="134"/>
      <c r="H209" s="134"/>
      <c r="I209" s="134"/>
      <c r="J209" s="138"/>
      <c r="K209" s="136"/>
    </row>
    <row r="210" spans="1:11" x14ac:dyDescent="0.25">
      <c r="A210" s="153"/>
      <c r="B210" s="133"/>
      <c r="C210" s="134"/>
      <c r="D210" s="134"/>
      <c r="E210" s="134"/>
      <c r="F210" s="134"/>
      <c r="G210" s="134"/>
      <c r="H210" s="134"/>
      <c r="I210" s="134"/>
      <c r="J210" s="135"/>
      <c r="K210" s="136"/>
    </row>
    <row r="211" spans="1:11" x14ac:dyDescent="0.25">
      <c r="A211" s="153"/>
      <c r="B211" s="133"/>
      <c r="C211" s="134"/>
      <c r="D211" s="134"/>
      <c r="E211" s="134"/>
      <c r="F211" s="134"/>
      <c r="G211" s="134"/>
      <c r="H211" s="134"/>
      <c r="I211" s="134"/>
      <c r="J211" s="135"/>
      <c r="K211" s="136"/>
    </row>
    <row r="212" spans="1:11" x14ac:dyDescent="0.25">
      <c r="A212" s="153"/>
      <c r="B212" s="133"/>
      <c r="C212" s="134"/>
      <c r="D212" s="134"/>
      <c r="E212" s="134"/>
      <c r="F212" s="134"/>
      <c r="G212" s="134"/>
      <c r="H212" s="134"/>
      <c r="I212" s="134"/>
      <c r="J212" s="135"/>
      <c r="K212" s="136"/>
    </row>
    <row r="213" spans="1:11" x14ac:dyDescent="0.25">
      <c r="A213" s="153"/>
      <c r="B213" s="133"/>
      <c r="C213" s="134"/>
      <c r="D213" s="134"/>
      <c r="E213" s="134"/>
      <c r="F213" s="134"/>
      <c r="G213" s="134"/>
      <c r="H213" s="134"/>
      <c r="I213" s="134"/>
      <c r="J213" s="135"/>
      <c r="K213" s="136"/>
    </row>
    <row r="214" spans="1:11" x14ac:dyDescent="0.25">
      <c r="A214" s="153"/>
      <c r="B214" s="133"/>
      <c r="C214" s="134"/>
      <c r="D214" s="134"/>
      <c r="E214" s="134"/>
      <c r="F214" s="134"/>
      <c r="G214" s="134"/>
      <c r="H214" s="134"/>
      <c r="I214" s="134"/>
      <c r="J214" s="135"/>
      <c r="K214" s="136"/>
    </row>
    <row r="215" spans="1:11" x14ac:dyDescent="0.25">
      <c r="A215" s="153"/>
      <c r="B215" s="133"/>
      <c r="C215" s="134"/>
      <c r="D215" s="134"/>
      <c r="E215" s="134"/>
      <c r="F215" s="134"/>
      <c r="G215" s="134"/>
      <c r="H215" s="134"/>
      <c r="I215" s="134"/>
      <c r="J215" s="135"/>
      <c r="K215" s="136"/>
    </row>
    <row r="216" spans="1:11" x14ac:dyDescent="0.25">
      <c r="A216" s="155"/>
      <c r="B216" s="156"/>
      <c r="C216" s="157"/>
      <c r="D216" s="157"/>
      <c r="E216" s="157"/>
      <c r="F216" s="157"/>
      <c r="G216" s="157"/>
      <c r="H216" s="157"/>
      <c r="I216" s="157"/>
      <c r="J216" s="158"/>
      <c r="K216" s="159"/>
    </row>
    <row r="217" spans="1:11" ht="15.75" thickBot="1" x14ac:dyDescent="0.3">
      <c r="A217" s="154"/>
      <c r="B217" s="139"/>
      <c r="C217" s="140"/>
      <c r="D217" s="140"/>
      <c r="E217" s="140"/>
      <c r="F217" s="140"/>
      <c r="G217" s="140"/>
      <c r="H217" s="140"/>
      <c r="I217" s="140"/>
      <c r="J217" s="141"/>
      <c r="K217" s="142"/>
    </row>
    <row r="218" spans="1:11" ht="16.5" thickBot="1" x14ac:dyDescent="0.3">
      <c r="A218" s="124"/>
      <c r="B218" s="145" t="s">
        <v>123</v>
      </c>
      <c r="C218" s="146" t="s">
        <v>127</v>
      </c>
      <c r="D218" s="146" t="s">
        <v>128</v>
      </c>
      <c r="E218" s="146" t="s">
        <v>124</v>
      </c>
      <c r="F218" s="146" t="s">
        <v>125</v>
      </c>
      <c r="G218" s="146" t="s">
        <v>126</v>
      </c>
      <c r="H218" s="146" t="s">
        <v>16</v>
      </c>
      <c r="I218" s="147" t="s">
        <v>129</v>
      </c>
      <c r="J218" s="148"/>
      <c r="K218" s="149"/>
    </row>
    <row r="219" spans="1:11" ht="21.75" thickBot="1" x14ac:dyDescent="0.4">
      <c r="B219" s="150">
        <f t="shared" ref="B219:I219" si="9">SUM(B206:B218)</f>
        <v>0</v>
      </c>
      <c r="C219" s="151">
        <f t="shared" si="9"/>
        <v>0</v>
      </c>
      <c r="D219" s="151">
        <f t="shared" si="9"/>
        <v>0</v>
      </c>
      <c r="E219" s="151">
        <f t="shared" si="9"/>
        <v>0</v>
      </c>
      <c r="F219" s="151">
        <f t="shared" si="9"/>
        <v>0</v>
      </c>
      <c r="G219" s="151">
        <f t="shared" si="9"/>
        <v>0</v>
      </c>
      <c r="H219" s="151">
        <f t="shared" si="9"/>
        <v>0</v>
      </c>
      <c r="I219" s="152">
        <f t="shared" si="9"/>
        <v>0</v>
      </c>
      <c r="J219" s="143" t="s">
        <v>131</v>
      </c>
      <c r="K219" s="144">
        <f>SUM(B219:J219)</f>
        <v>0</v>
      </c>
    </row>
    <row r="221" spans="1:11" ht="15.75" thickBot="1" x14ac:dyDescent="0.3"/>
    <row r="222" spans="1:11" ht="27" thickBot="1" x14ac:dyDescent="0.45">
      <c r="A222" s="166"/>
      <c r="B222" s="167"/>
      <c r="C222" s="167"/>
      <c r="D222" s="167"/>
      <c r="E222" s="167"/>
      <c r="F222" s="167"/>
      <c r="G222" s="167"/>
      <c r="H222" s="167"/>
      <c r="I222" s="167"/>
      <c r="J222" s="168" t="s">
        <v>131</v>
      </c>
      <c r="K222" s="169">
        <f>K202+K219</f>
        <v>4000</v>
      </c>
    </row>
    <row r="224" spans="1:11" ht="15.75" thickBot="1" x14ac:dyDescent="0.3"/>
    <row r="225" spans="1:11" ht="19.5" thickBot="1" x14ac:dyDescent="0.35">
      <c r="A225" s="165" t="s">
        <v>147</v>
      </c>
      <c r="B225" s="125" t="s">
        <v>123</v>
      </c>
      <c r="C225" s="125" t="s">
        <v>127</v>
      </c>
      <c r="D225" s="125" t="s">
        <v>128</v>
      </c>
      <c r="E225" s="125" t="s">
        <v>124</v>
      </c>
      <c r="F225" s="125" t="s">
        <v>125</v>
      </c>
      <c r="G225" s="125" t="s">
        <v>126</v>
      </c>
      <c r="H225" s="125" t="s">
        <v>16</v>
      </c>
      <c r="I225" s="125" t="s">
        <v>129</v>
      </c>
      <c r="J225" s="126" t="s">
        <v>130</v>
      </c>
      <c r="K225" s="127"/>
    </row>
    <row r="226" spans="1:11" ht="18.75" x14ac:dyDescent="0.3">
      <c r="A226" s="128"/>
      <c r="B226" s="129"/>
      <c r="C226" s="130"/>
      <c r="D226" s="130"/>
      <c r="E226" s="130"/>
      <c r="F226" s="130"/>
      <c r="G226" s="130"/>
      <c r="H226" s="130"/>
      <c r="I226" s="130"/>
      <c r="J226" s="131"/>
      <c r="K226" s="132"/>
    </row>
    <row r="227" spans="1:11" x14ac:dyDescent="0.25">
      <c r="A227" s="153"/>
      <c r="B227" s="133"/>
      <c r="C227" s="134"/>
      <c r="D227" s="134"/>
      <c r="E227" s="134"/>
      <c r="F227" s="134"/>
      <c r="G227" s="134"/>
      <c r="H227" s="134"/>
      <c r="I227" s="134"/>
      <c r="J227" s="135"/>
      <c r="K227" s="136"/>
    </row>
    <row r="228" spans="1:11" x14ac:dyDescent="0.25">
      <c r="A228" s="153"/>
      <c r="B228" s="133"/>
      <c r="C228" s="134"/>
      <c r="D228" s="134"/>
      <c r="E228" s="134"/>
      <c r="F228" s="134"/>
      <c r="G228" s="134"/>
      <c r="H228" s="134"/>
      <c r="I228" s="134"/>
      <c r="J228" s="135"/>
      <c r="K228" s="136"/>
    </row>
    <row r="229" spans="1:11" x14ac:dyDescent="0.25">
      <c r="A229" s="153"/>
      <c r="B229" s="133"/>
      <c r="C229" s="134"/>
      <c r="D229" s="134"/>
      <c r="E229" s="134"/>
      <c r="F229" s="134"/>
      <c r="G229" s="134"/>
      <c r="H229" s="134"/>
      <c r="I229" s="134"/>
      <c r="J229" s="138"/>
      <c r="K229" s="136"/>
    </row>
    <row r="230" spans="1:11" x14ac:dyDescent="0.25">
      <c r="A230" s="153"/>
      <c r="B230" s="133"/>
      <c r="C230" s="134"/>
      <c r="D230" s="134"/>
      <c r="E230" s="134"/>
      <c r="F230" s="134"/>
      <c r="G230" s="134"/>
      <c r="H230" s="134"/>
      <c r="I230" s="134"/>
      <c r="J230" s="135"/>
      <c r="K230" s="136"/>
    </row>
    <row r="231" spans="1:11" x14ac:dyDescent="0.25">
      <c r="A231" s="153"/>
      <c r="B231" s="133"/>
      <c r="C231" s="134"/>
      <c r="D231" s="134"/>
      <c r="E231" s="134"/>
      <c r="F231" s="134"/>
      <c r="G231" s="134"/>
      <c r="H231" s="134"/>
      <c r="I231" s="134"/>
      <c r="J231" s="135"/>
      <c r="K231" s="136"/>
    </row>
    <row r="232" spans="1:11" x14ac:dyDescent="0.25">
      <c r="A232" s="153"/>
      <c r="B232" s="133"/>
      <c r="C232" s="134"/>
      <c r="D232" s="134"/>
      <c r="E232" s="134"/>
      <c r="F232" s="134"/>
      <c r="G232" s="134"/>
      <c r="H232" s="134"/>
      <c r="I232" s="134"/>
      <c r="J232" s="135"/>
      <c r="K232" s="136"/>
    </row>
    <row r="233" spans="1:11" x14ac:dyDescent="0.25">
      <c r="A233" s="153"/>
      <c r="B233" s="133"/>
      <c r="C233" s="134"/>
      <c r="D233" s="134"/>
      <c r="E233" s="134"/>
      <c r="F233" s="134"/>
      <c r="G233" s="134"/>
      <c r="H233" s="134"/>
      <c r="I233" s="134"/>
      <c r="J233" s="135"/>
      <c r="K233" s="136"/>
    </row>
    <row r="234" spans="1:11" x14ac:dyDescent="0.25">
      <c r="A234" s="153"/>
      <c r="B234" s="133"/>
      <c r="C234" s="134"/>
      <c r="D234" s="134"/>
      <c r="E234" s="134"/>
      <c r="F234" s="134"/>
      <c r="G234" s="134"/>
      <c r="H234" s="134"/>
      <c r="I234" s="134"/>
      <c r="J234" s="135"/>
      <c r="K234" s="136"/>
    </row>
    <row r="235" spans="1:11" x14ac:dyDescent="0.25">
      <c r="A235" s="153"/>
      <c r="B235" s="133"/>
      <c r="C235" s="134"/>
      <c r="D235" s="134"/>
      <c r="E235" s="134"/>
      <c r="F235" s="134"/>
      <c r="G235" s="134"/>
      <c r="H235" s="134"/>
      <c r="I235" s="134"/>
      <c r="J235" s="135"/>
      <c r="K235" s="136"/>
    </row>
    <row r="236" spans="1:11" x14ac:dyDescent="0.25">
      <c r="A236" s="155"/>
      <c r="B236" s="156"/>
      <c r="C236" s="157"/>
      <c r="D236" s="157"/>
      <c r="E236" s="157"/>
      <c r="F236" s="157"/>
      <c r="G236" s="157"/>
      <c r="H236" s="157"/>
      <c r="I236" s="157"/>
      <c r="J236" s="158"/>
      <c r="K236" s="159"/>
    </row>
    <row r="237" spans="1:11" ht="15.75" thickBot="1" x14ac:dyDescent="0.3">
      <c r="A237" s="154"/>
      <c r="B237" s="139"/>
      <c r="C237" s="140"/>
      <c r="D237" s="140"/>
      <c r="E237" s="140"/>
      <c r="F237" s="140"/>
      <c r="G237" s="140"/>
      <c r="H237" s="140"/>
      <c r="I237" s="140"/>
      <c r="J237" s="141"/>
      <c r="K237" s="142"/>
    </row>
    <row r="238" spans="1:11" ht="16.5" thickBot="1" x14ac:dyDescent="0.3">
      <c r="A238" s="124"/>
      <c r="B238" s="145" t="s">
        <v>123</v>
      </c>
      <c r="C238" s="146" t="s">
        <v>127</v>
      </c>
      <c r="D238" s="146" t="s">
        <v>128</v>
      </c>
      <c r="E238" s="146" t="s">
        <v>124</v>
      </c>
      <c r="F238" s="146" t="s">
        <v>125</v>
      </c>
      <c r="G238" s="146" t="s">
        <v>126</v>
      </c>
      <c r="H238" s="146" t="s">
        <v>16</v>
      </c>
      <c r="I238" s="147" t="s">
        <v>129</v>
      </c>
      <c r="J238" s="148"/>
      <c r="K238" s="149"/>
    </row>
    <row r="239" spans="1:11" ht="21.75" thickBot="1" x14ac:dyDescent="0.4">
      <c r="B239" s="150">
        <f t="shared" ref="B239:I239" si="10">SUM(B226:B238)</f>
        <v>0</v>
      </c>
      <c r="C239" s="151">
        <f t="shared" si="10"/>
        <v>0</v>
      </c>
      <c r="D239" s="151">
        <f t="shared" si="10"/>
        <v>0</v>
      </c>
      <c r="E239" s="151">
        <f t="shared" si="10"/>
        <v>0</v>
      </c>
      <c r="F239" s="151">
        <f t="shared" si="10"/>
        <v>0</v>
      </c>
      <c r="G239" s="151">
        <f t="shared" si="10"/>
        <v>0</v>
      </c>
      <c r="H239" s="151">
        <f t="shared" si="10"/>
        <v>0</v>
      </c>
      <c r="I239" s="152">
        <f t="shared" si="10"/>
        <v>0</v>
      </c>
      <c r="J239" s="143" t="s">
        <v>131</v>
      </c>
      <c r="K239" s="144">
        <f>SUM(B239:J239)</f>
        <v>0</v>
      </c>
    </row>
    <row r="241" spans="1:11" ht="15.75" thickBot="1" x14ac:dyDescent="0.3"/>
    <row r="242" spans="1:11" ht="27" thickBot="1" x14ac:dyDescent="0.45">
      <c r="A242" s="166"/>
      <c r="B242" s="167"/>
      <c r="C242" s="167"/>
      <c r="D242" s="167"/>
      <c r="E242" s="167"/>
      <c r="F242" s="167"/>
      <c r="G242" s="167"/>
      <c r="H242" s="167"/>
      <c r="I242" s="167"/>
      <c r="J242" s="168" t="s">
        <v>131</v>
      </c>
      <c r="K242" s="169">
        <f>K222+K239</f>
        <v>4000</v>
      </c>
    </row>
    <row r="244" spans="1:11" ht="15.75" thickBot="1" x14ac:dyDescent="0.3"/>
    <row r="245" spans="1:11" ht="19.5" thickBot="1" x14ac:dyDescent="0.35">
      <c r="A245" s="165" t="s">
        <v>148</v>
      </c>
      <c r="B245" s="125" t="s">
        <v>123</v>
      </c>
      <c r="C245" s="125" t="s">
        <v>127</v>
      </c>
      <c r="D245" s="125" t="s">
        <v>128</v>
      </c>
      <c r="E245" s="125" t="s">
        <v>124</v>
      </c>
      <c r="F245" s="125" t="s">
        <v>125</v>
      </c>
      <c r="G245" s="125" t="s">
        <v>126</v>
      </c>
      <c r="H245" s="125" t="s">
        <v>16</v>
      </c>
      <c r="I245" s="125" t="s">
        <v>129</v>
      </c>
      <c r="J245" s="126" t="s">
        <v>130</v>
      </c>
      <c r="K245" s="127"/>
    </row>
    <row r="246" spans="1:11" ht="18.75" x14ac:dyDescent="0.3">
      <c r="A246" s="128"/>
      <c r="B246" s="129"/>
      <c r="C246" s="130"/>
      <c r="D246" s="130"/>
      <c r="E246" s="130"/>
      <c r="F246" s="130"/>
      <c r="G246" s="130"/>
      <c r="H246" s="130"/>
      <c r="I246" s="130"/>
      <c r="J246" s="131"/>
      <c r="K246" s="132"/>
    </row>
    <row r="247" spans="1:11" x14ac:dyDescent="0.25">
      <c r="A247" s="153"/>
      <c r="B247" s="133"/>
      <c r="C247" s="134"/>
      <c r="D247" s="134"/>
      <c r="E247" s="134"/>
      <c r="F247" s="134"/>
      <c r="G247" s="134"/>
      <c r="H247" s="134"/>
      <c r="I247" s="134"/>
      <c r="J247" s="135"/>
      <c r="K247" s="136"/>
    </row>
    <row r="248" spans="1:11" x14ac:dyDescent="0.25">
      <c r="A248" s="153"/>
      <c r="B248" s="133"/>
      <c r="C248" s="134"/>
      <c r="D248" s="134"/>
      <c r="E248" s="134"/>
      <c r="F248" s="134"/>
      <c r="G248" s="134"/>
      <c r="H248" s="134"/>
      <c r="I248" s="134"/>
      <c r="J248" s="135"/>
      <c r="K248" s="136"/>
    </row>
    <row r="249" spans="1:11" x14ac:dyDescent="0.25">
      <c r="A249" s="153"/>
      <c r="B249" s="133"/>
      <c r="C249" s="134"/>
      <c r="D249" s="134"/>
      <c r="E249" s="134"/>
      <c r="F249" s="134"/>
      <c r="G249" s="134"/>
      <c r="H249" s="134"/>
      <c r="I249" s="134"/>
      <c r="J249" s="138"/>
      <c r="K249" s="136"/>
    </row>
    <row r="250" spans="1:11" x14ac:dyDescent="0.25">
      <c r="A250" s="153"/>
      <c r="B250" s="133"/>
      <c r="C250" s="134"/>
      <c r="D250" s="134"/>
      <c r="E250" s="134"/>
      <c r="F250" s="134"/>
      <c r="G250" s="134"/>
      <c r="H250" s="134"/>
      <c r="I250" s="134"/>
      <c r="J250" s="135"/>
      <c r="K250" s="136"/>
    </row>
    <row r="251" spans="1:11" x14ac:dyDescent="0.25">
      <c r="A251" s="153"/>
      <c r="B251" s="133"/>
      <c r="C251" s="134"/>
      <c r="D251" s="134"/>
      <c r="E251" s="134"/>
      <c r="F251" s="134"/>
      <c r="G251" s="134"/>
      <c r="H251" s="134"/>
      <c r="I251" s="134"/>
      <c r="J251" s="135"/>
      <c r="K251" s="136"/>
    </row>
    <row r="252" spans="1:11" x14ac:dyDescent="0.25">
      <c r="A252" s="153"/>
      <c r="B252" s="133"/>
      <c r="C252" s="134"/>
      <c r="D252" s="134"/>
      <c r="E252" s="134"/>
      <c r="F252" s="134"/>
      <c r="G252" s="134"/>
      <c r="H252" s="134"/>
      <c r="I252" s="134"/>
      <c r="J252" s="135"/>
      <c r="K252" s="136"/>
    </row>
    <row r="253" spans="1:11" x14ac:dyDescent="0.25">
      <c r="A253" s="153"/>
      <c r="B253" s="133"/>
      <c r="C253" s="134"/>
      <c r="D253" s="134"/>
      <c r="E253" s="134"/>
      <c r="F253" s="134"/>
      <c r="G253" s="134"/>
      <c r="H253" s="134"/>
      <c r="I253" s="134"/>
      <c r="J253" s="135"/>
      <c r="K253" s="136"/>
    </row>
    <row r="254" spans="1:11" x14ac:dyDescent="0.25">
      <c r="A254" s="153"/>
      <c r="B254" s="133"/>
      <c r="C254" s="134"/>
      <c r="D254" s="134"/>
      <c r="E254" s="134"/>
      <c r="F254" s="134"/>
      <c r="G254" s="134"/>
      <c r="H254" s="134"/>
      <c r="I254" s="134"/>
      <c r="J254" s="135"/>
      <c r="K254" s="136"/>
    </row>
    <row r="255" spans="1:11" x14ac:dyDescent="0.25">
      <c r="A255" s="153"/>
      <c r="B255" s="133"/>
      <c r="C255" s="134"/>
      <c r="D255" s="134"/>
      <c r="E255" s="134"/>
      <c r="F255" s="134"/>
      <c r="G255" s="134"/>
      <c r="H255" s="134"/>
      <c r="I255" s="134"/>
      <c r="J255" s="135"/>
      <c r="K255" s="136"/>
    </row>
    <row r="256" spans="1:11" x14ac:dyDescent="0.25">
      <c r="A256" s="155"/>
      <c r="B256" s="156"/>
      <c r="C256" s="157"/>
      <c r="D256" s="157"/>
      <c r="E256" s="157"/>
      <c r="F256" s="157"/>
      <c r="G256" s="157"/>
      <c r="H256" s="157"/>
      <c r="I256" s="157"/>
      <c r="J256" s="158"/>
      <c r="K256" s="159"/>
    </row>
    <row r="257" spans="1:11" ht="15.75" thickBot="1" x14ac:dyDescent="0.3">
      <c r="A257" s="154"/>
      <c r="B257" s="139"/>
      <c r="C257" s="140"/>
      <c r="D257" s="140"/>
      <c r="E257" s="140"/>
      <c r="F257" s="140"/>
      <c r="G257" s="140"/>
      <c r="H257" s="140"/>
      <c r="I257" s="140"/>
      <c r="J257" s="141"/>
      <c r="K257" s="142"/>
    </row>
    <row r="258" spans="1:11" ht="16.5" thickBot="1" x14ac:dyDescent="0.3">
      <c r="A258" s="124"/>
      <c r="B258" s="145" t="s">
        <v>123</v>
      </c>
      <c r="C258" s="146" t="s">
        <v>127</v>
      </c>
      <c r="D258" s="146" t="s">
        <v>128</v>
      </c>
      <c r="E258" s="146" t="s">
        <v>124</v>
      </c>
      <c r="F258" s="146" t="s">
        <v>125</v>
      </c>
      <c r="G258" s="146" t="s">
        <v>126</v>
      </c>
      <c r="H258" s="146" t="s">
        <v>16</v>
      </c>
      <c r="I258" s="147" t="s">
        <v>129</v>
      </c>
      <c r="J258" s="148"/>
      <c r="K258" s="149"/>
    </row>
    <row r="259" spans="1:11" ht="21.75" thickBot="1" x14ac:dyDescent="0.4">
      <c r="B259" s="150">
        <f t="shared" ref="B259:I259" si="11">SUM(B246:B258)</f>
        <v>0</v>
      </c>
      <c r="C259" s="151">
        <f t="shared" si="11"/>
        <v>0</v>
      </c>
      <c r="D259" s="151">
        <f t="shared" si="11"/>
        <v>0</v>
      </c>
      <c r="E259" s="151">
        <f t="shared" si="11"/>
        <v>0</v>
      </c>
      <c r="F259" s="151">
        <f t="shared" si="11"/>
        <v>0</v>
      </c>
      <c r="G259" s="151">
        <f t="shared" si="11"/>
        <v>0</v>
      </c>
      <c r="H259" s="151">
        <f t="shared" si="11"/>
        <v>0</v>
      </c>
      <c r="I259" s="152">
        <f t="shared" si="11"/>
        <v>0</v>
      </c>
      <c r="J259" s="143" t="s">
        <v>131</v>
      </c>
      <c r="K259" s="144">
        <f>SUM(B259:J259)</f>
        <v>0</v>
      </c>
    </row>
    <row r="261" spans="1:11" ht="15.75" thickBot="1" x14ac:dyDescent="0.3"/>
    <row r="262" spans="1:11" ht="27" thickBot="1" x14ac:dyDescent="0.45">
      <c r="A262" s="166"/>
      <c r="B262" s="167"/>
      <c r="C262" s="167"/>
      <c r="D262" s="167"/>
      <c r="E262" s="167"/>
      <c r="F262" s="167"/>
      <c r="G262" s="167"/>
      <c r="H262" s="167"/>
      <c r="I262" s="167"/>
      <c r="J262" s="168" t="s">
        <v>131</v>
      </c>
      <c r="K262" s="169">
        <f>K242+K259</f>
        <v>4000</v>
      </c>
    </row>
  </sheetData>
  <printOptions horizontalCentered="1" verticalCentered="1"/>
  <pageMargins left="0.11811023622047245" right="0.11811023622047245" top="0.35433070866141736" bottom="0.15748031496062992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9A729-6D35-4836-99E8-60E9F3AECEDF}">
  <sheetPr codeName="Feuil4"/>
  <dimension ref="B2:E104"/>
  <sheetViews>
    <sheetView topLeftCell="A87" zoomScale="106" zoomScaleNormal="106" workbookViewId="0">
      <selection activeCell="C82" sqref="C82"/>
    </sheetView>
  </sheetViews>
  <sheetFormatPr baseColWidth="10" defaultRowHeight="15" x14ac:dyDescent="0.25"/>
  <cols>
    <col min="3" max="5" width="11.42578125" style="6"/>
  </cols>
  <sheetData>
    <row r="2" spans="2:5" ht="15.75" thickBot="1" x14ac:dyDescent="0.3">
      <c r="B2" s="38" t="s">
        <v>63</v>
      </c>
      <c r="C2" s="42" t="s">
        <v>80</v>
      </c>
      <c r="D2" s="46" t="s">
        <v>81</v>
      </c>
      <c r="E2" s="42" t="s">
        <v>81</v>
      </c>
    </row>
    <row r="3" spans="2:5" x14ac:dyDescent="0.25">
      <c r="B3" s="39">
        <v>1</v>
      </c>
      <c r="C3" s="43">
        <f ca="1">COUNTIFS(Adhérents!$G$7:$G$9,"=1",Adhérents!$E$7:$E$9,"M")</f>
        <v>0</v>
      </c>
      <c r="D3" s="47">
        <f t="shared" ref="D3:D34" ca="1" si="0">-E3</f>
        <v>0</v>
      </c>
      <c r="E3" s="43">
        <f ca="1">COUNTIFS(Adhérents!$G$7:$G$9,"=1",Adhérents!$E$7:$E$9,"F")</f>
        <v>0</v>
      </c>
    </row>
    <row r="4" spans="2:5" x14ac:dyDescent="0.25">
      <c r="B4" s="40">
        <v>2</v>
      </c>
      <c r="C4" s="44">
        <f ca="1">COUNTIFS(Adhérents!$G$7:$G$9,"=2",Adhérents!$E$7:$E$9,"M")</f>
        <v>0</v>
      </c>
      <c r="D4" s="48">
        <f t="shared" ca="1" si="0"/>
        <v>0</v>
      </c>
      <c r="E4" s="44">
        <f ca="1">COUNTIFS(Adhérents!$G$7:$G$9,"=2",Adhérents!$E$7:$E$9,"F")</f>
        <v>0</v>
      </c>
    </row>
    <row r="5" spans="2:5" x14ac:dyDescent="0.25">
      <c r="B5" s="40">
        <v>3</v>
      </c>
      <c r="C5" s="44">
        <f ca="1">COUNTIFS(Adhérents!$G$7:$G$9,"=3",Adhérents!$E$7:$E$9,"M")</f>
        <v>0</v>
      </c>
      <c r="D5" s="48">
        <f t="shared" ca="1" si="0"/>
        <v>0</v>
      </c>
      <c r="E5" s="44">
        <f ca="1">COUNTIFS(Adhérents!$G$7:$G$9,"=3",Adhérents!$E$7:$E$9,"F")</f>
        <v>0</v>
      </c>
    </row>
    <row r="6" spans="2:5" x14ac:dyDescent="0.25">
      <c r="B6" s="40">
        <v>4</v>
      </c>
      <c r="C6" s="44">
        <f ca="1">COUNTIFS(Adhérents!$G$7:$G$9,"=4",Adhérents!$E$7:$E$9,"M")</f>
        <v>0</v>
      </c>
      <c r="D6" s="48">
        <f t="shared" ca="1" si="0"/>
        <v>0</v>
      </c>
      <c r="E6" s="44">
        <f ca="1">COUNTIFS(Adhérents!$G$7:$G$9,"=4",Adhérents!$E$7:$E$9,"F")</f>
        <v>0</v>
      </c>
    </row>
    <row r="7" spans="2:5" x14ac:dyDescent="0.25">
      <c r="B7" s="40">
        <v>5</v>
      </c>
      <c r="C7" s="44">
        <f ca="1">COUNTIFS(Adhérents!$G$7:$G$9,"=5",Adhérents!$E$7:$E$9,"M")</f>
        <v>0</v>
      </c>
      <c r="D7" s="48">
        <f t="shared" ca="1" si="0"/>
        <v>0</v>
      </c>
      <c r="E7" s="44">
        <f ca="1">COUNTIFS(Adhérents!$G$7:$G$9,"=5",Adhérents!$E$7:$E$9,"F")</f>
        <v>0</v>
      </c>
    </row>
    <row r="8" spans="2:5" x14ac:dyDescent="0.25">
      <c r="B8" s="40">
        <v>6</v>
      </c>
      <c r="C8" s="44">
        <f ca="1">COUNTIFS(Adhérents!$G$7:$G$9,"=6",Adhérents!$E$7:$E$9,"M")</f>
        <v>0</v>
      </c>
      <c r="D8" s="48">
        <f t="shared" ca="1" si="0"/>
        <v>0</v>
      </c>
      <c r="E8" s="44">
        <f ca="1">COUNTIFS(Adhérents!$G$7:$G$9,"=6",Adhérents!$E$7:$E$9,"F")</f>
        <v>0</v>
      </c>
    </row>
    <row r="9" spans="2:5" x14ac:dyDescent="0.25">
      <c r="B9" s="40">
        <v>7</v>
      </c>
      <c r="C9" s="44">
        <f ca="1">COUNTIFS(Adhérents!$G$7:$G$9,"=7",Adhérents!$E$7:$E$9,"M")</f>
        <v>0</v>
      </c>
      <c r="D9" s="48">
        <f t="shared" ca="1" si="0"/>
        <v>0</v>
      </c>
      <c r="E9" s="44">
        <f ca="1">COUNTIFS(Adhérents!$G$7:$G$9,"=7",Adhérents!$E$7:$E$9,"F")</f>
        <v>0</v>
      </c>
    </row>
    <row r="10" spans="2:5" x14ac:dyDescent="0.25">
      <c r="B10" s="40">
        <v>8</v>
      </c>
      <c r="C10" s="44">
        <f ca="1">COUNTIFS(Adhérents!$G$7:$G$9,"=8",Adhérents!$E$7:$E$9,"M")</f>
        <v>0</v>
      </c>
      <c r="D10" s="48">
        <f t="shared" ca="1" si="0"/>
        <v>0</v>
      </c>
      <c r="E10" s="44">
        <f ca="1">COUNTIFS(Adhérents!$G$7:$G$9,"=8",Adhérents!$E$7:$E$9,"F")</f>
        <v>0</v>
      </c>
    </row>
    <row r="11" spans="2:5" x14ac:dyDescent="0.25">
      <c r="B11" s="40">
        <v>9</v>
      </c>
      <c r="C11" s="44">
        <f ca="1">COUNTIFS(Adhérents!$G$7:$G$9,"=9",Adhérents!$E$7:$E$9,"M")</f>
        <v>0</v>
      </c>
      <c r="D11" s="48">
        <f t="shared" ca="1" si="0"/>
        <v>0</v>
      </c>
      <c r="E11" s="44">
        <f ca="1">COUNTIFS(Adhérents!$G$7:$G$9,"=9",Adhérents!$E$7:$E$9,"F")</f>
        <v>0</v>
      </c>
    </row>
    <row r="12" spans="2:5" x14ac:dyDescent="0.25">
      <c r="B12" s="40">
        <v>10</v>
      </c>
      <c r="C12" s="44">
        <f ca="1">COUNTIFS(Adhérents!$G$7:$G$9,"=10",Adhérents!$E$7:$E$9,"M")</f>
        <v>0</v>
      </c>
      <c r="D12" s="48">
        <f t="shared" ca="1" si="0"/>
        <v>0</v>
      </c>
      <c r="E12" s="44">
        <f ca="1">COUNTIFS(Adhérents!$G$7:$G$9,"=10",Adhérents!$E$7:$E$9,"F")</f>
        <v>0</v>
      </c>
    </row>
    <row r="13" spans="2:5" x14ac:dyDescent="0.25">
      <c r="B13" s="40">
        <v>11</v>
      </c>
      <c r="C13" s="44">
        <f ca="1">COUNTIFS(Adhérents!$G$7:$G$9,"=11",Adhérents!$E$7:$E$9,"M")</f>
        <v>0</v>
      </c>
      <c r="D13" s="48">
        <f t="shared" ca="1" si="0"/>
        <v>0</v>
      </c>
      <c r="E13" s="44">
        <f ca="1">COUNTIFS(Adhérents!$G$7:$G$9,"=11",Adhérents!$E$7:$E$9,"F")</f>
        <v>0</v>
      </c>
    </row>
    <row r="14" spans="2:5" x14ac:dyDescent="0.25">
      <c r="B14" s="40">
        <v>12</v>
      </c>
      <c r="C14" s="44">
        <f ca="1">COUNTIFS(Adhérents!$G$7:$G$9,"=12",Adhérents!$E$7:$E$9,"M")</f>
        <v>0</v>
      </c>
      <c r="D14" s="48">
        <f t="shared" ca="1" si="0"/>
        <v>0</v>
      </c>
      <c r="E14" s="44">
        <f ca="1">COUNTIFS(Adhérents!$G$7:$G$9,"=12",Adhérents!$E$7:$E$9,"F")</f>
        <v>0</v>
      </c>
    </row>
    <row r="15" spans="2:5" x14ac:dyDescent="0.25">
      <c r="B15" s="40">
        <v>13</v>
      </c>
      <c r="C15" s="44">
        <f ca="1">COUNTIFS(Adhérents!$G$7:$G$9,"=13",Adhérents!$E$7:$E$9,"M")</f>
        <v>0</v>
      </c>
      <c r="D15" s="48">
        <f t="shared" ca="1" si="0"/>
        <v>0</v>
      </c>
      <c r="E15" s="44">
        <f ca="1">COUNTIFS(Adhérents!$G$7:$G$9,"=13",Adhérents!$E$7:$E$9,"F")</f>
        <v>0</v>
      </c>
    </row>
    <row r="16" spans="2:5" x14ac:dyDescent="0.25">
      <c r="B16" s="40">
        <v>14</v>
      </c>
      <c r="C16" s="44">
        <f ca="1">COUNTIFS(Adhérents!$G$7:$G$9,"=14",Adhérents!$E$7:$E$9,"M")</f>
        <v>0</v>
      </c>
      <c r="D16" s="48">
        <f t="shared" ca="1" si="0"/>
        <v>0</v>
      </c>
      <c r="E16" s="44">
        <f ca="1">COUNTIFS(Adhérents!$G$7:$G$9,"=14",Adhérents!$E$7:$E$9,"F")</f>
        <v>0</v>
      </c>
    </row>
    <row r="17" spans="2:5" x14ac:dyDescent="0.25">
      <c r="B17" s="40">
        <v>15</v>
      </c>
      <c r="C17" s="44">
        <f ca="1">COUNTIFS(Adhérents!$G$7:$G$9,"=15",Adhérents!$E$7:$E$9,"M")</f>
        <v>0</v>
      </c>
      <c r="D17" s="48">
        <f t="shared" ca="1" si="0"/>
        <v>0</v>
      </c>
      <c r="E17" s="44">
        <f ca="1">COUNTIFS(Adhérents!$G$7:$G$9,"=15",Adhérents!$E$7:$E$9,"F")</f>
        <v>0</v>
      </c>
    </row>
    <row r="18" spans="2:5" x14ac:dyDescent="0.25">
      <c r="B18" s="40">
        <v>16</v>
      </c>
      <c r="C18" s="44">
        <f ca="1">COUNTIFS(Adhérents!$G$7:$G$9,"=16",Adhérents!$E$7:$E$9,"M")</f>
        <v>0</v>
      </c>
      <c r="D18" s="48">
        <f t="shared" ca="1" si="0"/>
        <v>0</v>
      </c>
      <c r="E18" s="44">
        <f ca="1">COUNTIFS(Adhérents!$G$7:$G$9,"=16",Adhérents!$E$7:$E$9,"F")</f>
        <v>0</v>
      </c>
    </row>
    <row r="19" spans="2:5" x14ac:dyDescent="0.25">
      <c r="B19" s="40">
        <v>17</v>
      </c>
      <c r="C19" s="44">
        <f ca="1">COUNTIFS(Adhérents!$G$7:$G$9,"=17",Adhérents!$E$7:$E$9,"M")</f>
        <v>0</v>
      </c>
      <c r="D19" s="48">
        <f t="shared" ca="1" si="0"/>
        <v>0</v>
      </c>
      <c r="E19" s="44">
        <f ca="1">COUNTIFS(Adhérents!$G$7:$G$9,"=17",Adhérents!$E$7:$E$9,"F")</f>
        <v>0</v>
      </c>
    </row>
    <row r="20" spans="2:5" x14ac:dyDescent="0.25">
      <c r="B20" s="40">
        <v>18</v>
      </c>
      <c r="C20" s="44">
        <f ca="1">COUNTIFS(Adhérents!$G$7:$G$9,"=18",Adhérents!$E$7:$E$9,"M")</f>
        <v>0</v>
      </c>
      <c r="D20" s="48">
        <f t="shared" ca="1" si="0"/>
        <v>0</v>
      </c>
      <c r="E20" s="44">
        <f ca="1">COUNTIFS(Adhérents!$G$7:$G$9,"=18",Adhérents!$E$7:$E$9,"F")</f>
        <v>0</v>
      </c>
    </row>
    <row r="21" spans="2:5" x14ac:dyDescent="0.25">
      <c r="B21" s="40">
        <v>19</v>
      </c>
      <c r="C21" s="44">
        <f ca="1">COUNTIFS(Adhérents!$G$7:$G$9,"=19",Adhérents!$E$7:$E$9,"M")</f>
        <v>0</v>
      </c>
      <c r="D21" s="48">
        <f t="shared" ca="1" si="0"/>
        <v>0</v>
      </c>
      <c r="E21" s="44">
        <f ca="1">COUNTIFS(Adhérents!$G$7:$G$9,"=19",Adhérents!$E$7:$E$9,"F")</f>
        <v>0</v>
      </c>
    </row>
    <row r="22" spans="2:5" x14ac:dyDescent="0.25">
      <c r="B22" s="40">
        <v>20</v>
      </c>
      <c r="C22" s="44">
        <f ca="1">COUNTIFS(Adhérents!$G$7:$G$9,"=20",Adhérents!$E$7:$E$9,"M")</f>
        <v>0</v>
      </c>
      <c r="D22" s="48">
        <f t="shared" ca="1" si="0"/>
        <v>-1</v>
      </c>
      <c r="E22" s="44">
        <f ca="1">COUNTIFS(Adhérents!$G$7:$G$9,"=20",Adhérents!$E$7:$E$9,"F")</f>
        <v>1</v>
      </c>
    </row>
    <row r="23" spans="2:5" x14ac:dyDescent="0.25">
      <c r="B23" s="40">
        <v>21</v>
      </c>
      <c r="C23" s="44">
        <f ca="1">COUNTIFS(Adhérents!$G$7:$G$9,"=21",Adhérents!$E$7:$E$9,"M")</f>
        <v>0</v>
      </c>
      <c r="D23" s="48">
        <f t="shared" ca="1" si="0"/>
        <v>0</v>
      </c>
      <c r="E23" s="44">
        <f ca="1">COUNTIFS(Adhérents!$G$7:$G$9,"=21",Adhérents!$E$7:$E$9,"F")</f>
        <v>0</v>
      </c>
    </row>
    <row r="24" spans="2:5" x14ac:dyDescent="0.25">
      <c r="B24" s="40">
        <v>22</v>
      </c>
      <c r="C24" s="44">
        <f ca="1">COUNTIFS(Adhérents!$G$7:$G$9,"=22",Adhérents!$E$7:$E$9,"M")</f>
        <v>0</v>
      </c>
      <c r="D24" s="48">
        <f t="shared" ca="1" si="0"/>
        <v>0</v>
      </c>
      <c r="E24" s="44">
        <f ca="1">COUNTIFS(Adhérents!$G$7:$G$9,"=22",Adhérents!$E$7:$E$9,"F")</f>
        <v>0</v>
      </c>
    </row>
    <row r="25" spans="2:5" x14ac:dyDescent="0.25">
      <c r="B25" s="40">
        <v>23</v>
      </c>
      <c r="C25" s="44">
        <f ca="1">COUNTIFS(Adhérents!$G$7:$G$9,"=23",Adhérents!$E$7:$E$9,"M")</f>
        <v>0</v>
      </c>
      <c r="D25" s="48">
        <f t="shared" ca="1" si="0"/>
        <v>0</v>
      </c>
      <c r="E25" s="44">
        <f ca="1">COUNTIFS(Adhérents!$G$7:$G$9,"=23",Adhérents!$E$7:$E$9,"F")</f>
        <v>0</v>
      </c>
    </row>
    <row r="26" spans="2:5" x14ac:dyDescent="0.25">
      <c r="B26" s="40">
        <v>24</v>
      </c>
      <c r="C26" s="44">
        <f ca="1">COUNTIFS(Adhérents!$G$7:$G$9,"=24",Adhérents!$E$7:$E$9,"M")</f>
        <v>0</v>
      </c>
      <c r="D26" s="48">
        <f t="shared" ca="1" si="0"/>
        <v>0</v>
      </c>
      <c r="E26" s="44">
        <f ca="1">COUNTIFS(Adhérents!$G$7:$G$9,"=24",Adhérents!$E$7:$E$9,"F")</f>
        <v>0</v>
      </c>
    </row>
    <row r="27" spans="2:5" x14ac:dyDescent="0.25">
      <c r="B27" s="40">
        <v>25</v>
      </c>
      <c r="C27" s="44">
        <f ca="1">COUNTIFS(Adhérents!$G$7:$G$9,"=25",Adhérents!$E$7:$E$9,"M")</f>
        <v>0</v>
      </c>
      <c r="D27" s="48">
        <f t="shared" ca="1" si="0"/>
        <v>0</v>
      </c>
      <c r="E27" s="44">
        <f ca="1">COUNTIFS(Adhérents!$G$7:$G$9,"=25",Adhérents!$E$7:$E$9,"F")</f>
        <v>0</v>
      </c>
    </row>
    <row r="28" spans="2:5" x14ac:dyDescent="0.25">
      <c r="B28" s="40">
        <v>26</v>
      </c>
      <c r="C28" s="44">
        <f ca="1">COUNTIFS(Adhérents!$G$7:$G$9,"=26",Adhérents!$E$7:$E$9,"M")</f>
        <v>0</v>
      </c>
      <c r="D28" s="48">
        <f t="shared" ca="1" si="0"/>
        <v>0</v>
      </c>
      <c r="E28" s="44">
        <f ca="1">COUNTIFS(Adhérents!$G$7:$G$9,"=26",Adhérents!$E$7:$E$9,"F")</f>
        <v>0</v>
      </c>
    </row>
    <row r="29" spans="2:5" x14ac:dyDescent="0.25">
      <c r="B29" s="40">
        <v>27</v>
      </c>
      <c r="C29" s="44">
        <f ca="1">COUNTIFS(Adhérents!$G$7:$G$9,"=27",Adhérents!$E$7:$E$9,"M")</f>
        <v>0</v>
      </c>
      <c r="D29" s="48">
        <f t="shared" ca="1" si="0"/>
        <v>0</v>
      </c>
      <c r="E29" s="44">
        <f ca="1">COUNTIFS(Adhérents!$G$7:$G$9,"=27",Adhérents!$E$7:$E$9,"F")</f>
        <v>0</v>
      </c>
    </row>
    <row r="30" spans="2:5" x14ac:dyDescent="0.25">
      <c r="B30" s="40">
        <v>28</v>
      </c>
      <c r="C30" s="44">
        <f ca="1">COUNTIFS(Adhérents!$G$7:$G$9,"=28",Adhérents!$E$7:$E$9,"M")</f>
        <v>0</v>
      </c>
      <c r="D30" s="48">
        <f t="shared" ca="1" si="0"/>
        <v>0</v>
      </c>
      <c r="E30" s="44">
        <f ca="1">COUNTIFS(Adhérents!$G$7:$G$9,"=28",Adhérents!$E$7:$E$9,"F")</f>
        <v>0</v>
      </c>
    </row>
    <row r="31" spans="2:5" x14ac:dyDescent="0.25">
      <c r="B31" s="40">
        <v>29</v>
      </c>
      <c r="C31" s="44">
        <f ca="1">COUNTIFS(Adhérents!$G$7:$G$9,"=29",Adhérents!$E$7:$E$9,"M")</f>
        <v>0</v>
      </c>
      <c r="D31" s="48">
        <f t="shared" ca="1" si="0"/>
        <v>0</v>
      </c>
      <c r="E31" s="44">
        <f ca="1">COUNTIFS(Adhérents!$G$7:$G$9,"=29",Adhérents!$E$7:$E$9,"F")</f>
        <v>0</v>
      </c>
    </row>
    <row r="32" spans="2:5" x14ac:dyDescent="0.25">
      <c r="B32" s="40">
        <v>30</v>
      </c>
      <c r="C32" s="44">
        <f ca="1">COUNTIFS(Adhérents!$G$7:$G$9,"=30",Adhérents!$E$7:$E$9,"M")</f>
        <v>0</v>
      </c>
      <c r="D32" s="48">
        <f t="shared" ca="1" si="0"/>
        <v>0</v>
      </c>
      <c r="E32" s="44">
        <f ca="1">COUNTIFS(Adhérents!$G$7:$G$9,"=30",Adhérents!$E$7:$E$9,"F")</f>
        <v>0</v>
      </c>
    </row>
    <row r="33" spans="2:5" x14ac:dyDescent="0.25">
      <c r="B33" s="40">
        <v>31</v>
      </c>
      <c r="C33" s="44">
        <f ca="1">COUNTIFS(Adhérents!$G$7:$G$9,"=31",Adhérents!$E$7:$E$9,"M")</f>
        <v>0</v>
      </c>
      <c r="D33" s="48">
        <f t="shared" ca="1" si="0"/>
        <v>0</v>
      </c>
      <c r="E33" s="44">
        <f ca="1">COUNTIFS(Adhérents!$G$7:$G$9,"=31",Adhérents!$E$7:$E$9,"F")</f>
        <v>0</v>
      </c>
    </row>
    <row r="34" spans="2:5" x14ac:dyDescent="0.25">
      <c r="B34" s="40">
        <v>32</v>
      </c>
      <c r="C34" s="44">
        <f ca="1">COUNTIFS(Adhérents!$G$7:$G$9,"=32",Adhérents!$E$7:$E$9,"M")</f>
        <v>0</v>
      </c>
      <c r="D34" s="48">
        <f t="shared" ca="1" si="0"/>
        <v>0</v>
      </c>
      <c r="E34" s="44">
        <f ca="1">COUNTIFS(Adhérents!$G$7:$G$9,"=32",Adhérents!$E$7:$E$9,"F")</f>
        <v>0</v>
      </c>
    </row>
    <row r="35" spans="2:5" x14ac:dyDescent="0.25">
      <c r="B35" s="40">
        <v>33</v>
      </c>
      <c r="C35" s="44">
        <f ca="1">COUNTIFS(Adhérents!$G$7:$G$9,"=33",Adhérents!$E$7:$E$9,"M")</f>
        <v>0</v>
      </c>
      <c r="D35" s="48">
        <f t="shared" ref="D35:D66" ca="1" si="1">-E35</f>
        <v>0</v>
      </c>
      <c r="E35" s="44">
        <f ca="1">COUNTIFS(Adhérents!$G$7:$G$9,"=33",Adhérents!$E$7:$E$9,"F")</f>
        <v>0</v>
      </c>
    </row>
    <row r="36" spans="2:5" x14ac:dyDescent="0.25">
      <c r="B36" s="40">
        <v>34</v>
      </c>
      <c r="C36" s="44">
        <f ca="1">COUNTIFS(Adhérents!$G$7:$G$9,"=34",Adhérents!$E$7:$E$9,"M")</f>
        <v>0</v>
      </c>
      <c r="D36" s="48">
        <f t="shared" ca="1" si="1"/>
        <v>0</v>
      </c>
      <c r="E36" s="44">
        <f ca="1">COUNTIFS(Adhérents!$G$7:$G$9,"=34",Adhérents!$E$7:$E$9,"F")</f>
        <v>0</v>
      </c>
    </row>
    <row r="37" spans="2:5" x14ac:dyDescent="0.25">
      <c r="B37" s="40">
        <v>35</v>
      </c>
      <c r="C37" s="44">
        <f ca="1">COUNTIFS(Adhérents!$G$7:$G$9,"=35",Adhérents!$E$7:$E$9,"M")</f>
        <v>0</v>
      </c>
      <c r="D37" s="48">
        <f t="shared" ca="1" si="1"/>
        <v>0</v>
      </c>
      <c r="E37" s="44">
        <f ca="1">COUNTIFS(Adhérents!$G$7:$G$9,"=35",Adhérents!$E$7:$E$9,"F")</f>
        <v>0</v>
      </c>
    </row>
    <row r="38" spans="2:5" x14ac:dyDescent="0.25">
      <c r="B38" s="40">
        <v>36</v>
      </c>
      <c r="C38" s="44">
        <f ca="1">COUNTIFS(Adhérents!$G$7:$G$9,"=36",Adhérents!$E$7:$E$9,"M")</f>
        <v>0</v>
      </c>
      <c r="D38" s="48">
        <f t="shared" ca="1" si="1"/>
        <v>0</v>
      </c>
      <c r="E38" s="44">
        <f ca="1">COUNTIFS(Adhérents!$G$7:$G$9,"=36",Adhérents!$E$7:$E$9,"F")</f>
        <v>0</v>
      </c>
    </row>
    <row r="39" spans="2:5" x14ac:dyDescent="0.25">
      <c r="B39" s="40">
        <v>37</v>
      </c>
      <c r="C39" s="44">
        <f ca="1">COUNTIFS(Adhérents!$G$7:$G$9,"=37",Adhérents!$E$7:$E$9,"M")</f>
        <v>0</v>
      </c>
      <c r="D39" s="48">
        <f t="shared" ca="1" si="1"/>
        <v>0</v>
      </c>
      <c r="E39" s="44">
        <f ca="1">COUNTIFS(Adhérents!$G$7:$G$9,"=37",Adhérents!$E$7:$E$9,"F")</f>
        <v>0</v>
      </c>
    </row>
    <row r="40" spans="2:5" x14ac:dyDescent="0.25">
      <c r="B40" s="40">
        <v>38</v>
      </c>
      <c r="C40" s="44">
        <f ca="1">COUNTIFS(Adhérents!$G$7:$G$9,"=38",Adhérents!$E$7:$E$9,"M")</f>
        <v>0</v>
      </c>
      <c r="D40" s="48">
        <f t="shared" ca="1" si="1"/>
        <v>0</v>
      </c>
      <c r="E40" s="44">
        <f ca="1">COUNTIFS(Adhérents!$G$7:$G$9,"=38",Adhérents!$E$7:$E$9,"F")</f>
        <v>0</v>
      </c>
    </row>
    <row r="41" spans="2:5" x14ac:dyDescent="0.25">
      <c r="B41" s="40">
        <v>39</v>
      </c>
      <c r="C41" s="44">
        <f ca="1">COUNTIFS(Adhérents!$G$7:$G$9,"=39",Adhérents!$E$7:$E$9,"M")</f>
        <v>0</v>
      </c>
      <c r="D41" s="48">
        <f t="shared" ca="1" si="1"/>
        <v>0</v>
      </c>
      <c r="E41" s="44">
        <f ca="1">COUNTIFS(Adhérents!$G$7:$G$9,"=39",Adhérents!$E$7:$E$9,"F")</f>
        <v>0</v>
      </c>
    </row>
    <row r="42" spans="2:5" x14ac:dyDescent="0.25">
      <c r="B42" s="40">
        <v>40</v>
      </c>
      <c r="C42" s="44">
        <f ca="1">COUNTIFS(Adhérents!$G$7:$G$9,"=40",Adhérents!$E$7:$E$9,"M")</f>
        <v>1</v>
      </c>
      <c r="D42" s="48">
        <f t="shared" ca="1" si="1"/>
        <v>0</v>
      </c>
      <c r="E42" s="44">
        <f ca="1">COUNTIFS(Adhérents!$G$7:$G$9,"=40",Adhérents!$E$7:$E$9,"F")</f>
        <v>0</v>
      </c>
    </row>
    <row r="43" spans="2:5" x14ac:dyDescent="0.25">
      <c r="B43" s="40">
        <v>41</v>
      </c>
      <c r="C43" s="44">
        <f ca="1">COUNTIFS(Adhérents!$G$7:$G$9,"=41",Adhérents!$E$7:$E$9,"M")</f>
        <v>0</v>
      </c>
      <c r="D43" s="48">
        <f t="shared" ca="1" si="1"/>
        <v>0</v>
      </c>
      <c r="E43" s="44">
        <f ca="1">COUNTIFS(Adhérents!$G$7:$G$9,"=41",Adhérents!$E$7:$E$9,"F")</f>
        <v>0</v>
      </c>
    </row>
    <row r="44" spans="2:5" x14ac:dyDescent="0.25">
      <c r="B44" s="40">
        <v>42</v>
      </c>
      <c r="C44" s="44">
        <f ca="1">COUNTIFS(Adhérents!$G$7:$G$9,"=42",Adhérents!$E$7:$E$9,"M")</f>
        <v>0</v>
      </c>
      <c r="D44" s="48">
        <f t="shared" ca="1" si="1"/>
        <v>0</v>
      </c>
      <c r="E44" s="44">
        <f ca="1">COUNTIFS(Adhérents!$G$7:$G$9,"=42",Adhérents!$E$7:$E$9,"F")</f>
        <v>0</v>
      </c>
    </row>
    <row r="45" spans="2:5" x14ac:dyDescent="0.25">
      <c r="B45" s="40">
        <v>43</v>
      </c>
      <c r="C45" s="44">
        <f ca="1">COUNTIFS(Adhérents!$G$7:$G$9,"=43",Adhérents!$E$7:$E$9,"M")</f>
        <v>0</v>
      </c>
      <c r="D45" s="48">
        <f t="shared" ca="1" si="1"/>
        <v>0</v>
      </c>
      <c r="E45" s="44">
        <f ca="1">COUNTIFS(Adhérents!$G$7:$G$9,"=43",Adhérents!$E$7:$E$9,"F")</f>
        <v>0</v>
      </c>
    </row>
    <row r="46" spans="2:5" x14ac:dyDescent="0.25">
      <c r="B46" s="40">
        <v>44</v>
      </c>
      <c r="C46" s="44">
        <f ca="1">COUNTIFS(Adhérents!$G$7:$G$9,"=44",Adhérents!$E$7:$E$9,"M")</f>
        <v>0</v>
      </c>
      <c r="D46" s="48">
        <f t="shared" ca="1" si="1"/>
        <v>0</v>
      </c>
      <c r="E46" s="44">
        <f ca="1">COUNTIFS(Adhérents!$G$7:$G$9,"=44",Adhérents!$E$7:$E$9,"F")</f>
        <v>0</v>
      </c>
    </row>
    <row r="47" spans="2:5" x14ac:dyDescent="0.25">
      <c r="B47" s="40">
        <v>45</v>
      </c>
      <c r="C47" s="44">
        <f ca="1">COUNTIFS(Adhérents!$G$7:$G$9,"=45",Adhérents!$E$7:$E$9,"M")</f>
        <v>0</v>
      </c>
      <c r="D47" s="48">
        <f t="shared" ca="1" si="1"/>
        <v>0</v>
      </c>
      <c r="E47" s="44">
        <f ca="1">COUNTIFS(Adhérents!$G$7:$G$9,"=45",Adhérents!$E$7:$E$9,"F")</f>
        <v>0</v>
      </c>
    </row>
    <row r="48" spans="2:5" x14ac:dyDescent="0.25">
      <c r="B48" s="40">
        <v>46</v>
      </c>
      <c r="C48" s="44">
        <f ca="1">COUNTIFS(Adhérents!$G$7:$G$9,"=46",Adhérents!$E$7:$E$9,"M")</f>
        <v>0</v>
      </c>
      <c r="D48" s="48">
        <f t="shared" ca="1" si="1"/>
        <v>0</v>
      </c>
      <c r="E48" s="44">
        <f ca="1">COUNTIFS(Adhérents!$G$7:$G$9,"=46",Adhérents!$E$7:$E$9,"F")</f>
        <v>0</v>
      </c>
    </row>
    <row r="49" spans="2:5" x14ac:dyDescent="0.25">
      <c r="B49" s="40">
        <v>47</v>
      </c>
      <c r="C49" s="44">
        <f ca="1">COUNTIFS(Adhérents!$G$7:$G$9,"=47",Adhérents!$E$7:$E$9,"M")</f>
        <v>0</v>
      </c>
      <c r="D49" s="48">
        <f t="shared" ca="1" si="1"/>
        <v>0</v>
      </c>
      <c r="E49" s="44">
        <f ca="1">COUNTIFS(Adhérents!$G$7:$G$9,"=47",Adhérents!$E$7:$E$9,"F")</f>
        <v>0</v>
      </c>
    </row>
    <row r="50" spans="2:5" x14ac:dyDescent="0.25">
      <c r="B50" s="40">
        <v>48</v>
      </c>
      <c r="C50" s="44">
        <f ca="1">COUNTIFS(Adhérents!$G$7:$G$9,"=48",Adhérents!$E$7:$E$9,"M")</f>
        <v>0</v>
      </c>
      <c r="D50" s="48">
        <f t="shared" ca="1" si="1"/>
        <v>0</v>
      </c>
      <c r="E50" s="44">
        <f ca="1">COUNTIFS(Adhérents!$G$7:$G$9,"=48",Adhérents!$E$7:$E$9,"F")</f>
        <v>0</v>
      </c>
    </row>
    <row r="51" spans="2:5" x14ac:dyDescent="0.25">
      <c r="B51" s="40">
        <v>49</v>
      </c>
      <c r="C51" s="44">
        <f ca="1">COUNTIFS(Adhérents!$G$7:$G$9,"=49",Adhérents!$E$7:$E$9,"M")</f>
        <v>0</v>
      </c>
      <c r="D51" s="48">
        <f t="shared" ca="1" si="1"/>
        <v>0</v>
      </c>
      <c r="E51" s="44">
        <f ca="1">COUNTIFS(Adhérents!$G$7:$G$9,"=49",Adhérents!$E$7:$E$9,"F")</f>
        <v>0</v>
      </c>
    </row>
    <row r="52" spans="2:5" x14ac:dyDescent="0.25">
      <c r="B52" s="40">
        <v>50</v>
      </c>
      <c r="C52" s="44">
        <f ca="1">COUNTIFS(Adhérents!$G$7:$G$9,"=50",Adhérents!$E$7:$E$9,"M")</f>
        <v>0</v>
      </c>
      <c r="D52" s="48">
        <f t="shared" ca="1" si="1"/>
        <v>0</v>
      </c>
      <c r="E52" s="44">
        <f ca="1">COUNTIFS(Adhérents!$G$7:$G$9,"=50",Adhérents!$E$7:$E$9,"F")</f>
        <v>0</v>
      </c>
    </row>
    <row r="53" spans="2:5" x14ac:dyDescent="0.25">
      <c r="B53" s="40">
        <v>51</v>
      </c>
      <c r="C53" s="44">
        <f ca="1">COUNTIFS(Adhérents!$G$7:$G$9,"=51",Adhérents!$E$7:$E$9,"M")</f>
        <v>0</v>
      </c>
      <c r="D53" s="48">
        <f t="shared" ca="1" si="1"/>
        <v>0</v>
      </c>
      <c r="E53" s="44">
        <f ca="1">COUNTIFS(Adhérents!$G$7:$G$9,"=51",Adhérents!$E$7:$E$9,"F")</f>
        <v>0</v>
      </c>
    </row>
    <row r="54" spans="2:5" x14ac:dyDescent="0.25">
      <c r="B54" s="40">
        <v>52</v>
      </c>
      <c r="C54" s="44">
        <f ca="1">COUNTIFS(Adhérents!$G$7:$G$9,"=52",Adhérents!$E$7:$E$9,"M")</f>
        <v>0</v>
      </c>
      <c r="D54" s="48">
        <f t="shared" ca="1" si="1"/>
        <v>0</v>
      </c>
      <c r="E54" s="44">
        <f ca="1">COUNTIFS(Adhérents!$G$7:$G$9,"=52",Adhérents!$E$7:$E$9,"F")</f>
        <v>0</v>
      </c>
    </row>
    <row r="55" spans="2:5" x14ac:dyDescent="0.25">
      <c r="B55" s="40">
        <v>53</v>
      </c>
      <c r="C55" s="44">
        <f ca="1">COUNTIFS(Adhérents!$G$7:$G$9,"=53",Adhérents!$E$7:$E$9,"M")</f>
        <v>0</v>
      </c>
      <c r="D55" s="48">
        <f t="shared" ca="1" si="1"/>
        <v>0</v>
      </c>
      <c r="E55" s="44">
        <f ca="1">COUNTIFS(Adhérents!$G$7:$G$9,"=53",Adhérents!$E$7:$E$9,"F")</f>
        <v>0</v>
      </c>
    </row>
    <row r="56" spans="2:5" x14ac:dyDescent="0.25">
      <c r="B56" s="40">
        <v>54</v>
      </c>
      <c r="C56" s="44">
        <f ca="1">COUNTIFS(Adhérents!$G$7:$G$9,"=54",Adhérents!$E$7:$E$9,"M")</f>
        <v>0</v>
      </c>
      <c r="D56" s="48">
        <f t="shared" ca="1" si="1"/>
        <v>0</v>
      </c>
      <c r="E56" s="44">
        <f ca="1">COUNTIFS(Adhérents!$G$7:$G$9,"=54",Adhérents!$E$7:$E$9,"F")</f>
        <v>0</v>
      </c>
    </row>
    <row r="57" spans="2:5" x14ac:dyDescent="0.25">
      <c r="B57" s="40">
        <v>55</v>
      </c>
      <c r="C57" s="44">
        <f ca="1">COUNTIFS(Adhérents!$G$7:$G$9,"=55",Adhérents!$E$7:$E$9,"M")</f>
        <v>0</v>
      </c>
      <c r="D57" s="48">
        <f t="shared" ca="1" si="1"/>
        <v>0</v>
      </c>
      <c r="E57" s="44">
        <f ca="1">COUNTIFS(Adhérents!$G$7:$G$9,"=55",Adhérents!$E$7:$E$9,"F")</f>
        <v>0</v>
      </c>
    </row>
    <row r="58" spans="2:5" x14ac:dyDescent="0.25">
      <c r="B58" s="40">
        <v>56</v>
      </c>
      <c r="C58" s="44">
        <f ca="1">COUNTIFS(Adhérents!$G$7:$G$9,"=56",Adhérents!$E$7:$E$9,"M")</f>
        <v>0</v>
      </c>
      <c r="D58" s="48">
        <f t="shared" ca="1" si="1"/>
        <v>0</v>
      </c>
      <c r="E58" s="44">
        <f ca="1">COUNTIFS(Adhérents!$G$7:$G$9,"=56",Adhérents!$E$7:$E$9,"F")</f>
        <v>0</v>
      </c>
    </row>
    <row r="59" spans="2:5" x14ac:dyDescent="0.25">
      <c r="B59" s="40">
        <v>57</v>
      </c>
      <c r="C59" s="44">
        <f ca="1">COUNTIFS(Adhérents!$G$7:$G$9,"=57",Adhérents!$E$7:$E$9,"M")</f>
        <v>0</v>
      </c>
      <c r="D59" s="48">
        <f t="shared" ca="1" si="1"/>
        <v>0</v>
      </c>
      <c r="E59" s="44">
        <f ca="1">COUNTIFS(Adhérents!$G$7:$G$9,"=57",Adhérents!$E$7:$E$9,"F")</f>
        <v>0</v>
      </c>
    </row>
    <row r="60" spans="2:5" x14ac:dyDescent="0.25">
      <c r="B60" s="40">
        <v>58</v>
      </c>
      <c r="C60" s="44">
        <f ca="1">COUNTIFS(Adhérents!$G$7:$G$9,"=58",Adhérents!$E$7:$E$9,"M")</f>
        <v>0</v>
      </c>
      <c r="D60" s="48">
        <f t="shared" ca="1" si="1"/>
        <v>0</v>
      </c>
      <c r="E60" s="44">
        <f ca="1">COUNTIFS(Adhérents!$G$7:$G$9,"=58",Adhérents!$E$7:$E$9,"F")</f>
        <v>0</v>
      </c>
    </row>
    <row r="61" spans="2:5" x14ac:dyDescent="0.25">
      <c r="B61" s="40">
        <v>59</v>
      </c>
      <c r="C61" s="44">
        <f ca="1">COUNTIFS(Adhérents!$G$7:$G$9,"=59",Adhérents!$E$7:$E$9,"M")</f>
        <v>0</v>
      </c>
      <c r="D61" s="48">
        <f t="shared" ca="1" si="1"/>
        <v>0</v>
      </c>
      <c r="E61" s="44">
        <f ca="1">COUNTIFS(Adhérents!$G$7:$G$9,"=59",Adhérents!$E$7:$E$9,"F")</f>
        <v>0</v>
      </c>
    </row>
    <row r="62" spans="2:5" x14ac:dyDescent="0.25">
      <c r="B62" s="40">
        <v>60</v>
      </c>
      <c r="C62" s="44">
        <f ca="1">COUNTIFS(Adhérents!$G$7:$G$9,"=60",Adhérents!$E$7:$E$9,"M")</f>
        <v>0</v>
      </c>
      <c r="D62" s="48">
        <f t="shared" ca="1" si="1"/>
        <v>0</v>
      </c>
      <c r="E62" s="44">
        <f ca="1">COUNTIFS(Adhérents!$G$7:$G$9,"=60",Adhérents!$E$7:$E$9,"F")</f>
        <v>0</v>
      </c>
    </row>
    <row r="63" spans="2:5" x14ac:dyDescent="0.25">
      <c r="B63" s="40">
        <v>61</v>
      </c>
      <c r="C63" s="44">
        <f ca="1">COUNTIFS(Adhérents!$G$7:$G$9,"=61",Adhérents!$E$7:$E$9,"M")</f>
        <v>0</v>
      </c>
      <c r="D63" s="48">
        <f t="shared" ca="1" si="1"/>
        <v>0</v>
      </c>
      <c r="E63" s="44">
        <f ca="1">COUNTIFS(Adhérents!$G$7:$G$9,"=61",Adhérents!$E$7:$E$9,"F")</f>
        <v>0</v>
      </c>
    </row>
    <row r="64" spans="2:5" x14ac:dyDescent="0.25">
      <c r="B64" s="40">
        <v>62</v>
      </c>
      <c r="C64" s="44">
        <f ca="1">COUNTIFS(Adhérents!$G$7:$G$9,"=62",Adhérents!$E$7:$E$9,"M")</f>
        <v>0</v>
      </c>
      <c r="D64" s="48">
        <f t="shared" ca="1" si="1"/>
        <v>0</v>
      </c>
      <c r="E64" s="44">
        <f ca="1">COUNTIFS(Adhérents!$G$7:$G$9,"=62",Adhérents!$E$7:$E$9,"F")</f>
        <v>0</v>
      </c>
    </row>
    <row r="65" spans="2:5" x14ac:dyDescent="0.25">
      <c r="B65" s="40">
        <v>63</v>
      </c>
      <c r="C65" s="44">
        <f ca="1">COUNTIFS(Adhérents!$G$7:$G$9,"=63",Adhérents!$E$7:$E$9,"M")</f>
        <v>0</v>
      </c>
      <c r="D65" s="48">
        <f t="shared" ca="1" si="1"/>
        <v>0</v>
      </c>
      <c r="E65" s="44">
        <f ca="1">COUNTIFS(Adhérents!$G$7:$G$9,"=63",Adhérents!$E$7:$E$9,"F")</f>
        <v>0</v>
      </c>
    </row>
    <row r="66" spans="2:5" x14ac:dyDescent="0.25">
      <c r="B66" s="40">
        <v>64</v>
      </c>
      <c r="C66" s="44">
        <f ca="1">COUNTIFS(Adhérents!$G$7:$G$9,"=64",Adhérents!$E$7:$E$9,"M")</f>
        <v>0</v>
      </c>
      <c r="D66" s="48">
        <f t="shared" ca="1" si="1"/>
        <v>0</v>
      </c>
      <c r="E66" s="44">
        <f ca="1">COUNTIFS(Adhérents!$G$7:$G$9,"=64",Adhérents!$E$7:$E$9,"F")</f>
        <v>0</v>
      </c>
    </row>
    <row r="67" spans="2:5" x14ac:dyDescent="0.25">
      <c r="B67" s="40">
        <v>65</v>
      </c>
      <c r="C67" s="44">
        <f ca="1">COUNTIFS(Adhérents!$G$7:$G$9,"=65",Adhérents!$E$7:$E$9,"M")</f>
        <v>0</v>
      </c>
      <c r="D67" s="48">
        <f t="shared" ref="D67:D98" ca="1" si="2">-E67</f>
        <v>0</v>
      </c>
      <c r="E67" s="44">
        <f ca="1">COUNTIFS(Adhérents!$G$7:$G$9,"=65",Adhérents!$E$7:$E$9,"F")</f>
        <v>0</v>
      </c>
    </row>
    <row r="68" spans="2:5" x14ac:dyDescent="0.25">
      <c r="B68" s="40">
        <v>66</v>
      </c>
      <c r="C68" s="44">
        <f ca="1">COUNTIFS(Adhérents!$G$7:$G$9,"=66",Adhérents!$E$7:$E$9,"M")</f>
        <v>0</v>
      </c>
      <c r="D68" s="48">
        <f t="shared" ca="1" si="2"/>
        <v>0</v>
      </c>
      <c r="E68" s="44">
        <f ca="1">COUNTIFS(Adhérents!$G$7:$G$9,"=66",Adhérents!$E$7:$E$9,"F")</f>
        <v>0</v>
      </c>
    </row>
    <row r="69" spans="2:5" x14ac:dyDescent="0.25">
      <c r="B69" s="40">
        <v>67</v>
      </c>
      <c r="C69" s="44">
        <f ca="1">COUNTIFS(Adhérents!$G$7:$G$9,"=67",Adhérents!$E$7:$E$9,"M")</f>
        <v>0</v>
      </c>
      <c r="D69" s="48">
        <f t="shared" ca="1" si="2"/>
        <v>0</v>
      </c>
      <c r="E69" s="44">
        <f ca="1">COUNTIFS(Adhérents!$G$7:$G$9,"=67",Adhérents!$E$7:$E$9,"F")</f>
        <v>0</v>
      </c>
    </row>
    <row r="70" spans="2:5" x14ac:dyDescent="0.25">
      <c r="B70" s="40">
        <v>68</v>
      </c>
      <c r="C70" s="44">
        <f ca="1">COUNTIFS(Adhérents!$G$7:$G$9,"=68",Adhérents!$E$7:$E$9,"M")</f>
        <v>0</v>
      </c>
      <c r="D70" s="48">
        <f t="shared" ca="1" si="2"/>
        <v>0</v>
      </c>
      <c r="E70" s="44">
        <f ca="1">COUNTIFS(Adhérents!$G$7:$G$9,"=68",Adhérents!$E$7:$E$9,"F")</f>
        <v>0</v>
      </c>
    </row>
    <row r="71" spans="2:5" x14ac:dyDescent="0.25">
      <c r="B71" s="40">
        <v>69</v>
      </c>
      <c r="C71" s="44">
        <f ca="1">COUNTIFS(Adhérents!$G$7:$G$9,"=69",Adhérents!$E$7:$E$9,"M")</f>
        <v>0</v>
      </c>
      <c r="D71" s="48">
        <f t="shared" ca="1" si="2"/>
        <v>0</v>
      </c>
      <c r="E71" s="44">
        <f ca="1">COUNTIFS(Adhérents!$G$7:$G$9,"=69",Adhérents!$E$7:$E$9,"F")</f>
        <v>0</v>
      </c>
    </row>
    <row r="72" spans="2:5" x14ac:dyDescent="0.25">
      <c r="B72" s="40">
        <v>70</v>
      </c>
      <c r="C72" s="44">
        <f ca="1">COUNTIFS(Adhérents!$G$7:$G$9,"=70",Adhérents!$E$7:$E$9,"M")</f>
        <v>0</v>
      </c>
      <c r="D72" s="48">
        <f t="shared" ca="1" si="2"/>
        <v>0</v>
      </c>
      <c r="E72" s="44">
        <f ca="1">COUNTIFS(Adhérents!$G$7:$G$9,"=70",Adhérents!$E$7:$E$9,"F")</f>
        <v>0</v>
      </c>
    </row>
    <row r="73" spans="2:5" x14ac:dyDescent="0.25">
      <c r="B73" s="40">
        <v>71</v>
      </c>
      <c r="C73" s="44">
        <f ca="1">COUNTIFS(Adhérents!$G$7:$G$9,"=71",Adhérents!$E$7:$E$9,"M")</f>
        <v>0</v>
      </c>
      <c r="D73" s="48">
        <f t="shared" ca="1" si="2"/>
        <v>0</v>
      </c>
      <c r="E73" s="44">
        <f ca="1">COUNTIFS(Adhérents!$G$7:$G$9,"=71",Adhérents!$E$7:$E$9,"F")</f>
        <v>0</v>
      </c>
    </row>
    <row r="74" spans="2:5" x14ac:dyDescent="0.25">
      <c r="B74" s="40">
        <v>72</v>
      </c>
      <c r="C74" s="44">
        <f ca="1">COUNTIFS(Adhérents!$G$7:$G$9,"=72",Adhérents!$E$7:$E$9,"M")</f>
        <v>1</v>
      </c>
      <c r="D74" s="48">
        <f t="shared" ca="1" si="2"/>
        <v>0</v>
      </c>
      <c r="E74" s="44">
        <f ca="1">COUNTIFS(Adhérents!$G$7:$G$9,"=72",Adhérents!$E$7:$E$9,"F")</f>
        <v>0</v>
      </c>
    </row>
    <row r="75" spans="2:5" x14ac:dyDescent="0.25">
      <c r="B75" s="40">
        <v>73</v>
      </c>
      <c r="C75" s="44">
        <f ca="1">COUNTIFS(Adhérents!$G$7:$G$9,"=73",Adhérents!$E$7:$E$9,"M")</f>
        <v>0</v>
      </c>
      <c r="D75" s="48">
        <f t="shared" ca="1" si="2"/>
        <v>0</v>
      </c>
      <c r="E75" s="44">
        <f ca="1">COUNTIFS(Adhérents!$G$7:$G$9,"=73",Adhérents!$E$7:$E$9,"F")</f>
        <v>0</v>
      </c>
    </row>
    <row r="76" spans="2:5" x14ac:dyDescent="0.25">
      <c r="B76" s="40">
        <v>74</v>
      </c>
      <c r="C76" s="44">
        <f ca="1">COUNTIFS(Adhérents!$G$7:$G$9,"=74",Adhérents!$E$7:$E$9,"M")</f>
        <v>0</v>
      </c>
      <c r="D76" s="48">
        <f t="shared" ca="1" si="2"/>
        <v>0</v>
      </c>
      <c r="E76" s="44">
        <f ca="1">COUNTIFS(Adhérents!$G$7:$G$9,"=74",Adhérents!$E$7:$E$9,"F")</f>
        <v>0</v>
      </c>
    </row>
    <row r="77" spans="2:5" x14ac:dyDescent="0.25">
      <c r="B77" s="40">
        <v>75</v>
      </c>
      <c r="C77" s="44">
        <f ca="1">COUNTIFS(Adhérents!$G$7:$G$9,"=75",Adhérents!$E$7:$E$9,"M")</f>
        <v>0</v>
      </c>
      <c r="D77" s="48">
        <f t="shared" ca="1" si="2"/>
        <v>0</v>
      </c>
      <c r="E77" s="44">
        <f ca="1">COUNTIFS(Adhérents!$G$7:$G$9,"=75",Adhérents!$E$7:$E$9,"F")</f>
        <v>0</v>
      </c>
    </row>
    <row r="78" spans="2:5" x14ac:dyDescent="0.25">
      <c r="B78" s="40">
        <v>76</v>
      </c>
      <c r="C78" s="44">
        <f ca="1">COUNTIFS(Adhérents!$G$7:$G$9,"=76",Adhérents!$E$7:$E$9,"M")</f>
        <v>0</v>
      </c>
      <c r="D78" s="48">
        <f t="shared" ca="1" si="2"/>
        <v>0</v>
      </c>
      <c r="E78" s="44">
        <f ca="1">COUNTIFS(Adhérents!$G$7:$G$9,"=76",Adhérents!$E$7:$E$9,"F")</f>
        <v>0</v>
      </c>
    </row>
    <row r="79" spans="2:5" x14ac:dyDescent="0.25">
      <c r="B79" s="40">
        <v>77</v>
      </c>
      <c r="C79" s="44">
        <f ca="1">COUNTIFS(Adhérents!$G$7:$G$9,"=77",Adhérents!$E$7:$E$9,"M")</f>
        <v>0</v>
      </c>
      <c r="D79" s="48">
        <f t="shared" ca="1" si="2"/>
        <v>0</v>
      </c>
      <c r="E79" s="44">
        <f ca="1">COUNTIFS(Adhérents!$G$7:$G$9,"=77",Adhérents!$E$7:$E$9,"F")</f>
        <v>0</v>
      </c>
    </row>
    <row r="80" spans="2:5" x14ac:dyDescent="0.25">
      <c r="B80" s="40">
        <v>78</v>
      </c>
      <c r="C80" s="44">
        <f ca="1">COUNTIFS(Adhérents!$G$7:$G$9,"=78",Adhérents!$E$7:$E$9,"M")</f>
        <v>0</v>
      </c>
      <c r="D80" s="48">
        <f t="shared" ca="1" si="2"/>
        <v>0</v>
      </c>
      <c r="E80" s="44">
        <f ca="1">COUNTIFS(Adhérents!$G$7:$G$9,"=78",Adhérents!$E$7:$E$9,"F")</f>
        <v>0</v>
      </c>
    </row>
    <row r="81" spans="2:5" x14ac:dyDescent="0.25">
      <c r="B81" s="40">
        <v>79</v>
      </c>
      <c r="C81" s="44">
        <f ca="1">COUNTIFS(Adhérents!$G$7:$G$9,"=79",Adhérents!$E$7:$E$9,"M")</f>
        <v>0</v>
      </c>
      <c r="D81" s="48">
        <f t="shared" ca="1" si="2"/>
        <v>0</v>
      </c>
      <c r="E81" s="44">
        <f ca="1">COUNTIFS(Adhérents!$G$7:$G$9,"=79",Adhérents!$E$7:$E$9,"F")</f>
        <v>0</v>
      </c>
    </row>
    <row r="82" spans="2:5" x14ac:dyDescent="0.25">
      <c r="B82" s="40">
        <v>80</v>
      </c>
      <c r="C82" s="44">
        <f ca="1">COUNTIFS(Adhérents!$G$7:$G$9,"=80",Adhérents!$E$7:$E$9,"M")</f>
        <v>0</v>
      </c>
      <c r="D82" s="48">
        <f t="shared" ca="1" si="2"/>
        <v>0</v>
      </c>
      <c r="E82" s="44">
        <f ca="1">COUNTIFS(Adhérents!$G$7:$G$9,"=80",Adhérents!$E$7:$E$9,"F")</f>
        <v>0</v>
      </c>
    </row>
    <row r="83" spans="2:5" x14ac:dyDescent="0.25">
      <c r="B83" s="40">
        <v>81</v>
      </c>
      <c r="C83" s="44">
        <f ca="1">COUNTIFS(Adhérents!$G$7:$G$9,"=81",Adhérents!$E$7:$E$9,"M")</f>
        <v>0</v>
      </c>
      <c r="D83" s="48">
        <f t="shared" ca="1" si="2"/>
        <v>0</v>
      </c>
      <c r="E83" s="44">
        <f ca="1">COUNTIFS(Adhérents!$G$7:$G$9,"=81",Adhérents!$E$7:$E$9,"F")</f>
        <v>0</v>
      </c>
    </row>
    <row r="84" spans="2:5" x14ac:dyDescent="0.25">
      <c r="B84" s="40">
        <v>82</v>
      </c>
      <c r="C84" s="44">
        <f ca="1">COUNTIFS(Adhérents!$G$7:$G$9,"=82",Adhérents!$E$7:$E$9,"M")</f>
        <v>0</v>
      </c>
      <c r="D84" s="48">
        <f t="shared" ca="1" si="2"/>
        <v>0</v>
      </c>
      <c r="E84" s="44">
        <f ca="1">COUNTIFS(Adhérents!$G$7:$G$9,"=82",Adhérents!$E$7:$E$9,"F")</f>
        <v>0</v>
      </c>
    </row>
    <row r="85" spans="2:5" x14ac:dyDescent="0.25">
      <c r="B85" s="40">
        <v>83</v>
      </c>
      <c r="C85" s="44">
        <f ca="1">COUNTIFS(Adhérents!$G$7:$G$9,"=83",Adhérents!$E$7:$E$9,"M")</f>
        <v>0</v>
      </c>
      <c r="D85" s="48">
        <f t="shared" ca="1" si="2"/>
        <v>0</v>
      </c>
      <c r="E85" s="44">
        <f ca="1">COUNTIFS(Adhérents!$G$7:$G$9,"=83",Adhérents!$E$7:$E$9,"F")</f>
        <v>0</v>
      </c>
    </row>
    <row r="86" spans="2:5" x14ac:dyDescent="0.25">
      <c r="B86" s="40">
        <v>84</v>
      </c>
      <c r="C86" s="44">
        <f ca="1">COUNTIFS(Adhérents!$G$7:$G$9,"=84",Adhérents!$E$7:$E$9,"M")</f>
        <v>0</v>
      </c>
      <c r="D86" s="48">
        <f t="shared" ca="1" si="2"/>
        <v>0</v>
      </c>
      <c r="E86" s="44">
        <f ca="1">COUNTIFS(Adhérents!$G$7:$G$9,"=84",Adhérents!$E$7:$E$9,"F")</f>
        <v>0</v>
      </c>
    </row>
    <row r="87" spans="2:5" x14ac:dyDescent="0.25">
      <c r="B87" s="40">
        <v>85</v>
      </c>
      <c r="C87" s="44">
        <f ca="1">COUNTIFS(Adhérents!$G$7:$G$9,"=85",Adhérents!$E$7:$E$9,"M")</f>
        <v>0</v>
      </c>
      <c r="D87" s="48">
        <f t="shared" ca="1" si="2"/>
        <v>0</v>
      </c>
      <c r="E87" s="44">
        <f ca="1">COUNTIFS(Adhérents!$G$7:$G$9,"=85",Adhérents!$E$7:$E$9,"F")</f>
        <v>0</v>
      </c>
    </row>
    <row r="88" spans="2:5" x14ac:dyDescent="0.25">
      <c r="B88" s="40">
        <v>86</v>
      </c>
      <c r="C88" s="44">
        <f ca="1">COUNTIFS(Adhérents!$G$7:$G$9,"=86",Adhérents!$E$7:$E$9,"M")</f>
        <v>0</v>
      </c>
      <c r="D88" s="48">
        <f t="shared" ca="1" si="2"/>
        <v>0</v>
      </c>
      <c r="E88" s="44">
        <f ca="1">COUNTIFS(Adhérents!$G$7:$G$9,"=86",Adhérents!$E$7:$E$9,"F")</f>
        <v>0</v>
      </c>
    </row>
    <row r="89" spans="2:5" x14ac:dyDescent="0.25">
      <c r="B89" s="40">
        <v>87</v>
      </c>
      <c r="C89" s="44">
        <f ca="1">COUNTIFS(Adhérents!$G$7:$G$9,"=87",Adhérents!$E$7:$E$9,"M")</f>
        <v>0</v>
      </c>
      <c r="D89" s="48">
        <f t="shared" ca="1" si="2"/>
        <v>0</v>
      </c>
      <c r="E89" s="44">
        <f ca="1">COUNTIFS(Adhérents!$G$7:$G$9,"=87",Adhérents!$E$7:$E$9,"F")</f>
        <v>0</v>
      </c>
    </row>
    <row r="90" spans="2:5" x14ac:dyDescent="0.25">
      <c r="B90" s="40">
        <v>88</v>
      </c>
      <c r="C90" s="44">
        <f ca="1">COUNTIFS(Adhérents!$G$7:$G$9,"=88",Adhérents!$E$7:$E$9,"M")</f>
        <v>0</v>
      </c>
      <c r="D90" s="48">
        <f t="shared" ca="1" si="2"/>
        <v>0</v>
      </c>
      <c r="E90" s="44">
        <f ca="1">COUNTIFS(Adhérents!$G$7:$G$9,"=88",Adhérents!$E$7:$E$9,"F")</f>
        <v>0</v>
      </c>
    </row>
    <row r="91" spans="2:5" x14ac:dyDescent="0.25">
      <c r="B91" s="40">
        <v>89</v>
      </c>
      <c r="C91" s="44">
        <f ca="1">COUNTIFS(Adhérents!$G$7:$G$9,"=89",Adhérents!$E$7:$E$9,"M")</f>
        <v>0</v>
      </c>
      <c r="D91" s="48">
        <f t="shared" ca="1" si="2"/>
        <v>0</v>
      </c>
      <c r="E91" s="44">
        <f ca="1">COUNTIFS(Adhérents!$G$7:$G$9,"=89",Adhérents!$E$7:$E$9,"F")</f>
        <v>0</v>
      </c>
    </row>
    <row r="92" spans="2:5" x14ac:dyDescent="0.25">
      <c r="B92" s="40">
        <v>90</v>
      </c>
      <c r="C92" s="44">
        <f ca="1">COUNTIFS(Adhérents!$G$7:$G$9,"=90",Adhérents!$E$7:$E$9,"M")</f>
        <v>0</v>
      </c>
      <c r="D92" s="48">
        <f t="shared" ca="1" si="2"/>
        <v>0</v>
      </c>
      <c r="E92" s="44">
        <f ca="1">COUNTIFS(Adhérents!$G$7:$G$9,"=90",Adhérents!$E$7:$E$9,"F")</f>
        <v>0</v>
      </c>
    </row>
    <row r="93" spans="2:5" x14ac:dyDescent="0.25">
      <c r="B93" s="40">
        <v>91</v>
      </c>
      <c r="C93" s="44">
        <f ca="1">COUNTIFS(Adhérents!$G$7:$G$9,"=91",Adhérents!$E$7:$E$9,"M")</f>
        <v>0</v>
      </c>
      <c r="D93" s="48">
        <f t="shared" ca="1" si="2"/>
        <v>0</v>
      </c>
      <c r="E93" s="44">
        <f ca="1">COUNTIFS(Adhérents!$G$7:$G$9,"=91",Adhérents!$E$7:$E$9,"F")</f>
        <v>0</v>
      </c>
    </row>
    <row r="94" spans="2:5" x14ac:dyDescent="0.25">
      <c r="B94" s="40">
        <v>92</v>
      </c>
      <c r="C94" s="44">
        <f ca="1">COUNTIFS(Adhérents!$G$7:$G$9,"=92",Adhérents!$E$7:$E$9,"M")</f>
        <v>0</v>
      </c>
      <c r="D94" s="48">
        <f t="shared" ca="1" si="2"/>
        <v>0</v>
      </c>
      <c r="E94" s="44">
        <f ca="1">COUNTIFS(Adhérents!$G$7:$G$9,"=92",Adhérents!$E$7:$E$9,"F")</f>
        <v>0</v>
      </c>
    </row>
    <row r="95" spans="2:5" x14ac:dyDescent="0.25">
      <c r="B95" s="40">
        <v>93</v>
      </c>
      <c r="C95" s="44">
        <f ca="1">COUNTIFS(Adhérents!$G$7:$G$9,"=93",Adhérents!$E$7:$E$9,"M")</f>
        <v>0</v>
      </c>
      <c r="D95" s="48">
        <f t="shared" ca="1" si="2"/>
        <v>0</v>
      </c>
      <c r="E95" s="44">
        <f ca="1">COUNTIFS(Adhérents!$G$7:$G$9,"=93",Adhérents!$E$7:$E$9,"F")</f>
        <v>0</v>
      </c>
    </row>
    <row r="96" spans="2:5" x14ac:dyDescent="0.25">
      <c r="B96" s="40">
        <v>94</v>
      </c>
      <c r="C96" s="44">
        <f ca="1">COUNTIFS(Adhérents!$G$7:$G$9,"=94",Adhérents!$E$7:$E$9,"M")</f>
        <v>0</v>
      </c>
      <c r="D96" s="48">
        <f t="shared" ca="1" si="2"/>
        <v>0</v>
      </c>
      <c r="E96" s="44">
        <f ca="1">COUNTIFS(Adhérents!$G$7:$G$9,"=94",Adhérents!$E$7:$E$9,"F")</f>
        <v>0</v>
      </c>
    </row>
    <row r="97" spans="2:5" x14ac:dyDescent="0.25">
      <c r="B97" s="40">
        <v>95</v>
      </c>
      <c r="C97" s="44">
        <f ca="1">COUNTIFS(Adhérents!$G$7:$G$9,"=95",Adhérents!$E$7:$E$9,"M")</f>
        <v>0</v>
      </c>
      <c r="D97" s="48">
        <f t="shared" ca="1" si="2"/>
        <v>0</v>
      </c>
      <c r="E97" s="44">
        <f ca="1">COUNTIFS(Adhérents!$G$7:$G$9,"=95",Adhérents!$E$7:$E$9,"F")</f>
        <v>0</v>
      </c>
    </row>
    <row r="98" spans="2:5" x14ac:dyDescent="0.25">
      <c r="B98" s="40">
        <v>96</v>
      </c>
      <c r="C98" s="44">
        <f ca="1">COUNTIFS(Adhérents!$G$7:$G$9,"=96",Adhérents!$E$7:$E$9,"M")</f>
        <v>0</v>
      </c>
      <c r="D98" s="48">
        <f t="shared" ca="1" si="2"/>
        <v>0</v>
      </c>
      <c r="E98" s="44">
        <f ca="1">COUNTIFS(Adhérents!$G$7:$G$9,"=96",Adhérents!$E$7:$E$9,"F")</f>
        <v>0</v>
      </c>
    </row>
    <row r="99" spans="2:5" x14ac:dyDescent="0.25">
      <c r="B99" s="40">
        <v>97</v>
      </c>
      <c r="C99" s="44">
        <f ca="1">COUNTIFS(Adhérents!$G$7:$G$9,"=97",Adhérents!$E$7:$E$9,"M")</f>
        <v>0</v>
      </c>
      <c r="D99" s="48">
        <f ca="1">-E99</f>
        <v>0</v>
      </c>
      <c r="E99" s="44">
        <f ca="1">COUNTIFS(Adhérents!$G$7:$G$9,"=97",Adhérents!$E$7:$E$9,"F")</f>
        <v>0</v>
      </c>
    </row>
    <row r="100" spans="2:5" x14ac:dyDescent="0.25">
      <c r="B100" s="40">
        <v>98</v>
      </c>
      <c r="C100" s="44">
        <f ca="1">COUNTIFS(Adhérents!$G$7:$G$9,"=98",Adhérents!$E$7:$E$9,"M")</f>
        <v>0</v>
      </c>
      <c r="D100" s="48">
        <f ca="1">-E100</f>
        <v>0</v>
      </c>
      <c r="E100" s="44">
        <f ca="1">COUNTIFS(Adhérents!$G$7:$G$9,"=98",Adhérents!$E$7:$E$9,"F")</f>
        <v>0</v>
      </c>
    </row>
    <row r="101" spans="2:5" x14ac:dyDescent="0.25">
      <c r="B101" s="40">
        <v>99</v>
      </c>
      <c r="C101" s="44">
        <f ca="1">COUNTIFS(Adhérents!$G$7:$G$9,"=99",Adhérents!$E$7:$E$9,"M")</f>
        <v>0</v>
      </c>
      <c r="D101" s="48">
        <f ca="1">-E101</f>
        <v>0</v>
      </c>
      <c r="E101" s="44">
        <f ca="1">COUNTIFS(Adhérents!$G$7:$G$9,"=99",Adhérents!$E$7:$E$9,"F")</f>
        <v>0</v>
      </c>
    </row>
    <row r="102" spans="2:5" ht="15.75" thickBot="1" x14ac:dyDescent="0.3">
      <c r="B102" s="41">
        <v>100</v>
      </c>
      <c r="C102" s="45">
        <f ca="1">COUNTIFS(Adhérents!$G$7:$G$9,"=100",Adhérents!$E$7:$E$9,"M")</f>
        <v>0</v>
      </c>
      <c r="D102" s="49">
        <f ca="1">-E102</f>
        <v>0</v>
      </c>
      <c r="E102" s="45">
        <f ca="1">COUNTIFS(Adhérents!$G$7:$G$9,"=100",Adhérents!$E$7:$E$9,"F")</f>
        <v>0</v>
      </c>
    </row>
    <row r="104" spans="2:5" x14ac:dyDescent="0.25">
      <c r="B104" s="6"/>
      <c r="C104" s="6">
        <f ca="1">SUM(C3:C103)</f>
        <v>2</v>
      </c>
      <c r="D104" s="6">
        <f ca="1">SUM(D3:D103)</f>
        <v>-1</v>
      </c>
      <c r="E104" s="6">
        <f ca="1">SUM(E3:E103)</f>
        <v>1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B03E9-2CEE-49E5-9400-F8DF7CA74F1E}">
  <sheetPr codeName="Feuil6"/>
  <dimension ref="A1:AK21"/>
  <sheetViews>
    <sheetView workbookViewId="0">
      <selection activeCell="C9" sqref="C9:C19"/>
    </sheetView>
  </sheetViews>
  <sheetFormatPr baseColWidth="10" defaultColWidth="28.28515625" defaultRowHeight="15" x14ac:dyDescent="0.25"/>
  <cols>
    <col min="1" max="1" width="16.7109375" style="50" customWidth="1"/>
    <col min="2" max="2" width="8.42578125" style="51" customWidth="1"/>
    <col min="3" max="3" width="8.7109375" style="6" customWidth="1"/>
    <col min="4" max="4" width="28.28515625" style="8"/>
    <col min="6" max="7" width="28.28515625" style="9"/>
    <col min="8" max="8" width="28.28515625" style="8"/>
    <col min="9" max="9" width="28.28515625" style="6"/>
    <col min="10" max="11" width="28.28515625" style="12"/>
    <col min="12" max="12" width="28.28515625" style="8"/>
    <col min="13" max="13" width="28.28515625" style="11"/>
    <col min="14" max="14" width="28.28515625" style="8"/>
    <col min="15" max="15" width="28.28515625" style="11"/>
    <col min="16" max="16" width="28.28515625" style="6"/>
    <col min="17" max="17" width="28.28515625" style="11"/>
    <col min="18" max="18" width="28.28515625" style="6"/>
    <col min="19" max="19" width="28.28515625" style="11"/>
    <col min="20" max="20" width="28.28515625" style="8"/>
    <col min="21" max="21" width="28.28515625" style="15"/>
    <col min="22" max="22" width="28.28515625" style="11"/>
    <col min="23" max="24" width="28.28515625" style="6"/>
    <col min="25" max="25" width="28.28515625" style="11"/>
    <col min="26" max="26" width="28.28515625" style="10"/>
    <col min="27" max="27" width="28.28515625" style="6"/>
    <col min="28" max="28" width="28.28515625" style="11"/>
    <col min="29" max="30" width="28.28515625" style="6"/>
    <col min="31" max="31" width="28.28515625" style="11"/>
    <col min="32" max="33" width="28.28515625" style="6"/>
    <col min="34" max="34" width="28.28515625" style="11"/>
    <col min="35" max="36" width="28.28515625" style="6"/>
    <col min="37" max="37" width="28.28515625" style="11"/>
  </cols>
  <sheetData>
    <row r="1" spans="1:3" ht="15.75" x14ac:dyDescent="0.25">
      <c r="A1" s="57" t="s">
        <v>93</v>
      </c>
      <c r="B1" s="58" t="s">
        <v>94</v>
      </c>
      <c r="C1" s="59" t="s">
        <v>46</v>
      </c>
    </row>
    <row r="2" spans="1:3" x14ac:dyDescent="0.25">
      <c r="A2" s="52" t="s">
        <v>121</v>
      </c>
      <c r="B2" s="53"/>
      <c r="C2" s="54"/>
    </row>
    <row r="3" spans="1:3" x14ac:dyDescent="0.25">
      <c r="A3" s="52" t="s">
        <v>103</v>
      </c>
      <c r="B3" s="53"/>
      <c r="C3" s="54"/>
    </row>
    <row r="4" spans="1:3" x14ac:dyDescent="0.25">
      <c r="A4" s="52" t="s">
        <v>96</v>
      </c>
      <c r="B4" s="53"/>
      <c r="C4" s="54"/>
    </row>
    <row r="5" spans="1:3" x14ac:dyDescent="0.25">
      <c r="A5" s="52" t="s">
        <v>95</v>
      </c>
      <c r="B5" s="53"/>
      <c r="C5" s="54"/>
    </row>
    <row r="6" spans="1:3" x14ac:dyDescent="0.25">
      <c r="A6" s="52" t="s">
        <v>92</v>
      </c>
      <c r="B6" s="53"/>
      <c r="C6" s="54"/>
    </row>
    <row r="7" spans="1:3" x14ac:dyDescent="0.25">
      <c r="A7" s="81">
        <v>15</v>
      </c>
      <c r="B7" s="53"/>
      <c r="C7" s="54"/>
    </row>
    <row r="8" spans="1:3" x14ac:dyDescent="0.25">
      <c r="A8" s="52" t="s">
        <v>83</v>
      </c>
      <c r="B8" s="53"/>
      <c r="C8" s="54">
        <v>-2</v>
      </c>
    </row>
    <row r="9" spans="1:3" x14ac:dyDescent="0.25">
      <c r="A9" s="52" t="s">
        <v>85</v>
      </c>
      <c r="B9" s="53"/>
      <c r="C9" s="54"/>
    </row>
    <row r="10" spans="1:3" x14ac:dyDescent="0.25">
      <c r="A10" s="52" t="s">
        <v>86</v>
      </c>
      <c r="B10" s="53"/>
      <c r="C10" s="54"/>
    </row>
    <row r="11" spans="1:3" x14ac:dyDescent="0.25">
      <c r="A11" s="52" t="s">
        <v>88</v>
      </c>
      <c r="B11" s="53"/>
      <c r="C11" s="54"/>
    </row>
    <row r="12" spans="1:3" x14ac:dyDescent="0.25">
      <c r="A12" s="52" t="s">
        <v>90</v>
      </c>
      <c r="B12" s="53"/>
      <c r="C12" s="54"/>
    </row>
    <row r="13" spans="1:3" x14ac:dyDescent="0.25">
      <c r="A13" s="81">
        <v>30</v>
      </c>
      <c r="B13" s="53"/>
      <c r="C13" s="54"/>
    </row>
    <row r="14" spans="1:3" x14ac:dyDescent="0.25">
      <c r="A14" s="52" t="s">
        <v>87</v>
      </c>
      <c r="B14" s="53"/>
      <c r="C14" s="54"/>
    </row>
    <row r="15" spans="1:3" x14ac:dyDescent="0.25">
      <c r="A15" s="52" t="s">
        <v>82</v>
      </c>
      <c r="B15" s="53"/>
      <c r="C15" s="54"/>
    </row>
    <row r="16" spans="1:3" x14ac:dyDescent="0.25">
      <c r="A16" s="52" t="s">
        <v>84</v>
      </c>
      <c r="B16" s="53"/>
      <c r="C16" s="54"/>
    </row>
    <row r="17" spans="1:3" x14ac:dyDescent="0.25">
      <c r="A17" s="52" t="s">
        <v>89</v>
      </c>
      <c r="B17" s="53"/>
      <c r="C17" s="54"/>
    </row>
    <row r="18" spans="1:3" x14ac:dyDescent="0.25">
      <c r="A18" s="52" t="s">
        <v>91</v>
      </c>
      <c r="B18" s="53"/>
      <c r="C18" s="54"/>
    </row>
    <row r="19" spans="1:3" ht="15.75" thickBot="1" x14ac:dyDescent="0.3">
      <c r="A19" s="82">
        <v>40</v>
      </c>
      <c r="B19" s="55"/>
      <c r="C19" s="56"/>
    </row>
    <row r="21" spans="1:3" x14ac:dyDescent="0.25">
      <c r="B21" s="51">
        <f>SUM(B4:B20)</f>
        <v>0</v>
      </c>
      <c r="C21" s="51">
        <f>SUM(C4:C20)</f>
        <v>-2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</vt:i4>
      </vt:variant>
    </vt:vector>
  </HeadingPairs>
  <TitlesOfParts>
    <vt:vector size="15" baseType="lpstr">
      <vt:lpstr>Source</vt:lpstr>
      <vt:lpstr>TBord</vt:lpstr>
      <vt:lpstr>Adhérents</vt:lpstr>
      <vt:lpstr>Espèces</vt:lpstr>
      <vt:lpstr>Pyramide des âges</vt:lpstr>
      <vt:lpstr>Pyramide des Classements</vt:lpstr>
      <vt:lpstr>LISTECOTISATION</vt:lpstr>
      <vt:lpstr>LISTECOURSCOCOMPET</vt:lpstr>
      <vt:lpstr>LISTEEDT</vt:lpstr>
      <vt:lpstr>LISTEENTREE</vt:lpstr>
      <vt:lpstr>LISTEPAIEMENT</vt:lpstr>
      <vt:lpstr>LISTESEXE</vt:lpstr>
      <vt:lpstr>LISTETYPECOTISATION</vt:lpstr>
      <vt:lpstr>LISTETYPECOURSCO</vt:lpstr>
      <vt:lpstr>LISTETYPEEDT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Lagarrosse</dc:creator>
  <cp:lastModifiedBy>François</cp:lastModifiedBy>
  <cp:lastPrinted>2026-07-12T14:29:12Z</cp:lastPrinted>
  <dcterms:created xsi:type="dcterms:W3CDTF">2021-09-01T15:28:52Z</dcterms:created>
  <dcterms:modified xsi:type="dcterms:W3CDTF">2026-07-28T03:19:25Z</dcterms:modified>
</cp:coreProperties>
</file>