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8A480E1D-AAC6-4F67-818C-926B6C43F3A1}" xr6:coauthVersionLast="47" xr6:coauthVersionMax="47" xr10:uidLastSave="{00000000-0000-0000-0000-000000000000}"/>
  <bookViews>
    <workbookView xWindow="-120" yWindow="-120" windowWidth="29040" windowHeight="15720" tabRatio="933" activeTab="14" xr2:uid="{00000000-000D-0000-FFFF-FFFF00000000}"/>
  </bookViews>
  <sheets>
    <sheet name="VIERGE" sheetId="20" r:id="rId1"/>
    <sheet name="Données" sheetId="1" r:id="rId2"/>
    <sheet name="CALENDRIER PERPETUEL" sheetId="14" r:id="rId3"/>
    <sheet name="JANVIER" sheetId="378" r:id="rId4"/>
    <sheet name="FÉVRIER" sheetId="379" r:id="rId5"/>
    <sheet name="MARS" sheetId="380" r:id="rId6"/>
    <sheet name="AVRIL" sheetId="381" r:id="rId7"/>
    <sheet name="MAI" sheetId="382" r:id="rId8"/>
    <sheet name="JUIN" sheetId="383" r:id="rId9"/>
    <sheet name="JUILLET" sheetId="384" r:id="rId10"/>
    <sheet name="AOÛT" sheetId="385" r:id="rId11"/>
    <sheet name="SEPTEMBRE" sheetId="386" r:id="rId12"/>
    <sheet name="OCTOBRE" sheetId="387" r:id="rId13"/>
    <sheet name="NOVEMBRE" sheetId="388" r:id="rId14"/>
    <sheet name="DÉCEMBRE" sheetId="389" r:id="rId15"/>
  </sheets>
  <definedNames>
    <definedName name="CJ">Données!$D$17</definedName>
    <definedName name="D.MALADIE">Données!$I$8:$I$14</definedName>
    <definedName name="Debut_Congés">Données!$F$8:$F$14</definedName>
    <definedName name="DVac">Données!$F$8:$F$14</definedName>
    <definedName name="F">Données!$D$16</definedName>
    <definedName name="F.MALADIE">Données!$J$8:$J$14</definedName>
    <definedName name="FIN_Congés">Données!$G$8:$G$14</definedName>
    <definedName name="HEURE_valeur">Données!$N$36:$N$84</definedName>
    <definedName name="heurejournéedetravail">Données!$M$9</definedName>
    <definedName name="HEURES">Données!$N$35:$N$84</definedName>
    <definedName name="Jour_QUESTION">Données!$B$8:$D$14</definedName>
    <definedName name="JOURS_FERIE">Données!$E$34:$E$45</definedName>
    <definedName name="l_Année">Données!$W$3:$W$28</definedName>
    <definedName name="M">Données!$D$20</definedName>
    <definedName name="MOIS">Données!$L$7:$L$18</definedName>
    <definedName name="pause_choix">Données!$M$16:$M$17</definedName>
    <definedName name="PAUSE_HEURE">Données!$O$39:$O$47</definedName>
    <definedName name="PAUSE_ONET">Données!$M$15</definedName>
    <definedName name="PAUSE_ONET2">Données!$O$15</definedName>
    <definedName name="pause_vide">Données!$N$16</definedName>
    <definedName name="REPOS">Données!$H$8:$H$14</definedName>
    <definedName name="REPOS_jour">Données!$H$8:$H$14</definedName>
    <definedName name="TRAVAILPRLESRETRAITEE">Données!$K$35</definedName>
    <definedName name="Var_an">Données!$B$1</definedName>
    <definedName name="W">Données!$D$8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53" i="389" l="1"/>
  <c r="J41" i="389"/>
  <c r="I41" i="389"/>
  <c r="P40" i="389"/>
  <c r="G40" i="389"/>
  <c r="E40" i="389" s="1" a="1"/>
  <c r="E40" i="389" s="1"/>
  <c r="D40" i="389"/>
  <c r="G39" i="389"/>
  <c r="E39" i="389" s="1" a="1"/>
  <c r="E39" i="389" s="1"/>
  <c r="D39" i="389"/>
  <c r="P39" i="389" s="1"/>
  <c r="G38" i="389"/>
  <c r="E38" i="389" a="1"/>
  <c r="E38" i="389" s="1"/>
  <c r="D38" i="389"/>
  <c r="P38" i="389" s="1"/>
  <c r="P37" i="389"/>
  <c r="J37" i="389"/>
  <c r="G37" i="389"/>
  <c r="E37" i="389"/>
  <c r="E37" i="389" a="1"/>
  <c r="D37" i="389"/>
  <c r="P36" i="389"/>
  <c r="G36" i="389"/>
  <c r="E36" i="389" s="1" a="1"/>
  <c r="E36" i="389" s="1"/>
  <c r="D36" i="389"/>
  <c r="G35" i="389"/>
  <c r="E35" i="389" s="1" a="1"/>
  <c r="E35" i="389" s="1"/>
  <c r="D35" i="389"/>
  <c r="P35" i="389" s="1"/>
  <c r="G34" i="389"/>
  <c r="E34" i="389" a="1"/>
  <c r="E34" i="389" s="1"/>
  <c r="D34" i="389"/>
  <c r="P33" i="389"/>
  <c r="G33" i="389"/>
  <c r="E33" i="389"/>
  <c r="J33" i="389" s="1"/>
  <c r="E33" i="389" a="1"/>
  <c r="D33" i="389"/>
  <c r="P32" i="389"/>
  <c r="G32" i="389"/>
  <c r="E32" i="389" s="1" a="1"/>
  <c r="E32" i="389" s="1"/>
  <c r="D32" i="389"/>
  <c r="P31" i="389"/>
  <c r="G31" i="389"/>
  <c r="E31" i="389" s="1" a="1"/>
  <c r="E31" i="389" s="1"/>
  <c r="F31" i="389"/>
  <c r="D31" i="389"/>
  <c r="G30" i="389"/>
  <c r="E30" i="389" a="1"/>
  <c r="E30" i="389" s="1"/>
  <c r="I30" i="389" s="1"/>
  <c r="D30" i="389"/>
  <c r="P29" i="389"/>
  <c r="G29" i="389"/>
  <c r="E29" i="389" a="1"/>
  <c r="E29" i="389" s="1"/>
  <c r="D29" i="389"/>
  <c r="P28" i="389"/>
  <c r="G28" i="389"/>
  <c r="E28" i="389" s="1" a="1"/>
  <c r="E28" i="389"/>
  <c r="J28" i="389" s="1"/>
  <c r="D28" i="389"/>
  <c r="G27" i="389"/>
  <c r="E27" i="389" s="1" a="1"/>
  <c r="E27" i="389" s="1"/>
  <c r="L27" i="389" s="1"/>
  <c r="D27" i="389"/>
  <c r="P27" i="389" s="1"/>
  <c r="G26" i="389"/>
  <c r="E26" i="389" a="1"/>
  <c r="E26" i="389" s="1"/>
  <c r="D26" i="389"/>
  <c r="P25" i="389"/>
  <c r="G25" i="389"/>
  <c r="E25" i="389" a="1"/>
  <c r="E25" i="389" s="1"/>
  <c r="D25" i="389"/>
  <c r="G24" i="389"/>
  <c r="E24" i="389" s="1" a="1"/>
  <c r="E24" i="389" s="1"/>
  <c r="D24" i="389"/>
  <c r="P24" i="389" s="1"/>
  <c r="I23" i="389"/>
  <c r="G23" i="389"/>
  <c r="E23" i="389" a="1"/>
  <c r="E23" i="389" s="1"/>
  <c r="N23" i="389" s="1"/>
  <c r="D23" i="389"/>
  <c r="F23" i="389" s="1"/>
  <c r="G22" i="389"/>
  <c r="E22" i="389" s="1" a="1"/>
  <c r="E22" i="389" s="1"/>
  <c r="D22" i="389"/>
  <c r="P21" i="389"/>
  <c r="G21" i="389"/>
  <c r="E21" i="389" a="1"/>
  <c r="E21" i="389" s="1"/>
  <c r="D21" i="389"/>
  <c r="G20" i="389"/>
  <c r="E20" i="389" s="1" a="1"/>
  <c r="E20" i="389" s="1"/>
  <c r="D20" i="389"/>
  <c r="P20" i="389" s="1"/>
  <c r="G19" i="389"/>
  <c r="E19" i="389" a="1"/>
  <c r="E19" i="389" s="1"/>
  <c r="I19" i="389" s="1"/>
  <c r="D19" i="389"/>
  <c r="P19" i="389" s="1"/>
  <c r="G18" i="389"/>
  <c r="E18" i="389" s="1" a="1"/>
  <c r="E18" i="389" s="1"/>
  <c r="D18" i="389"/>
  <c r="P17" i="389"/>
  <c r="G17" i="389"/>
  <c r="E17" i="389"/>
  <c r="E17" i="389" a="1"/>
  <c r="D17" i="389"/>
  <c r="J16" i="389"/>
  <c r="G16" i="389"/>
  <c r="E16" i="389" s="1" a="1"/>
  <c r="E16" i="389"/>
  <c r="D16" i="389"/>
  <c r="F16" i="389" s="1"/>
  <c r="G15" i="389"/>
  <c r="E15" i="389" s="1" a="1"/>
  <c r="E15" i="389" s="1"/>
  <c r="D15" i="389"/>
  <c r="P15" i="389" s="1"/>
  <c r="G14" i="389"/>
  <c r="E14" i="389" a="1"/>
  <c r="E14" i="389" s="1"/>
  <c r="D14" i="389"/>
  <c r="G13" i="389"/>
  <c r="E13" i="389" a="1"/>
  <c r="E13" i="389" s="1"/>
  <c r="D13" i="389"/>
  <c r="G12" i="389"/>
  <c r="E12" i="389" s="1" a="1"/>
  <c r="E12" i="389" s="1"/>
  <c r="D12" i="389"/>
  <c r="P12" i="389" s="1"/>
  <c r="P11" i="389"/>
  <c r="G11" i="389"/>
  <c r="E11" i="389" s="1" a="1"/>
  <c r="E11" i="389" s="1"/>
  <c r="D11" i="389"/>
  <c r="A10" i="389" s="1"/>
  <c r="P10" i="389"/>
  <c r="G10" i="389"/>
  <c r="E10" i="389" s="1" a="1"/>
  <c r="E10" i="389" s="1"/>
  <c r="D10" i="389"/>
  <c r="S2" i="389"/>
  <c r="R53" i="388"/>
  <c r="J41" i="388"/>
  <c r="I41" i="388"/>
  <c r="P40" i="388"/>
  <c r="G40" i="388"/>
  <c r="E40" i="388" s="1" a="1"/>
  <c r="E40" i="388" s="1"/>
  <c r="D40" i="388"/>
  <c r="G39" i="388"/>
  <c r="E39" i="388" s="1" a="1"/>
  <c r="E39" i="388" s="1"/>
  <c r="D39" i="388"/>
  <c r="P39" i="388" s="1"/>
  <c r="G38" i="388"/>
  <c r="E38" i="388" a="1"/>
  <c r="E38" i="388" s="1"/>
  <c r="D38" i="388"/>
  <c r="P38" i="388" s="1"/>
  <c r="P37" i="388"/>
  <c r="G37" i="388"/>
  <c r="E37" i="388" a="1"/>
  <c r="E37" i="388" s="1"/>
  <c r="J37" i="388" s="1"/>
  <c r="D37" i="388"/>
  <c r="P36" i="388"/>
  <c r="G36" i="388"/>
  <c r="E36" i="388" s="1" a="1"/>
  <c r="E36" i="388" s="1"/>
  <c r="D36" i="388"/>
  <c r="G35" i="388"/>
  <c r="E35" i="388" s="1" a="1"/>
  <c r="E35" i="388" s="1"/>
  <c r="D35" i="388"/>
  <c r="P35" i="388" s="1"/>
  <c r="G34" i="388"/>
  <c r="E34" i="388" a="1"/>
  <c r="E34" i="388" s="1"/>
  <c r="D34" i="388"/>
  <c r="P33" i="388"/>
  <c r="G33" i="388"/>
  <c r="E33" i="388" a="1"/>
  <c r="E33" i="388" s="1"/>
  <c r="J33" i="388" s="1"/>
  <c r="D33" i="388"/>
  <c r="P32" i="388"/>
  <c r="G32" i="388"/>
  <c r="E32" i="388" s="1" a="1"/>
  <c r="E32" i="388" s="1"/>
  <c r="D32" i="388"/>
  <c r="P31" i="388"/>
  <c r="G31" i="388"/>
  <c r="E31" i="388" s="1" a="1"/>
  <c r="E31" i="388" s="1"/>
  <c r="F31" i="388"/>
  <c r="D31" i="388"/>
  <c r="G30" i="388"/>
  <c r="E30" i="388" a="1"/>
  <c r="E30" i="388" s="1"/>
  <c r="I30" i="388" s="1"/>
  <c r="D30" i="388"/>
  <c r="P29" i="388"/>
  <c r="G29" i="388"/>
  <c r="E29" i="388" a="1"/>
  <c r="E29" i="388" s="1"/>
  <c r="D29" i="388"/>
  <c r="P28" i="388"/>
  <c r="G28" i="388"/>
  <c r="E28" i="388" s="1" a="1"/>
  <c r="E28" i="388" s="1"/>
  <c r="J28" i="388" s="1"/>
  <c r="D28" i="388"/>
  <c r="G27" i="388"/>
  <c r="E27" i="388" s="1" a="1"/>
  <c r="E27" i="388" s="1"/>
  <c r="L27" i="388" s="1"/>
  <c r="D27" i="388"/>
  <c r="P27" i="388" s="1"/>
  <c r="G26" i="388"/>
  <c r="E26" i="388" a="1"/>
  <c r="E26" i="388" s="1"/>
  <c r="I26" i="388" s="1"/>
  <c r="D26" i="388"/>
  <c r="P25" i="388"/>
  <c r="G25" i="388"/>
  <c r="E25" i="388" a="1"/>
  <c r="E25" i="388" s="1"/>
  <c r="D25" i="388"/>
  <c r="G24" i="388"/>
  <c r="E24" i="388" s="1" a="1"/>
  <c r="E24" i="388"/>
  <c r="J24" i="388" s="1"/>
  <c r="D24" i="388"/>
  <c r="F24" i="388" s="1"/>
  <c r="G23" i="388"/>
  <c r="E23" i="388" s="1" a="1"/>
  <c r="E23" i="388" s="1"/>
  <c r="D23" i="388"/>
  <c r="P23" i="388" s="1"/>
  <c r="G22" i="388"/>
  <c r="E22" i="388" a="1"/>
  <c r="E22" i="388" s="1"/>
  <c r="D22" i="388"/>
  <c r="P21" i="388"/>
  <c r="G21" i="388"/>
  <c r="E21" i="388" a="1"/>
  <c r="E21" i="388" s="1"/>
  <c r="D21" i="388"/>
  <c r="G20" i="388"/>
  <c r="E20" i="388" s="1" a="1"/>
  <c r="E20" i="388"/>
  <c r="J20" i="388" s="1"/>
  <c r="D20" i="388"/>
  <c r="P20" i="388" s="1"/>
  <c r="G19" i="388"/>
  <c r="E19" i="388" s="1" a="1"/>
  <c r="E19" i="388" s="1"/>
  <c r="D19" i="388"/>
  <c r="P19" i="388" s="1"/>
  <c r="G18" i="388"/>
  <c r="E18" i="388" a="1"/>
  <c r="E18" i="388" s="1"/>
  <c r="D18" i="388"/>
  <c r="P17" i="388"/>
  <c r="G17" i="388"/>
  <c r="E17" i="388" a="1"/>
  <c r="E17" i="388" s="1"/>
  <c r="D17" i="388"/>
  <c r="G16" i="388"/>
  <c r="E16" i="388" s="1" a="1"/>
  <c r="E16" i="388" s="1"/>
  <c r="D16" i="388"/>
  <c r="P16" i="388" s="1"/>
  <c r="G15" i="388"/>
  <c r="E15" i="388" a="1"/>
  <c r="E15" i="388" s="1"/>
  <c r="I15" i="388" s="1"/>
  <c r="D15" i="388"/>
  <c r="F15" i="388" s="1"/>
  <c r="G14" i="388"/>
  <c r="E14" i="388" s="1" a="1"/>
  <c r="E14" i="388" s="1"/>
  <c r="D14" i="388"/>
  <c r="G13" i="388"/>
  <c r="E13" i="388" s="1" a="1"/>
  <c r="E13" i="388" s="1"/>
  <c r="D13" i="388"/>
  <c r="G12" i="388"/>
  <c r="E12" i="388" a="1"/>
  <c r="E12" i="388" s="1"/>
  <c r="D12" i="388"/>
  <c r="P12" i="388" s="1"/>
  <c r="G11" i="388"/>
  <c r="E11" i="388" a="1"/>
  <c r="E11" i="388" s="1"/>
  <c r="D11" i="388"/>
  <c r="P11" i="388" s="1"/>
  <c r="G10" i="388"/>
  <c r="E10" i="388" a="1"/>
  <c r="E10" i="388" s="1"/>
  <c r="D10" i="388"/>
  <c r="P10" i="388" s="1"/>
  <c r="A10" i="388"/>
  <c r="A11" i="388" s="1"/>
  <c r="S2" i="388"/>
  <c r="R53" i="387"/>
  <c r="J41" i="387"/>
  <c r="I41" i="387"/>
  <c r="P40" i="387"/>
  <c r="G40" i="387"/>
  <c r="E40" i="387" s="1" a="1"/>
  <c r="E40" i="387" s="1"/>
  <c r="D40" i="387"/>
  <c r="G39" i="387"/>
  <c r="E39" i="387" s="1" a="1"/>
  <c r="E39" i="387" s="1"/>
  <c r="D39" i="387"/>
  <c r="P39" i="387" s="1"/>
  <c r="G38" i="387"/>
  <c r="E38" i="387" a="1"/>
  <c r="E38" i="387" s="1"/>
  <c r="D38" i="387"/>
  <c r="P38" i="387" s="1"/>
  <c r="P37" i="387"/>
  <c r="G37" i="387"/>
  <c r="E37" i="387" a="1"/>
  <c r="E37" i="387" s="1"/>
  <c r="J37" i="387" s="1"/>
  <c r="D37" i="387"/>
  <c r="P36" i="387"/>
  <c r="G36" i="387"/>
  <c r="E36" i="387" s="1" a="1"/>
  <c r="E36" i="387" s="1"/>
  <c r="D36" i="387"/>
  <c r="G35" i="387"/>
  <c r="E35" i="387" s="1" a="1"/>
  <c r="E35" i="387" s="1"/>
  <c r="D35" i="387"/>
  <c r="P35" i="387" s="1"/>
  <c r="G34" i="387"/>
  <c r="E34" i="387" a="1"/>
  <c r="E34" i="387" s="1"/>
  <c r="D34" i="387"/>
  <c r="P33" i="387"/>
  <c r="G33" i="387"/>
  <c r="E33" i="387"/>
  <c r="J33" i="387" s="1"/>
  <c r="E33" i="387" a="1"/>
  <c r="D33" i="387"/>
  <c r="P32" i="387"/>
  <c r="G32" i="387"/>
  <c r="E32" i="387" s="1" a="1"/>
  <c r="E32" i="387" s="1"/>
  <c r="D32" i="387"/>
  <c r="P31" i="387"/>
  <c r="G31" i="387"/>
  <c r="E31" i="387" s="1" a="1"/>
  <c r="E31" i="387" s="1"/>
  <c r="F31" i="387" s="1"/>
  <c r="D31" i="387"/>
  <c r="G30" i="387"/>
  <c r="E30" i="387" a="1"/>
  <c r="E30" i="387" s="1"/>
  <c r="I30" i="387" s="1"/>
  <c r="D30" i="387"/>
  <c r="P29" i="387"/>
  <c r="G29" i="387"/>
  <c r="E29" i="387" a="1"/>
  <c r="E29" i="387" s="1"/>
  <c r="D29" i="387"/>
  <c r="P28" i="387"/>
  <c r="G28" i="387"/>
  <c r="E28" i="387" s="1" a="1"/>
  <c r="E28" i="387"/>
  <c r="J28" i="387" s="1"/>
  <c r="D28" i="387"/>
  <c r="G27" i="387"/>
  <c r="E27" i="387" s="1" a="1"/>
  <c r="E27" i="387" s="1"/>
  <c r="L27" i="387" s="1"/>
  <c r="D27" i="387"/>
  <c r="P27" i="387" s="1"/>
  <c r="G26" i="387"/>
  <c r="E26" i="387" a="1"/>
  <c r="E26" i="387" s="1"/>
  <c r="I26" i="387" s="1"/>
  <c r="D26" i="387"/>
  <c r="P25" i="387"/>
  <c r="G25" i="387"/>
  <c r="E25" i="387" a="1"/>
  <c r="E25" i="387" s="1"/>
  <c r="D25" i="387"/>
  <c r="G24" i="387"/>
  <c r="E24" i="387" s="1" a="1"/>
  <c r="E24" i="387" s="1"/>
  <c r="J24" i="387" s="1"/>
  <c r="D24" i="387"/>
  <c r="G23" i="387"/>
  <c r="E23" i="387" s="1" a="1"/>
  <c r="E23" i="387" s="1"/>
  <c r="D23" i="387"/>
  <c r="P23" i="387" s="1"/>
  <c r="G22" i="387"/>
  <c r="E22" i="387" a="1"/>
  <c r="E22" i="387" s="1"/>
  <c r="D22" i="387"/>
  <c r="P21" i="387"/>
  <c r="G21" i="387"/>
  <c r="E21" i="387" a="1"/>
  <c r="E21" i="387" s="1"/>
  <c r="D21" i="387"/>
  <c r="G20" i="387"/>
  <c r="E20" i="387" s="1" a="1"/>
  <c r="E20" i="387" s="1"/>
  <c r="J20" i="387" s="1"/>
  <c r="D20" i="387"/>
  <c r="P20" i="387" s="1"/>
  <c r="G19" i="387"/>
  <c r="E19" i="387" s="1" a="1"/>
  <c r="E19" i="387" s="1"/>
  <c r="D19" i="387"/>
  <c r="P19" i="387" s="1"/>
  <c r="G18" i="387"/>
  <c r="E18" i="387" a="1"/>
  <c r="E18" i="387" s="1"/>
  <c r="D18" i="387"/>
  <c r="P17" i="387"/>
  <c r="G17" i="387"/>
  <c r="E17" i="387" a="1"/>
  <c r="E17" i="387" s="1"/>
  <c r="D17" i="387"/>
  <c r="G16" i="387"/>
  <c r="E16" i="387" s="1" a="1"/>
  <c r="E16" i="387" s="1"/>
  <c r="D16" i="387"/>
  <c r="P16" i="387" s="1"/>
  <c r="G15" i="387"/>
  <c r="E15" i="387" a="1"/>
  <c r="E15" i="387" s="1"/>
  <c r="I15" i="387" s="1"/>
  <c r="D15" i="387"/>
  <c r="G14" i="387"/>
  <c r="E14" i="387" s="1" a="1"/>
  <c r="E14" i="387" s="1"/>
  <c r="D14" i="387"/>
  <c r="G13" i="387"/>
  <c r="E13" i="387" s="1" a="1"/>
  <c r="E13" i="387" s="1"/>
  <c r="D13" i="387"/>
  <c r="G12" i="387"/>
  <c r="E12" i="387" a="1"/>
  <c r="E12" i="387" s="1"/>
  <c r="D12" i="387"/>
  <c r="P12" i="387" s="1"/>
  <c r="G11" i="387"/>
  <c r="E11" i="387" a="1"/>
  <c r="E11" i="387" s="1"/>
  <c r="D11" i="387"/>
  <c r="P11" i="387" s="1"/>
  <c r="G10" i="387"/>
  <c r="E10" i="387" a="1"/>
  <c r="E10" i="387" s="1"/>
  <c r="D10" i="387"/>
  <c r="P10" i="387" s="1"/>
  <c r="A10" i="387"/>
  <c r="A11" i="387" s="1"/>
  <c r="S2" i="387"/>
  <c r="R53" i="386"/>
  <c r="J41" i="386"/>
  <c r="I41" i="386"/>
  <c r="P40" i="386"/>
  <c r="G40" i="386"/>
  <c r="E40" i="386" s="1" a="1"/>
  <c r="E40" i="386" s="1"/>
  <c r="D40" i="386"/>
  <c r="G39" i="386"/>
  <c r="E39" i="386" s="1" a="1"/>
  <c r="E39" i="386" s="1"/>
  <c r="D39" i="386"/>
  <c r="P39" i="386" s="1"/>
  <c r="G38" i="386"/>
  <c r="E38" i="386" a="1"/>
  <c r="E38" i="386" s="1"/>
  <c r="D38" i="386"/>
  <c r="P38" i="386" s="1"/>
  <c r="P37" i="386"/>
  <c r="G37" i="386"/>
  <c r="E37" i="386" a="1"/>
  <c r="E37" i="386" s="1"/>
  <c r="J37" i="386" s="1"/>
  <c r="D37" i="386"/>
  <c r="P36" i="386"/>
  <c r="G36" i="386"/>
  <c r="E36" i="386" s="1" a="1"/>
  <c r="E36" i="386" s="1"/>
  <c r="D36" i="386"/>
  <c r="G35" i="386"/>
  <c r="E35" i="386" s="1" a="1"/>
  <c r="E35" i="386" s="1"/>
  <c r="D35" i="386"/>
  <c r="P35" i="386" s="1"/>
  <c r="G34" i="386"/>
  <c r="E34" i="386" a="1"/>
  <c r="E34" i="386" s="1"/>
  <c r="D34" i="386"/>
  <c r="P33" i="386"/>
  <c r="G33" i="386"/>
  <c r="E33" i="386" a="1"/>
  <c r="E33" i="386" s="1"/>
  <c r="J33" i="386" s="1"/>
  <c r="D33" i="386"/>
  <c r="P32" i="386"/>
  <c r="G32" i="386"/>
  <c r="E32" i="386" s="1" a="1"/>
  <c r="E32" i="386" s="1"/>
  <c r="D32" i="386"/>
  <c r="P31" i="386"/>
  <c r="G31" i="386"/>
  <c r="E31" i="386" s="1" a="1"/>
  <c r="E31" i="386" s="1"/>
  <c r="F31" i="386" s="1"/>
  <c r="D31" i="386"/>
  <c r="G30" i="386"/>
  <c r="E30" i="386" a="1"/>
  <c r="E30" i="386" s="1"/>
  <c r="I30" i="386" s="1"/>
  <c r="D30" i="386"/>
  <c r="P29" i="386"/>
  <c r="G29" i="386"/>
  <c r="E29" i="386" a="1"/>
  <c r="E29" i="386" s="1"/>
  <c r="D29" i="386"/>
  <c r="P28" i="386"/>
  <c r="G28" i="386"/>
  <c r="E28" i="386" s="1" a="1"/>
  <c r="E28" i="386" s="1"/>
  <c r="J28" i="386" s="1"/>
  <c r="D28" i="386"/>
  <c r="G27" i="386"/>
  <c r="E27" i="386" s="1" a="1"/>
  <c r="E27" i="386" s="1"/>
  <c r="L27" i="386" s="1"/>
  <c r="D27" i="386"/>
  <c r="P27" i="386" s="1"/>
  <c r="G26" i="386"/>
  <c r="E26" i="386" a="1"/>
  <c r="E26" i="386" s="1"/>
  <c r="I26" i="386" s="1"/>
  <c r="D26" i="386"/>
  <c r="P25" i="386"/>
  <c r="G25" i="386"/>
  <c r="E25" i="386" a="1"/>
  <c r="E25" i="386" s="1"/>
  <c r="D25" i="386"/>
  <c r="G24" i="386"/>
  <c r="E24" i="386" s="1" a="1"/>
  <c r="E24" i="386" s="1"/>
  <c r="J24" i="386" s="1"/>
  <c r="D24" i="386"/>
  <c r="G23" i="386"/>
  <c r="E23" i="386" s="1" a="1"/>
  <c r="E23" i="386" s="1"/>
  <c r="D23" i="386"/>
  <c r="P23" i="386" s="1"/>
  <c r="G22" i="386"/>
  <c r="E22" i="386" a="1"/>
  <c r="E22" i="386" s="1"/>
  <c r="D22" i="386"/>
  <c r="P21" i="386"/>
  <c r="G21" i="386"/>
  <c r="E21" i="386" a="1"/>
  <c r="E21" i="386" s="1"/>
  <c r="D21" i="386"/>
  <c r="G20" i="386"/>
  <c r="E20" i="386" s="1" a="1"/>
  <c r="E20" i="386" s="1"/>
  <c r="J20" i="386" s="1"/>
  <c r="D20" i="386"/>
  <c r="P20" i="386" s="1"/>
  <c r="G19" i="386"/>
  <c r="E19" i="386" s="1" a="1"/>
  <c r="E19" i="386" s="1"/>
  <c r="D19" i="386"/>
  <c r="P19" i="386" s="1"/>
  <c r="G18" i="386"/>
  <c r="E18" i="386" a="1"/>
  <c r="E18" i="386" s="1"/>
  <c r="D18" i="386"/>
  <c r="P17" i="386"/>
  <c r="G17" i="386"/>
  <c r="E17" i="386" a="1"/>
  <c r="E17" i="386" s="1"/>
  <c r="D17" i="386"/>
  <c r="G16" i="386"/>
  <c r="E16" i="386" s="1" a="1"/>
  <c r="E16" i="386" s="1"/>
  <c r="D16" i="386"/>
  <c r="P16" i="386" s="1"/>
  <c r="G15" i="386"/>
  <c r="E15" i="386" a="1"/>
  <c r="E15" i="386" s="1"/>
  <c r="I15" i="386" s="1"/>
  <c r="D15" i="386"/>
  <c r="G14" i="386"/>
  <c r="E14" i="386" s="1" a="1"/>
  <c r="E14" i="386" s="1"/>
  <c r="D14" i="386"/>
  <c r="G13" i="386"/>
  <c r="E13" i="386" s="1" a="1"/>
  <c r="E13" i="386" s="1"/>
  <c r="D13" i="386"/>
  <c r="G12" i="386"/>
  <c r="E12" i="386" a="1"/>
  <c r="E12" i="386" s="1"/>
  <c r="D12" i="386"/>
  <c r="P12" i="386" s="1"/>
  <c r="G11" i="386"/>
  <c r="E11" i="386" a="1"/>
  <c r="E11" i="386" s="1"/>
  <c r="D11" i="386"/>
  <c r="P11" i="386" s="1"/>
  <c r="G10" i="386"/>
  <c r="E10" i="386" a="1"/>
  <c r="E10" i="386" s="1"/>
  <c r="D10" i="386"/>
  <c r="P10" i="386" s="1"/>
  <c r="A10" i="386"/>
  <c r="A11" i="386" s="1"/>
  <c r="S2" i="386"/>
  <c r="R53" i="385"/>
  <c r="J41" i="385"/>
  <c r="I41" i="385"/>
  <c r="P40" i="385"/>
  <c r="G40" i="385"/>
  <c r="E40" i="385" s="1" a="1"/>
  <c r="E40" i="385" s="1"/>
  <c r="D40" i="385"/>
  <c r="G39" i="385"/>
  <c r="E39" i="385" s="1" a="1"/>
  <c r="E39" i="385" s="1"/>
  <c r="D39" i="385"/>
  <c r="P39" i="385" s="1"/>
  <c r="G38" i="385"/>
  <c r="E38" i="385" a="1"/>
  <c r="E38" i="385" s="1"/>
  <c r="D38" i="385"/>
  <c r="P38" i="385" s="1"/>
  <c r="P37" i="385"/>
  <c r="G37" i="385"/>
  <c r="E37" i="385" a="1"/>
  <c r="E37" i="385" s="1"/>
  <c r="J37" i="385" s="1"/>
  <c r="D37" i="385"/>
  <c r="P36" i="385"/>
  <c r="G36" i="385"/>
  <c r="E36" i="385" s="1" a="1"/>
  <c r="E36" i="385" s="1"/>
  <c r="D36" i="385"/>
  <c r="G35" i="385"/>
  <c r="E35" i="385" s="1" a="1"/>
  <c r="E35" i="385" s="1"/>
  <c r="D35" i="385"/>
  <c r="P35" i="385" s="1"/>
  <c r="G34" i="385"/>
  <c r="E34" i="385" a="1"/>
  <c r="E34" i="385" s="1"/>
  <c r="D34" i="385"/>
  <c r="P33" i="385"/>
  <c r="G33" i="385"/>
  <c r="E33" i="385" a="1"/>
  <c r="E33" i="385" s="1"/>
  <c r="J33" i="385" s="1"/>
  <c r="D33" i="385"/>
  <c r="P32" i="385"/>
  <c r="G32" i="385"/>
  <c r="E32" i="385" s="1" a="1"/>
  <c r="E32" i="385" s="1"/>
  <c r="D32" i="385"/>
  <c r="P31" i="385"/>
  <c r="G31" i="385"/>
  <c r="E31" i="385" s="1" a="1"/>
  <c r="E31" i="385" s="1"/>
  <c r="F31" i="385" s="1"/>
  <c r="D31" i="385"/>
  <c r="G30" i="385"/>
  <c r="E30" i="385" a="1"/>
  <c r="E30" i="385" s="1"/>
  <c r="I30" i="385" s="1"/>
  <c r="D30" i="385"/>
  <c r="P29" i="385"/>
  <c r="G29" i="385"/>
  <c r="E29" i="385" a="1"/>
  <c r="E29" i="385" s="1"/>
  <c r="D29" i="385"/>
  <c r="P28" i="385"/>
  <c r="G28" i="385"/>
  <c r="E28" i="385" s="1" a="1"/>
  <c r="E28" i="385" s="1"/>
  <c r="J28" i="385" s="1"/>
  <c r="D28" i="385"/>
  <c r="G27" i="385"/>
  <c r="E27" i="385" s="1" a="1"/>
  <c r="E27" i="385" s="1"/>
  <c r="L27" i="385" s="1"/>
  <c r="D27" i="385"/>
  <c r="P27" i="385" s="1"/>
  <c r="G26" i="385"/>
  <c r="E26" i="385" a="1"/>
  <c r="E26" i="385" s="1"/>
  <c r="I26" i="385" s="1"/>
  <c r="D26" i="385"/>
  <c r="P25" i="385"/>
  <c r="G25" i="385"/>
  <c r="E25" i="385" a="1"/>
  <c r="E25" i="385" s="1"/>
  <c r="D25" i="385"/>
  <c r="G24" i="385"/>
  <c r="E24" i="385" s="1" a="1"/>
  <c r="E24" i="385" s="1"/>
  <c r="J24" i="385" s="1"/>
  <c r="D24" i="385"/>
  <c r="G23" i="385"/>
  <c r="E23" i="385" s="1" a="1"/>
  <c r="E23" i="385" s="1"/>
  <c r="D23" i="385"/>
  <c r="P23" i="385" s="1"/>
  <c r="G22" i="385"/>
  <c r="E22" i="385" a="1"/>
  <c r="E22" i="385" s="1"/>
  <c r="D22" i="385"/>
  <c r="P21" i="385"/>
  <c r="G21" i="385"/>
  <c r="E21" i="385" a="1"/>
  <c r="E21" i="385" s="1"/>
  <c r="D21" i="385"/>
  <c r="G20" i="385"/>
  <c r="E20" i="385" s="1" a="1"/>
  <c r="E20" i="385" s="1"/>
  <c r="J20" i="385" s="1"/>
  <c r="D20" i="385"/>
  <c r="P20" i="385" s="1"/>
  <c r="G19" i="385"/>
  <c r="E19" i="385" s="1" a="1"/>
  <c r="E19" i="385" s="1"/>
  <c r="D19" i="385"/>
  <c r="P19" i="385" s="1"/>
  <c r="G18" i="385"/>
  <c r="E18" i="385" a="1"/>
  <c r="E18" i="385" s="1"/>
  <c r="D18" i="385"/>
  <c r="P17" i="385"/>
  <c r="G17" i="385"/>
  <c r="E17" i="385" a="1"/>
  <c r="E17" i="385" s="1"/>
  <c r="D17" i="385"/>
  <c r="G16" i="385"/>
  <c r="E16" i="385" s="1" a="1"/>
  <c r="E16" i="385" s="1"/>
  <c r="D16" i="385"/>
  <c r="P16" i="385" s="1"/>
  <c r="G15" i="385"/>
  <c r="E15" i="385" a="1"/>
  <c r="E15" i="385" s="1"/>
  <c r="I15" i="385" s="1"/>
  <c r="D15" i="385"/>
  <c r="G14" i="385"/>
  <c r="E14" i="385" s="1" a="1"/>
  <c r="E14" i="385" s="1"/>
  <c r="D14" i="385"/>
  <c r="G13" i="385"/>
  <c r="E13" i="385" s="1" a="1"/>
  <c r="E13" i="385" s="1"/>
  <c r="D13" i="385"/>
  <c r="G12" i="385"/>
  <c r="E12" i="385" a="1"/>
  <c r="E12" i="385" s="1"/>
  <c r="D12" i="385"/>
  <c r="P12" i="385" s="1"/>
  <c r="G11" i="385"/>
  <c r="E11" i="385" a="1"/>
  <c r="E11" i="385" s="1"/>
  <c r="D11" i="385"/>
  <c r="P11" i="385" s="1"/>
  <c r="G10" i="385"/>
  <c r="E10" i="385" a="1"/>
  <c r="E10" i="385" s="1"/>
  <c r="D10" i="385"/>
  <c r="P10" i="385" s="1"/>
  <c r="A10" i="385"/>
  <c r="A11" i="385" s="1"/>
  <c r="S2" i="385"/>
  <c r="R53" i="384"/>
  <c r="J41" i="384"/>
  <c r="I41" i="384"/>
  <c r="P40" i="384"/>
  <c r="G40" i="384"/>
  <c r="E40" i="384" s="1" a="1"/>
  <c r="E40" i="384" s="1"/>
  <c r="D40" i="384"/>
  <c r="G39" i="384"/>
  <c r="E39" i="384" s="1" a="1"/>
  <c r="E39" i="384" s="1"/>
  <c r="D39" i="384"/>
  <c r="P39" i="384" s="1"/>
  <c r="G38" i="384"/>
  <c r="E38" i="384" a="1"/>
  <c r="E38" i="384" s="1"/>
  <c r="D38" i="384"/>
  <c r="P38" i="384" s="1"/>
  <c r="P37" i="384"/>
  <c r="G37" i="384"/>
  <c r="E37" i="384" a="1"/>
  <c r="E37" i="384" s="1"/>
  <c r="J37" i="384" s="1"/>
  <c r="D37" i="384"/>
  <c r="P36" i="384"/>
  <c r="G36" i="384"/>
  <c r="E36" i="384" s="1" a="1"/>
  <c r="E36" i="384" s="1"/>
  <c r="D36" i="384"/>
  <c r="G35" i="384"/>
  <c r="E35" i="384" s="1" a="1"/>
  <c r="E35" i="384" s="1"/>
  <c r="D35" i="384"/>
  <c r="P35" i="384" s="1"/>
  <c r="G34" i="384"/>
  <c r="E34" i="384" a="1"/>
  <c r="E34" i="384" s="1"/>
  <c r="D34" i="384"/>
  <c r="P33" i="384"/>
  <c r="G33" i="384"/>
  <c r="E33" i="384" a="1"/>
  <c r="E33" i="384" s="1"/>
  <c r="J33" i="384" s="1"/>
  <c r="D33" i="384"/>
  <c r="P32" i="384"/>
  <c r="G32" i="384"/>
  <c r="E32" i="384" s="1" a="1"/>
  <c r="E32" i="384" s="1"/>
  <c r="D32" i="384"/>
  <c r="P31" i="384"/>
  <c r="G31" i="384"/>
  <c r="E31" i="384" s="1" a="1"/>
  <c r="E31" i="384" s="1"/>
  <c r="F31" i="384" s="1"/>
  <c r="D31" i="384"/>
  <c r="G30" i="384"/>
  <c r="E30" i="384" a="1"/>
  <c r="E30" i="384" s="1"/>
  <c r="I30" i="384" s="1"/>
  <c r="D30" i="384"/>
  <c r="P29" i="384"/>
  <c r="G29" i="384"/>
  <c r="E29" i="384" a="1"/>
  <c r="E29" i="384" s="1"/>
  <c r="D29" i="384"/>
  <c r="P28" i="384"/>
  <c r="G28" i="384"/>
  <c r="E28" i="384" s="1" a="1"/>
  <c r="E28" i="384" s="1"/>
  <c r="J28" i="384" s="1"/>
  <c r="D28" i="384"/>
  <c r="G27" i="384"/>
  <c r="E27" i="384" s="1" a="1"/>
  <c r="E27" i="384" s="1"/>
  <c r="D27" i="384"/>
  <c r="P27" i="384" s="1"/>
  <c r="G26" i="384"/>
  <c r="E26" i="384" a="1"/>
  <c r="E26" i="384" s="1"/>
  <c r="D26" i="384"/>
  <c r="P25" i="384"/>
  <c r="G25" i="384"/>
  <c r="E25" i="384" a="1"/>
  <c r="E25" i="384" s="1"/>
  <c r="D25" i="384"/>
  <c r="G24" i="384"/>
  <c r="E24" i="384" s="1" a="1"/>
  <c r="E24" i="384" s="1"/>
  <c r="D24" i="384"/>
  <c r="P24" i="384" s="1"/>
  <c r="G23" i="384"/>
  <c r="E23" i="384" a="1"/>
  <c r="E23" i="384" s="1"/>
  <c r="N23" i="384" s="1"/>
  <c r="D23" i="384"/>
  <c r="G22" i="384"/>
  <c r="E22" i="384" s="1" a="1"/>
  <c r="E22" i="384" s="1"/>
  <c r="D22" i="384"/>
  <c r="P21" i="384"/>
  <c r="G21" i="384"/>
  <c r="E21" i="384" a="1"/>
  <c r="E21" i="384" s="1"/>
  <c r="D21" i="384"/>
  <c r="G20" i="384"/>
  <c r="E20" i="384" s="1" a="1"/>
  <c r="E20" i="384" s="1"/>
  <c r="D20" i="384"/>
  <c r="P20" i="384" s="1"/>
  <c r="G19" i="384"/>
  <c r="E19" i="384" a="1"/>
  <c r="E19" i="384" s="1"/>
  <c r="I19" i="384" s="1"/>
  <c r="D19" i="384"/>
  <c r="P19" i="384" s="1"/>
  <c r="G18" i="384"/>
  <c r="E18" i="384" s="1" a="1"/>
  <c r="E18" i="384" s="1"/>
  <c r="D18" i="384"/>
  <c r="P17" i="384"/>
  <c r="G17" i="384"/>
  <c r="E17" i="384" a="1"/>
  <c r="E17" i="384" s="1"/>
  <c r="D17" i="384"/>
  <c r="G16" i="384"/>
  <c r="E16" i="384" s="1" a="1"/>
  <c r="E16" i="384" s="1"/>
  <c r="J16" i="384" s="1"/>
  <c r="D16" i="384"/>
  <c r="G15" i="384"/>
  <c r="E15" i="384" s="1" a="1"/>
  <c r="E15" i="384" s="1"/>
  <c r="D15" i="384"/>
  <c r="P15" i="384" s="1"/>
  <c r="G14" i="384"/>
  <c r="E14" i="384" a="1"/>
  <c r="E14" i="384" s="1"/>
  <c r="D14" i="384"/>
  <c r="G13" i="384"/>
  <c r="E13" i="384" a="1"/>
  <c r="E13" i="384" s="1"/>
  <c r="D13" i="384"/>
  <c r="G12" i="384"/>
  <c r="E12" i="384" a="1"/>
  <c r="E12" i="384" s="1"/>
  <c r="D12" i="384"/>
  <c r="P12" i="384" s="1"/>
  <c r="P11" i="384"/>
  <c r="G11" i="384"/>
  <c r="E11" i="384" a="1"/>
  <c r="E11" i="384" s="1"/>
  <c r="AB11" i="384" s="1"/>
  <c r="D11" i="384"/>
  <c r="G10" i="384"/>
  <c r="E10" i="384" a="1"/>
  <c r="E10" i="384" s="1"/>
  <c r="D10" i="384"/>
  <c r="P10" i="384" s="1"/>
  <c r="A10" i="384"/>
  <c r="A11" i="384" s="1"/>
  <c r="S2" i="384"/>
  <c r="R53" i="383"/>
  <c r="J41" i="383"/>
  <c r="I41" i="383"/>
  <c r="P40" i="383"/>
  <c r="G40" i="383"/>
  <c r="E40" i="383" s="1" a="1"/>
  <c r="E40" i="383" s="1"/>
  <c r="D40" i="383"/>
  <c r="G39" i="383"/>
  <c r="E39" i="383" s="1" a="1"/>
  <c r="E39" i="383" s="1"/>
  <c r="D39" i="383"/>
  <c r="P39" i="383" s="1"/>
  <c r="G38" i="383"/>
  <c r="E38" i="383" a="1"/>
  <c r="E38" i="383" s="1"/>
  <c r="D38" i="383"/>
  <c r="P38" i="383" s="1"/>
  <c r="P37" i="383"/>
  <c r="G37" i="383"/>
  <c r="E37" i="383" a="1"/>
  <c r="E37" i="383" s="1"/>
  <c r="J37" i="383" s="1"/>
  <c r="D37" i="383"/>
  <c r="P36" i="383"/>
  <c r="G36" i="383"/>
  <c r="E36" i="383" s="1" a="1"/>
  <c r="E36" i="383" s="1"/>
  <c r="D36" i="383"/>
  <c r="G35" i="383"/>
  <c r="E35" i="383" s="1" a="1"/>
  <c r="E35" i="383" s="1"/>
  <c r="D35" i="383"/>
  <c r="P35" i="383" s="1"/>
  <c r="G34" i="383"/>
  <c r="E34" i="383" a="1"/>
  <c r="E34" i="383" s="1"/>
  <c r="D34" i="383"/>
  <c r="P33" i="383"/>
  <c r="G33" i="383"/>
  <c r="E33" i="383" a="1"/>
  <c r="E33" i="383" s="1"/>
  <c r="J33" i="383" s="1"/>
  <c r="D33" i="383"/>
  <c r="P32" i="383"/>
  <c r="G32" i="383"/>
  <c r="E32" i="383" s="1" a="1"/>
  <c r="E32" i="383" s="1"/>
  <c r="D32" i="383"/>
  <c r="P31" i="383"/>
  <c r="G31" i="383"/>
  <c r="E31" i="383" s="1" a="1"/>
  <c r="E31" i="383" s="1"/>
  <c r="F31" i="383" s="1"/>
  <c r="D31" i="383"/>
  <c r="G30" i="383"/>
  <c r="E30" i="383" a="1"/>
  <c r="E30" i="383" s="1"/>
  <c r="I30" i="383" s="1"/>
  <c r="D30" i="383"/>
  <c r="P29" i="383"/>
  <c r="G29" i="383"/>
  <c r="E29" i="383" a="1"/>
  <c r="E29" i="383" s="1"/>
  <c r="D29" i="383"/>
  <c r="P28" i="383"/>
  <c r="G28" i="383"/>
  <c r="E28" i="383" s="1" a="1"/>
  <c r="E28" i="383" s="1"/>
  <c r="J28" i="383" s="1"/>
  <c r="D28" i="383"/>
  <c r="G27" i="383"/>
  <c r="E27" i="383" s="1" a="1"/>
  <c r="E27" i="383" s="1"/>
  <c r="L27" i="383" s="1"/>
  <c r="D27" i="383"/>
  <c r="P27" i="383" s="1"/>
  <c r="G26" i="383"/>
  <c r="E26" i="383" a="1"/>
  <c r="E26" i="383" s="1"/>
  <c r="I26" i="383" s="1"/>
  <c r="D26" i="383"/>
  <c r="P25" i="383"/>
  <c r="G25" i="383"/>
  <c r="E25" i="383" a="1"/>
  <c r="E25" i="383" s="1"/>
  <c r="D25" i="383"/>
  <c r="G24" i="383"/>
  <c r="E24" i="383" s="1" a="1"/>
  <c r="E24" i="383" s="1"/>
  <c r="J24" i="383" s="1"/>
  <c r="D24" i="383"/>
  <c r="G23" i="383"/>
  <c r="E23" i="383" s="1" a="1"/>
  <c r="E23" i="383" s="1"/>
  <c r="D23" i="383"/>
  <c r="P23" i="383" s="1"/>
  <c r="G22" i="383"/>
  <c r="E22" i="383" a="1"/>
  <c r="E22" i="383" s="1"/>
  <c r="D22" i="383"/>
  <c r="P21" i="383"/>
  <c r="G21" i="383"/>
  <c r="E21" i="383" a="1"/>
  <c r="E21" i="383" s="1"/>
  <c r="D21" i="383"/>
  <c r="G20" i="383"/>
  <c r="E20" i="383" s="1" a="1"/>
  <c r="E20" i="383" s="1"/>
  <c r="J20" i="383" s="1"/>
  <c r="D20" i="383"/>
  <c r="P20" i="383" s="1"/>
  <c r="G19" i="383"/>
  <c r="E19" i="383" s="1" a="1"/>
  <c r="E19" i="383" s="1"/>
  <c r="D19" i="383"/>
  <c r="P19" i="383" s="1"/>
  <c r="G18" i="383"/>
  <c r="E18" i="383" a="1"/>
  <c r="E18" i="383" s="1"/>
  <c r="D18" i="383"/>
  <c r="P17" i="383"/>
  <c r="G17" i="383"/>
  <c r="E17" i="383" a="1"/>
  <c r="E17" i="383" s="1"/>
  <c r="N17" i="383" s="1"/>
  <c r="D17" i="383"/>
  <c r="G16" i="383"/>
  <c r="E16" i="383" s="1" a="1"/>
  <c r="E16" i="383" s="1"/>
  <c r="D16" i="383"/>
  <c r="P16" i="383" s="1"/>
  <c r="G15" i="383"/>
  <c r="E15" i="383" a="1"/>
  <c r="E15" i="383" s="1"/>
  <c r="N15" i="383" s="1"/>
  <c r="D15" i="383"/>
  <c r="G14" i="383"/>
  <c r="E14" i="383" s="1" a="1"/>
  <c r="E14" i="383" s="1"/>
  <c r="D14" i="383"/>
  <c r="G13" i="383"/>
  <c r="E13" i="383" s="1" a="1"/>
  <c r="E13" i="383" s="1"/>
  <c r="D13" i="383"/>
  <c r="G12" i="383"/>
  <c r="E12" i="383" s="1" a="1"/>
  <c r="E12" i="383" s="1"/>
  <c r="D12" i="383"/>
  <c r="P12" i="383" s="1"/>
  <c r="G11" i="383"/>
  <c r="E11" i="383" s="1" a="1"/>
  <c r="E11" i="383" s="1"/>
  <c r="D11" i="383"/>
  <c r="A10" i="383" s="1"/>
  <c r="G10" i="383"/>
  <c r="E10" i="383" s="1" a="1"/>
  <c r="E10" i="383" s="1"/>
  <c r="D10" i="383"/>
  <c r="P10" i="383" s="1"/>
  <c r="S2" i="383"/>
  <c r="R53" i="382"/>
  <c r="J41" i="382"/>
  <c r="I41" i="382"/>
  <c r="P40" i="382"/>
  <c r="G40" i="382"/>
  <c r="E40" i="382" s="1" a="1"/>
  <c r="E40" i="382" s="1"/>
  <c r="D40" i="382"/>
  <c r="G39" i="382"/>
  <c r="E39" i="382" s="1" a="1"/>
  <c r="E39" i="382" s="1"/>
  <c r="D39" i="382"/>
  <c r="P39" i="382" s="1"/>
  <c r="G38" i="382"/>
  <c r="E38" i="382" a="1"/>
  <c r="E38" i="382" s="1"/>
  <c r="D38" i="382"/>
  <c r="P38" i="382" s="1"/>
  <c r="P37" i="382"/>
  <c r="G37" i="382"/>
  <c r="E37" i="382" a="1"/>
  <c r="E37" i="382" s="1"/>
  <c r="J37" i="382" s="1"/>
  <c r="D37" i="382"/>
  <c r="P36" i="382"/>
  <c r="G36" i="382"/>
  <c r="E36" i="382" s="1" a="1"/>
  <c r="E36" i="382" s="1"/>
  <c r="D36" i="382"/>
  <c r="G35" i="382"/>
  <c r="E35" i="382" s="1" a="1"/>
  <c r="E35" i="382" s="1"/>
  <c r="D35" i="382"/>
  <c r="P35" i="382" s="1"/>
  <c r="G34" i="382"/>
  <c r="E34" i="382" a="1"/>
  <c r="E34" i="382" s="1"/>
  <c r="D34" i="382"/>
  <c r="P33" i="382"/>
  <c r="G33" i="382"/>
  <c r="E33" i="382" a="1"/>
  <c r="E33" i="382" s="1"/>
  <c r="J33" i="382" s="1"/>
  <c r="D33" i="382"/>
  <c r="P32" i="382"/>
  <c r="G32" i="382"/>
  <c r="E32" i="382" s="1" a="1"/>
  <c r="E32" i="382" s="1"/>
  <c r="D32" i="382"/>
  <c r="P31" i="382"/>
  <c r="G31" i="382"/>
  <c r="E31" i="382" s="1" a="1"/>
  <c r="E31" i="382" s="1"/>
  <c r="F31" i="382" s="1"/>
  <c r="D31" i="382"/>
  <c r="G30" i="382"/>
  <c r="E30" i="382" a="1"/>
  <c r="E30" i="382" s="1"/>
  <c r="I30" i="382" s="1"/>
  <c r="D30" i="382"/>
  <c r="P29" i="382"/>
  <c r="G29" i="382"/>
  <c r="E29" i="382" a="1"/>
  <c r="E29" i="382" s="1"/>
  <c r="D29" i="382"/>
  <c r="P28" i="382"/>
  <c r="G28" i="382"/>
  <c r="E28" i="382" s="1" a="1"/>
  <c r="E28" i="382" s="1"/>
  <c r="J28" i="382" s="1"/>
  <c r="D28" i="382"/>
  <c r="G27" i="382"/>
  <c r="E27" i="382" s="1" a="1"/>
  <c r="E27" i="382" s="1"/>
  <c r="L27" i="382" s="1"/>
  <c r="D27" i="382"/>
  <c r="P27" i="382" s="1"/>
  <c r="G26" i="382"/>
  <c r="E26" i="382" a="1"/>
  <c r="E26" i="382" s="1"/>
  <c r="I26" i="382" s="1"/>
  <c r="D26" i="382"/>
  <c r="P25" i="382"/>
  <c r="G25" i="382"/>
  <c r="E25" i="382" a="1"/>
  <c r="E25" i="382" s="1"/>
  <c r="D25" i="382"/>
  <c r="G24" i="382"/>
  <c r="E24" i="382" s="1" a="1"/>
  <c r="E24" i="382" s="1"/>
  <c r="J24" i="382" s="1"/>
  <c r="D24" i="382"/>
  <c r="G23" i="382"/>
  <c r="E23" i="382" s="1" a="1"/>
  <c r="E23" i="382" s="1"/>
  <c r="D23" i="382"/>
  <c r="P23" i="382" s="1"/>
  <c r="G22" i="382"/>
  <c r="E22" i="382" a="1"/>
  <c r="E22" i="382" s="1"/>
  <c r="D22" i="382"/>
  <c r="P21" i="382"/>
  <c r="G21" i="382"/>
  <c r="E21" i="382" a="1"/>
  <c r="E21" i="382" s="1"/>
  <c r="D21" i="382"/>
  <c r="G20" i="382"/>
  <c r="E20" i="382" s="1" a="1"/>
  <c r="E20" i="382" s="1"/>
  <c r="J20" i="382" s="1"/>
  <c r="D20" i="382"/>
  <c r="P20" i="382" s="1"/>
  <c r="G19" i="382"/>
  <c r="E19" i="382" s="1" a="1"/>
  <c r="E19" i="382" s="1"/>
  <c r="D19" i="382"/>
  <c r="P19" i="382" s="1"/>
  <c r="G18" i="382"/>
  <c r="E18" i="382" a="1"/>
  <c r="E18" i="382" s="1"/>
  <c r="D18" i="382"/>
  <c r="P17" i="382"/>
  <c r="G17" i="382"/>
  <c r="E17" i="382" a="1"/>
  <c r="E17" i="382" s="1"/>
  <c r="D17" i="382"/>
  <c r="G16" i="382"/>
  <c r="E16" i="382" s="1" a="1"/>
  <c r="E16" i="382" s="1"/>
  <c r="D16" i="382"/>
  <c r="P16" i="382" s="1"/>
  <c r="G15" i="382"/>
  <c r="E15" i="382" a="1"/>
  <c r="E15" i="382" s="1"/>
  <c r="I15" i="382" s="1"/>
  <c r="D15" i="382"/>
  <c r="G14" i="382"/>
  <c r="E14" i="382" s="1" a="1"/>
  <c r="E14" i="382" s="1"/>
  <c r="D14" i="382"/>
  <c r="G13" i="382"/>
  <c r="E13" i="382" s="1" a="1"/>
  <c r="E13" i="382" s="1"/>
  <c r="D13" i="382"/>
  <c r="G12" i="382"/>
  <c r="E12" i="382" a="1"/>
  <c r="E12" i="382" s="1"/>
  <c r="D12" i="382"/>
  <c r="P12" i="382" s="1"/>
  <c r="G11" i="382"/>
  <c r="E11" i="382" a="1"/>
  <c r="E11" i="382" s="1"/>
  <c r="D11" i="382"/>
  <c r="P11" i="382" s="1"/>
  <c r="G10" i="382"/>
  <c r="E10" i="382" a="1"/>
  <c r="E10" i="382" s="1"/>
  <c r="D10" i="382"/>
  <c r="P10" i="382" s="1"/>
  <c r="A10" i="382"/>
  <c r="A11" i="382" s="1"/>
  <c r="S2" i="382"/>
  <c r="R53" i="381"/>
  <c r="J41" i="381"/>
  <c r="I41" i="381"/>
  <c r="P40" i="381"/>
  <c r="G40" i="381"/>
  <c r="E40" i="381" s="1" a="1"/>
  <c r="E40" i="381" s="1"/>
  <c r="D40" i="381"/>
  <c r="G39" i="381"/>
  <c r="E39" i="381" s="1" a="1"/>
  <c r="E39" i="381" s="1"/>
  <c r="D39" i="381"/>
  <c r="P39" i="381" s="1"/>
  <c r="G38" i="381"/>
  <c r="E38" i="381" a="1"/>
  <c r="E38" i="381" s="1"/>
  <c r="D38" i="381"/>
  <c r="P38" i="381" s="1"/>
  <c r="P37" i="381"/>
  <c r="G37" i="381"/>
  <c r="E37" i="381" a="1"/>
  <c r="E37" i="381" s="1"/>
  <c r="J37" i="381" s="1"/>
  <c r="D37" i="381"/>
  <c r="P36" i="381"/>
  <c r="G36" i="381"/>
  <c r="E36" i="381" s="1" a="1"/>
  <c r="E36" i="381" s="1"/>
  <c r="D36" i="381"/>
  <c r="G35" i="381"/>
  <c r="E35" i="381" s="1" a="1"/>
  <c r="E35" i="381" s="1"/>
  <c r="D35" i="381"/>
  <c r="P35" i="381" s="1"/>
  <c r="G34" i="381"/>
  <c r="E34" i="381" a="1"/>
  <c r="E34" i="381" s="1"/>
  <c r="D34" i="381"/>
  <c r="P33" i="381"/>
  <c r="G33" i="381"/>
  <c r="E33" i="381" a="1"/>
  <c r="E33" i="381" s="1"/>
  <c r="J33" i="381" s="1"/>
  <c r="D33" i="381"/>
  <c r="P32" i="381"/>
  <c r="G32" i="381"/>
  <c r="E32" i="381" s="1" a="1"/>
  <c r="E32" i="381" s="1"/>
  <c r="D32" i="381"/>
  <c r="P31" i="381"/>
  <c r="G31" i="381"/>
  <c r="E31" i="381" s="1" a="1"/>
  <c r="E31" i="381" s="1"/>
  <c r="F31" i="381" s="1"/>
  <c r="D31" i="381"/>
  <c r="G30" i="381"/>
  <c r="E30" i="381" a="1"/>
  <c r="E30" i="381" s="1"/>
  <c r="I30" i="381" s="1"/>
  <c r="D30" i="381"/>
  <c r="P29" i="381"/>
  <c r="G29" i="381"/>
  <c r="E29" i="381" a="1"/>
  <c r="E29" i="381" s="1"/>
  <c r="D29" i="381"/>
  <c r="P28" i="381"/>
  <c r="G28" i="381"/>
  <c r="E28" i="381" s="1" a="1"/>
  <c r="E28" i="381" s="1"/>
  <c r="J28" i="381" s="1"/>
  <c r="D28" i="381"/>
  <c r="G27" i="381"/>
  <c r="E27" i="381" s="1" a="1"/>
  <c r="E27" i="381" s="1"/>
  <c r="L27" i="381" s="1"/>
  <c r="D27" i="381"/>
  <c r="P27" i="381" s="1"/>
  <c r="G26" i="381"/>
  <c r="E26" i="381" a="1"/>
  <c r="E26" i="381" s="1"/>
  <c r="I26" i="381" s="1"/>
  <c r="D26" i="381"/>
  <c r="P25" i="381"/>
  <c r="G25" i="381"/>
  <c r="E25" i="381" a="1"/>
  <c r="E25" i="381" s="1"/>
  <c r="D25" i="381"/>
  <c r="G24" i="381"/>
  <c r="E24" i="381" s="1" a="1"/>
  <c r="E24" i="381" s="1"/>
  <c r="J24" i="381" s="1"/>
  <c r="D24" i="381"/>
  <c r="G23" i="381"/>
  <c r="E23" i="381" s="1" a="1"/>
  <c r="E23" i="381" s="1"/>
  <c r="D23" i="381"/>
  <c r="P23" i="381" s="1"/>
  <c r="G22" i="381"/>
  <c r="E22" i="381" a="1"/>
  <c r="E22" i="381" s="1"/>
  <c r="D22" i="381"/>
  <c r="P21" i="381"/>
  <c r="G21" i="381"/>
  <c r="E21" i="381" a="1"/>
  <c r="E21" i="381" s="1"/>
  <c r="D21" i="381"/>
  <c r="G20" i="381"/>
  <c r="E20" i="381" s="1" a="1"/>
  <c r="E20" i="381" s="1"/>
  <c r="J20" i="381" s="1"/>
  <c r="D20" i="381"/>
  <c r="P20" i="381" s="1"/>
  <c r="G19" i="381"/>
  <c r="E19" i="381" s="1" a="1"/>
  <c r="E19" i="381" s="1"/>
  <c r="D19" i="381"/>
  <c r="P19" i="381" s="1"/>
  <c r="G18" i="381"/>
  <c r="E18" i="381" a="1"/>
  <c r="E18" i="381" s="1"/>
  <c r="D18" i="381"/>
  <c r="P17" i="381"/>
  <c r="G17" i="381"/>
  <c r="E17" i="381" a="1"/>
  <c r="E17" i="381" s="1"/>
  <c r="D17" i="381"/>
  <c r="G16" i="381"/>
  <c r="E16" i="381" s="1" a="1"/>
  <c r="E16" i="381" s="1"/>
  <c r="D16" i="381"/>
  <c r="P16" i="381" s="1"/>
  <c r="G15" i="381"/>
  <c r="E15" i="381" a="1"/>
  <c r="E15" i="381" s="1"/>
  <c r="I15" i="381" s="1"/>
  <c r="D15" i="381"/>
  <c r="G14" i="381"/>
  <c r="E14" i="381" s="1" a="1"/>
  <c r="E14" i="381" s="1"/>
  <c r="D14" i="381"/>
  <c r="G13" i="381"/>
  <c r="E13" i="381" s="1" a="1"/>
  <c r="E13" i="381" s="1"/>
  <c r="D13" i="381"/>
  <c r="G12" i="381"/>
  <c r="E12" i="381" a="1"/>
  <c r="E12" i="381" s="1"/>
  <c r="D12" i="381"/>
  <c r="P12" i="381" s="1"/>
  <c r="G11" i="381"/>
  <c r="E11" i="381" a="1"/>
  <c r="E11" i="381" s="1"/>
  <c r="D11" i="381"/>
  <c r="P11" i="381" s="1"/>
  <c r="G10" i="381"/>
  <c r="E10" i="381" a="1"/>
  <c r="E10" i="381" s="1"/>
  <c r="D10" i="381"/>
  <c r="P10" i="381" s="1"/>
  <c r="A10" i="381"/>
  <c r="A11" i="381" s="1"/>
  <c r="S2" i="381"/>
  <c r="R53" i="380"/>
  <c r="J41" i="380"/>
  <c r="I41" i="380"/>
  <c r="P40" i="380"/>
  <c r="G40" i="380"/>
  <c r="E40" i="380" s="1" a="1"/>
  <c r="E40" i="380" s="1"/>
  <c r="D40" i="380"/>
  <c r="G39" i="380"/>
  <c r="E39" i="380" s="1" a="1"/>
  <c r="E39" i="380" s="1"/>
  <c r="D39" i="380"/>
  <c r="P39" i="380" s="1"/>
  <c r="G38" i="380"/>
  <c r="E38" i="380" a="1"/>
  <c r="E38" i="380" s="1"/>
  <c r="D38" i="380"/>
  <c r="P38" i="380" s="1"/>
  <c r="P37" i="380"/>
  <c r="G37" i="380"/>
  <c r="E37" i="380" a="1"/>
  <c r="E37" i="380" s="1"/>
  <c r="J37" i="380" s="1"/>
  <c r="D37" i="380"/>
  <c r="P36" i="380"/>
  <c r="G36" i="380"/>
  <c r="E36" i="380" s="1" a="1"/>
  <c r="E36" i="380" s="1"/>
  <c r="D36" i="380"/>
  <c r="G35" i="380"/>
  <c r="E35" i="380" s="1" a="1"/>
  <c r="E35" i="380" s="1"/>
  <c r="D35" i="380"/>
  <c r="P35" i="380" s="1"/>
  <c r="G34" i="380"/>
  <c r="E34" i="380" a="1"/>
  <c r="E34" i="380" s="1"/>
  <c r="D34" i="380"/>
  <c r="P33" i="380"/>
  <c r="G33" i="380"/>
  <c r="E33" i="380" a="1"/>
  <c r="E33" i="380" s="1"/>
  <c r="J33" i="380" s="1"/>
  <c r="D33" i="380"/>
  <c r="P32" i="380"/>
  <c r="G32" i="380"/>
  <c r="E32" i="380" s="1" a="1"/>
  <c r="E32" i="380" s="1"/>
  <c r="D32" i="380"/>
  <c r="P31" i="380"/>
  <c r="G31" i="380"/>
  <c r="E31" i="380" s="1" a="1"/>
  <c r="E31" i="380" s="1"/>
  <c r="F31" i="380" s="1"/>
  <c r="D31" i="380"/>
  <c r="G30" i="380"/>
  <c r="E30" i="380" a="1"/>
  <c r="E30" i="380" s="1"/>
  <c r="I30" i="380" s="1"/>
  <c r="D30" i="380"/>
  <c r="P29" i="380"/>
  <c r="G29" i="380"/>
  <c r="E29" i="380" a="1"/>
  <c r="E29" i="380" s="1"/>
  <c r="D29" i="380"/>
  <c r="P28" i="380"/>
  <c r="G28" i="380"/>
  <c r="E28" i="380" s="1" a="1"/>
  <c r="E28" i="380" s="1"/>
  <c r="J28" i="380" s="1"/>
  <c r="D28" i="380"/>
  <c r="G27" i="380"/>
  <c r="E27" i="380" s="1" a="1"/>
  <c r="E27" i="380" s="1"/>
  <c r="L27" i="380" s="1"/>
  <c r="D27" i="380"/>
  <c r="P27" i="380" s="1"/>
  <c r="G26" i="380"/>
  <c r="E26" i="380" a="1"/>
  <c r="E26" i="380" s="1"/>
  <c r="I26" i="380" s="1"/>
  <c r="D26" i="380"/>
  <c r="P25" i="380"/>
  <c r="G25" i="380"/>
  <c r="E25" i="380" a="1"/>
  <c r="E25" i="380" s="1"/>
  <c r="D25" i="380"/>
  <c r="G24" i="380"/>
  <c r="E24" i="380" s="1" a="1"/>
  <c r="E24" i="380" s="1"/>
  <c r="D24" i="380"/>
  <c r="P24" i="380" s="1"/>
  <c r="G23" i="380"/>
  <c r="E23" i="380" a="1"/>
  <c r="E23" i="380" s="1"/>
  <c r="I23" i="380" s="1"/>
  <c r="D23" i="380"/>
  <c r="P23" i="380" s="1"/>
  <c r="G22" i="380"/>
  <c r="E22" i="380" s="1" a="1"/>
  <c r="E22" i="380" s="1"/>
  <c r="D22" i="380"/>
  <c r="P21" i="380"/>
  <c r="G21" i="380"/>
  <c r="E21" i="380" a="1"/>
  <c r="E21" i="380" s="1"/>
  <c r="D21" i="380"/>
  <c r="G20" i="380"/>
  <c r="E20" i="380" s="1" a="1"/>
  <c r="E20" i="380" s="1"/>
  <c r="J20" i="380" s="1"/>
  <c r="D20" i="380"/>
  <c r="G19" i="380"/>
  <c r="E19" i="380" s="1" a="1"/>
  <c r="E19" i="380" s="1"/>
  <c r="D19" i="380"/>
  <c r="P19" i="380" s="1"/>
  <c r="G18" i="380"/>
  <c r="E18" i="380" a="1"/>
  <c r="E18" i="380" s="1"/>
  <c r="D18" i="380"/>
  <c r="P17" i="380"/>
  <c r="G17" i="380"/>
  <c r="E17" i="380" a="1"/>
  <c r="E17" i="380" s="1"/>
  <c r="D17" i="380"/>
  <c r="G16" i="380"/>
  <c r="E16" i="380" s="1" a="1"/>
  <c r="E16" i="380" s="1"/>
  <c r="J16" i="380" s="1"/>
  <c r="D16" i="380"/>
  <c r="P16" i="380" s="1"/>
  <c r="G15" i="380"/>
  <c r="E15" i="380" s="1" a="1"/>
  <c r="E15" i="380" s="1"/>
  <c r="D15" i="380"/>
  <c r="P15" i="380" s="1"/>
  <c r="G14" i="380"/>
  <c r="E14" i="380" a="1"/>
  <c r="E14" i="380" s="1"/>
  <c r="D14" i="380"/>
  <c r="G13" i="380"/>
  <c r="E13" i="380" a="1"/>
  <c r="E13" i="380" s="1"/>
  <c r="D13" i="380"/>
  <c r="G12" i="380"/>
  <c r="E12" i="380" a="1"/>
  <c r="E12" i="380" s="1"/>
  <c r="D12" i="380"/>
  <c r="P12" i="380" s="1"/>
  <c r="P11" i="380"/>
  <c r="G11" i="380"/>
  <c r="E11" i="380" a="1"/>
  <c r="E11" i="380" s="1"/>
  <c r="D11" i="380"/>
  <c r="G10" i="380"/>
  <c r="E10" i="380" a="1"/>
  <c r="E10" i="380" s="1"/>
  <c r="D10" i="380"/>
  <c r="P10" i="380" s="1"/>
  <c r="A10" i="380"/>
  <c r="A11" i="380" s="1"/>
  <c r="S2" i="380"/>
  <c r="R53" i="379"/>
  <c r="J41" i="379"/>
  <c r="I41" i="379"/>
  <c r="P40" i="379"/>
  <c r="G40" i="379"/>
  <c r="E40" i="379" s="1" a="1"/>
  <c r="E40" i="379" s="1"/>
  <c r="D40" i="379"/>
  <c r="G39" i="379"/>
  <c r="E39" i="379" s="1" a="1"/>
  <c r="E39" i="379" s="1"/>
  <c r="D39" i="379"/>
  <c r="P39" i="379" s="1"/>
  <c r="G38" i="379"/>
  <c r="E38" i="379" a="1"/>
  <c r="E38" i="379" s="1"/>
  <c r="D38" i="379"/>
  <c r="P38" i="379" s="1"/>
  <c r="P37" i="379"/>
  <c r="G37" i="379"/>
  <c r="E37" i="379" a="1"/>
  <c r="E37" i="379" s="1"/>
  <c r="J37" i="379" s="1"/>
  <c r="D37" i="379"/>
  <c r="P36" i="379"/>
  <c r="G36" i="379"/>
  <c r="E36" i="379" s="1" a="1"/>
  <c r="E36" i="379" s="1"/>
  <c r="D36" i="379"/>
  <c r="G35" i="379"/>
  <c r="E35" i="379" s="1" a="1"/>
  <c r="E35" i="379" s="1"/>
  <c r="D35" i="379"/>
  <c r="P35" i="379" s="1"/>
  <c r="G34" i="379"/>
  <c r="E34" i="379" a="1"/>
  <c r="E34" i="379" s="1"/>
  <c r="D34" i="379"/>
  <c r="P33" i="379"/>
  <c r="G33" i="379"/>
  <c r="E33" i="379" a="1"/>
  <c r="E33" i="379" s="1"/>
  <c r="J33" i="379" s="1"/>
  <c r="D33" i="379"/>
  <c r="P32" i="379"/>
  <c r="G32" i="379"/>
  <c r="E32" i="379" s="1" a="1"/>
  <c r="E32" i="379" s="1"/>
  <c r="D32" i="379"/>
  <c r="P31" i="379"/>
  <c r="G31" i="379"/>
  <c r="E31" i="379" s="1" a="1"/>
  <c r="E31" i="379" s="1"/>
  <c r="F31" i="379" s="1"/>
  <c r="D31" i="379"/>
  <c r="G30" i="379"/>
  <c r="E30" i="379" a="1"/>
  <c r="E30" i="379" s="1"/>
  <c r="I30" i="379" s="1"/>
  <c r="D30" i="379"/>
  <c r="P29" i="379"/>
  <c r="G29" i="379"/>
  <c r="E29" i="379" a="1"/>
  <c r="E29" i="379" s="1"/>
  <c r="D29" i="379"/>
  <c r="P28" i="379"/>
  <c r="G28" i="379"/>
  <c r="E28" i="379" s="1" a="1"/>
  <c r="E28" i="379" s="1"/>
  <c r="J28" i="379" s="1"/>
  <c r="D28" i="379"/>
  <c r="G27" i="379"/>
  <c r="E27" i="379" s="1" a="1"/>
  <c r="E27" i="379" s="1"/>
  <c r="L27" i="379" s="1"/>
  <c r="D27" i="379"/>
  <c r="P27" i="379" s="1"/>
  <c r="G26" i="379"/>
  <c r="E26" i="379" a="1"/>
  <c r="E26" i="379" s="1"/>
  <c r="AB26" i="379" s="1"/>
  <c r="D26" i="379"/>
  <c r="P25" i="379"/>
  <c r="G25" i="379"/>
  <c r="E25" i="379" a="1"/>
  <c r="E25" i="379" s="1"/>
  <c r="D25" i="379"/>
  <c r="G24" i="379"/>
  <c r="E24" i="379" s="1" a="1"/>
  <c r="E24" i="379" s="1"/>
  <c r="J24" i="379" s="1"/>
  <c r="D24" i="379"/>
  <c r="G23" i="379"/>
  <c r="E23" i="379" s="1" a="1"/>
  <c r="E23" i="379" s="1"/>
  <c r="D23" i="379"/>
  <c r="P23" i="379" s="1"/>
  <c r="G22" i="379"/>
  <c r="E22" i="379" a="1"/>
  <c r="E22" i="379" s="1"/>
  <c r="D22" i="379"/>
  <c r="P21" i="379"/>
  <c r="G21" i="379"/>
  <c r="E21" i="379" a="1"/>
  <c r="E21" i="379" s="1"/>
  <c r="D21" i="379"/>
  <c r="G20" i="379"/>
  <c r="E20" i="379" s="1" a="1"/>
  <c r="E20" i="379" s="1"/>
  <c r="J20" i="379" s="1"/>
  <c r="D20" i="379"/>
  <c r="P20" i="379" s="1"/>
  <c r="G19" i="379"/>
  <c r="E19" i="379" s="1" a="1"/>
  <c r="E19" i="379" s="1"/>
  <c r="D19" i="379"/>
  <c r="P19" i="379" s="1"/>
  <c r="G18" i="379"/>
  <c r="E18" i="379" a="1"/>
  <c r="E18" i="379" s="1"/>
  <c r="D18" i="379"/>
  <c r="P17" i="379"/>
  <c r="G17" i="379"/>
  <c r="E17" i="379" a="1"/>
  <c r="E17" i="379" s="1"/>
  <c r="D17" i="379"/>
  <c r="G16" i="379"/>
  <c r="E16" i="379" s="1" a="1"/>
  <c r="E16" i="379" s="1"/>
  <c r="D16" i="379"/>
  <c r="P16" i="379" s="1"/>
  <c r="G15" i="379"/>
  <c r="E15" i="379" a="1"/>
  <c r="E15" i="379" s="1"/>
  <c r="I15" i="379" s="1"/>
  <c r="D15" i="379"/>
  <c r="G14" i="379"/>
  <c r="E14" i="379" s="1" a="1"/>
  <c r="E14" i="379" s="1"/>
  <c r="D14" i="379"/>
  <c r="G13" i="379"/>
  <c r="E13" i="379" s="1" a="1"/>
  <c r="E13" i="379" s="1"/>
  <c r="D13" i="379"/>
  <c r="G12" i="379"/>
  <c r="E12" i="379" a="1"/>
  <c r="E12" i="379" s="1"/>
  <c r="D12" i="379"/>
  <c r="P12" i="379" s="1"/>
  <c r="G11" i="379"/>
  <c r="E11" i="379" a="1"/>
  <c r="E11" i="379" s="1"/>
  <c r="D11" i="379"/>
  <c r="P11" i="379" s="1"/>
  <c r="G10" i="379"/>
  <c r="E10" i="379" a="1"/>
  <c r="E10" i="379" s="1"/>
  <c r="D10" i="379"/>
  <c r="P10" i="379" s="1"/>
  <c r="A10" i="379"/>
  <c r="A11" i="379" s="1"/>
  <c r="S2" i="379"/>
  <c r="R53" i="378"/>
  <c r="J41" i="378"/>
  <c r="I41" i="378"/>
  <c r="P40" i="378"/>
  <c r="G40" i="378"/>
  <c r="E40" i="378" s="1" a="1"/>
  <c r="E40" i="378" s="1"/>
  <c r="D40" i="378"/>
  <c r="G39" i="378"/>
  <c r="E39" i="378" s="1" a="1"/>
  <c r="E39" i="378" s="1"/>
  <c r="D39" i="378"/>
  <c r="P39" i="378" s="1"/>
  <c r="G38" i="378"/>
  <c r="E38" i="378" a="1"/>
  <c r="E38" i="378" s="1"/>
  <c r="D38" i="378"/>
  <c r="P38" i="378" s="1"/>
  <c r="P37" i="378"/>
  <c r="G37" i="378"/>
  <c r="E37" i="378" a="1"/>
  <c r="E37" i="378" s="1"/>
  <c r="J37" i="378" s="1"/>
  <c r="D37" i="378"/>
  <c r="P36" i="378"/>
  <c r="G36" i="378"/>
  <c r="E36" i="378" s="1" a="1"/>
  <c r="E36" i="378" s="1"/>
  <c r="D36" i="378"/>
  <c r="G35" i="378"/>
  <c r="E35" i="378" s="1" a="1"/>
  <c r="E35" i="378" s="1"/>
  <c r="D35" i="378"/>
  <c r="P35" i="378" s="1"/>
  <c r="G34" i="378"/>
  <c r="E34" i="378" a="1"/>
  <c r="E34" i="378" s="1"/>
  <c r="D34" i="378"/>
  <c r="P33" i="378"/>
  <c r="G33" i="378"/>
  <c r="E33" i="378" a="1"/>
  <c r="E33" i="378" s="1"/>
  <c r="J33" i="378" s="1"/>
  <c r="D33" i="378"/>
  <c r="P32" i="378"/>
  <c r="G32" i="378"/>
  <c r="E32" i="378" s="1" a="1"/>
  <c r="E32" i="378" s="1"/>
  <c r="D32" i="378"/>
  <c r="P31" i="378"/>
  <c r="G31" i="378"/>
  <c r="E31" i="378" s="1" a="1"/>
  <c r="E31" i="378" s="1"/>
  <c r="F31" i="378" s="1"/>
  <c r="D31" i="378"/>
  <c r="G30" i="378"/>
  <c r="E30" i="378" a="1"/>
  <c r="E30" i="378" s="1"/>
  <c r="I30" i="378" s="1"/>
  <c r="D30" i="378"/>
  <c r="P29" i="378"/>
  <c r="G29" i="378"/>
  <c r="E29" i="378" a="1"/>
  <c r="E29" i="378" s="1"/>
  <c r="D29" i="378"/>
  <c r="P28" i="378"/>
  <c r="G28" i="378"/>
  <c r="E28" i="378" s="1" a="1"/>
  <c r="E28" i="378" s="1"/>
  <c r="J28" i="378" s="1"/>
  <c r="D28" i="378"/>
  <c r="G27" i="378"/>
  <c r="E27" i="378" s="1" a="1"/>
  <c r="E27" i="378" s="1"/>
  <c r="D27" i="378"/>
  <c r="P27" i="378" s="1"/>
  <c r="G26" i="378"/>
  <c r="E26" i="378" a="1"/>
  <c r="E26" i="378" s="1"/>
  <c r="AB26" i="378" s="1"/>
  <c r="D26" i="378"/>
  <c r="P25" i="378"/>
  <c r="G25" i="378"/>
  <c r="E25" i="378" a="1"/>
  <c r="E25" i="378" s="1"/>
  <c r="D25" i="378"/>
  <c r="G24" i="378"/>
  <c r="E24" i="378" s="1" a="1"/>
  <c r="E24" i="378" s="1"/>
  <c r="J24" i="378" s="1"/>
  <c r="D24" i="378"/>
  <c r="P24" i="378" s="1"/>
  <c r="G23" i="378"/>
  <c r="E23" i="378" s="1" a="1"/>
  <c r="E23" i="378" s="1"/>
  <c r="D23" i="378"/>
  <c r="P23" i="378" s="1"/>
  <c r="G22" i="378"/>
  <c r="E22" i="378" a="1"/>
  <c r="E22" i="378" s="1"/>
  <c r="D22" i="378"/>
  <c r="P21" i="378"/>
  <c r="G21" i="378"/>
  <c r="E21" i="378" a="1"/>
  <c r="E21" i="378" s="1"/>
  <c r="D21" i="378"/>
  <c r="G20" i="378"/>
  <c r="E20" i="378" s="1" a="1"/>
  <c r="E20" i="378" s="1"/>
  <c r="J20" i="378" s="1"/>
  <c r="D20" i="378"/>
  <c r="P20" i="378" s="1"/>
  <c r="G19" i="378"/>
  <c r="E19" i="378" s="1" a="1"/>
  <c r="E19" i="378" s="1"/>
  <c r="D19" i="378"/>
  <c r="G18" i="378"/>
  <c r="E18" i="378" a="1"/>
  <c r="E18" i="378" s="1"/>
  <c r="D18" i="378"/>
  <c r="P17" i="378"/>
  <c r="G17" i="378"/>
  <c r="E17" i="378" a="1"/>
  <c r="E17" i="378" s="1"/>
  <c r="D17" i="378"/>
  <c r="G16" i="378"/>
  <c r="E16" i="378" s="1" a="1"/>
  <c r="E16" i="378" s="1"/>
  <c r="D16" i="378"/>
  <c r="P16" i="378" s="1"/>
  <c r="G15" i="378"/>
  <c r="E15" i="378" a="1"/>
  <c r="E15" i="378" s="1"/>
  <c r="N15" i="378" s="1"/>
  <c r="D15" i="378"/>
  <c r="P15" i="378" s="1"/>
  <c r="G14" i="378"/>
  <c r="E14" i="378" s="1" a="1"/>
  <c r="E14" i="378" s="1"/>
  <c r="D14" i="378"/>
  <c r="G13" i="378"/>
  <c r="E13" i="378" s="1" a="1"/>
  <c r="E13" i="378" s="1"/>
  <c r="D13" i="378"/>
  <c r="G12" i="378"/>
  <c r="E12" i="378" s="1" a="1"/>
  <c r="E12" i="378" s="1"/>
  <c r="D12" i="378"/>
  <c r="P12" i="378" s="1"/>
  <c r="G11" i="378"/>
  <c r="E11" i="378" s="1" a="1"/>
  <c r="E11" i="378" s="1"/>
  <c r="D11" i="378"/>
  <c r="P11" i="378" s="1"/>
  <c r="G10" i="378"/>
  <c r="E10" i="378" s="1" a="1"/>
  <c r="E10" i="378" s="1"/>
  <c r="D10" i="378"/>
  <c r="S2" i="378"/>
  <c r="A11" i="389" l="1"/>
  <c r="I48" i="389"/>
  <c r="I47" i="389"/>
  <c r="I49" i="389"/>
  <c r="I45" i="389"/>
  <c r="AB10" i="389"/>
  <c r="L10" i="389"/>
  <c r="F10" i="389"/>
  <c r="O10" i="389"/>
  <c r="J10" i="389"/>
  <c r="N10" i="389"/>
  <c r="I10" i="389"/>
  <c r="L13" i="389"/>
  <c r="M13" i="389" s="1"/>
  <c r="AB13" i="389"/>
  <c r="J13" i="389"/>
  <c r="I13" i="389"/>
  <c r="AB21" i="389"/>
  <c r="L21" i="389"/>
  <c r="M21" i="389" s="1"/>
  <c r="F21" i="389"/>
  <c r="J21" i="389"/>
  <c r="I21" i="389"/>
  <c r="N21" i="389"/>
  <c r="L22" i="389"/>
  <c r="O22" i="389" s="1"/>
  <c r="I22" i="389"/>
  <c r="N22" i="389"/>
  <c r="M22" i="389"/>
  <c r="AB22" i="389"/>
  <c r="J22" i="389"/>
  <c r="AB25" i="389"/>
  <c r="M25" i="389"/>
  <c r="J25" i="389"/>
  <c r="I25" i="389"/>
  <c r="N25" i="389"/>
  <c r="L25" i="389"/>
  <c r="F25" i="389"/>
  <c r="O25" i="389" s="1"/>
  <c r="L26" i="389"/>
  <c r="O26" i="389" s="1"/>
  <c r="N26" i="389"/>
  <c r="M26" i="389"/>
  <c r="J26" i="389"/>
  <c r="AB26" i="389"/>
  <c r="I26" i="389"/>
  <c r="AB32" i="389"/>
  <c r="N32" i="389"/>
  <c r="I32" i="389"/>
  <c r="J32" i="389"/>
  <c r="F32" i="389"/>
  <c r="L32" i="389"/>
  <c r="M32" i="389" s="1"/>
  <c r="L18" i="389"/>
  <c r="M18" i="389" s="1"/>
  <c r="AB18" i="389"/>
  <c r="J18" i="389"/>
  <c r="I18" i="389"/>
  <c r="N18" i="389"/>
  <c r="L29" i="389"/>
  <c r="F29" i="389"/>
  <c r="O29" i="389" s="1"/>
  <c r="AB29" i="389"/>
  <c r="M29" i="389"/>
  <c r="N29" i="389"/>
  <c r="J29" i="389"/>
  <c r="I29" i="389"/>
  <c r="AB36" i="389"/>
  <c r="N36" i="389"/>
  <c r="I36" i="389"/>
  <c r="L36" i="389"/>
  <c r="M36" i="389" s="1"/>
  <c r="J36" i="389"/>
  <c r="F36" i="389"/>
  <c r="M12" i="389"/>
  <c r="AB12" i="389"/>
  <c r="L12" i="389"/>
  <c r="F12" i="389"/>
  <c r="O12" i="389"/>
  <c r="J12" i="389"/>
  <c r="N12" i="389"/>
  <c r="I12" i="389"/>
  <c r="O15" i="389"/>
  <c r="J15" i="389"/>
  <c r="I15" i="389"/>
  <c r="N15" i="389"/>
  <c r="M15" i="389"/>
  <c r="F15" i="389"/>
  <c r="AB15" i="389"/>
  <c r="L15" i="389"/>
  <c r="I20" i="389"/>
  <c r="AB20" i="389"/>
  <c r="L20" i="389"/>
  <c r="O20" i="389" s="1"/>
  <c r="J20" i="389"/>
  <c r="M20" i="389"/>
  <c r="N24" i="389"/>
  <c r="I24" i="389"/>
  <c r="J24" i="389"/>
  <c r="F24" i="389"/>
  <c r="AB24" i="389"/>
  <c r="L24" i="389"/>
  <c r="O24" i="389" s="1"/>
  <c r="AB11" i="389"/>
  <c r="M11" i="389"/>
  <c r="L11" i="389"/>
  <c r="F11" i="389"/>
  <c r="O11" i="389" s="1"/>
  <c r="J11" i="389"/>
  <c r="N11" i="389"/>
  <c r="I11" i="389"/>
  <c r="L14" i="389"/>
  <c r="M14" i="389"/>
  <c r="AB14" i="389"/>
  <c r="J14" i="389"/>
  <c r="I14" i="389"/>
  <c r="N14" i="389"/>
  <c r="I17" i="389"/>
  <c r="F20" i="389"/>
  <c r="P26" i="389"/>
  <c r="F26" i="389"/>
  <c r="P34" i="389"/>
  <c r="F34" i="389"/>
  <c r="F35" i="389"/>
  <c r="L37" i="389"/>
  <c r="F37" i="389"/>
  <c r="N37" i="389"/>
  <c r="I37" i="389"/>
  <c r="AB37" i="389"/>
  <c r="M37" i="389"/>
  <c r="P13" i="389"/>
  <c r="C10" i="389" s="1"/>
  <c r="F13" i="389"/>
  <c r="O13" i="389" s="1"/>
  <c r="P14" i="389"/>
  <c r="F14" i="389"/>
  <c r="O14" i="389" s="1"/>
  <c r="P16" i="389"/>
  <c r="AB17" i="389"/>
  <c r="J17" i="389"/>
  <c r="J19" i="389"/>
  <c r="L19" i="389"/>
  <c r="O19" i="389" s="1"/>
  <c r="AB19" i="389"/>
  <c r="P23" i="389"/>
  <c r="M27" i="389"/>
  <c r="AB28" i="389"/>
  <c r="M28" i="389"/>
  <c r="N28" i="389"/>
  <c r="I28" i="389"/>
  <c r="L28" i="389"/>
  <c r="P30" i="389"/>
  <c r="F30" i="389"/>
  <c r="L33" i="389"/>
  <c r="F33" i="389"/>
  <c r="AB33" i="389"/>
  <c r="M33" i="389"/>
  <c r="N33" i="389"/>
  <c r="J34" i="389"/>
  <c r="L34" i="389"/>
  <c r="M34" i="389" s="1"/>
  <c r="N35" i="389"/>
  <c r="I35" i="389"/>
  <c r="J35" i="389"/>
  <c r="AB35" i="389"/>
  <c r="N39" i="389"/>
  <c r="I39" i="389"/>
  <c r="AB39" i="389"/>
  <c r="M39" i="389"/>
  <c r="L39" i="389"/>
  <c r="J39" i="389"/>
  <c r="N16" i="389"/>
  <c r="I16" i="389"/>
  <c r="L16" i="389"/>
  <c r="N20" i="389" s="1"/>
  <c r="AB16" i="389"/>
  <c r="F17" i="389"/>
  <c r="L17" i="389"/>
  <c r="M17" i="389" s="1"/>
  <c r="P18" i="389"/>
  <c r="N34" i="389" s="1"/>
  <c r="F18" i="389"/>
  <c r="F19" i="389"/>
  <c r="M19" i="389"/>
  <c r="J23" i="389"/>
  <c r="L23" i="389"/>
  <c r="O23" i="389" s="1"/>
  <c r="AB23" i="389"/>
  <c r="F27" i="389"/>
  <c r="O27" i="389" s="1"/>
  <c r="F28" i="389"/>
  <c r="O28" i="389"/>
  <c r="J30" i="389"/>
  <c r="L30" i="389"/>
  <c r="M30" i="389" s="1"/>
  <c r="N30" i="389"/>
  <c r="N31" i="389"/>
  <c r="I31" i="389"/>
  <c r="J31" i="389"/>
  <c r="AB31" i="389"/>
  <c r="O33" i="389"/>
  <c r="AB34" i="389"/>
  <c r="L35" i="389"/>
  <c r="O35" i="389" s="1"/>
  <c r="J38" i="389"/>
  <c r="N38" i="389"/>
  <c r="I38" i="389"/>
  <c r="AB38" i="389"/>
  <c r="M38" i="389"/>
  <c r="L38" i="389"/>
  <c r="O38" i="389" s="1"/>
  <c r="L41" i="389"/>
  <c r="N17" i="389"/>
  <c r="N19" i="389"/>
  <c r="P22" i="389"/>
  <c r="N27" i="389" s="1"/>
  <c r="F22" i="389"/>
  <c r="I27" i="389"/>
  <c r="J27" i="389"/>
  <c r="AB27" i="389"/>
  <c r="AB30" i="389"/>
  <c r="L31" i="389"/>
  <c r="O31" i="389" s="1"/>
  <c r="I33" i="389"/>
  <c r="I34" i="389"/>
  <c r="M35" i="389"/>
  <c r="AB40" i="389"/>
  <c r="L40" i="389"/>
  <c r="M40" i="389" s="1"/>
  <c r="F40" i="389"/>
  <c r="J40" i="389"/>
  <c r="I40" i="389"/>
  <c r="F38" i="389"/>
  <c r="F39" i="389"/>
  <c r="O39" i="389" s="1"/>
  <c r="J11" i="388"/>
  <c r="N11" i="388"/>
  <c r="I11" i="388"/>
  <c r="AB11" i="388"/>
  <c r="L11" i="388"/>
  <c r="M11" i="388" s="1"/>
  <c r="I48" i="388"/>
  <c r="I47" i="388"/>
  <c r="I49" i="388"/>
  <c r="I45" i="388"/>
  <c r="J10" i="388"/>
  <c r="N10" i="388"/>
  <c r="I10" i="388"/>
  <c r="AB10" i="388"/>
  <c r="L10" i="388"/>
  <c r="N16" i="388"/>
  <c r="I16" i="388"/>
  <c r="J16" i="388"/>
  <c r="F16" i="388"/>
  <c r="AB16" i="388"/>
  <c r="L16" i="388"/>
  <c r="O16" i="388" s="1"/>
  <c r="AB32" i="388"/>
  <c r="N32" i="388"/>
  <c r="I32" i="388"/>
  <c r="J32" i="388"/>
  <c r="F32" i="388"/>
  <c r="L32" i="388"/>
  <c r="M32" i="388" s="1"/>
  <c r="L13" i="388"/>
  <c r="I13" i="388"/>
  <c r="M13" i="388"/>
  <c r="AB13" i="388"/>
  <c r="J13" i="388"/>
  <c r="J19" i="388"/>
  <c r="AB19" i="388"/>
  <c r="L19" i="388"/>
  <c r="M19" i="388" s="1"/>
  <c r="I19" i="388"/>
  <c r="N19" i="388"/>
  <c r="J23" i="388"/>
  <c r="I23" i="388"/>
  <c r="N23" i="388"/>
  <c r="F23" i="388"/>
  <c r="AB23" i="388"/>
  <c r="L23" i="388"/>
  <c r="L29" i="388"/>
  <c r="M29" i="388" s="1"/>
  <c r="F29" i="388"/>
  <c r="AB29" i="388"/>
  <c r="N29" i="388"/>
  <c r="J29" i="388"/>
  <c r="I29" i="388"/>
  <c r="AB36" i="388"/>
  <c r="N36" i="388"/>
  <c r="I36" i="388"/>
  <c r="L36" i="388"/>
  <c r="M36" i="388" s="1"/>
  <c r="J36" i="388"/>
  <c r="F36" i="388"/>
  <c r="A12" i="388"/>
  <c r="J12" i="388"/>
  <c r="N12" i="388"/>
  <c r="I12" i="388"/>
  <c r="AB12" i="388"/>
  <c r="L12" i="388"/>
  <c r="O12" i="388" s="1"/>
  <c r="AB17" i="388"/>
  <c r="J17" i="388"/>
  <c r="I17" i="388"/>
  <c r="N17" i="388"/>
  <c r="L17" i="388"/>
  <c r="M17" i="388" s="1"/>
  <c r="F17" i="388"/>
  <c r="L18" i="388"/>
  <c r="N18" i="388"/>
  <c r="AB18" i="388"/>
  <c r="J18" i="388"/>
  <c r="I18" i="388"/>
  <c r="AB21" i="388"/>
  <c r="I21" i="388"/>
  <c r="N21" i="388"/>
  <c r="L21" i="388"/>
  <c r="M21" i="388" s="1"/>
  <c r="F21" i="388"/>
  <c r="J21" i="388"/>
  <c r="L22" i="388"/>
  <c r="M22" i="388" s="1"/>
  <c r="AB22" i="388"/>
  <c r="J22" i="388"/>
  <c r="I22" i="388"/>
  <c r="N22" i="388"/>
  <c r="L14" i="388"/>
  <c r="I14" i="388"/>
  <c r="N14" i="388"/>
  <c r="M14" i="388"/>
  <c r="AB14" i="388"/>
  <c r="J14" i="388"/>
  <c r="L25" i="388"/>
  <c r="M25" i="388" s="1"/>
  <c r="F25" i="388"/>
  <c r="AB25" i="388"/>
  <c r="N25" i="388"/>
  <c r="J25" i="388"/>
  <c r="I25" i="388"/>
  <c r="F10" i="388"/>
  <c r="O10" i="388" s="1"/>
  <c r="F11" i="388"/>
  <c r="O11" i="388" s="1"/>
  <c r="F12" i="388"/>
  <c r="N15" i="388"/>
  <c r="P18" i="388"/>
  <c r="F18" i="388"/>
  <c r="F19" i="388"/>
  <c r="P24" i="388"/>
  <c r="AB26" i="388"/>
  <c r="P34" i="388"/>
  <c r="F34" i="388"/>
  <c r="F35" i="388"/>
  <c r="L37" i="388"/>
  <c r="F37" i="388"/>
  <c r="N37" i="388"/>
  <c r="I37" i="388"/>
  <c r="AB37" i="388"/>
  <c r="F15" i="387"/>
  <c r="P15" i="388"/>
  <c r="I20" i="388"/>
  <c r="L20" i="388"/>
  <c r="AB20" i="388"/>
  <c r="P22" i="388"/>
  <c r="F22" i="388"/>
  <c r="M27" i="388"/>
  <c r="AB28" i="388"/>
  <c r="N28" i="388"/>
  <c r="I28" i="388"/>
  <c r="L28" i="388"/>
  <c r="M28" i="388" s="1"/>
  <c r="P30" i="388"/>
  <c r="F30" i="388"/>
  <c r="L33" i="388"/>
  <c r="F33" i="388"/>
  <c r="AB33" i="388"/>
  <c r="N33" i="388"/>
  <c r="J34" i="388"/>
  <c r="L34" i="388"/>
  <c r="M34" i="388" s="1"/>
  <c r="N35" i="388"/>
  <c r="I35" i="388"/>
  <c r="J35" i="388"/>
  <c r="AB35" i="388"/>
  <c r="N39" i="388"/>
  <c r="I39" i="388"/>
  <c r="AB39" i="388"/>
  <c r="M39" i="388"/>
  <c r="L39" i="388"/>
  <c r="J39" i="388"/>
  <c r="O15" i="388"/>
  <c r="J15" i="388"/>
  <c r="L15" i="388"/>
  <c r="AB15" i="388"/>
  <c r="F20" i="388"/>
  <c r="O20" i="388" s="1"/>
  <c r="M20" i="388"/>
  <c r="AB24" i="388"/>
  <c r="N24" i="388"/>
  <c r="I24" i="388"/>
  <c r="L24" i="388"/>
  <c r="M24" i="388" s="1"/>
  <c r="P26" i="388"/>
  <c r="F26" i="388"/>
  <c r="F27" i="388"/>
  <c r="O27" i="388" s="1"/>
  <c r="F28" i="388"/>
  <c r="O30" i="388"/>
  <c r="J30" i="388"/>
  <c r="L30" i="388"/>
  <c r="M30" i="388" s="1"/>
  <c r="N30" i="388"/>
  <c r="N31" i="388"/>
  <c r="I31" i="388"/>
  <c r="J31" i="388"/>
  <c r="AB31" i="388"/>
  <c r="AB34" i="388"/>
  <c r="L35" i="388"/>
  <c r="O35" i="388" s="1"/>
  <c r="J38" i="388"/>
  <c r="N38" i="388"/>
  <c r="I38" i="388"/>
  <c r="AB38" i="388"/>
  <c r="L38" i="388"/>
  <c r="M38" i="388" s="1"/>
  <c r="F24" i="387"/>
  <c r="P13" i="388"/>
  <c r="N13" i="388" s="1"/>
  <c r="F13" i="388"/>
  <c r="P14" i="388"/>
  <c r="F14" i="388"/>
  <c r="O14" i="388" s="1"/>
  <c r="M15" i="388"/>
  <c r="O24" i="388"/>
  <c r="O26" i="388"/>
  <c r="J26" i="388"/>
  <c r="L26" i="388"/>
  <c r="M26" i="388" s="1"/>
  <c r="N26" i="388"/>
  <c r="N27" i="388"/>
  <c r="I27" i="388"/>
  <c r="J27" i="388"/>
  <c r="AB27" i="388"/>
  <c r="AB30" i="388"/>
  <c r="L31" i="388"/>
  <c r="M31" i="388" s="1"/>
  <c r="I33" i="388"/>
  <c r="I34" i="388"/>
  <c r="M35" i="388"/>
  <c r="AB40" i="388"/>
  <c r="L40" i="388"/>
  <c r="F40" i="388"/>
  <c r="J40" i="388"/>
  <c r="I40" i="388"/>
  <c r="F38" i="388"/>
  <c r="F39" i="388"/>
  <c r="J19" i="387"/>
  <c r="AB19" i="387"/>
  <c r="L19" i="387"/>
  <c r="M19" i="387" s="1"/>
  <c r="I19" i="387"/>
  <c r="N19" i="387"/>
  <c r="J12" i="387"/>
  <c r="N12" i="387"/>
  <c r="I12" i="387"/>
  <c r="AB12" i="387"/>
  <c r="L12" i="387"/>
  <c r="AB17" i="387"/>
  <c r="J17" i="387"/>
  <c r="I17" i="387"/>
  <c r="N17" i="387"/>
  <c r="L17" i="387"/>
  <c r="M17" i="387" s="1"/>
  <c r="F17" i="387"/>
  <c r="L18" i="387"/>
  <c r="M18" i="387" s="1"/>
  <c r="N18" i="387"/>
  <c r="AB18" i="387"/>
  <c r="J18" i="387"/>
  <c r="I18" i="387"/>
  <c r="AB21" i="387"/>
  <c r="I21" i="387"/>
  <c r="N21" i="387"/>
  <c r="L21" i="387"/>
  <c r="M21" i="387" s="1"/>
  <c r="F21" i="387"/>
  <c r="J21" i="387"/>
  <c r="L22" i="387"/>
  <c r="M22" i="387" s="1"/>
  <c r="AB22" i="387"/>
  <c r="J22" i="387"/>
  <c r="I22" i="387"/>
  <c r="N22" i="387"/>
  <c r="J11" i="387"/>
  <c r="N11" i="387"/>
  <c r="I11" i="387"/>
  <c r="AB11" i="387"/>
  <c r="M11" i="387"/>
  <c r="L11" i="387"/>
  <c r="I48" i="387"/>
  <c r="I47" i="387"/>
  <c r="I49" i="387"/>
  <c r="I45" i="387"/>
  <c r="J10" i="387"/>
  <c r="N10" i="387"/>
  <c r="I10" i="387"/>
  <c r="AB10" i="387"/>
  <c r="L10" i="387"/>
  <c r="N16" i="387"/>
  <c r="I16" i="387"/>
  <c r="J16" i="387"/>
  <c r="F16" i="387"/>
  <c r="AB16" i="387"/>
  <c r="L16" i="387"/>
  <c r="M16" i="387" s="1"/>
  <c r="AB32" i="387"/>
  <c r="N32" i="387"/>
  <c r="I32" i="387"/>
  <c r="J32" i="387"/>
  <c r="F32" i="387"/>
  <c r="L32" i="387"/>
  <c r="M32" i="387" s="1"/>
  <c r="J23" i="387"/>
  <c r="I23" i="387"/>
  <c r="N23" i="387"/>
  <c r="F23" i="387"/>
  <c r="AB23" i="387"/>
  <c r="L23" i="387"/>
  <c r="L29" i="387"/>
  <c r="M29" i="387" s="1"/>
  <c r="F29" i="387"/>
  <c r="O29" i="387" s="1"/>
  <c r="AB29" i="387"/>
  <c r="N29" i="387"/>
  <c r="J29" i="387"/>
  <c r="I29" i="387"/>
  <c r="AB36" i="387"/>
  <c r="N36" i="387"/>
  <c r="I36" i="387"/>
  <c r="L36" i="387"/>
  <c r="M36" i="387" s="1"/>
  <c r="J36" i="387"/>
  <c r="F36" i="387"/>
  <c r="A12" i="387"/>
  <c r="L13" i="387"/>
  <c r="M13" i="387" s="1"/>
  <c r="I13" i="387"/>
  <c r="AB13" i="387"/>
  <c r="J13" i="387"/>
  <c r="L14" i="387"/>
  <c r="I14" i="387"/>
  <c r="N14" i="387"/>
  <c r="M14" i="387"/>
  <c r="AB14" i="387"/>
  <c r="J14" i="387"/>
  <c r="L25" i="387"/>
  <c r="M25" i="387" s="1"/>
  <c r="F25" i="387"/>
  <c r="AB25" i="387"/>
  <c r="N25" i="387"/>
  <c r="J25" i="387"/>
  <c r="I25" i="387"/>
  <c r="F10" i="387"/>
  <c r="F11" i="387"/>
  <c r="O11" i="387" s="1"/>
  <c r="F12" i="387"/>
  <c r="N15" i="387"/>
  <c r="P18" i="387"/>
  <c r="F18" i="387"/>
  <c r="O18" i="387" s="1"/>
  <c r="F19" i="387"/>
  <c r="O19" i="387" s="1"/>
  <c r="P24" i="387"/>
  <c r="AB26" i="387"/>
  <c r="P34" i="387"/>
  <c r="F34" i="387"/>
  <c r="F35" i="387"/>
  <c r="L37" i="387"/>
  <c r="F37" i="387"/>
  <c r="N37" i="387"/>
  <c r="I37" i="387"/>
  <c r="AB37" i="387"/>
  <c r="M37" i="387"/>
  <c r="F15" i="386"/>
  <c r="P15" i="387"/>
  <c r="I20" i="387"/>
  <c r="L20" i="387"/>
  <c r="M20" i="387" s="1"/>
  <c r="AB20" i="387"/>
  <c r="P22" i="387"/>
  <c r="F22" i="387"/>
  <c r="M27" i="387"/>
  <c r="AB28" i="387"/>
  <c r="N28" i="387"/>
  <c r="I28" i="387"/>
  <c r="L28" i="387"/>
  <c r="M28" i="387" s="1"/>
  <c r="P30" i="387"/>
  <c r="F30" i="387"/>
  <c r="L33" i="387"/>
  <c r="F33" i="387"/>
  <c r="AB33" i="387"/>
  <c r="N33" i="387"/>
  <c r="J34" i="387"/>
  <c r="L34" i="387"/>
  <c r="M34" i="387" s="1"/>
  <c r="N35" i="387"/>
  <c r="I35" i="387"/>
  <c r="J35" i="387"/>
  <c r="AB35" i="387"/>
  <c r="N39" i="387"/>
  <c r="I39" i="387"/>
  <c r="AB39" i="387"/>
  <c r="M39" i="387"/>
  <c r="L39" i="387"/>
  <c r="J39" i="387"/>
  <c r="J15" i="387"/>
  <c r="L15" i="387"/>
  <c r="O15" i="387" s="1"/>
  <c r="AB15" i="387"/>
  <c r="F20" i="387"/>
  <c r="AB24" i="387"/>
  <c r="N24" i="387"/>
  <c r="I24" i="387"/>
  <c r="L24" i="387"/>
  <c r="M24" i="387" s="1"/>
  <c r="P26" i="387"/>
  <c r="F26" i="387"/>
  <c r="F27" i="387"/>
  <c r="F28" i="387"/>
  <c r="O30" i="387"/>
  <c r="J30" i="387"/>
  <c r="L30" i="387"/>
  <c r="M30" i="387" s="1"/>
  <c r="N30" i="387"/>
  <c r="N31" i="387"/>
  <c r="I31" i="387"/>
  <c r="J31" i="387"/>
  <c r="AB31" i="387"/>
  <c r="AB34" i="387"/>
  <c r="L35" i="387"/>
  <c r="O35" i="387" s="1"/>
  <c r="J38" i="387"/>
  <c r="N38" i="387"/>
  <c r="I38" i="387"/>
  <c r="AB38" i="387"/>
  <c r="L38" i="387"/>
  <c r="M38" i="387" s="1"/>
  <c r="F24" i="386"/>
  <c r="P13" i="387"/>
  <c r="C11" i="387" s="1"/>
  <c r="F13" i="387"/>
  <c r="P14" i="387"/>
  <c r="F14" i="387"/>
  <c r="O14" i="387" s="1"/>
  <c r="M15" i="387"/>
  <c r="O24" i="387"/>
  <c r="J26" i="387"/>
  <c r="L26" i="387"/>
  <c r="M26" i="387" s="1"/>
  <c r="N26" i="387"/>
  <c r="I27" i="387"/>
  <c r="O27" i="387"/>
  <c r="J27" i="387"/>
  <c r="AB27" i="387"/>
  <c r="AB30" i="387"/>
  <c r="L31" i="387"/>
  <c r="M31" i="387" s="1"/>
  <c r="I33" i="387"/>
  <c r="I34" i="387"/>
  <c r="M35" i="387"/>
  <c r="AB40" i="387"/>
  <c r="L40" i="387"/>
  <c r="F40" i="387"/>
  <c r="J40" i="387"/>
  <c r="I40" i="387"/>
  <c r="F38" i="387"/>
  <c r="F39" i="387"/>
  <c r="O39" i="387" s="1"/>
  <c r="AB32" i="386"/>
  <c r="N32" i="386"/>
  <c r="I32" i="386"/>
  <c r="J32" i="386"/>
  <c r="F32" i="386"/>
  <c r="L32" i="386"/>
  <c r="M32" i="386" s="1"/>
  <c r="I48" i="386"/>
  <c r="I47" i="386"/>
  <c r="I49" i="386"/>
  <c r="I45" i="386"/>
  <c r="J10" i="386"/>
  <c r="N10" i="386"/>
  <c r="I10" i="386"/>
  <c r="AB10" i="386"/>
  <c r="L10" i="386"/>
  <c r="N16" i="386"/>
  <c r="I16" i="386"/>
  <c r="J16" i="386"/>
  <c r="F16" i="386"/>
  <c r="AB16" i="386"/>
  <c r="L16" i="386"/>
  <c r="J19" i="386"/>
  <c r="AB19" i="386"/>
  <c r="L19" i="386"/>
  <c r="M19" i="386" s="1"/>
  <c r="I19" i="386"/>
  <c r="N19" i="386"/>
  <c r="J23" i="386"/>
  <c r="I23" i="386"/>
  <c r="N23" i="386"/>
  <c r="F23" i="386"/>
  <c r="AB23" i="386"/>
  <c r="L23" i="386"/>
  <c r="L29" i="386"/>
  <c r="M29" i="386" s="1"/>
  <c r="F29" i="386"/>
  <c r="AB29" i="386"/>
  <c r="N29" i="386"/>
  <c r="J29" i="386"/>
  <c r="I29" i="386"/>
  <c r="AB36" i="386"/>
  <c r="N36" i="386"/>
  <c r="I36" i="386"/>
  <c r="L36" i="386"/>
  <c r="J36" i="386"/>
  <c r="F36" i="386"/>
  <c r="L13" i="386"/>
  <c r="M13" i="386" s="1"/>
  <c r="I13" i="386"/>
  <c r="AB13" i="386"/>
  <c r="J13" i="386"/>
  <c r="A12" i="386"/>
  <c r="J12" i="386"/>
  <c r="N12" i="386"/>
  <c r="I12" i="386"/>
  <c r="AB12" i="386"/>
  <c r="L12" i="386"/>
  <c r="M12" i="386" s="1"/>
  <c r="AB17" i="386"/>
  <c r="J17" i="386"/>
  <c r="I17" i="386"/>
  <c r="N17" i="386"/>
  <c r="L17" i="386"/>
  <c r="M17" i="386" s="1"/>
  <c r="F17" i="386"/>
  <c r="L18" i="386"/>
  <c r="M18" i="386" s="1"/>
  <c r="N18" i="386"/>
  <c r="AB18" i="386"/>
  <c r="J18" i="386"/>
  <c r="I18" i="386"/>
  <c r="AB21" i="386"/>
  <c r="I21" i="386"/>
  <c r="N21" i="386"/>
  <c r="L21" i="386"/>
  <c r="M21" i="386" s="1"/>
  <c r="F21" i="386"/>
  <c r="J21" i="386"/>
  <c r="L22" i="386"/>
  <c r="M22" i="386" s="1"/>
  <c r="AB22" i="386"/>
  <c r="J22" i="386"/>
  <c r="I22" i="386"/>
  <c r="N22" i="386"/>
  <c r="J11" i="386"/>
  <c r="N11" i="386"/>
  <c r="I11" i="386"/>
  <c r="AB11" i="386"/>
  <c r="L11" i="386"/>
  <c r="L14" i="386"/>
  <c r="I14" i="386"/>
  <c r="N14" i="386"/>
  <c r="AB14" i="386"/>
  <c r="J14" i="386"/>
  <c r="L25" i="386"/>
  <c r="M25" i="386" s="1"/>
  <c r="F25" i="386"/>
  <c r="AB25" i="386"/>
  <c r="N25" i="386"/>
  <c r="J25" i="386"/>
  <c r="I25" i="386"/>
  <c r="I23" i="384"/>
  <c r="F10" i="386"/>
  <c r="F11" i="386"/>
  <c r="F12" i="386"/>
  <c r="N15" i="386"/>
  <c r="P18" i="386"/>
  <c r="F18" i="386"/>
  <c r="F19" i="386"/>
  <c r="P24" i="386"/>
  <c r="AB26" i="386"/>
  <c r="P34" i="386"/>
  <c r="F34" i="386"/>
  <c r="F35" i="386"/>
  <c r="L37" i="386"/>
  <c r="M37" i="386" s="1"/>
  <c r="F37" i="386"/>
  <c r="N37" i="386"/>
  <c r="I37" i="386"/>
  <c r="AB37" i="386"/>
  <c r="F23" i="384"/>
  <c r="F15" i="385"/>
  <c r="P15" i="386"/>
  <c r="I20" i="386"/>
  <c r="L20" i="386"/>
  <c r="M20" i="386" s="1"/>
  <c r="AB20" i="386"/>
  <c r="P22" i="386"/>
  <c r="F22" i="386"/>
  <c r="M27" i="386"/>
  <c r="AB28" i="386"/>
  <c r="N28" i="386"/>
  <c r="I28" i="386"/>
  <c r="L28" i="386"/>
  <c r="M28" i="386" s="1"/>
  <c r="P30" i="386"/>
  <c r="F30" i="386"/>
  <c r="L33" i="386"/>
  <c r="F33" i="386"/>
  <c r="AB33" i="386"/>
  <c r="N33" i="386"/>
  <c r="J34" i="386"/>
  <c r="L34" i="386"/>
  <c r="M34" i="386" s="1"/>
  <c r="N35" i="386"/>
  <c r="I35" i="386"/>
  <c r="J35" i="386"/>
  <c r="AB35" i="386"/>
  <c r="N39" i="386"/>
  <c r="I39" i="386"/>
  <c r="AB39" i="386"/>
  <c r="L39" i="386"/>
  <c r="M39" i="386" s="1"/>
  <c r="J39" i="386"/>
  <c r="J15" i="386"/>
  <c r="L15" i="386"/>
  <c r="O15" i="386" s="1"/>
  <c r="AB15" i="386"/>
  <c r="F20" i="386"/>
  <c r="O20" i="386" s="1"/>
  <c r="AB24" i="386"/>
  <c r="N24" i="386"/>
  <c r="I24" i="386"/>
  <c r="L24" i="386"/>
  <c r="M24" i="386" s="1"/>
  <c r="P26" i="386"/>
  <c r="F26" i="386"/>
  <c r="F27" i="386"/>
  <c r="F28" i="386"/>
  <c r="J30" i="386"/>
  <c r="L30" i="386"/>
  <c r="M30" i="386" s="1"/>
  <c r="N30" i="386"/>
  <c r="N31" i="386"/>
  <c r="I31" i="386"/>
  <c r="J31" i="386"/>
  <c r="AB31" i="386"/>
  <c r="AB34" i="386"/>
  <c r="L35" i="386"/>
  <c r="M35" i="386" s="1"/>
  <c r="J38" i="386"/>
  <c r="N38" i="386"/>
  <c r="I38" i="386"/>
  <c r="AB38" i="386"/>
  <c r="L38" i="386"/>
  <c r="M38" i="386" s="1"/>
  <c r="N10" i="384"/>
  <c r="F24" i="385"/>
  <c r="P13" i="386"/>
  <c r="C10" i="386" s="1"/>
  <c r="F13" i="386"/>
  <c r="P14" i="386"/>
  <c r="F14" i="386"/>
  <c r="M15" i="386"/>
  <c r="J26" i="386"/>
  <c r="L26" i="386"/>
  <c r="M26" i="386" s="1"/>
  <c r="N26" i="386"/>
  <c r="I27" i="386"/>
  <c r="O27" i="386"/>
  <c r="J27" i="386"/>
  <c r="AB27" i="386"/>
  <c r="AB30" i="386"/>
  <c r="L31" i="386"/>
  <c r="M31" i="386" s="1"/>
  <c r="I33" i="386"/>
  <c r="I34" i="386"/>
  <c r="AB40" i="386"/>
  <c r="L40" i="386"/>
  <c r="F40" i="386"/>
  <c r="J40" i="386"/>
  <c r="I40" i="386"/>
  <c r="F38" i="386"/>
  <c r="F39" i="386"/>
  <c r="O39" i="386" s="1"/>
  <c r="A12" i="385"/>
  <c r="L22" i="385"/>
  <c r="M22" i="385" s="1"/>
  <c r="AB22" i="385"/>
  <c r="J22" i="385"/>
  <c r="I22" i="385"/>
  <c r="N22" i="385"/>
  <c r="J11" i="385"/>
  <c r="N11" i="385"/>
  <c r="I11" i="385"/>
  <c r="AB11" i="385"/>
  <c r="L11" i="385"/>
  <c r="M11" i="385" s="1"/>
  <c r="I48" i="385"/>
  <c r="I47" i="385"/>
  <c r="I49" i="385"/>
  <c r="I45" i="385"/>
  <c r="J10" i="385"/>
  <c r="N10" i="385"/>
  <c r="I10" i="385"/>
  <c r="AB10" i="385"/>
  <c r="L10" i="385"/>
  <c r="M10" i="385" s="1"/>
  <c r="N16" i="385"/>
  <c r="I16" i="385"/>
  <c r="J16" i="385"/>
  <c r="F16" i="385"/>
  <c r="AB16" i="385"/>
  <c r="L16" i="385"/>
  <c r="AB32" i="385"/>
  <c r="N32" i="385"/>
  <c r="I32" i="385"/>
  <c r="J32" i="385"/>
  <c r="F32" i="385"/>
  <c r="L32" i="385"/>
  <c r="M32" i="385" s="1"/>
  <c r="J19" i="385"/>
  <c r="AB19" i="385"/>
  <c r="L19" i="385"/>
  <c r="M19" i="385" s="1"/>
  <c r="I19" i="385"/>
  <c r="N19" i="385"/>
  <c r="J23" i="385"/>
  <c r="I23" i="385"/>
  <c r="N23" i="385"/>
  <c r="F23" i="385"/>
  <c r="AB23" i="385"/>
  <c r="L23" i="385"/>
  <c r="M23" i="385" s="1"/>
  <c r="L29" i="385"/>
  <c r="M29" i="385" s="1"/>
  <c r="F29" i="385"/>
  <c r="AB29" i="385"/>
  <c r="N29" i="385"/>
  <c r="J29" i="385"/>
  <c r="I29" i="385"/>
  <c r="AB36" i="385"/>
  <c r="N36" i="385"/>
  <c r="I36" i="385"/>
  <c r="L36" i="385"/>
  <c r="J36" i="385"/>
  <c r="F36" i="385"/>
  <c r="J12" i="385"/>
  <c r="N12" i="385"/>
  <c r="I12" i="385"/>
  <c r="M12" i="385"/>
  <c r="AB12" i="385"/>
  <c r="L12" i="385"/>
  <c r="AB17" i="385"/>
  <c r="J17" i="385"/>
  <c r="I17" i="385"/>
  <c r="N17" i="385"/>
  <c r="L17" i="385"/>
  <c r="F17" i="385"/>
  <c r="L18" i="385"/>
  <c r="M18" i="385" s="1"/>
  <c r="N18" i="385"/>
  <c r="AB18" i="385"/>
  <c r="J18" i="385"/>
  <c r="I18" i="385"/>
  <c r="AB21" i="385"/>
  <c r="I21" i="385"/>
  <c r="N21" i="385"/>
  <c r="L21" i="385"/>
  <c r="M21" i="385" s="1"/>
  <c r="F21" i="385"/>
  <c r="J21" i="385"/>
  <c r="L13" i="385"/>
  <c r="M13" i="385" s="1"/>
  <c r="I13" i="385"/>
  <c r="AB13" i="385"/>
  <c r="J13" i="385"/>
  <c r="L14" i="385"/>
  <c r="M14" i="385" s="1"/>
  <c r="I14" i="385"/>
  <c r="N14" i="385"/>
  <c r="AB14" i="385"/>
  <c r="J14" i="385"/>
  <c r="L25" i="385"/>
  <c r="M25" i="385" s="1"/>
  <c r="F25" i="385"/>
  <c r="AB25" i="385"/>
  <c r="N25" i="385"/>
  <c r="J25" i="385"/>
  <c r="I25" i="385"/>
  <c r="F16" i="384"/>
  <c r="F10" i="385"/>
  <c r="O10" i="385" s="1"/>
  <c r="F11" i="385"/>
  <c r="F12" i="385"/>
  <c r="O12" i="385" s="1"/>
  <c r="N15" i="385"/>
  <c r="P18" i="385"/>
  <c r="F18" i="385"/>
  <c r="F19" i="385"/>
  <c r="P24" i="385"/>
  <c r="AB26" i="385"/>
  <c r="P34" i="385"/>
  <c r="F34" i="385"/>
  <c r="F35" i="385"/>
  <c r="L37" i="385"/>
  <c r="M37" i="385" s="1"/>
  <c r="F37" i="385"/>
  <c r="N37" i="385"/>
  <c r="I37" i="385"/>
  <c r="AB37" i="385"/>
  <c r="P15" i="385"/>
  <c r="I20" i="385"/>
  <c r="L20" i="385"/>
  <c r="M20" i="385" s="1"/>
  <c r="AB20" i="385"/>
  <c r="P22" i="385"/>
  <c r="F22" i="385"/>
  <c r="O22" i="385" s="1"/>
  <c r="M27" i="385"/>
  <c r="AB28" i="385"/>
  <c r="N28" i="385"/>
  <c r="I28" i="385"/>
  <c r="L28" i="385"/>
  <c r="M28" i="385" s="1"/>
  <c r="P30" i="385"/>
  <c r="F30" i="385"/>
  <c r="L33" i="385"/>
  <c r="M33" i="385" s="1"/>
  <c r="F33" i="385"/>
  <c r="O33" i="385" s="1"/>
  <c r="AB33" i="385"/>
  <c r="N33" i="385"/>
  <c r="J34" i="385"/>
  <c r="L34" i="385"/>
  <c r="M34" i="385" s="1"/>
  <c r="N35" i="385"/>
  <c r="I35" i="385"/>
  <c r="J35" i="385"/>
  <c r="AB35" i="385"/>
  <c r="N39" i="385"/>
  <c r="I39" i="385"/>
  <c r="AB39" i="385"/>
  <c r="L39" i="385"/>
  <c r="M39" i="385" s="1"/>
  <c r="J39" i="385"/>
  <c r="J15" i="385"/>
  <c r="L15" i="385"/>
  <c r="O15" i="385" s="1"/>
  <c r="AB15" i="385"/>
  <c r="F20" i="385"/>
  <c r="AB24" i="385"/>
  <c r="N24" i="385"/>
  <c r="I24" i="385"/>
  <c r="L24" i="385"/>
  <c r="M24" i="385" s="1"/>
  <c r="P26" i="385"/>
  <c r="F26" i="385"/>
  <c r="F27" i="385"/>
  <c r="O27" i="385" s="1"/>
  <c r="F28" i="385"/>
  <c r="J30" i="385"/>
  <c r="L30" i="385"/>
  <c r="M30" i="385" s="1"/>
  <c r="N30" i="385"/>
  <c r="N31" i="385"/>
  <c r="I31" i="385"/>
  <c r="J31" i="385"/>
  <c r="AB31" i="385"/>
  <c r="AB34" i="385"/>
  <c r="L35" i="385"/>
  <c r="O35" i="385" s="1"/>
  <c r="J38" i="385"/>
  <c r="N38" i="385"/>
  <c r="I38" i="385"/>
  <c r="AB38" i="385"/>
  <c r="L38" i="385"/>
  <c r="M38" i="385" s="1"/>
  <c r="P13" i="385"/>
  <c r="C10" i="385" s="1"/>
  <c r="F13" i="385"/>
  <c r="O13" i="385" s="1"/>
  <c r="P14" i="385"/>
  <c r="F14" i="385"/>
  <c r="J26" i="385"/>
  <c r="L26" i="385"/>
  <c r="M26" i="385" s="1"/>
  <c r="N26" i="385"/>
  <c r="I27" i="385"/>
  <c r="J27" i="385"/>
  <c r="AB27" i="385"/>
  <c r="AB30" i="385"/>
  <c r="L31" i="385"/>
  <c r="M31" i="385" s="1"/>
  <c r="I33" i="385"/>
  <c r="I34" i="385"/>
  <c r="AB40" i="385"/>
  <c r="L40" i="385"/>
  <c r="M40" i="385" s="1"/>
  <c r="F40" i="385"/>
  <c r="J40" i="385"/>
  <c r="I40" i="385"/>
  <c r="F38" i="385"/>
  <c r="F39" i="385"/>
  <c r="A12" i="384"/>
  <c r="L13" i="384"/>
  <c r="M13" i="384"/>
  <c r="AB13" i="384"/>
  <c r="J13" i="384"/>
  <c r="I13" i="384"/>
  <c r="AB21" i="384"/>
  <c r="L21" i="384"/>
  <c r="M21" i="384" s="1"/>
  <c r="F21" i="384"/>
  <c r="J21" i="384"/>
  <c r="I21" i="384"/>
  <c r="N21" i="384"/>
  <c r="L22" i="384"/>
  <c r="M22" i="384" s="1"/>
  <c r="I22" i="384"/>
  <c r="N22" i="384"/>
  <c r="AB22" i="384"/>
  <c r="J22" i="384"/>
  <c r="AB25" i="384"/>
  <c r="J25" i="384"/>
  <c r="I25" i="384"/>
  <c r="N25" i="384"/>
  <c r="L25" i="384"/>
  <c r="M25" i="384" s="1"/>
  <c r="F25" i="384"/>
  <c r="O25" i="384" s="1"/>
  <c r="L26" i="384"/>
  <c r="M26" i="384" s="1"/>
  <c r="N26" i="384"/>
  <c r="AB26" i="384"/>
  <c r="J26" i="384"/>
  <c r="I26" i="384"/>
  <c r="AB32" i="384"/>
  <c r="N32" i="384"/>
  <c r="I32" i="384"/>
  <c r="J32" i="384"/>
  <c r="F32" i="384"/>
  <c r="L32" i="384"/>
  <c r="M32" i="384" s="1"/>
  <c r="L18" i="384"/>
  <c r="M18" i="384" s="1"/>
  <c r="AB18" i="384"/>
  <c r="J18" i="384"/>
  <c r="I18" i="384"/>
  <c r="N18" i="384"/>
  <c r="L29" i="384"/>
  <c r="M29" i="384" s="1"/>
  <c r="F29" i="384"/>
  <c r="AB29" i="384"/>
  <c r="N29" i="384"/>
  <c r="J29" i="384"/>
  <c r="I29" i="384"/>
  <c r="AB36" i="384"/>
  <c r="N36" i="384"/>
  <c r="I36" i="384"/>
  <c r="L36" i="384"/>
  <c r="M36" i="384" s="1"/>
  <c r="J36" i="384"/>
  <c r="F36" i="384"/>
  <c r="J15" i="384"/>
  <c r="I15" i="384"/>
  <c r="N15" i="384"/>
  <c r="F15" i="384"/>
  <c r="AB15" i="384"/>
  <c r="L15" i="384"/>
  <c r="I20" i="384"/>
  <c r="AB20" i="384"/>
  <c r="L20" i="384"/>
  <c r="J20" i="384"/>
  <c r="N24" i="384"/>
  <c r="I24" i="384"/>
  <c r="J24" i="384"/>
  <c r="F24" i="384"/>
  <c r="AB24" i="384"/>
  <c r="L24" i="384"/>
  <c r="M24" i="384" s="1"/>
  <c r="L14" i="384"/>
  <c r="M14" i="384" s="1"/>
  <c r="AB14" i="384"/>
  <c r="J14" i="384"/>
  <c r="I14" i="384"/>
  <c r="N14" i="384"/>
  <c r="J27" i="384"/>
  <c r="AB27" i="384"/>
  <c r="L27" i="384"/>
  <c r="M27" i="384" s="1"/>
  <c r="I27" i="384"/>
  <c r="I10" i="384"/>
  <c r="I11" i="384"/>
  <c r="N11" i="384"/>
  <c r="I12" i="384"/>
  <c r="N12" i="384"/>
  <c r="I17" i="384"/>
  <c r="F20" i="384"/>
  <c r="P26" i="384"/>
  <c r="F26" i="384"/>
  <c r="F27" i="384"/>
  <c r="P34" i="384"/>
  <c r="F34" i="384"/>
  <c r="F35" i="384"/>
  <c r="L37" i="384"/>
  <c r="M37" i="384" s="1"/>
  <c r="F37" i="384"/>
  <c r="N37" i="384"/>
  <c r="I37" i="384"/>
  <c r="AB37" i="384"/>
  <c r="F15" i="382"/>
  <c r="I48" i="384"/>
  <c r="I47" i="384"/>
  <c r="I49" i="384"/>
  <c r="I45" i="384"/>
  <c r="J10" i="384"/>
  <c r="J11" i="384"/>
  <c r="J12" i="384"/>
  <c r="P13" i="384"/>
  <c r="F13" i="384"/>
  <c r="O13" i="384" s="1"/>
  <c r="P14" i="384"/>
  <c r="F14" i="384"/>
  <c r="P16" i="384"/>
  <c r="AB17" i="384"/>
  <c r="J17" i="384"/>
  <c r="J19" i="384"/>
  <c r="L19" i="384"/>
  <c r="M19" i="384" s="1"/>
  <c r="AB19" i="384"/>
  <c r="P23" i="384"/>
  <c r="AB28" i="384"/>
  <c r="M28" i="384"/>
  <c r="N28" i="384"/>
  <c r="I28" i="384"/>
  <c r="L28" i="384"/>
  <c r="P30" i="384"/>
  <c r="F30" i="384"/>
  <c r="L33" i="384"/>
  <c r="M33" i="384" s="1"/>
  <c r="F33" i="384"/>
  <c r="AB33" i="384"/>
  <c r="N33" i="384"/>
  <c r="J34" i="384"/>
  <c r="L34" i="384"/>
  <c r="N35" i="384"/>
  <c r="I35" i="384"/>
  <c r="J35" i="384"/>
  <c r="AB35" i="384"/>
  <c r="N39" i="384"/>
  <c r="I39" i="384"/>
  <c r="AB39" i="384"/>
  <c r="L39" i="384"/>
  <c r="M39" i="384" s="1"/>
  <c r="J39" i="384"/>
  <c r="I15" i="383"/>
  <c r="F10" i="384"/>
  <c r="L10" i="384"/>
  <c r="M10" i="384" s="1"/>
  <c r="F11" i="384"/>
  <c r="L11" i="384"/>
  <c r="F12" i="384"/>
  <c r="L12" i="384"/>
  <c r="M12" i="384" s="1"/>
  <c r="AB12" i="384"/>
  <c r="N16" i="384"/>
  <c r="I16" i="384"/>
  <c r="L16" i="384"/>
  <c r="O16" i="384" s="1"/>
  <c r="AB16" i="384"/>
  <c r="F17" i="384"/>
  <c r="L17" i="384"/>
  <c r="M17" i="384" s="1"/>
  <c r="P18" i="384"/>
  <c r="F18" i="384"/>
  <c r="F19" i="384"/>
  <c r="J23" i="384"/>
  <c r="L23" i="384"/>
  <c r="O23" i="384" s="1"/>
  <c r="AB23" i="384"/>
  <c r="F28" i="384"/>
  <c r="J30" i="384"/>
  <c r="L30" i="384"/>
  <c r="N30" i="384"/>
  <c r="N31" i="384"/>
  <c r="I31" i="384"/>
  <c r="J31" i="384"/>
  <c r="AB31" i="384"/>
  <c r="AB34" i="384"/>
  <c r="L35" i="384"/>
  <c r="O35" i="384" s="1"/>
  <c r="J38" i="384"/>
  <c r="N38" i="384"/>
  <c r="I38" i="384"/>
  <c r="AB38" i="384"/>
  <c r="L38" i="384"/>
  <c r="M38" i="384" s="1"/>
  <c r="F15" i="383"/>
  <c r="AB10" i="384"/>
  <c r="N17" i="384"/>
  <c r="N19" i="384"/>
  <c r="P22" i="384"/>
  <c r="F22" i="384"/>
  <c r="O22" i="384" s="1"/>
  <c r="AB30" i="384"/>
  <c r="L31" i="384"/>
  <c r="M31" i="384" s="1"/>
  <c r="I33" i="384"/>
  <c r="I34" i="384"/>
  <c r="AB40" i="384"/>
  <c r="L40" i="384"/>
  <c r="F40" i="384"/>
  <c r="J40" i="384"/>
  <c r="I40" i="384"/>
  <c r="F38" i="384"/>
  <c r="O38" i="384" s="1"/>
  <c r="F39" i="384"/>
  <c r="J12" i="383"/>
  <c r="N12" i="383"/>
  <c r="I12" i="383"/>
  <c r="AB12" i="383"/>
  <c r="L12" i="383"/>
  <c r="A11" i="383"/>
  <c r="J19" i="383"/>
  <c r="AB19" i="383"/>
  <c r="L19" i="383"/>
  <c r="M19" i="383" s="1"/>
  <c r="I19" i="383"/>
  <c r="N19" i="383"/>
  <c r="J23" i="383"/>
  <c r="I23" i="383"/>
  <c r="N23" i="383"/>
  <c r="F23" i="383"/>
  <c r="AB23" i="383"/>
  <c r="L23" i="383"/>
  <c r="AB32" i="383"/>
  <c r="N32" i="383"/>
  <c r="I32" i="383"/>
  <c r="J32" i="383"/>
  <c r="F32" i="383"/>
  <c r="L32" i="383"/>
  <c r="M32" i="383" s="1"/>
  <c r="J11" i="383"/>
  <c r="N11" i="383"/>
  <c r="I11" i="383"/>
  <c r="AB11" i="383"/>
  <c r="L11" i="383"/>
  <c r="M11" i="383" s="1"/>
  <c r="N16" i="383"/>
  <c r="I16" i="383"/>
  <c r="J16" i="383"/>
  <c r="F16" i="383"/>
  <c r="AB16" i="383"/>
  <c r="L16" i="383"/>
  <c r="L18" i="383"/>
  <c r="M18" i="383" s="1"/>
  <c r="N18" i="383"/>
  <c r="AB18" i="383"/>
  <c r="J18" i="383"/>
  <c r="I18" i="383"/>
  <c r="AB21" i="383"/>
  <c r="I21" i="383"/>
  <c r="N21" i="383"/>
  <c r="L21" i="383"/>
  <c r="M21" i="383" s="1"/>
  <c r="F21" i="383"/>
  <c r="J21" i="383"/>
  <c r="L22" i="383"/>
  <c r="M22" i="383" s="1"/>
  <c r="AB22" i="383"/>
  <c r="J22" i="383"/>
  <c r="I22" i="383"/>
  <c r="N22" i="383"/>
  <c r="L29" i="383"/>
  <c r="M29" i="383" s="1"/>
  <c r="F29" i="383"/>
  <c r="AB29" i="383"/>
  <c r="N29" i="383"/>
  <c r="J29" i="383"/>
  <c r="I29" i="383"/>
  <c r="AB36" i="383"/>
  <c r="N36" i="383"/>
  <c r="I36" i="383"/>
  <c r="L36" i="383"/>
  <c r="M36" i="383" s="1"/>
  <c r="J36" i="383"/>
  <c r="F36" i="383"/>
  <c r="L13" i="383"/>
  <c r="M13" i="383" s="1"/>
  <c r="I13" i="383"/>
  <c r="AB13" i="383"/>
  <c r="J13" i="383"/>
  <c r="I48" i="383"/>
  <c r="I47" i="383"/>
  <c r="I49" i="383"/>
  <c r="I45" i="383"/>
  <c r="J10" i="383"/>
  <c r="N10" i="383"/>
  <c r="I10" i="383"/>
  <c r="AB10" i="383"/>
  <c r="L10" i="383"/>
  <c r="L14" i="383"/>
  <c r="I14" i="383"/>
  <c r="N14" i="383"/>
  <c r="AB14" i="383"/>
  <c r="J14" i="383"/>
  <c r="F10" i="383"/>
  <c r="F11" i="383"/>
  <c r="P11" i="383"/>
  <c r="C10" i="383" s="1"/>
  <c r="F12" i="383"/>
  <c r="F17" i="383"/>
  <c r="L17" i="383"/>
  <c r="M17" i="383" s="1"/>
  <c r="P18" i="383"/>
  <c r="F18" i="383"/>
  <c r="F19" i="383"/>
  <c r="I25" i="383"/>
  <c r="AB26" i="383"/>
  <c r="P34" i="383"/>
  <c r="F34" i="383"/>
  <c r="F35" i="383"/>
  <c r="L37" i="383"/>
  <c r="M37" i="383" s="1"/>
  <c r="F37" i="383"/>
  <c r="N37" i="383"/>
  <c r="I37" i="383"/>
  <c r="AB37" i="383"/>
  <c r="P15" i="383"/>
  <c r="I20" i="383"/>
  <c r="L20" i="383"/>
  <c r="M20" i="383" s="1"/>
  <c r="AB20" i="383"/>
  <c r="P22" i="383"/>
  <c r="F22" i="383"/>
  <c r="O22" i="383" s="1"/>
  <c r="P24" i="383"/>
  <c r="AB25" i="383"/>
  <c r="J25" i="383"/>
  <c r="M27" i="383"/>
  <c r="AB28" i="383"/>
  <c r="N28" i="383"/>
  <c r="I28" i="383"/>
  <c r="L28" i="383"/>
  <c r="M28" i="383" s="1"/>
  <c r="P30" i="383"/>
  <c r="F30" i="383"/>
  <c r="L33" i="383"/>
  <c r="M33" i="383" s="1"/>
  <c r="F33" i="383"/>
  <c r="AB33" i="383"/>
  <c r="N33" i="383"/>
  <c r="J34" i="383"/>
  <c r="L34" i="383"/>
  <c r="M34" i="383" s="1"/>
  <c r="N35" i="383"/>
  <c r="I35" i="383"/>
  <c r="J35" i="383"/>
  <c r="AB35" i="383"/>
  <c r="N39" i="383"/>
  <c r="I39" i="383"/>
  <c r="AB39" i="383"/>
  <c r="L39" i="383"/>
  <c r="M39" i="383" s="1"/>
  <c r="J39" i="383"/>
  <c r="J15" i="383"/>
  <c r="L15" i="383"/>
  <c r="AB15" i="383"/>
  <c r="I17" i="383"/>
  <c r="F20" i="383"/>
  <c r="N24" i="383"/>
  <c r="I24" i="383"/>
  <c r="L24" i="383"/>
  <c r="AB24" i="383"/>
  <c r="F25" i="383"/>
  <c r="L25" i="383"/>
  <c r="P26" i="383"/>
  <c r="F26" i="383"/>
  <c r="F27" i="383"/>
  <c r="O27" i="383" s="1"/>
  <c r="F28" i="383"/>
  <c r="J30" i="383"/>
  <c r="L30" i="383"/>
  <c r="M30" i="383" s="1"/>
  <c r="N30" i="383"/>
  <c r="N31" i="383"/>
  <c r="I31" i="383"/>
  <c r="J31" i="383"/>
  <c r="AB31" i="383"/>
  <c r="AB34" i="383"/>
  <c r="L35" i="383"/>
  <c r="J38" i="383"/>
  <c r="N38" i="383"/>
  <c r="I38" i="383"/>
  <c r="AB38" i="383"/>
  <c r="L38" i="383"/>
  <c r="M38" i="383" s="1"/>
  <c r="F24" i="382"/>
  <c r="P13" i="383"/>
  <c r="F13" i="383"/>
  <c r="P14" i="383"/>
  <c r="F14" i="383"/>
  <c r="AB17" i="383"/>
  <c r="J17" i="383"/>
  <c r="F24" i="383"/>
  <c r="N25" i="383"/>
  <c r="J26" i="383"/>
  <c r="L26" i="383"/>
  <c r="M26" i="383" s="1"/>
  <c r="N26" i="383"/>
  <c r="I27" i="383"/>
  <c r="J27" i="383"/>
  <c r="AB27" i="383"/>
  <c r="AB30" i="383"/>
  <c r="L31" i="383"/>
  <c r="M31" i="383" s="1"/>
  <c r="I33" i="383"/>
  <c r="I34" i="383"/>
  <c r="AB40" i="383"/>
  <c r="L40" i="383"/>
  <c r="F40" i="383"/>
  <c r="J40" i="383"/>
  <c r="I40" i="383"/>
  <c r="F38" i="383"/>
  <c r="F39" i="383"/>
  <c r="L22" i="382"/>
  <c r="M22" i="382" s="1"/>
  <c r="AB22" i="382"/>
  <c r="J22" i="382"/>
  <c r="I22" i="382"/>
  <c r="N22" i="382"/>
  <c r="L14" i="382"/>
  <c r="M14" i="382" s="1"/>
  <c r="I14" i="382"/>
  <c r="N14" i="382"/>
  <c r="AB14" i="382"/>
  <c r="J14" i="382"/>
  <c r="L25" i="382"/>
  <c r="M25" i="382" s="1"/>
  <c r="F25" i="382"/>
  <c r="AB25" i="382"/>
  <c r="N25" i="382"/>
  <c r="J25" i="382"/>
  <c r="I25" i="382"/>
  <c r="I48" i="382"/>
  <c r="I47" i="382"/>
  <c r="I49" i="382"/>
  <c r="I45" i="382"/>
  <c r="J10" i="382"/>
  <c r="N10" i="382"/>
  <c r="I10" i="382"/>
  <c r="AB10" i="382"/>
  <c r="L10" i="382"/>
  <c r="M10" i="382" s="1"/>
  <c r="N16" i="382"/>
  <c r="I16" i="382"/>
  <c r="J16" i="382"/>
  <c r="F16" i="382"/>
  <c r="AB16" i="382"/>
  <c r="L16" i="382"/>
  <c r="M16" i="382" s="1"/>
  <c r="AB32" i="382"/>
  <c r="N32" i="382"/>
  <c r="I32" i="382"/>
  <c r="J32" i="382"/>
  <c r="F32" i="382"/>
  <c r="L32" i="382"/>
  <c r="M32" i="382" s="1"/>
  <c r="L13" i="382"/>
  <c r="M13" i="382" s="1"/>
  <c r="I13" i="382"/>
  <c r="AB13" i="382"/>
  <c r="J13" i="382"/>
  <c r="J19" i="382"/>
  <c r="AB19" i="382"/>
  <c r="L19" i="382"/>
  <c r="M19" i="382" s="1"/>
  <c r="I19" i="382"/>
  <c r="N19" i="382"/>
  <c r="J23" i="382"/>
  <c r="I23" i="382"/>
  <c r="N23" i="382"/>
  <c r="F23" i="382"/>
  <c r="AB23" i="382"/>
  <c r="L23" i="382"/>
  <c r="L29" i="382"/>
  <c r="M29" i="382" s="1"/>
  <c r="F29" i="382"/>
  <c r="AB29" i="382"/>
  <c r="N29" i="382"/>
  <c r="J29" i="382"/>
  <c r="I29" i="382"/>
  <c r="AB36" i="382"/>
  <c r="N36" i="382"/>
  <c r="I36" i="382"/>
  <c r="L36" i="382"/>
  <c r="M36" i="382" s="1"/>
  <c r="J36" i="382"/>
  <c r="F36" i="382"/>
  <c r="A12" i="382"/>
  <c r="J12" i="382"/>
  <c r="N12" i="382"/>
  <c r="I12" i="382"/>
  <c r="AB12" i="382"/>
  <c r="L12" i="382"/>
  <c r="M12" i="382" s="1"/>
  <c r="AB17" i="382"/>
  <c r="J17" i="382"/>
  <c r="I17" i="382"/>
  <c r="N17" i="382"/>
  <c r="L17" i="382"/>
  <c r="M17" i="382" s="1"/>
  <c r="F17" i="382"/>
  <c r="L18" i="382"/>
  <c r="M18" i="382" s="1"/>
  <c r="N18" i="382"/>
  <c r="AB18" i="382"/>
  <c r="J18" i="382"/>
  <c r="I18" i="382"/>
  <c r="AB21" i="382"/>
  <c r="I21" i="382"/>
  <c r="N21" i="382"/>
  <c r="L21" i="382"/>
  <c r="M21" i="382" s="1"/>
  <c r="F21" i="382"/>
  <c r="J21" i="382"/>
  <c r="J11" i="382"/>
  <c r="N11" i="382"/>
  <c r="I11" i="382"/>
  <c r="AB11" i="382"/>
  <c r="L11" i="382"/>
  <c r="F10" i="382"/>
  <c r="F11" i="382"/>
  <c r="F12" i="382"/>
  <c r="N15" i="382"/>
  <c r="P18" i="382"/>
  <c r="F18" i="382"/>
  <c r="F19" i="382"/>
  <c r="P24" i="382"/>
  <c r="AB26" i="382"/>
  <c r="P34" i="382"/>
  <c r="F34" i="382"/>
  <c r="F35" i="382"/>
  <c r="L37" i="382"/>
  <c r="F37" i="382"/>
  <c r="N37" i="382"/>
  <c r="I37" i="382"/>
  <c r="AB37" i="382"/>
  <c r="F15" i="381"/>
  <c r="P15" i="382"/>
  <c r="I20" i="382"/>
  <c r="L20" i="382"/>
  <c r="M20" i="382" s="1"/>
  <c r="AB20" i="382"/>
  <c r="P22" i="382"/>
  <c r="F22" i="382"/>
  <c r="M27" i="382"/>
  <c r="AB28" i="382"/>
  <c r="N28" i="382"/>
  <c r="I28" i="382"/>
  <c r="L28" i="382"/>
  <c r="M28" i="382" s="1"/>
  <c r="P30" i="382"/>
  <c r="F30" i="382"/>
  <c r="L33" i="382"/>
  <c r="M33" i="382" s="1"/>
  <c r="F33" i="382"/>
  <c r="AB33" i="382"/>
  <c r="N33" i="382"/>
  <c r="J34" i="382"/>
  <c r="L34" i="382"/>
  <c r="M34" i="382" s="1"/>
  <c r="N35" i="382"/>
  <c r="I35" i="382"/>
  <c r="J35" i="382"/>
  <c r="AB35" i="382"/>
  <c r="N39" i="382"/>
  <c r="I39" i="382"/>
  <c r="AB39" i="382"/>
  <c r="L39" i="382"/>
  <c r="M39" i="382" s="1"/>
  <c r="J39" i="382"/>
  <c r="J15" i="382"/>
  <c r="L15" i="382"/>
  <c r="M15" i="382" s="1"/>
  <c r="AB15" i="382"/>
  <c r="F20" i="382"/>
  <c r="AB24" i="382"/>
  <c r="N24" i="382"/>
  <c r="I24" i="382"/>
  <c r="L24" i="382"/>
  <c r="M24" i="382" s="1"/>
  <c r="P26" i="382"/>
  <c r="F26" i="382"/>
  <c r="F27" i="382"/>
  <c r="O27" i="382" s="1"/>
  <c r="F28" i="382"/>
  <c r="J30" i="382"/>
  <c r="L30" i="382"/>
  <c r="M30" i="382" s="1"/>
  <c r="N30" i="382"/>
  <c r="N31" i="382"/>
  <c r="I31" i="382"/>
  <c r="J31" i="382"/>
  <c r="AB31" i="382"/>
  <c r="AB34" i="382"/>
  <c r="L35" i="382"/>
  <c r="M35" i="382" s="1"/>
  <c r="J38" i="382"/>
  <c r="N38" i="382"/>
  <c r="I38" i="382"/>
  <c r="AB38" i="382"/>
  <c r="L38" i="382"/>
  <c r="M38" i="382" s="1"/>
  <c r="F24" i="381"/>
  <c r="P13" i="382"/>
  <c r="F13" i="382"/>
  <c r="P14" i="382"/>
  <c r="F14" i="382"/>
  <c r="O14" i="382" s="1"/>
  <c r="J26" i="382"/>
  <c r="L26" i="382"/>
  <c r="N26" i="382"/>
  <c r="I27" i="382"/>
  <c r="J27" i="382"/>
  <c r="AB27" i="382"/>
  <c r="AB30" i="382"/>
  <c r="L31" i="382"/>
  <c r="M31" i="382" s="1"/>
  <c r="I33" i="382"/>
  <c r="I34" i="382"/>
  <c r="AB40" i="382"/>
  <c r="L40" i="382"/>
  <c r="M40" i="382" s="1"/>
  <c r="F40" i="382"/>
  <c r="J40" i="382"/>
  <c r="I40" i="382"/>
  <c r="F38" i="382"/>
  <c r="F39" i="382"/>
  <c r="J19" i="381"/>
  <c r="AB19" i="381"/>
  <c r="L19" i="381"/>
  <c r="I19" i="381"/>
  <c r="N19" i="381"/>
  <c r="A12" i="381"/>
  <c r="J12" i="381"/>
  <c r="N12" i="381"/>
  <c r="I12" i="381"/>
  <c r="AB12" i="381"/>
  <c r="L12" i="381"/>
  <c r="M12" i="381" s="1"/>
  <c r="AB17" i="381"/>
  <c r="J17" i="381"/>
  <c r="I17" i="381"/>
  <c r="N17" i="381"/>
  <c r="L17" i="381"/>
  <c r="M17" i="381" s="1"/>
  <c r="F17" i="381"/>
  <c r="L18" i="381"/>
  <c r="M18" i="381" s="1"/>
  <c r="N18" i="381"/>
  <c r="AB18" i="381"/>
  <c r="J18" i="381"/>
  <c r="I18" i="381"/>
  <c r="AB21" i="381"/>
  <c r="I21" i="381"/>
  <c r="N21" i="381"/>
  <c r="L21" i="381"/>
  <c r="M21" i="381" s="1"/>
  <c r="F21" i="381"/>
  <c r="J21" i="381"/>
  <c r="L22" i="381"/>
  <c r="M22" i="381" s="1"/>
  <c r="AB22" i="381"/>
  <c r="J22" i="381"/>
  <c r="I22" i="381"/>
  <c r="N22" i="381"/>
  <c r="L14" i="381"/>
  <c r="M14" i="381" s="1"/>
  <c r="I14" i="381"/>
  <c r="N14" i="381"/>
  <c r="AB14" i="381"/>
  <c r="J14" i="381"/>
  <c r="L25" i="381"/>
  <c r="M25" i="381" s="1"/>
  <c r="F25" i="381"/>
  <c r="AB25" i="381"/>
  <c r="N25" i="381"/>
  <c r="J25" i="381"/>
  <c r="I25" i="381"/>
  <c r="I48" i="381"/>
  <c r="I47" i="381"/>
  <c r="I49" i="381"/>
  <c r="I45" i="381"/>
  <c r="J10" i="381"/>
  <c r="N10" i="381"/>
  <c r="I10" i="381"/>
  <c r="AB10" i="381"/>
  <c r="L10" i="381"/>
  <c r="N16" i="381"/>
  <c r="I16" i="381"/>
  <c r="J16" i="381"/>
  <c r="F16" i="381"/>
  <c r="AB16" i="381"/>
  <c r="L16" i="381"/>
  <c r="M16" i="381" s="1"/>
  <c r="AB32" i="381"/>
  <c r="N32" i="381"/>
  <c r="I32" i="381"/>
  <c r="J32" i="381"/>
  <c r="F32" i="381"/>
  <c r="L32" i="381"/>
  <c r="M32" i="381" s="1"/>
  <c r="J23" i="381"/>
  <c r="I23" i="381"/>
  <c r="N23" i="381"/>
  <c r="F23" i="381"/>
  <c r="AB23" i="381"/>
  <c r="L23" i="381"/>
  <c r="L29" i="381"/>
  <c r="M29" i="381" s="1"/>
  <c r="F29" i="381"/>
  <c r="AB29" i="381"/>
  <c r="N29" i="381"/>
  <c r="J29" i="381"/>
  <c r="I29" i="381"/>
  <c r="AB36" i="381"/>
  <c r="N36" i="381"/>
  <c r="I36" i="381"/>
  <c r="L36" i="381"/>
  <c r="M36" i="381" s="1"/>
  <c r="J36" i="381"/>
  <c r="F36" i="381"/>
  <c r="L13" i="381"/>
  <c r="M13" i="381" s="1"/>
  <c r="I13" i="381"/>
  <c r="AB13" i="381"/>
  <c r="J13" i="381"/>
  <c r="J11" i="381"/>
  <c r="N11" i="381"/>
  <c r="I11" i="381"/>
  <c r="AB11" i="381"/>
  <c r="L11" i="381"/>
  <c r="M11" i="381" s="1"/>
  <c r="F10" i="381"/>
  <c r="F11" i="381"/>
  <c r="F12" i="381"/>
  <c r="O12" i="381" s="1"/>
  <c r="N15" i="381"/>
  <c r="P18" i="381"/>
  <c r="F18" i="381"/>
  <c r="F19" i="381"/>
  <c r="P24" i="381"/>
  <c r="AB26" i="381"/>
  <c r="P34" i="381"/>
  <c r="F34" i="381"/>
  <c r="F35" i="381"/>
  <c r="L37" i="381"/>
  <c r="M37" i="381" s="1"/>
  <c r="F37" i="381"/>
  <c r="N37" i="381"/>
  <c r="I37" i="381"/>
  <c r="AB37" i="381"/>
  <c r="P15" i="381"/>
  <c r="I20" i="381"/>
  <c r="L20" i="381"/>
  <c r="AB20" i="381"/>
  <c r="P22" i="381"/>
  <c r="F22" i="381"/>
  <c r="M27" i="381"/>
  <c r="AB28" i="381"/>
  <c r="N28" i="381"/>
  <c r="I28" i="381"/>
  <c r="L28" i="381"/>
  <c r="M28" i="381" s="1"/>
  <c r="P30" i="381"/>
  <c r="F30" i="381"/>
  <c r="L33" i="381"/>
  <c r="M33" i="381" s="1"/>
  <c r="F33" i="381"/>
  <c r="AB33" i="381"/>
  <c r="N33" i="381"/>
  <c r="J34" i="381"/>
  <c r="L34" i="381"/>
  <c r="N35" i="381"/>
  <c r="I35" i="381"/>
  <c r="J35" i="381"/>
  <c r="AB35" i="381"/>
  <c r="N39" i="381"/>
  <c r="I39" i="381"/>
  <c r="AB39" i="381"/>
  <c r="L39" i="381"/>
  <c r="M39" i="381" s="1"/>
  <c r="J39" i="381"/>
  <c r="J15" i="381"/>
  <c r="L15" i="381"/>
  <c r="O15" i="381" s="1"/>
  <c r="AB15" i="381"/>
  <c r="F20" i="381"/>
  <c r="AB24" i="381"/>
  <c r="N24" i="381"/>
  <c r="I24" i="381"/>
  <c r="L24" i="381"/>
  <c r="M24" i="381" s="1"/>
  <c r="P26" i="381"/>
  <c r="F26" i="381"/>
  <c r="F27" i="381"/>
  <c r="O27" i="381" s="1"/>
  <c r="F28" i="381"/>
  <c r="J30" i="381"/>
  <c r="L30" i="381"/>
  <c r="N30" i="381"/>
  <c r="N31" i="381"/>
  <c r="I31" i="381"/>
  <c r="J31" i="381"/>
  <c r="AB31" i="381"/>
  <c r="AB34" i="381"/>
  <c r="L35" i="381"/>
  <c r="J38" i="381"/>
  <c r="N38" i="381"/>
  <c r="I38" i="381"/>
  <c r="AB38" i="381"/>
  <c r="L38" i="381"/>
  <c r="I26" i="378"/>
  <c r="P13" i="381"/>
  <c r="C11" i="381" s="1"/>
  <c r="F13" i="381"/>
  <c r="P14" i="381"/>
  <c r="F14" i="381"/>
  <c r="J26" i="381"/>
  <c r="L26" i="381"/>
  <c r="M26" i="381" s="1"/>
  <c r="N26" i="381"/>
  <c r="I27" i="381"/>
  <c r="J27" i="381"/>
  <c r="AB27" i="381"/>
  <c r="AB30" i="381"/>
  <c r="L31" i="381"/>
  <c r="O31" i="381" s="1"/>
  <c r="I33" i="381"/>
  <c r="I34" i="381"/>
  <c r="AB40" i="381"/>
  <c r="L40" i="381"/>
  <c r="M40" i="381" s="1"/>
  <c r="F40" i="381"/>
  <c r="J40" i="381"/>
  <c r="I40" i="381"/>
  <c r="F38" i="381"/>
  <c r="F39" i="381"/>
  <c r="L29" i="380"/>
  <c r="M29" i="380" s="1"/>
  <c r="F29" i="380"/>
  <c r="AB29" i="380"/>
  <c r="N29" i="380"/>
  <c r="J29" i="380"/>
  <c r="I29" i="380"/>
  <c r="A12" i="380"/>
  <c r="L14" i="380"/>
  <c r="M14" i="380" s="1"/>
  <c r="N14" i="380"/>
  <c r="AB14" i="380"/>
  <c r="J14" i="380"/>
  <c r="I14" i="380"/>
  <c r="AB17" i="380"/>
  <c r="I17" i="380"/>
  <c r="N17" i="380"/>
  <c r="L17" i="380"/>
  <c r="M17" i="380" s="1"/>
  <c r="F17" i="380"/>
  <c r="J17" i="380"/>
  <c r="L18" i="380"/>
  <c r="M18" i="380" s="1"/>
  <c r="AB18" i="380"/>
  <c r="J18" i="380"/>
  <c r="I18" i="380"/>
  <c r="N18" i="380"/>
  <c r="I48" i="380"/>
  <c r="I47" i="380"/>
  <c r="I49" i="380"/>
  <c r="I45" i="380"/>
  <c r="N10" i="380"/>
  <c r="I10" i="380"/>
  <c r="AB10" i="380"/>
  <c r="L10" i="380"/>
  <c r="AG62" i="380" s="1"/>
  <c r="F10" i="380"/>
  <c r="J10" i="380"/>
  <c r="N11" i="380"/>
  <c r="I11" i="380"/>
  <c r="AB11" i="380"/>
  <c r="L11" i="380"/>
  <c r="M11" i="380" s="1"/>
  <c r="F11" i="380"/>
  <c r="J11" i="380"/>
  <c r="N12" i="380"/>
  <c r="I12" i="380"/>
  <c r="AB12" i="380"/>
  <c r="L12" i="380"/>
  <c r="M12" i="380" s="1"/>
  <c r="F12" i="380"/>
  <c r="J12" i="380"/>
  <c r="L22" i="380"/>
  <c r="AB22" i="380"/>
  <c r="J22" i="380"/>
  <c r="I22" i="380"/>
  <c r="N22" i="380"/>
  <c r="AB32" i="380"/>
  <c r="N32" i="380"/>
  <c r="I32" i="380"/>
  <c r="J32" i="380"/>
  <c r="F32" i="380"/>
  <c r="L32" i="380"/>
  <c r="M32" i="380" s="1"/>
  <c r="J15" i="380"/>
  <c r="AB15" i="380"/>
  <c r="L15" i="380"/>
  <c r="M15" i="380" s="1"/>
  <c r="I15" i="380"/>
  <c r="N15" i="380"/>
  <c r="AB36" i="380"/>
  <c r="N36" i="380"/>
  <c r="I36" i="380"/>
  <c r="L36" i="380"/>
  <c r="M36" i="380" s="1"/>
  <c r="J36" i="380"/>
  <c r="F36" i="380"/>
  <c r="J19" i="380"/>
  <c r="I19" i="380"/>
  <c r="N19" i="380"/>
  <c r="F19" i="380"/>
  <c r="AB19" i="380"/>
  <c r="L19" i="380"/>
  <c r="M19" i="380" s="1"/>
  <c r="N24" i="380"/>
  <c r="I24" i="380"/>
  <c r="AB24" i="380"/>
  <c r="L24" i="380"/>
  <c r="J24" i="380"/>
  <c r="L13" i="380"/>
  <c r="M13" i="380" s="1"/>
  <c r="AB13" i="380"/>
  <c r="J13" i="380"/>
  <c r="I13" i="380"/>
  <c r="L25" i="380"/>
  <c r="M25" i="380" s="1"/>
  <c r="AB25" i="380"/>
  <c r="N25" i="380"/>
  <c r="F25" i="380"/>
  <c r="J25" i="380"/>
  <c r="I25" i="380"/>
  <c r="F24" i="379"/>
  <c r="P13" i="380"/>
  <c r="C11" i="380" s="1"/>
  <c r="F13" i="380"/>
  <c r="P14" i="380"/>
  <c r="F14" i="380"/>
  <c r="F15" i="380"/>
  <c r="I21" i="380"/>
  <c r="F24" i="380"/>
  <c r="AB26" i="380"/>
  <c r="P34" i="380"/>
  <c r="F34" i="380"/>
  <c r="F35" i="380"/>
  <c r="L37" i="380"/>
  <c r="F37" i="380"/>
  <c r="N37" i="380"/>
  <c r="I37" i="380"/>
  <c r="AB37" i="380"/>
  <c r="N16" i="380"/>
  <c r="I16" i="380"/>
  <c r="L16" i="380"/>
  <c r="M16" i="380" s="1"/>
  <c r="AB16" i="380"/>
  <c r="P18" i="380"/>
  <c r="F18" i="380"/>
  <c r="P20" i="380"/>
  <c r="AB21" i="380"/>
  <c r="J21" i="380"/>
  <c r="J23" i="380"/>
  <c r="L23" i="380"/>
  <c r="M23" i="380" s="1"/>
  <c r="AB23" i="380"/>
  <c r="M27" i="380"/>
  <c r="AB28" i="380"/>
  <c r="N28" i="380"/>
  <c r="I28" i="380"/>
  <c r="L28" i="380"/>
  <c r="M28" i="380" s="1"/>
  <c r="P30" i="380"/>
  <c r="F30" i="380"/>
  <c r="L33" i="380"/>
  <c r="M33" i="380" s="1"/>
  <c r="F33" i="380"/>
  <c r="AB33" i="380"/>
  <c r="N33" i="380"/>
  <c r="J34" i="380"/>
  <c r="L34" i="380"/>
  <c r="M34" i="380" s="1"/>
  <c r="N35" i="380"/>
  <c r="I35" i="380"/>
  <c r="J35" i="380"/>
  <c r="AB35" i="380"/>
  <c r="N39" i="380"/>
  <c r="I39" i="380"/>
  <c r="AB39" i="380"/>
  <c r="L39" i="380"/>
  <c r="M39" i="380" s="1"/>
  <c r="J39" i="380"/>
  <c r="F15" i="379"/>
  <c r="F16" i="380"/>
  <c r="I20" i="380"/>
  <c r="L20" i="380"/>
  <c r="M20" i="380" s="1"/>
  <c r="AB20" i="380"/>
  <c r="F21" i="380"/>
  <c r="L21" i="380"/>
  <c r="P22" i="380"/>
  <c r="F22" i="380"/>
  <c r="F23" i="380"/>
  <c r="P26" i="380"/>
  <c r="F26" i="380"/>
  <c r="F27" i="380"/>
  <c r="O27" i="380" s="1"/>
  <c r="F28" i="380"/>
  <c r="J30" i="380"/>
  <c r="L30" i="380"/>
  <c r="N30" i="380"/>
  <c r="N31" i="380"/>
  <c r="I31" i="380"/>
  <c r="J31" i="380"/>
  <c r="AB31" i="380"/>
  <c r="AB34" i="380"/>
  <c r="L35" i="380"/>
  <c r="J38" i="380"/>
  <c r="N38" i="380"/>
  <c r="I38" i="380"/>
  <c r="AB38" i="380"/>
  <c r="L38" i="380"/>
  <c r="M38" i="380" s="1"/>
  <c r="I26" i="379"/>
  <c r="F20" i="380"/>
  <c r="N21" i="380"/>
  <c r="N23" i="380"/>
  <c r="J26" i="380"/>
  <c r="L26" i="380"/>
  <c r="M26" i="380" s="1"/>
  <c r="N26" i="380"/>
  <c r="I27" i="380"/>
  <c r="J27" i="380"/>
  <c r="AB27" i="380"/>
  <c r="AB30" i="380"/>
  <c r="L31" i="380"/>
  <c r="M31" i="380" s="1"/>
  <c r="I33" i="380"/>
  <c r="I34" i="380"/>
  <c r="AB40" i="380"/>
  <c r="L40" i="380"/>
  <c r="F40" i="380"/>
  <c r="J40" i="380"/>
  <c r="I40" i="380"/>
  <c r="F38" i="380"/>
  <c r="F39" i="380"/>
  <c r="L13" i="379"/>
  <c r="M13" i="379" s="1"/>
  <c r="I13" i="379"/>
  <c r="AB13" i="379"/>
  <c r="J13" i="379"/>
  <c r="L14" i="379"/>
  <c r="M14" i="379" s="1"/>
  <c r="I14" i="379"/>
  <c r="N14" i="379"/>
  <c r="AB14" i="379"/>
  <c r="J14" i="379"/>
  <c r="L25" i="379"/>
  <c r="M25" i="379" s="1"/>
  <c r="F25" i="379"/>
  <c r="AB25" i="379"/>
  <c r="N25" i="379"/>
  <c r="J25" i="379"/>
  <c r="I25" i="379"/>
  <c r="I48" i="379"/>
  <c r="I47" i="379"/>
  <c r="I49" i="379"/>
  <c r="I45" i="379"/>
  <c r="J10" i="379"/>
  <c r="N10" i="379"/>
  <c r="I10" i="379"/>
  <c r="AB10" i="379"/>
  <c r="L10" i="379"/>
  <c r="AG62" i="379" s="1"/>
  <c r="N16" i="379"/>
  <c r="I16" i="379"/>
  <c r="J16" i="379"/>
  <c r="F16" i="379"/>
  <c r="AB16" i="379"/>
  <c r="L16" i="379"/>
  <c r="AB32" i="379"/>
  <c r="N32" i="379"/>
  <c r="I32" i="379"/>
  <c r="J32" i="379"/>
  <c r="F32" i="379"/>
  <c r="L32" i="379"/>
  <c r="M32" i="379" s="1"/>
  <c r="J23" i="379"/>
  <c r="I23" i="379"/>
  <c r="N23" i="379"/>
  <c r="F23" i="379"/>
  <c r="AB23" i="379"/>
  <c r="L23" i="379"/>
  <c r="L29" i="379"/>
  <c r="M29" i="379" s="1"/>
  <c r="F29" i="379"/>
  <c r="AB29" i="379"/>
  <c r="N29" i="379"/>
  <c r="J29" i="379"/>
  <c r="I29" i="379"/>
  <c r="AB36" i="379"/>
  <c r="N36" i="379"/>
  <c r="I36" i="379"/>
  <c r="L36" i="379"/>
  <c r="M36" i="379" s="1"/>
  <c r="J36" i="379"/>
  <c r="F36" i="379"/>
  <c r="J19" i="379"/>
  <c r="AB19" i="379"/>
  <c r="L19" i="379"/>
  <c r="M19" i="379" s="1"/>
  <c r="I19" i="379"/>
  <c r="N19" i="379"/>
  <c r="A12" i="379"/>
  <c r="N12" i="379"/>
  <c r="I12" i="379"/>
  <c r="AB12" i="379"/>
  <c r="L12" i="379"/>
  <c r="M12" i="379" s="1"/>
  <c r="J12" i="379"/>
  <c r="AB17" i="379"/>
  <c r="J17" i="379"/>
  <c r="I17" i="379"/>
  <c r="N17" i="379"/>
  <c r="L17" i="379"/>
  <c r="F17" i="379"/>
  <c r="L18" i="379"/>
  <c r="M18" i="379" s="1"/>
  <c r="N18" i="379"/>
  <c r="AB18" i="379"/>
  <c r="J18" i="379"/>
  <c r="I18" i="379"/>
  <c r="AB21" i="379"/>
  <c r="I21" i="379"/>
  <c r="N21" i="379"/>
  <c r="L21" i="379"/>
  <c r="M21" i="379" s="1"/>
  <c r="F21" i="379"/>
  <c r="J21" i="379"/>
  <c r="L22" i="379"/>
  <c r="M22" i="379" s="1"/>
  <c r="AB22" i="379"/>
  <c r="J22" i="379"/>
  <c r="I22" i="379"/>
  <c r="N22" i="379"/>
  <c r="J11" i="379"/>
  <c r="N11" i="379"/>
  <c r="I11" i="379"/>
  <c r="AB11" i="379"/>
  <c r="L11" i="379"/>
  <c r="M11" i="379" s="1"/>
  <c r="I15" i="378"/>
  <c r="F10" i="379"/>
  <c r="F11" i="379"/>
  <c r="F12" i="379"/>
  <c r="N15" i="379"/>
  <c r="P18" i="379"/>
  <c r="F18" i="379"/>
  <c r="F19" i="379"/>
  <c r="O19" i="379" s="1"/>
  <c r="P24" i="379"/>
  <c r="P34" i="379"/>
  <c r="F34" i="379"/>
  <c r="F35" i="379"/>
  <c r="L37" i="379"/>
  <c r="F37" i="379"/>
  <c r="N37" i="379"/>
  <c r="I37" i="379"/>
  <c r="AB37" i="379"/>
  <c r="P15" i="379"/>
  <c r="I20" i="379"/>
  <c r="L20" i="379"/>
  <c r="M20" i="379" s="1"/>
  <c r="AB20" i="379"/>
  <c r="P22" i="379"/>
  <c r="F22" i="379"/>
  <c r="O22" i="379" s="1"/>
  <c r="M27" i="379"/>
  <c r="AB28" i="379"/>
  <c r="N28" i="379"/>
  <c r="I28" i="379"/>
  <c r="L28" i="379"/>
  <c r="M28" i="379" s="1"/>
  <c r="P30" i="379"/>
  <c r="F30" i="379"/>
  <c r="L33" i="379"/>
  <c r="M33" i="379" s="1"/>
  <c r="F33" i="379"/>
  <c r="AB33" i="379"/>
  <c r="N33" i="379"/>
  <c r="J34" i="379"/>
  <c r="L34" i="379"/>
  <c r="M34" i="379" s="1"/>
  <c r="N35" i="379"/>
  <c r="I35" i="379"/>
  <c r="J35" i="379"/>
  <c r="AB35" i="379"/>
  <c r="N39" i="379"/>
  <c r="I39" i="379"/>
  <c r="AB39" i="379"/>
  <c r="L39" i="379"/>
  <c r="M39" i="379" s="1"/>
  <c r="J39" i="379"/>
  <c r="J15" i="379"/>
  <c r="L15" i="379"/>
  <c r="AB15" i="379"/>
  <c r="F20" i="379"/>
  <c r="AB24" i="379"/>
  <c r="N24" i="379"/>
  <c r="I24" i="379"/>
  <c r="L24" i="379"/>
  <c r="M24" i="379" s="1"/>
  <c r="P26" i="379"/>
  <c r="F26" i="379"/>
  <c r="F27" i="379"/>
  <c r="O27" i="379" s="1"/>
  <c r="F28" i="379"/>
  <c r="J30" i="379"/>
  <c r="L30" i="379"/>
  <c r="N30" i="379"/>
  <c r="N31" i="379"/>
  <c r="I31" i="379"/>
  <c r="J31" i="379"/>
  <c r="AB31" i="379"/>
  <c r="AB34" i="379"/>
  <c r="L35" i="379"/>
  <c r="J38" i="379"/>
  <c r="N38" i="379"/>
  <c r="I38" i="379"/>
  <c r="AB38" i="379"/>
  <c r="L38" i="379"/>
  <c r="P13" i="379"/>
  <c r="C11" i="379" s="1"/>
  <c r="F13" i="379"/>
  <c r="O13" i="379" s="1"/>
  <c r="P14" i="379"/>
  <c r="F14" i="379"/>
  <c r="J26" i="379"/>
  <c r="L26" i="379"/>
  <c r="M26" i="379" s="1"/>
  <c r="N26" i="379"/>
  <c r="I27" i="379"/>
  <c r="J27" i="379"/>
  <c r="AB27" i="379"/>
  <c r="AB30" i="379"/>
  <c r="L31" i="379"/>
  <c r="M31" i="379" s="1"/>
  <c r="I33" i="379"/>
  <c r="I34" i="379"/>
  <c r="M35" i="379"/>
  <c r="AB40" i="379"/>
  <c r="L40" i="379"/>
  <c r="F40" i="379"/>
  <c r="J40" i="379"/>
  <c r="I40" i="379"/>
  <c r="F38" i="379"/>
  <c r="F39" i="379"/>
  <c r="J11" i="378"/>
  <c r="I11" i="378"/>
  <c r="L11" i="378"/>
  <c r="N11" i="378"/>
  <c r="AB11" i="378"/>
  <c r="L13" i="378"/>
  <c r="M13" i="378" s="1"/>
  <c r="AB13" i="378"/>
  <c r="J13" i="378"/>
  <c r="I13" i="378"/>
  <c r="N16" i="378"/>
  <c r="I16" i="378"/>
  <c r="AB16" i="378"/>
  <c r="L16" i="378"/>
  <c r="M16" i="378" s="1"/>
  <c r="J16" i="378"/>
  <c r="F16" i="378"/>
  <c r="F19" i="378"/>
  <c r="AB32" i="378"/>
  <c r="N32" i="378"/>
  <c r="I32" i="378"/>
  <c r="J32" i="378"/>
  <c r="F32" i="378"/>
  <c r="L32" i="378"/>
  <c r="M32" i="378" s="1"/>
  <c r="I48" i="378"/>
  <c r="I47" i="378"/>
  <c r="I49" i="378"/>
  <c r="I45" i="378"/>
  <c r="N10" i="378"/>
  <c r="AB10" i="378"/>
  <c r="L10" i="378"/>
  <c r="M10" i="378" s="1"/>
  <c r="J10" i="378"/>
  <c r="I10" i="378"/>
  <c r="J19" i="378"/>
  <c r="AB19" i="378"/>
  <c r="L19" i="378"/>
  <c r="I19" i="378"/>
  <c r="N19" i="378"/>
  <c r="J23" i="378"/>
  <c r="F23" i="378"/>
  <c r="AB23" i="378"/>
  <c r="L23" i="378"/>
  <c r="I23" i="378"/>
  <c r="N23" i="378"/>
  <c r="L29" i="378"/>
  <c r="M29" i="378" s="1"/>
  <c r="F29" i="378"/>
  <c r="AB29" i="378"/>
  <c r="N29" i="378"/>
  <c r="J29" i="378"/>
  <c r="I29" i="378"/>
  <c r="AB36" i="378"/>
  <c r="N36" i="378"/>
  <c r="I36" i="378"/>
  <c r="L36" i="378"/>
  <c r="M36" i="378" s="1"/>
  <c r="J36" i="378"/>
  <c r="F36" i="378"/>
  <c r="N12" i="378"/>
  <c r="I12" i="378"/>
  <c r="AB12" i="378"/>
  <c r="L12" i="378"/>
  <c r="M12" i="378" s="1"/>
  <c r="J12" i="378"/>
  <c r="L14" i="378"/>
  <c r="M14" i="378" s="1"/>
  <c r="AB14" i="378"/>
  <c r="J14" i="378"/>
  <c r="I14" i="378"/>
  <c r="N14" i="378"/>
  <c r="AB17" i="378"/>
  <c r="L17" i="378"/>
  <c r="M17" i="378" s="1"/>
  <c r="F17" i="378"/>
  <c r="J17" i="378"/>
  <c r="I17" i="378"/>
  <c r="N17" i="378"/>
  <c r="L18" i="378"/>
  <c r="AB18" i="378"/>
  <c r="I18" i="378"/>
  <c r="N18" i="378"/>
  <c r="M18" i="378"/>
  <c r="J18" i="378"/>
  <c r="AB21" i="378"/>
  <c r="L21" i="378"/>
  <c r="M21" i="378" s="1"/>
  <c r="J21" i="378"/>
  <c r="I21" i="378"/>
  <c r="N21" i="378"/>
  <c r="F21" i="378"/>
  <c r="O21" i="378" s="1"/>
  <c r="L22" i="378"/>
  <c r="M22" i="378" s="1"/>
  <c r="AB22" i="378"/>
  <c r="J22" i="378"/>
  <c r="I22" i="378"/>
  <c r="N22" i="378"/>
  <c r="L25" i="378"/>
  <c r="M25" i="378" s="1"/>
  <c r="F25" i="378"/>
  <c r="AB25" i="378"/>
  <c r="J25" i="378"/>
  <c r="I25" i="378"/>
  <c r="N25" i="378"/>
  <c r="L20" i="378"/>
  <c r="M20" i="378" s="1"/>
  <c r="L28" i="378"/>
  <c r="M28" i="378" s="1"/>
  <c r="A10" i="378"/>
  <c r="P19" i="378"/>
  <c r="F20" i="378"/>
  <c r="L24" i="378"/>
  <c r="M24" i="378" s="1"/>
  <c r="P13" i="378"/>
  <c r="F13" i="378"/>
  <c r="O13" i="378" s="1"/>
  <c r="P14" i="378"/>
  <c r="F14" i="378"/>
  <c r="F15" i="378"/>
  <c r="F24" i="378"/>
  <c r="I27" i="378"/>
  <c r="J27" i="378"/>
  <c r="AB27" i="378"/>
  <c r="F10" i="378"/>
  <c r="O10" i="378" s="1"/>
  <c r="P10" i="378"/>
  <c r="N20" i="378" s="1"/>
  <c r="F11" i="378"/>
  <c r="F12" i="378"/>
  <c r="P18" i="378"/>
  <c r="F18" i="378"/>
  <c r="L27" i="378"/>
  <c r="M27" i="378" s="1"/>
  <c r="P34" i="378"/>
  <c r="F34" i="378"/>
  <c r="F35" i="378"/>
  <c r="L37" i="378"/>
  <c r="F37" i="378"/>
  <c r="N37" i="378"/>
  <c r="I37" i="378"/>
  <c r="AB37" i="378"/>
  <c r="P30" i="378"/>
  <c r="F30" i="378"/>
  <c r="L33" i="378"/>
  <c r="M33" i="378" s="1"/>
  <c r="F33" i="378"/>
  <c r="AB33" i="378"/>
  <c r="N33" i="378"/>
  <c r="J34" i="378"/>
  <c r="L34" i="378"/>
  <c r="M34" i="378" s="1"/>
  <c r="N35" i="378"/>
  <c r="I35" i="378"/>
  <c r="J35" i="378"/>
  <c r="AB35" i="378"/>
  <c r="N39" i="378"/>
  <c r="I39" i="378"/>
  <c r="AB39" i="378"/>
  <c r="L39" i="378"/>
  <c r="M39" i="378" s="1"/>
  <c r="J39" i="378"/>
  <c r="P22" i="378"/>
  <c r="F22" i="378"/>
  <c r="O22" i="378" s="1"/>
  <c r="AB28" i="378"/>
  <c r="N28" i="378"/>
  <c r="I28" i="378"/>
  <c r="P26" i="378"/>
  <c r="F26" i="378"/>
  <c r="F27" i="378"/>
  <c r="F28" i="378"/>
  <c r="J30" i="378"/>
  <c r="L30" i="378"/>
  <c r="M30" i="378" s="1"/>
  <c r="N30" i="378"/>
  <c r="N31" i="378"/>
  <c r="I31" i="378"/>
  <c r="J31" i="378"/>
  <c r="AB31" i="378"/>
  <c r="AB34" i="378"/>
  <c r="L35" i="378"/>
  <c r="J38" i="378"/>
  <c r="N38" i="378"/>
  <c r="I38" i="378"/>
  <c r="AB38" i="378"/>
  <c r="L38" i="378"/>
  <c r="M38" i="378" s="1"/>
  <c r="I20" i="378"/>
  <c r="AB20" i="378"/>
  <c r="J15" i="378"/>
  <c r="L15" i="378"/>
  <c r="M15" i="378" s="1"/>
  <c r="AB15" i="378"/>
  <c r="AB24" i="378"/>
  <c r="N24" i="378"/>
  <c r="I24" i="378"/>
  <c r="J26" i="378"/>
  <c r="L26" i="378"/>
  <c r="M26" i="378" s="1"/>
  <c r="N26" i="378"/>
  <c r="AB30" i="378"/>
  <c r="L31" i="378"/>
  <c r="M31" i="378" s="1"/>
  <c r="I33" i="378"/>
  <c r="I34" i="378"/>
  <c r="AB40" i="378"/>
  <c r="L40" i="378"/>
  <c r="M40" i="378" s="1"/>
  <c r="F40" i="378"/>
  <c r="J40" i="378"/>
  <c r="I40" i="378"/>
  <c r="F38" i="378"/>
  <c r="F39" i="378"/>
  <c r="O39" i="378" s="1"/>
  <c r="B3" i="1"/>
  <c r="D10" i="20"/>
  <c r="B2" i="1"/>
  <c r="I41" i="20"/>
  <c r="J41" i="20"/>
  <c r="O20" i="378" l="1"/>
  <c r="O23" i="378"/>
  <c r="O13" i="383"/>
  <c r="O11" i="383"/>
  <c r="O30" i="384"/>
  <c r="O34" i="384"/>
  <c r="O33" i="384"/>
  <c r="O14" i="384"/>
  <c r="O28" i="386"/>
  <c r="O22" i="386"/>
  <c r="O34" i="387"/>
  <c r="O33" i="387"/>
  <c r="N40" i="388"/>
  <c r="O38" i="388"/>
  <c r="O39" i="388"/>
  <c r="O19" i="388"/>
  <c r="O23" i="388"/>
  <c r="O13" i="388"/>
  <c r="M16" i="388"/>
  <c r="O40" i="389"/>
  <c r="M16" i="389"/>
  <c r="O30" i="389"/>
  <c r="M24" i="389"/>
  <c r="M31" i="389"/>
  <c r="O18" i="389"/>
  <c r="O41" i="389" s="1"/>
  <c r="O17" i="389"/>
  <c r="O32" i="389"/>
  <c r="O16" i="389"/>
  <c r="M45" i="389"/>
  <c r="O33" i="383"/>
  <c r="O19" i="383"/>
  <c r="O18" i="388"/>
  <c r="J42" i="389"/>
  <c r="S53" i="389"/>
  <c r="O34" i="389"/>
  <c r="O36" i="389"/>
  <c r="N13" i="389"/>
  <c r="N41" i="389" s="1"/>
  <c r="I46" i="389"/>
  <c r="AG62" i="389"/>
  <c r="O37" i="388"/>
  <c r="O17" i="388"/>
  <c r="O29" i="388"/>
  <c r="N40" i="389"/>
  <c r="B10" i="389" s="1"/>
  <c r="O37" i="389"/>
  <c r="O21" i="389"/>
  <c r="M10" i="389"/>
  <c r="C11" i="389"/>
  <c r="A12" i="389"/>
  <c r="N27" i="384"/>
  <c r="O24" i="385"/>
  <c r="O40" i="387"/>
  <c r="O40" i="388"/>
  <c r="O28" i="388"/>
  <c r="O34" i="388"/>
  <c r="O33" i="388"/>
  <c r="O25" i="388"/>
  <c r="O22" i="388"/>
  <c r="O32" i="388"/>
  <c r="M23" i="389"/>
  <c r="AB41" i="389"/>
  <c r="O30" i="385"/>
  <c r="N27" i="386"/>
  <c r="O16" i="386"/>
  <c r="O38" i="387"/>
  <c r="O28" i="387"/>
  <c r="O22" i="387"/>
  <c r="O36" i="387"/>
  <c r="O10" i="387"/>
  <c r="O17" i="387"/>
  <c r="M40" i="388"/>
  <c r="O31" i="388"/>
  <c r="M33" i="388"/>
  <c r="L41" i="388"/>
  <c r="C10" i="388"/>
  <c r="M18" i="388"/>
  <c r="M23" i="388"/>
  <c r="I46" i="388"/>
  <c r="AG62" i="388"/>
  <c r="O13" i="382"/>
  <c r="O19" i="382"/>
  <c r="O12" i="382"/>
  <c r="O28" i="384"/>
  <c r="O40" i="385"/>
  <c r="M35" i="385"/>
  <c r="M15" i="385"/>
  <c r="O34" i="385"/>
  <c r="O16" i="385"/>
  <c r="O24" i="386"/>
  <c r="O34" i="386"/>
  <c r="O33" i="386"/>
  <c r="O17" i="386"/>
  <c r="O23" i="386"/>
  <c r="O31" i="387"/>
  <c r="O13" i="387"/>
  <c r="O23" i="387"/>
  <c r="O16" i="387"/>
  <c r="O21" i="387"/>
  <c r="O21" i="388"/>
  <c r="O41" i="388" s="1"/>
  <c r="M12" i="388"/>
  <c r="O36" i="388"/>
  <c r="M10" i="388"/>
  <c r="O20" i="387"/>
  <c r="O12" i="387"/>
  <c r="N20" i="388"/>
  <c r="B11" i="388" s="1"/>
  <c r="M37" i="388"/>
  <c r="C11" i="388"/>
  <c r="AB41" i="388"/>
  <c r="O39" i="379"/>
  <c r="O26" i="387"/>
  <c r="N34" i="387"/>
  <c r="N34" i="388"/>
  <c r="M45" i="388"/>
  <c r="A13" i="388"/>
  <c r="C12" i="388"/>
  <c r="O33" i="378"/>
  <c r="O30" i="381"/>
  <c r="O33" i="382"/>
  <c r="O15" i="383"/>
  <c r="M23" i="384"/>
  <c r="O14" i="385"/>
  <c r="O17" i="385"/>
  <c r="N40" i="386"/>
  <c r="O14" i="386"/>
  <c r="M40" i="387"/>
  <c r="M33" i="387"/>
  <c r="L41" i="387"/>
  <c r="C10" i="387"/>
  <c r="A13" i="387"/>
  <c r="C12" i="387"/>
  <c r="M10" i="387"/>
  <c r="M12" i="387"/>
  <c r="O11" i="384"/>
  <c r="O18" i="385"/>
  <c r="O11" i="385"/>
  <c r="O21" i="385"/>
  <c r="M16" i="385"/>
  <c r="O26" i="386"/>
  <c r="N34" i="386"/>
  <c r="O30" i="386"/>
  <c r="O19" i="386"/>
  <c r="O12" i="386"/>
  <c r="M14" i="386"/>
  <c r="O11" i="386"/>
  <c r="O36" i="386"/>
  <c r="O29" i="386"/>
  <c r="M16" i="386"/>
  <c r="O10" i="386"/>
  <c r="O25" i="387"/>
  <c r="M23" i="387"/>
  <c r="O32" i="387"/>
  <c r="AB41" i="387"/>
  <c r="O13" i="386"/>
  <c r="N20" i="387"/>
  <c r="O40" i="386"/>
  <c r="O38" i="386"/>
  <c r="N40" i="387"/>
  <c r="N27" i="387"/>
  <c r="O37" i="387"/>
  <c r="M45" i="387"/>
  <c r="N13" i="387"/>
  <c r="N41" i="387" s="1"/>
  <c r="I46" i="387"/>
  <c r="AG62" i="387"/>
  <c r="AG62" i="384"/>
  <c r="N34" i="385"/>
  <c r="M17" i="385"/>
  <c r="N20" i="386"/>
  <c r="O21" i="386"/>
  <c r="O18" i="386"/>
  <c r="M36" i="386"/>
  <c r="AB41" i="386"/>
  <c r="O35" i="379"/>
  <c r="O18" i="379"/>
  <c r="O30" i="380"/>
  <c r="O20" i="381"/>
  <c r="N40" i="384"/>
  <c r="M40" i="386"/>
  <c r="C11" i="386"/>
  <c r="O22" i="381"/>
  <c r="O24" i="381"/>
  <c r="O28" i="382"/>
  <c r="O20" i="382"/>
  <c r="O15" i="382"/>
  <c r="O34" i="382"/>
  <c r="O40" i="383"/>
  <c r="O39" i="384"/>
  <c r="O19" i="384"/>
  <c r="O36" i="384"/>
  <c r="O38" i="385"/>
  <c r="N27" i="385"/>
  <c r="O28" i="385"/>
  <c r="L41" i="385"/>
  <c r="J42" i="385" s="1"/>
  <c r="O31" i="386"/>
  <c r="O35" i="386"/>
  <c r="M33" i="386"/>
  <c r="L41" i="386"/>
  <c r="O37" i="386"/>
  <c r="M45" i="386"/>
  <c r="O25" i="386"/>
  <c r="M11" i="386"/>
  <c r="A13" i="386"/>
  <c r="C12" i="386"/>
  <c r="N13" i="386"/>
  <c r="B10" i="386" s="1"/>
  <c r="M23" i="386"/>
  <c r="I46" i="386"/>
  <c r="B13" i="386"/>
  <c r="AG62" i="386"/>
  <c r="O32" i="386"/>
  <c r="O18" i="382"/>
  <c r="O21" i="382"/>
  <c r="M16" i="384"/>
  <c r="O18" i="384"/>
  <c r="O26" i="384"/>
  <c r="O20" i="385"/>
  <c r="O36" i="385"/>
  <c r="O29" i="385"/>
  <c r="O23" i="385"/>
  <c r="O32" i="385"/>
  <c r="M10" i="386"/>
  <c r="O24" i="382"/>
  <c r="O23" i="382"/>
  <c r="M15" i="383"/>
  <c r="N13" i="383"/>
  <c r="O25" i="383"/>
  <c r="O36" i="383"/>
  <c r="O23" i="383"/>
  <c r="M30" i="384"/>
  <c r="O24" i="384"/>
  <c r="O20" i="384"/>
  <c r="N40" i="385"/>
  <c r="O26" i="385"/>
  <c r="O31" i="385"/>
  <c r="O39" i="385"/>
  <c r="N13" i="385"/>
  <c r="M36" i="385"/>
  <c r="O19" i="385"/>
  <c r="AB41" i="385"/>
  <c r="N20" i="385"/>
  <c r="O37" i="385"/>
  <c r="M45" i="385"/>
  <c r="O25" i="385"/>
  <c r="C11" i="385"/>
  <c r="O10" i="379"/>
  <c r="O35" i="380"/>
  <c r="O15" i="380"/>
  <c r="O25" i="380"/>
  <c r="M10" i="380"/>
  <c r="O13" i="381"/>
  <c r="O35" i="381"/>
  <c r="O38" i="382"/>
  <c r="O35" i="383"/>
  <c r="O16" i="383"/>
  <c r="O40" i="384"/>
  <c r="M11" i="384"/>
  <c r="O15" i="384"/>
  <c r="O29" i="384"/>
  <c r="I46" i="385"/>
  <c r="N41" i="385"/>
  <c r="AG62" i="385"/>
  <c r="A13" i="385"/>
  <c r="C12" i="385"/>
  <c r="O18" i="380"/>
  <c r="O33" i="381"/>
  <c r="O28" i="381"/>
  <c r="M20" i="381"/>
  <c r="O18" i="381"/>
  <c r="N40" i="383"/>
  <c r="O28" i="383"/>
  <c r="O24" i="383"/>
  <c r="O20" i="383"/>
  <c r="N34" i="383"/>
  <c r="O18" i="383"/>
  <c r="O21" i="383"/>
  <c r="M35" i="384"/>
  <c r="AB41" i="384"/>
  <c r="O31" i="384"/>
  <c r="I46" i="384"/>
  <c r="N34" i="384"/>
  <c r="O37" i="384"/>
  <c r="O27" i="384"/>
  <c r="N20" i="384"/>
  <c r="M15" i="384"/>
  <c r="O32" i="384"/>
  <c r="A13" i="384"/>
  <c r="C12" i="384"/>
  <c r="O33" i="380"/>
  <c r="O17" i="382"/>
  <c r="O29" i="382"/>
  <c r="N27" i="383"/>
  <c r="O26" i="383"/>
  <c r="O34" i="383"/>
  <c r="O14" i="383"/>
  <c r="O12" i="383"/>
  <c r="M45" i="384"/>
  <c r="M34" i="384"/>
  <c r="N13" i="384"/>
  <c r="C11" i="384"/>
  <c r="O30" i="382"/>
  <c r="O17" i="383"/>
  <c r="M14" i="383"/>
  <c r="O10" i="383"/>
  <c r="O29" i="383"/>
  <c r="M40" i="384"/>
  <c r="L41" i="384"/>
  <c r="C10" i="384"/>
  <c r="O12" i="384"/>
  <c r="O10" i="384"/>
  <c r="M20" i="384"/>
  <c r="O21" i="384"/>
  <c r="O17" i="384"/>
  <c r="N40" i="382"/>
  <c r="O32" i="383"/>
  <c r="O10" i="380"/>
  <c r="O29" i="381"/>
  <c r="O26" i="382"/>
  <c r="N13" i="382"/>
  <c r="O22" i="382"/>
  <c r="O11" i="382"/>
  <c r="O36" i="382"/>
  <c r="O16" i="382"/>
  <c r="M35" i="383"/>
  <c r="O38" i="383"/>
  <c r="O30" i="383"/>
  <c r="O39" i="383"/>
  <c r="L41" i="383"/>
  <c r="M45" i="383"/>
  <c r="AB41" i="383"/>
  <c r="M24" i="383"/>
  <c r="A12" i="383"/>
  <c r="C11" i="383"/>
  <c r="O28" i="378"/>
  <c r="O24" i="380"/>
  <c r="O40" i="381"/>
  <c r="M35" i="381"/>
  <c r="M40" i="383"/>
  <c r="O31" i="383"/>
  <c r="M25" i="383"/>
  <c r="N20" i="383"/>
  <c r="O37" i="383"/>
  <c r="I46" i="383"/>
  <c r="AG62" i="383"/>
  <c r="M16" i="383"/>
  <c r="M23" i="383"/>
  <c r="O16" i="380"/>
  <c r="O40" i="382"/>
  <c r="O37" i="382"/>
  <c r="M10" i="383"/>
  <c r="M12" i="383"/>
  <c r="O19" i="378"/>
  <c r="O40" i="379"/>
  <c r="O37" i="379"/>
  <c r="M24" i="380"/>
  <c r="O22" i="380"/>
  <c r="O29" i="380"/>
  <c r="O34" i="381"/>
  <c r="N34" i="381"/>
  <c r="O23" i="381"/>
  <c r="O16" i="381"/>
  <c r="O31" i="382"/>
  <c r="O39" i="382"/>
  <c r="O35" i="382"/>
  <c r="L41" i="382"/>
  <c r="C10" i="382"/>
  <c r="M23" i="382"/>
  <c r="I46" i="382"/>
  <c r="AG62" i="382"/>
  <c r="O24" i="378"/>
  <c r="O30" i="379"/>
  <c r="O33" i="379"/>
  <c r="O28" i="380"/>
  <c r="O21" i="380"/>
  <c r="O23" i="380"/>
  <c r="O19" i="380"/>
  <c r="O36" i="381"/>
  <c r="O19" i="381"/>
  <c r="M26" i="382"/>
  <c r="O29" i="378"/>
  <c r="O13" i="380"/>
  <c r="N27" i="381"/>
  <c r="O38" i="381"/>
  <c r="O21" i="381"/>
  <c r="M19" i="381"/>
  <c r="N20" i="382"/>
  <c r="M37" i="382"/>
  <c r="M11" i="382"/>
  <c r="C11" i="382"/>
  <c r="O32" i="382"/>
  <c r="AB41" i="382"/>
  <c r="O10" i="382"/>
  <c r="O25" i="382"/>
  <c r="O10" i="381"/>
  <c r="O14" i="381"/>
  <c r="N27" i="382"/>
  <c r="N34" i="382"/>
  <c r="M45" i="382"/>
  <c r="A13" i="382"/>
  <c r="C12" i="382"/>
  <c r="O39" i="380"/>
  <c r="N27" i="380"/>
  <c r="O26" i="380"/>
  <c r="O38" i="380"/>
  <c r="N34" i="380"/>
  <c r="O32" i="380"/>
  <c r="O12" i="380"/>
  <c r="N40" i="381"/>
  <c r="O26" i="381"/>
  <c r="C10" i="381"/>
  <c r="O11" i="381"/>
  <c r="N13" i="381"/>
  <c r="M31" i="381"/>
  <c r="M23" i="381"/>
  <c r="O32" i="381"/>
  <c r="AB41" i="381"/>
  <c r="O17" i="381"/>
  <c r="A13" i="381"/>
  <c r="C12" i="381"/>
  <c r="M30" i="380"/>
  <c r="O39" i="381"/>
  <c r="M30" i="381"/>
  <c r="L41" i="381"/>
  <c r="M34" i="381"/>
  <c r="O40" i="380"/>
  <c r="O37" i="380"/>
  <c r="M38" i="381"/>
  <c r="I46" i="381"/>
  <c r="AG62" i="381"/>
  <c r="O17" i="379"/>
  <c r="O29" i="379"/>
  <c r="N40" i="380"/>
  <c r="N13" i="380"/>
  <c r="L41" i="380"/>
  <c r="S53" i="380" s="1"/>
  <c r="O11" i="380"/>
  <c r="M15" i="381"/>
  <c r="N20" i="381"/>
  <c r="O37" i="381"/>
  <c r="M45" i="381"/>
  <c r="M10" i="381"/>
  <c r="O25" i="381"/>
  <c r="J42" i="380"/>
  <c r="O15" i="378"/>
  <c r="O35" i="378"/>
  <c r="O25" i="378"/>
  <c r="N27" i="379"/>
  <c r="O26" i="379"/>
  <c r="O31" i="379"/>
  <c r="O23" i="379"/>
  <c r="O16" i="379"/>
  <c r="O14" i="379"/>
  <c r="M35" i="380"/>
  <c r="N20" i="380"/>
  <c r="O34" i="380"/>
  <c r="M21" i="380"/>
  <c r="O20" i="380"/>
  <c r="O36" i="380"/>
  <c r="M22" i="380"/>
  <c r="I46" i="380"/>
  <c r="O17" i="380"/>
  <c r="O14" i="380"/>
  <c r="O18" i="378"/>
  <c r="O14" i="378"/>
  <c r="O24" i="379"/>
  <c r="L41" i="379"/>
  <c r="S53" i="379" s="1"/>
  <c r="M17" i="379"/>
  <c r="M37" i="380"/>
  <c r="N34" i="378"/>
  <c r="O38" i="379"/>
  <c r="M40" i="380"/>
  <c r="C10" i="380"/>
  <c r="AB41" i="380"/>
  <c r="N13" i="378"/>
  <c r="O16" i="378"/>
  <c r="N40" i="379"/>
  <c r="N34" i="379"/>
  <c r="O31" i="380"/>
  <c r="M45" i="380"/>
  <c r="A13" i="380"/>
  <c r="C12" i="380"/>
  <c r="J42" i="379"/>
  <c r="M35" i="378"/>
  <c r="O26" i="378"/>
  <c r="N27" i="378"/>
  <c r="M15" i="379"/>
  <c r="O28" i="379"/>
  <c r="O15" i="379"/>
  <c r="O34" i="379"/>
  <c r="N20" i="379"/>
  <c r="C10" i="379"/>
  <c r="O11" i="379"/>
  <c r="O12" i="379"/>
  <c r="O36" i="379"/>
  <c r="M16" i="379"/>
  <c r="AB41" i="379"/>
  <c r="O21" i="379"/>
  <c r="N13" i="379"/>
  <c r="M40" i="379"/>
  <c r="M38" i="379"/>
  <c r="M30" i="379"/>
  <c r="I46" i="379"/>
  <c r="O25" i="379"/>
  <c r="N40" i="378"/>
  <c r="O31" i="378"/>
  <c r="O37" i="378"/>
  <c r="O11" i="378"/>
  <c r="O20" i="379"/>
  <c r="M37" i="379"/>
  <c r="M45" i="379"/>
  <c r="A13" i="379"/>
  <c r="C12" i="379"/>
  <c r="M23" i="379"/>
  <c r="O32" i="379"/>
  <c r="M10" i="379"/>
  <c r="O40" i="378"/>
  <c r="O38" i="378"/>
  <c r="O30" i="378"/>
  <c r="O34" i="378"/>
  <c r="M45" i="378"/>
  <c r="O36" i="378"/>
  <c r="M19" i="378"/>
  <c r="AB41" i="378"/>
  <c r="M11" i="378"/>
  <c r="M37" i="378"/>
  <c r="A11" i="378"/>
  <c r="C10" i="378"/>
  <c r="L41" i="378"/>
  <c r="O12" i="378"/>
  <c r="M23" i="378"/>
  <c r="O27" i="378"/>
  <c r="O17" i="378"/>
  <c r="I46" i="378"/>
  <c r="AG62" i="378"/>
  <c r="O32" i="378"/>
  <c r="B1" i="14"/>
  <c r="B4" i="14" s="1"/>
  <c r="C33" i="1"/>
  <c r="E33" i="1" s="1"/>
  <c r="E45" i="1" s="1"/>
  <c r="R53" i="20"/>
  <c r="S2" i="20"/>
  <c r="E14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T38" i="1"/>
  <c r="Q10" i="1"/>
  <c r="P10" i="1" s="1"/>
  <c r="P9" i="1"/>
  <c r="P7" i="1"/>
  <c r="E26" i="1"/>
  <c r="H27" i="1"/>
  <c r="D25" i="1"/>
  <c r="E27" i="1"/>
  <c r="H28" i="1"/>
  <c r="D26" i="1"/>
  <c r="J24" i="1"/>
  <c r="F27" i="1"/>
  <c r="I26" i="1"/>
  <c r="H26" i="1"/>
  <c r="H25" i="1"/>
  <c r="J29" i="1"/>
  <c r="G27" i="1"/>
  <c r="E29" i="1"/>
  <c r="F29" i="1"/>
  <c r="F24" i="1"/>
  <c r="I27" i="1"/>
  <c r="D27" i="1"/>
  <c r="D29" i="1"/>
  <c r="F28" i="1"/>
  <c r="J28" i="1"/>
  <c r="H24" i="1"/>
  <c r="G26" i="1"/>
  <c r="I25" i="1"/>
  <c r="G28" i="1"/>
  <c r="E25" i="1"/>
  <c r="J26" i="1"/>
  <c r="F26" i="1"/>
  <c r="I28" i="1"/>
  <c r="I29" i="1"/>
  <c r="I24" i="1"/>
  <c r="G29" i="1"/>
  <c r="D24" i="1"/>
  <c r="D28" i="1"/>
  <c r="J27" i="1"/>
  <c r="J25" i="1"/>
  <c r="G25" i="1"/>
  <c r="E28" i="1"/>
  <c r="F25" i="1"/>
  <c r="E24" i="1"/>
  <c r="G24" i="1"/>
  <c r="H29" i="1"/>
  <c r="B12" i="386" l="1"/>
  <c r="M46" i="389"/>
  <c r="M41" i="389"/>
  <c r="M47" i="389"/>
  <c r="B11" i="389"/>
  <c r="O41" i="387"/>
  <c r="B13" i="389"/>
  <c r="B12" i="389"/>
  <c r="A13" i="389"/>
  <c r="C12" i="389"/>
  <c r="B14" i="389"/>
  <c r="N46" i="389"/>
  <c r="C13" i="388"/>
  <c r="A14" i="388"/>
  <c r="C14" i="388" s="1"/>
  <c r="M46" i="388"/>
  <c r="M41" i="388"/>
  <c r="M47" i="388"/>
  <c r="B13" i="388"/>
  <c r="B12" i="388"/>
  <c r="N46" i="388"/>
  <c r="B14" i="388"/>
  <c r="N41" i="388"/>
  <c r="B14" i="385"/>
  <c r="B10" i="388"/>
  <c r="J42" i="388"/>
  <c r="S53" i="388"/>
  <c r="B11" i="387"/>
  <c r="B12" i="385"/>
  <c r="B11" i="386"/>
  <c r="B10" i="387"/>
  <c r="C13" i="387"/>
  <c r="A14" i="387"/>
  <c r="C14" i="387" s="1"/>
  <c r="B13" i="385"/>
  <c r="B14" i="386"/>
  <c r="N41" i="386"/>
  <c r="B13" i="387"/>
  <c r="B12" i="387"/>
  <c r="O41" i="380"/>
  <c r="B10" i="384"/>
  <c r="O41" i="386"/>
  <c r="B14" i="387"/>
  <c r="M46" i="387"/>
  <c r="M41" i="387"/>
  <c r="N46" i="387" s="1"/>
  <c r="M47" i="387"/>
  <c r="J42" i="387"/>
  <c r="S53" i="387"/>
  <c r="M41" i="385"/>
  <c r="N46" i="385" s="1"/>
  <c r="B10" i="383"/>
  <c r="B13" i="383"/>
  <c r="S53" i="385"/>
  <c r="B10" i="385"/>
  <c r="C13" i="386"/>
  <c r="A14" i="386"/>
  <c r="C14" i="386" s="1"/>
  <c r="M46" i="386"/>
  <c r="M41" i="386"/>
  <c r="N46" i="386" s="1"/>
  <c r="M47" i="386"/>
  <c r="J42" i="386"/>
  <c r="S53" i="386"/>
  <c r="N41" i="384"/>
  <c r="B11" i="385"/>
  <c r="O41" i="385"/>
  <c r="B14" i="384"/>
  <c r="C13" i="385"/>
  <c r="A14" i="385"/>
  <c r="C14" i="385" s="1"/>
  <c r="M46" i="385"/>
  <c r="M47" i="385"/>
  <c r="B13" i="384"/>
  <c r="M46" i="384"/>
  <c r="M47" i="384"/>
  <c r="O41" i="383"/>
  <c r="J42" i="384"/>
  <c r="S53" i="384"/>
  <c r="C13" i="384"/>
  <c r="A14" i="384"/>
  <c r="C14" i="384" s="1"/>
  <c r="B12" i="384"/>
  <c r="O41" i="384"/>
  <c r="M41" i="384"/>
  <c r="N46" i="384" s="1"/>
  <c r="B11" i="384"/>
  <c r="B12" i="380"/>
  <c r="B10" i="382"/>
  <c r="B12" i="383"/>
  <c r="B12" i="382"/>
  <c r="M46" i="382"/>
  <c r="B11" i="383"/>
  <c r="M46" i="383"/>
  <c r="M41" i="383"/>
  <c r="N46" i="383" s="1"/>
  <c r="M47" i="383"/>
  <c r="B14" i="383"/>
  <c r="N41" i="383"/>
  <c r="A13" i="383"/>
  <c r="C12" i="383"/>
  <c r="J42" i="383"/>
  <c r="S53" i="383"/>
  <c r="B14" i="381"/>
  <c r="B10" i="380"/>
  <c r="M41" i="382"/>
  <c r="N46" i="382" s="1"/>
  <c r="B12" i="381"/>
  <c r="M47" i="382"/>
  <c r="B11" i="382"/>
  <c r="B13" i="380"/>
  <c r="B13" i="381"/>
  <c r="N41" i="381"/>
  <c r="O41" i="381"/>
  <c r="B13" i="382"/>
  <c r="B11" i="381"/>
  <c r="O41" i="382"/>
  <c r="B14" i="382"/>
  <c r="N41" i="382"/>
  <c r="J42" i="382"/>
  <c r="S53" i="382"/>
  <c r="O41" i="379"/>
  <c r="B12" i="378"/>
  <c r="B14" i="380"/>
  <c r="B10" i="381"/>
  <c r="C13" i="382"/>
  <c r="A14" i="382"/>
  <c r="C14" i="382" s="1"/>
  <c r="B13" i="379"/>
  <c r="J42" i="381"/>
  <c r="S53" i="381"/>
  <c r="M46" i="380"/>
  <c r="M46" i="381"/>
  <c r="M41" i="381"/>
  <c r="N46" i="381" s="1"/>
  <c r="M47" i="381"/>
  <c r="C13" i="381"/>
  <c r="A14" i="381"/>
  <c r="C14" i="381" s="1"/>
  <c r="B13" i="378"/>
  <c r="N41" i="380"/>
  <c r="M47" i="380"/>
  <c r="M41" i="380"/>
  <c r="C13" i="380"/>
  <c r="A14" i="380"/>
  <c r="C14" i="380" s="1"/>
  <c r="B14" i="379"/>
  <c r="N46" i="380"/>
  <c r="B11" i="380"/>
  <c r="B10" i="378"/>
  <c r="B11" i="378"/>
  <c r="B10" i="379"/>
  <c r="B11" i="379"/>
  <c r="O41" i="378"/>
  <c r="B12" i="379"/>
  <c r="N41" i="379"/>
  <c r="B14" i="378"/>
  <c r="N41" i="378"/>
  <c r="M46" i="379"/>
  <c r="M41" i="379"/>
  <c r="N46" i="379" s="1"/>
  <c r="M47" i="379"/>
  <c r="C13" i="379"/>
  <c r="A14" i="379"/>
  <c r="C14" i="379" s="1"/>
  <c r="M47" i="378"/>
  <c r="M46" i="378"/>
  <c r="M41" i="378"/>
  <c r="N46" i="378" s="1"/>
  <c r="A12" i="378"/>
  <c r="C11" i="378"/>
  <c r="J42" i="378"/>
  <c r="S53" i="378"/>
  <c r="E35" i="1"/>
  <c r="E44" i="1"/>
  <c r="E34" i="1"/>
  <c r="F33" i="1"/>
  <c r="F45" i="1" s="1"/>
  <c r="E42" i="1"/>
  <c r="E41" i="1"/>
  <c r="E37" i="1"/>
  <c r="E43" i="1"/>
  <c r="E40" i="1"/>
  <c r="E36" i="1"/>
  <c r="C13" i="389" l="1"/>
  <c r="A14" i="389"/>
  <c r="C14" i="389" s="1"/>
  <c r="C13" i="383"/>
  <c r="A14" i="383"/>
  <c r="C14" i="383" s="1"/>
  <c r="C12" i="378"/>
  <c r="A13" i="378"/>
  <c r="E39" i="1"/>
  <c r="E38" i="1"/>
  <c r="K35" i="1" s="1"/>
  <c r="F43" i="1"/>
  <c r="F36" i="1"/>
  <c r="F34" i="1"/>
  <c r="F44" i="1"/>
  <c r="G33" i="1"/>
  <c r="G45" i="1" s="1"/>
  <c r="F42" i="1"/>
  <c r="F40" i="1"/>
  <c r="F41" i="1"/>
  <c r="F37" i="1"/>
  <c r="C13" i="378" l="1"/>
  <c r="A14" i="378"/>
  <c r="C14" i="378" s="1"/>
  <c r="G37" i="1"/>
  <c r="G41" i="1"/>
  <c r="G34" i="1"/>
  <c r="G36" i="1"/>
  <c r="G43" i="1"/>
  <c r="G42" i="1"/>
  <c r="G40" i="1"/>
  <c r="H33" i="1"/>
  <c r="H45" i="1" s="1"/>
  <c r="G44" i="1"/>
  <c r="F39" i="1"/>
  <c r="F38" i="1"/>
  <c r="F35" i="1"/>
  <c r="H42" i="1" l="1"/>
  <c r="H44" i="1"/>
  <c r="H36" i="1"/>
  <c r="H34" i="1"/>
  <c r="H40" i="1"/>
  <c r="H43" i="1"/>
  <c r="H37" i="1"/>
  <c r="H41" i="1"/>
  <c r="G38" i="1"/>
  <c r="G39" i="1"/>
  <c r="G35" i="1"/>
  <c r="H38" i="1" l="1"/>
  <c r="H35" i="1"/>
  <c r="H39" i="1"/>
  <c r="P10" i="20" l="1"/>
  <c r="J69" i="1" l="1"/>
  <c r="J64" i="1"/>
  <c r="J68" i="1"/>
  <c r="J65" i="1"/>
  <c r="C53" i="1" s="1"/>
  <c r="B5" i="14"/>
  <c r="A4" i="14"/>
  <c r="A1" i="14" s="1"/>
  <c r="C4" i="14"/>
  <c r="B6" i="14" l="1"/>
  <c r="B7" i="14" s="1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C5" i="14"/>
  <c r="D4" i="14"/>
  <c r="E4" i="14" l="1"/>
  <c r="D5" i="14"/>
  <c r="C6" i="14"/>
  <c r="B8" i="14"/>
  <c r="D6" i="14" l="1"/>
  <c r="B9" i="14"/>
  <c r="E5" i="14"/>
  <c r="F4" i="14"/>
  <c r="C7" i="14"/>
  <c r="C8" i="14" l="1"/>
  <c r="D7" i="14"/>
  <c r="F5" i="14"/>
  <c r="G4" i="14"/>
  <c r="B10" i="14"/>
  <c r="E6" i="14"/>
  <c r="D8" i="14" l="1"/>
  <c r="H4" i="14"/>
  <c r="G5" i="14"/>
  <c r="E7" i="14"/>
  <c r="B11" i="14"/>
  <c r="F6" i="14"/>
  <c r="C9" i="14"/>
  <c r="F7" i="14" l="1"/>
  <c r="D9" i="14"/>
  <c r="B12" i="14"/>
  <c r="E8" i="14"/>
  <c r="G6" i="14"/>
  <c r="H5" i="14"/>
  <c r="I4" i="14"/>
  <c r="C10" i="14"/>
  <c r="G10" i="20" l="1"/>
  <c r="E10" i="20" s="1" a="1"/>
  <c r="E10" i="20" s="1"/>
  <c r="I5" i="14"/>
  <c r="J4" i="14"/>
  <c r="H6" i="14"/>
  <c r="G7" i="14"/>
  <c r="B13" i="14"/>
  <c r="D10" i="14"/>
  <c r="E9" i="14"/>
  <c r="C11" i="14"/>
  <c r="F8" i="14"/>
  <c r="J5" i="14" l="1"/>
  <c r="K4" i="14"/>
  <c r="C12" i="14"/>
  <c r="B14" i="14"/>
  <c r="I6" i="14"/>
  <c r="D11" i="20"/>
  <c r="F10" i="20" s="1"/>
  <c r="G11" i="20"/>
  <c r="E11" i="20" s="1" a="1"/>
  <c r="E11" i="20" s="1"/>
  <c r="F9" i="14"/>
  <c r="H7" i="14"/>
  <c r="AB10" i="20"/>
  <c r="L10" i="20"/>
  <c r="AG62" i="20" s="1"/>
  <c r="J10" i="20"/>
  <c r="I10" i="20"/>
  <c r="E10" i="14"/>
  <c r="D11" i="14"/>
  <c r="G8" i="14"/>
  <c r="N10" i="20" l="1"/>
  <c r="E11" i="14"/>
  <c r="I11" i="20"/>
  <c r="J11" i="20"/>
  <c r="AB11" i="20"/>
  <c r="L11" i="20"/>
  <c r="J6" i="14"/>
  <c r="K5" i="14"/>
  <c r="L4" i="14"/>
  <c r="D12" i="14"/>
  <c r="O10" i="20"/>
  <c r="F10" i="14"/>
  <c r="A10" i="20"/>
  <c r="F11" i="20"/>
  <c r="P11" i="20"/>
  <c r="B15" i="14"/>
  <c r="G9" i="14"/>
  <c r="M10" i="20"/>
  <c r="H8" i="14"/>
  <c r="G12" i="20"/>
  <c r="E12" i="20" s="1" a="1"/>
  <c r="E12" i="20" s="1"/>
  <c r="D12" i="20"/>
  <c r="I7" i="14"/>
  <c r="C13" i="14"/>
  <c r="C14" i="14" l="1"/>
  <c r="F12" i="20"/>
  <c r="P12" i="20"/>
  <c r="O11" i="20"/>
  <c r="D13" i="20"/>
  <c r="G13" i="20"/>
  <c r="E13" i="20" s="1" a="1"/>
  <c r="E13" i="20" s="1"/>
  <c r="I8" i="14"/>
  <c r="K6" i="14"/>
  <c r="F11" i="14"/>
  <c r="M4" i="14"/>
  <c r="L5" i="14"/>
  <c r="J7" i="14"/>
  <c r="J12" i="20"/>
  <c r="L12" i="20"/>
  <c r="AB12" i="20"/>
  <c r="I12" i="20"/>
  <c r="H9" i="14"/>
  <c r="G10" i="14"/>
  <c r="B16" i="14"/>
  <c r="A11" i="20"/>
  <c r="D13" i="14"/>
  <c r="M11" i="20"/>
  <c r="E12" i="14"/>
  <c r="O12" i="20" l="1"/>
  <c r="M12" i="20"/>
  <c r="A12" i="20"/>
  <c r="B17" i="14"/>
  <c r="E13" i="14"/>
  <c r="G11" i="14"/>
  <c r="D14" i="20"/>
  <c r="G14" i="20"/>
  <c r="E14" i="20" s="1" a="1"/>
  <c r="E14" i="20" s="1"/>
  <c r="I9" i="14"/>
  <c r="M5" i="14"/>
  <c r="N4" i="14"/>
  <c r="D14" i="14"/>
  <c r="L6" i="14"/>
  <c r="F12" i="14"/>
  <c r="AB13" i="20"/>
  <c r="I13" i="20"/>
  <c r="L13" i="20"/>
  <c r="M13" i="20" s="1"/>
  <c r="J13" i="20"/>
  <c r="C15" i="14"/>
  <c r="K7" i="14"/>
  <c r="H10" i="14"/>
  <c r="J8" i="14"/>
  <c r="F13" i="20"/>
  <c r="P13" i="20"/>
  <c r="O13" i="20" l="1"/>
  <c r="C16" i="14"/>
  <c r="B18" i="14"/>
  <c r="K8" i="14"/>
  <c r="N5" i="14"/>
  <c r="O4" i="14"/>
  <c r="O5" i="14" s="1"/>
  <c r="O6" i="14" s="1"/>
  <c r="O7" i="14" s="1"/>
  <c r="O8" i="14" s="1"/>
  <c r="O9" i="14" s="1"/>
  <c r="O10" i="14" s="1"/>
  <c r="O11" i="14" s="1"/>
  <c r="O12" i="14" s="1"/>
  <c r="O13" i="14" s="1"/>
  <c r="O14" i="14" s="1"/>
  <c r="O15" i="14" s="1"/>
  <c r="O16" i="14" s="1"/>
  <c r="O17" i="14" s="1"/>
  <c r="O18" i="14" s="1"/>
  <c r="O19" i="14" s="1"/>
  <c r="O20" i="14" s="1"/>
  <c r="O21" i="14" s="1"/>
  <c r="O22" i="14" s="1"/>
  <c r="O23" i="14" s="1"/>
  <c r="O24" i="14" s="1"/>
  <c r="O25" i="14" s="1"/>
  <c r="O26" i="14" s="1"/>
  <c r="O27" i="14" s="1"/>
  <c r="O28" i="14" s="1"/>
  <c r="O29" i="14" s="1"/>
  <c r="O30" i="14" s="1"/>
  <c r="O31" i="14" s="1"/>
  <c r="O32" i="14" s="1"/>
  <c r="F13" i="14"/>
  <c r="M6" i="14"/>
  <c r="D15" i="20"/>
  <c r="G15" i="20"/>
  <c r="E15" i="20" s="1" a="1"/>
  <c r="E15" i="20" s="1"/>
  <c r="I10" i="14"/>
  <c r="H11" i="14"/>
  <c r="P14" i="20"/>
  <c r="F14" i="20"/>
  <c r="J9" i="14"/>
  <c r="L7" i="14"/>
  <c r="D15" i="14"/>
  <c r="L14" i="20"/>
  <c r="M14" i="20" s="1"/>
  <c r="J14" i="20"/>
  <c r="AB14" i="20"/>
  <c r="I14" i="20"/>
  <c r="G12" i="14"/>
  <c r="E14" i="14"/>
  <c r="A13" i="20"/>
  <c r="O14" i="20" l="1"/>
  <c r="N14" i="20"/>
  <c r="E15" i="14"/>
  <c r="L8" i="14"/>
  <c r="L15" i="20"/>
  <c r="M15" i="20" s="1"/>
  <c r="J15" i="20"/>
  <c r="I15" i="20"/>
  <c r="AB15" i="20"/>
  <c r="F14" i="14"/>
  <c r="K9" i="14"/>
  <c r="B19" i="14"/>
  <c r="G13" i="14"/>
  <c r="D16" i="14"/>
  <c r="D16" i="20"/>
  <c r="I11" i="14"/>
  <c r="G16" i="20"/>
  <c r="E16" i="20" s="1" a="1"/>
  <c r="E16" i="20" s="1"/>
  <c r="N1" i="14"/>
  <c r="N6" i="14"/>
  <c r="N7" i="14" s="1"/>
  <c r="N8" i="14" s="1"/>
  <c r="N9" i="14" s="1"/>
  <c r="N10" i="14" s="1"/>
  <c r="N11" i="14" s="1"/>
  <c r="N12" i="14" s="1"/>
  <c r="N13" i="14" s="1"/>
  <c r="N14" i="14" s="1"/>
  <c r="N15" i="14" s="1"/>
  <c r="N16" i="14" s="1"/>
  <c r="N17" i="14" s="1"/>
  <c r="N18" i="14" s="1"/>
  <c r="N19" i="14" s="1"/>
  <c r="N20" i="14" s="1"/>
  <c r="N21" i="14" s="1"/>
  <c r="N22" i="14" s="1"/>
  <c r="N23" i="14" s="1"/>
  <c r="N24" i="14" s="1"/>
  <c r="N25" i="14" s="1"/>
  <c r="N26" i="14" s="1"/>
  <c r="N27" i="14" s="1"/>
  <c r="N28" i="14" s="1"/>
  <c r="N29" i="14" s="1"/>
  <c r="N30" i="14" s="1"/>
  <c r="N31" i="14" s="1"/>
  <c r="N32" i="14" s="1"/>
  <c r="N33" i="14" s="1"/>
  <c r="N34" i="14" s="1"/>
  <c r="A14" i="20"/>
  <c r="J10" i="14"/>
  <c r="H12" i="14"/>
  <c r="F15" i="20"/>
  <c r="P15" i="20"/>
  <c r="M7" i="14"/>
  <c r="C17" i="14"/>
  <c r="M8" i="14" l="1"/>
  <c r="G17" i="20"/>
  <c r="E17" i="20" s="1" a="1"/>
  <c r="E17" i="20" s="1"/>
  <c r="D17" i="20"/>
  <c r="I12" i="14"/>
  <c r="F16" i="20"/>
  <c r="P16" i="20"/>
  <c r="E16" i="14"/>
  <c r="O15" i="20"/>
  <c r="J11" i="14"/>
  <c r="L16" i="20"/>
  <c r="J16" i="20"/>
  <c r="I16" i="20"/>
  <c r="AB16" i="20"/>
  <c r="B20" i="14"/>
  <c r="F15" i="14"/>
  <c r="L9" i="14"/>
  <c r="K10" i="14"/>
  <c r="H13" i="14"/>
  <c r="C18" i="14"/>
  <c r="D17" i="14"/>
  <c r="G14" i="14"/>
  <c r="O16" i="20" l="1"/>
  <c r="M16" i="20"/>
  <c r="F16" i="14"/>
  <c r="E17" i="14"/>
  <c r="D18" i="20"/>
  <c r="G18" i="20"/>
  <c r="E18" i="20" s="1" a="1"/>
  <c r="E18" i="20" s="1"/>
  <c r="I13" i="14"/>
  <c r="L17" i="20"/>
  <c r="M17" i="20" s="1"/>
  <c r="I17" i="20"/>
  <c r="J17" i="20"/>
  <c r="AB17" i="20"/>
  <c r="H14" i="14"/>
  <c r="B21" i="14"/>
  <c r="L10" i="14"/>
  <c r="J12" i="14"/>
  <c r="P17" i="20"/>
  <c r="F17" i="20"/>
  <c r="M9" i="14"/>
  <c r="G15" i="14"/>
  <c r="D18" i="14"/>
  <c r="C19" i="14"/>
  <c r="K11" i="14"/>
  <c r="O17" i="20" l="1"/>
  <c r="N17" i="20"/>
  <c r="L11" i="14"/>
  <c r="I14" i="14"/>
  <c r="G19" i="20"/>
  <c r="E19" i="20" s="1" a="1"/>
  <c r="E19" i="20" s="1"/>
  <c r="D19" i="20"/>
  <c r="C20" i="14"/>
  <c r="B22" i="14"/>
  <c r="AB18" i="20"/>
  <c r="J18" i="20"/>
  <c r="I18" i="20"/>
  <c r="L18" i="20"/>
  <c r="K12" i="14"/>
  <c r="G16" i="14"/>
  <c r="J13" i="14"/>
  <c r="D19" i="14"/>
  <c r="M10" i="14"/>
  <c r="H15" i="14"/>
  <c r="P18" i="20"/>
  <c r="F18" i="20"/>
  <c r="E18" i="14"/>
  <c r="F17" i="14"/>
  <c r="O18" i="20" l="1"/>
  <c r="C21" i="14"/>
  <c r="H16" i="14"/>
  <c r="J14" i="14"/>
  <c r="M18" i="20"/>
  <c r="K13" i="14"/>
  <c r="B23" i="14"/>
  <c r="I19" i="20"/>
  <c r="L19" i="20"/>
  <c r="J19" i="20"/>
  <c r="AB19" i="20"/>
  <c r="L12" i="14"/>
  <c r="F18" i="14"/>
  <c r="M11" i="14"/>
  <c r="D20" i="14"/>
  <c r="F19" i="20"/>
  <c r="P19" i="20"/>
  <c r="E19" i="14"/>
  <c r="G17" i="14"/>
  <c r="D20" i="20"/>
  <c r="I15" i="14"/>
  <c r="G20" i="20"/>
  <c r="E20" i="20" s="1" a="1"/>
  <c r="E20" i="20" s="1"/>
  <c r="O19" i="20" l="1"/>
  <c r="M19" i="20"/>
  <c r="D21" i="14"/>
  <c r="F19" i="14"/>
  <c r="I20" i="20"/>
  <c r="J20" i="20"/>
  <c r="L20" i="20"/>
  <c r="M20" i="20" s="1"/>
  <c r="AB20" i="20"/>
  <c r="H17" i="14"/>
  <c r="C22" i="14"/>
  <c r="B24" i="14"/>
  <c r="I16" i="14"/>
  <c r="G21" i="20"/>
  <c r="E21" i="20" s="1" a="1"/>
  <c r="E21" i="20" s="1"/>
  <c r="D21" i="20"/>
  <c r="E20" i="14"/>
  <c r="M12" i="14"/>
  <c r="J15" i="14"/>
  <c r="P20" i="20"/>
  <c r="F20" i="20"/>
  <c r="G18" i="14"/>
  <c r="L13" i="14"/>
  <c r="K14" i="14"/>
  <c r="O20" i="20" l="1"/>
  <c r="M13" i="14"/>
  <c r="F20" i="14"/>
  <c r="D22" i="14"/>
  <c r="J16" i="14"/>
  <c r="F21" i="20"/>
  <c r="P21" i="20"/>
  <c r="C23" i="14"/>
  <c r="G19" i="14"/>
  <c r="L21" i="20"/>
  <c r="M21" i="20" s="1"/>
  <c r="AB21" i="20"/>
  <c r="J21" i="20"/>
  <c r="I21" i="20"/>
  <c r="B25" i="14"/>
  <c r="K15" i="14"/>
  <c r="L14" i="14"/>
  <c r="E21" i="14"/>
  <c r="D22" i="20"/>
  <c r="G22" i="20"/>
  <c r="E22" i="20" s="1" a="1"/>
  <c r="E22" i="20" s="1"/>
  <c r="I17" i="14"/>
  <c r="H18" i="14"/>
  <c r="O21" i="20" l="1"/>
  <c r="F21" i="14"/>
  <c r="G23" i="20"/>
  <c r="E23" i="20" s="1" a="1"/>
  <c r="E23" i="20" s="1"/>
  <c r="I18" i="14"/>
  <c r="D23" i="20"/>
  <c r="B26" i="14"/>
  <c r="N21" i="20"/>
  <c r="C24" i="14"/>
  <c r="P22" i="20"/>
  <c r="F22" i="20"/>
  <c r="K16" i="14"/>
  <c r="J17" i="14"/>
  <c r="M14" i="14"/>
  <c r="I22" i="20"/>
  <c r="L22" i="20"/>
  <c r="M22" i="20" s="1"/>
  <c r="J22" i="20"/>
  <c r="AB22" i="20"/>
  <c r="H19" i="14"/>
  <c r="E22" i="14"/>
  <c r="L15" i="14"/>
  <c r="G20" i="14"/>
  <c r="D23" i="14"/>
  <c r="D24" i="14" l="1"/>
  <c r="G21" i="14"/>
  <c r="L16" i="14"/>
  <c r="O22" i="20"/>
  <c r="K17" i="14"/>
  <c r="C25" i="14"/>
  <c r="B27" i="14"/>
  <c r="I19" i="14"/>
  <c r="D24" i="20"/>
  <c r="G24" i="20"/>
  <c r="E24" i="20" s="1" a="1"/>
  <c r="E24" i="20" s="1"/>
  <c r="E23" i="14"/>
  <c r="H20" i="14"/>
  <c r="M15" i="14"/>
  <c r="J18" i="14"/>
  <c r="P23" i="20"/>
  <c r="F23" i="20"/>
  <c r="AB23" i="20"/>
  <c r="I23" i="20"/>
  <c r="L23" i="20"/>
  <c r="J23" i="20"/>
  <c r="F22" i="14"/>
  <c r="O23" i="20" l="1"/>
  <c r="F24" i="20"/>
  <c r="P24" i="20"/>
  <c r="M23" i="20"/>
  <c r="J19" i="14"/>
  <c r="M16" i="14"/>
  <c r="H21" i="14"/>
  <c r="AB24" i="20"/>
  <c r="L24" i="20"/>
  <c r="M24" i="20" s="1"/>
  <c r="I24" i="20"/>
  <c r="J24" i="20"/>
  <c r="L17" i="14"/>
  <c r="D25" i="14"/>
  <c r="K18" i="14"/>
  <c r="F23" i="14"/>
  <c r="B28" i="14"/>
  <c r="C26" i="14"/>
  <c r="E24" i="14"/>
  <c r="G25" i="20"/>
  <c r="E25" i="20" s="1" a="1"/>
  <c r="E25" i="20" s="1"/>
  <c r="D25" i="20"/>
  <c r="I20" i="14"/>
  <c r="G22" i="14"/>
  <c r="E25" i="14" l="1"/>
  <c r="C27" i="14"/>
  <c r="B29" i="14"/>
  <c r="F24" i="14"/>
  <c r="O24" i="20"/>
  <c r="N24" i="20"/>
  <c r="D26" i="20"/>
  <c r="I21" i="14"/>
  <c r="G26" i="20"/>
  <c r="E26" i="20" s="1" a="1"/>
  <c r="E26" i="20" s="1"/>
  <c r="L18" i="14"/>
  <c r="J20" i="14"/>
  <c r="F25" i="20"/>
  <c r="P25" i="20"/>
  <c r="D26" i="14"/>
  <c r="M17" i="14"/>
  <c r="G23" i="14"/>
  <c r="I25" i="20"/>
  <c r="AB25" i="20"/>
  <c r="J25" i="20"/>
  <c r="L25" i="20"/>
  <c r="M25" i="20" s="1"/>
  <c r="K19" i="14"/>
  <c r="H22" i="14"/>
  <c r="O25" i="20" l="1"/>
  <c r="D27" i="14"/>
  <c r="L19" i="14"/>
  <c r="F25" i="14"/>
  <c r="C28" i="14"/>
  <c r="L26" i="20"/>
  <c r="M26" i="20" s="1"/>
  <c r="J26" i="20"/>
  <c r="I26" i="20"/>
  <c r="AB26" i="20"/>
  <c r="F26" i="20"/>
  <c r="P26" i="20"/>
  <c r="M18" i="14"/>
  <c r="J21" i="14"/>
  <c r="B30" i="14"/>
  <c r="H23" i="14"/>
  <c r="K20" i="14"/>
  <c r="G24" i="14"/>
  <c r="G27" i="20"/>
  <c r="E27" i="20" s="1" a="1"/>
  <c r="E27" i="20" s="1"/>
  <c r="D27" i="20"/>
  <c r="I22" i="14"/>
  <c r="E26" i="14"/>
  <c r="O26" i="20" l="1"/>
  <c r="E27" i="14"/>
  <c r="F27" i="20"/>
  <c r="P27" i="20"/>
  <c r="J22" i="14"/>
  <c r="I27" i="20"/>
  <c r="AB27" i="20"/>
  <c r="J27" i="20"/>
  <c r="L27" i="20"/>
  <c r="M27" i="20" s="1"/>
  <c r="D28" i="20"/>
  <c r="G28" i="20"/>
  <c r="E28" i="20" s="1" a="1"/>
  <c r="E28" i="20" s="1"/>
  <c r="I23" i="14"/>
  <c r="M19" i="14"/>
  <c r="F26" i="14"/>
  <c r="D28" i="14"/>
  <c r="G25" i="14"/>
  <c r="K21" i="14"/>
  <c r="H24" i="14"/>
  <c r="B31" i="14"/>
  <c r="C29" i="14"/>
  <c r="L20" i="14"/>
  <c r="O27" i="20" l="1"/>
  <c r="B32" i="14"/>
  <c r="F28" i="20"/>
  <c r="P28" i="20"/>
  <c r="E28" i="14"/>
  <c r="C30" i="14"/>
  <c r="K22" i="14"/>
  <c r="G26" i="14"/>
  <c r="D29" i="14"/>
  <c r="L21" i="14"/>
  <c r="H25" i="14"/>
  <c r="D29" i="20"/>
  <c r="G29" i="20"/>
  <c r="E29" i="20" s="1" a="1"/>
  <c r="E29" i="20" s="1"/>
  <c r="I24" i="14"/>
  <c r="F27" i="14"/>
  <c r="M20" i="14"/>
  <c r="AB28" i="20"/>
  <c r="L28" i="20"/>
  <c r="M28" i="20" s="1"/>
  <c r="J28" i="20"/>
  <c r="I28" i="20"/>
  <c r="J23" i="14"/>
  <c r="N28" i="20" l="1"/>
  <c r="O28" i="20"/>
  <c r="F28" i="14"/>
  <c r="G27" i="14"/>
  <c r="K23" i="14"/>
  <c r="D30" i="20"/>
  <c r="G30" i="20"/>
  <c r="E30" i="20" s="1" a="1"/>
  <c r="E30" i="20" s="1"/>
  <c r="I25" i="14"/>
  <c r="H26" i="14"/>
  <c r="B33" i="14"/>
  <c r="J24" i="14"/>
  <c r="L29" i="20"/>
  <c r="I29" i="20"/>
  <c r="J29" i="20"/>
  <c r="AB29" i="20"/>
  <c r="D30" i="14"/>
  <c r="M21" i="14"/>
  <c r="F29" i="20"/>
  <c r="P29" i="20"/>
  <c r="L22" i="14"/>
  <c r="C31" i="14"/>
  <c r="E29" i="14"/>
  <c r="O29" i="20" l="1"/>
  <c r="B34" i="14"/>
  <c r="H27" i="14"/>
  <c r="L23" i="14"/>
  <c r="M22" i="14"/>
  <c r="G28" i="14"/>
  <c r="F29" i="14"/>
  <c r="M29" i="20"/>
  <c r="G31" i="20"/>
  <c r="E31" i="20" s="1" a="1"/>
  <c r="E31" i="20" s="1"/>
  <c r="D31" i="20"/>
  <c r="I26" i="14"/>
  <c r="P30" i="20"/>
  <c r="F30" i="20"/>
  <c r="K24" i="14"/>
  <c r="C32" i="14"/>
  <c r="E30" i="14"/>
  <c r="D31" i="14"/>
  <c r="J25" i="14"/>
  <c r="L30" i="20"/>
  <c r="M30" i="20" s="1"/>
  <c r="J30" i="20"/>
  <c r="I30" i="20"/>
  <c r="AB30" i="20"/>
  <c r="O30" i="20" l="1"/>
  <c r="E31" i="14"/>
  <c r="D32" i="20"/>
  <c r="I27" i="14"/>
  <c r="G32" i="20"/>
  <c r="E32" i="20" s="1" a="1"/>
  <c r="E32" i="20" s="1"/>
  <c r="F30" i="14"/>
  <c r="M23" i="14"/>
  <c r="J26" i="14"/>
  <c r="D32" i="14"/>
  <c r="F31" i="20"/>
  <c r="P31" i="20"/>
  <c r="G29" i="14"/>
  <c r="K25" i="14"/>
  <c r="L31" i="20"/>
  <c r="M31" i="20" s="1"/>
  <c r="I31" i="20"/>
  <c r="J31" i="20"/>
  <c r="AB31" i="20"/>
  <c r="L24" i="14"/>
  <c r="H28" i="14"/>
  <c r="N31" i="20" l="1"/>
  <c r="O31" i="20"/>
  <c r="J27" i="14"/>
  <c r="F31" i="14"/>
  <c r="H29" i="14"/>
  <c r="D33" i="14"/>
  <c r="M24" i="14"/>
  <c r="I32" i="20"/>
  <c r="L32" i="20"/>
  <c r="M32" i="20" s="1"/>
  <c r="J32" i="20"/>
  <c r="AB32" i="20"/>
  <c r="K26" i="14"/>
  <c r="G33" i="20"/>
  <c r="E33" i="20" s="1" a="1"/>
  <c r="E33" i="20" s="1"/>
  <c r="D33" i="20"/>
  <c r="I28" i="14"/>
  <c r="L25" i="14"/>
  <c r="G30" i="14"/>
  <c r="F32" i="20"/>
  <c r="P32" i="20"/>
  <c r="E32" i="14"/>
  <c r="O32" i="20" l="1"/>
  <c r="G34" i="20"/>
  <c r="E34" i="20" s="1" a="1"/>
  <c r="E34" i="20" s="1"/>
  <c r="D34" i="20"/>
  <c r="I29" i="14"/>
  <c r="J33" i="20"/>
  <c r="L33" i="20"/>
  <c r="M33" i="20" s="1"/>
  <c r="I33" i="20"/>
  <c r="AB33" i="20"/>
  <c r="H30" i="14"/>
  <c r="J28" i="14"/>
  <c r="E33" i="14"/>
  <c r="G31" i="14"/>
  <c r="L26" i="14"/>
  <c r="K27" i="14"/>
  <c r="F32" i="14"/>
  <c r="F33" i="20"/>
  <c r="P33" i="20"/>
  <c r="M25" i="14"/>
  <c r="D34" i="14"/>
  <c r="O33" i="20" l="1"/>
  <c r="I34" i="20"/>
  <c r="J34" i="20"/>
  <c r="L34" i="20"/>
  <c r="M34" i="20" s="1"/>
  <c r="AB34" i="20"/>
  <c r="M26" i="14"/>
  <c r="J29" i="14"/>
  <c r="F33" i="14"/>
  <c r="K28" i="14"/>
  <c r="L27" i="14"/>
  <c r="G32" i="14"/>
  <c r="H31" i="14"/>
  <c r="I30" i="14"/>
  <c r="D35" i="20"/>
  <c r="G35" i="20"/>
  <c r="E35" i="20" s="1" a="1"/>
  <c r="E35" i="20" s="1"/>
  <c r="E34" i="14"/>
  <c r="F34" i="20"/>
  <c r="P34" i="20"/>
  <c r="O34" i="20" l="1"/>
  <c r="I31" i="14"/>
  <c r="D36" i="20"/>
  <c r="G36" i="20"/>
  <c r="E36" i="20" s="1" a="1"/>
  <c r="E36" i="20" s="1"/>
  <c r="L35" i="20"/>
  <c r="M35" i="20" s="1"/>
  <c r="AB35" i="20"/>
  <c r="J35" i="20"/>
  <c r="I35" i="20"/>
  <c r="K29" i="14"/>
  <c r="J30" i="14"/>
  <c r="M27" i="14"/>
  <c r="F35" i="20"/>
  <c r="P35" i="20"/>
  <c r="H32" i="14"/>
  <c r="G33" i="14"/>
  <c r="L28" i="14"/>
  <c r="F34" i="14"/>
  <c r="O35" i="20" l="1"/>
  <c r="G34" i="14"/>
  <c r="N35" i="20"/>
  <c r="F36" i="20"/>
  <c r="P36" i="20"/>
  <c r="G37" i="20"/>
  <c r="E37" i="20" s="1" a="1"/>
  <c r="E37" i="20" s="1"/>
  <c r="I32" i="14"/>
  <c r="D37" i="20"/>
  <c r="L29" i="14"/>
  <c r="M28" i="14"/>
  <c r="K30" i="14"/>
  <c r="I36" i="20"/>
  <c r="L36" i="20"/>
  <c r="M36" i="20" s="1"/>
  <c r="J36" i="20"/>
  <c r="AB36" i="20"/>
  <c r="H33" i="14"/>
  <c r="J31" i="14"/>
  <c r="O36" i="20" l="1"/>
  <c r="K31" i="14"/>
  <c r="M29" i="14"/>
  <c r="P37" i="20"/>
  <c r="F37" i="20"/>
  <c r="D38" i="20"/>
  <c r="I33" i="14"/>
  <c r="G38" i="20"/>
  <c r="E38" i="20" s="1" a="1"/>
  <c r="E38" i="20" s="1"/>
  <c r="I37" i="20"/>
  <c r="AB37" i="20"/>
  <c r="L37" i="20"/>
  <c r="M37" i="20" s="1"/>
  <c r="J37" i="20"/>
  <c r="J32" i="14"/>
  <c r="H34" i="14"/>
  <c r="L30" i="14"/>
  <c r="O37" i="20" l="1"/>
  <c r="L31" i="14"/>
  <c r="J33" i="14"/>
  <c r="M30" i="14"/>
  <c r="G39" i="20"/>
  <c r="E39" i="20" s="1" a="1"/>
  <c r="E39" i="20" s="1"/>
  <c r="D39" i="20"/>
  <c r="I34" i="14"/>
  <c r="F38" i="20"/>
  <c r="P38" i="20"/>
  <c r="K32" i="14"/>
  <c r="J38" i="20"/>
  <c r="I38" i="20"/>
  <c r="L38" i="20"/>
  <c r="AB38" i="20"/>
  <c r="O38" i="20" l="1"/>
  <c r="N38" i="20"/>
  <c r="J39" i="20"/>
  <c r="AB39" i="20"/>
  <c r="I39" i="20"/>
  <c r="L39" i="20"/>
  <c r="M39" i="20" s="1"/>
  <c r="M31" i="14"/>
  <c r="M38" i="20"/>
  <c r="K33" i="14"/>
  <c r="G40" i="20"/>
  <c r="E40" i="20" s="1" a="1"/>
  <c r="E40" i="20" s="1"/>
  <c r="D40" i="20"/>
  <c r="J34" i="14"/>
  <c r="L32" i="14"/>
  <c r="P39" i="20"/>
  <c r="F39" i="20"/>
  <c r="O39" i="20" l="1"/>
  <c r="L33" i="14"/>
  <c r="K34" i="14"/>
  <c r="F40" i="20"/>
  <c r="M45" i="20" s="1"/>
  <c r="P40" i="20"/>
  <c r="AB40" i="20"/>
  <c r="AB41" i="20" s="1"/>
  <c r="J40" i="20"/>
  <c r="I40" i="20"/>
  <c r="L40" i="20"/>
  <c r="N40" i="20" s="1"/>
  <c r="I49" i="20"/>
  <c r="I47" i="20"/>
  <c r="I48" i="20"/>
  <c r="I45" i="20"/>
  <c r="M32" i="14"/>
  <c r="N39" i="20"/>
  <c r="N13" i="20" l="1"/>
  <c r="N20" i="20"/>
  <c r="N27" i="20"/>
  <c r="N34" i="20"/>
  <c r="N15" i="20"/>
  <c r="N22" i="20"/>
  <c r="N29" i="20"/>
  <c r="N36" i="20"/>
  <c r="N12" i="20"/>
  <c r="N19" i="20"/>
  <c r="N26" i="20"/>
  <c r="N33" i="20"/>
  <c r="N37" i="20"/>
  <c r="N11" i="20"/>
  <c r="N18" i="20"/>
  <c r="N25" i="20"/>
  <c r="N32" i="20"/>
  <c r="M40" i="20"/>
  <c r="M46" i="20" s="1"/>
  <c r="O40" i="20"/>
  <c r="O41" i="20" s="1"/>
  <c r="M33" i="14"/>
  <c r="I46" i="20"/>
  <c r="L41" i="20"/>
  <c r="C11" i="20"/>
  <c r="C10" i="20"/>
  <c r="C12" i="20"/>
  <c r="C14" i="20"/>
  <c r="C13" i="20"/>
  <c r="N16" i="20"/>
  <c r="N23" i="20"/>
  <c r="N30" i="20"/>
  <c r="L34" i="14"/>
  <c r="M47" i="20" l="1"/>
  <c r="M41" i="20"/>
  <c r="N46" i="20" s="1"/>
  <c r="B11" i="20"/>
  <c r="B10" i="20"/>
  <c r="B13" i="20"/>
  <c r="M34" i="14"/>
  <c r="B12" i="20"/>
  <c r="S53" i="20"/>
  <c r="J42" i="20"/>
  <c r="N41" i="20"/>
  <c r="B14" i="20"/>
  <c r="K64" i="1" l="1"/>
</calcChain>
</file>

<file path=xl/sharedStrings.xml><?xml version="1.0" encoding="utf-8"?>
<sst xmlns="http://schemas.openxmlformats.org/spreadsheetml/2006/main" count="553" uniqueCount="131">
  <si>
    <t>Année</t>
  </si>
  <si>
    <t>1er jour de l'année</t>
  </si>
  <si>
    <t>Nombre de jour en Février</t>
  </si>
  <si>
    <t>Congés</t>
  </si>
  <si>
    <t>MALADIE</t>
  </si>
  <si>
    <t>N°</t>
  </si>
  <si>
    <t>Mois</t>
  </si>
  <si>
    <t>Jour</t>
  </si>
  <si>
    <t>Statut</t>
  </si>
  <si>
    <t>DEBUT</t>
  </si>
  <si>
    <t>FIN</t>
  </si>
  <si>
    <t>02\16\2020</t>
  </si>
  <si>
    <t>JANVIER</t>
  </si>
  <si>
    <t>Dim</t>
  </si>
  <si>
    <t>Lun</t>
  </si>
  <si>
    <t>W</t>
  </si>
  <si>
    <t>D</t>
  </si>
  <si>
    <t>FÉVRIER</t>
  </si>
  <si>
    <t>LUN</t>
  </si>
  <si>
    <t>Jeu</t>
  </si>
  <si>
    <t>Ven</t>
  </si>
  <si>
    <t>T</t>
  </si>
  <si>
    <t>J</t>
  </si>
  <si>
    <t>MARS</t>
  </si>
  <si>
    <t>a</t>
  </si>
  <si>
    <t>FORMULE DATE ANGLAIS Français</t>
  </si>
  <si>
    <t>Mar</t>
  </si>
  <si>
    <t>L</t>
  </si>
  <si>
    <t>Avril</t>
  </si>
  <si>
    <t>formule juste</t>
  </si>
  <si>
    <t>Mer</t>
  </si>
  <si>
    <t>M</t>
  </si>
  <si>
    <t>MAI</t>
  </si>
  <si>
    <t>Juin</t>
  </si>
  <si>
    <t>Sam</t>
  </si>
  <si>
    <t>S</t>
  </si>
  <si>
    <t>Juillet</t>
  </si>
  <si>
    <t>Août</t>
  </si>
  <si>
    <t>Septembre</t>
  </si>
  <si>
    <t>Férié</t>
  </si>
  <si>
    <t>F</t>
  </si>
  <si>
    <t>Octobre</t>
  </si>
  <si>
    <t>OUI</t>
  </si>
  <si>
    <t>Congé</t>
  </si>
  <si>
    <t>CJ</t>
  </si>
  <si>
    <t>Novembre</t>
  </si>
  <si>
    <t>NON</t>
  </si>
  <si>
    <t xml:space="preserve">Jours travaillé </t>
  </si>
  <si>
    <t>Décembre</t>
  </si>
  <si>
    <t>Week-End</t>
  </si>
  <si>
    <t>date recherché</t>
  </si>
  <si>
    <t>statut</t>
  </si>
  <si>
    <t>date/jour</t>
  </si>
  <si>
    <t>h;debut</t>
  </si>
  <si>
    <t>h,fin</t>
  </si>
  <si>
    <t>pause</t>
  </si>
  <si>
    <t>total</t>
  </si>
  <si>
    <t>note</t>
  </si>
  <si>
    <t>0 veut dire cellule vide</t>
  </si>
  <si>
    <t>pr pas 0 mettrecellule d'origine =""</t>
  </si>
  <si>
    <t>JOURS FERIE</t>
  </si>
  <si>
    <t>Premier de l'an</t>
  </si>
  <si>
    <t>HEURE</t>
  </si>
  <si>
    <t>PAUSE</t>
  </si>
  <si>
    <t>Lundi de Pâques</t>
  </si>
  <si>
    <t xml:space="preserve">travail pr les vieux 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</si>
  <si>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</si>
  <si>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</si>
  <si>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</si>
  <si>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</si>
  <si>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</si>
  <si>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</si>
  <si>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</si>
  <si>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</si>
  <si>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</si>
  <si>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Pâques</t>
  </si>
  <si>
    <t>raz</t>
  </si>
  <si>
    <t>oui</t>
  </si>
  <si>
    <t>NBS DE KM TRAJET ALLER :</t>
  </si>
  <si>
    <t>NOMBRES DE KM EFFECTUER</t>
  </si>
  <si>
    <t>verif</t>
  </si>
  <si>
    <t xml:space="preserve">NBS DE JOURS OUVRES </t>
  </si>
  <si>
    <t>NBS DE JOUR TRAVAILLER DANS L'ANNEE :</t>
  </si>
  <si>
    <t>NBS DE JOURS DE CONGES :</t>
  </si>
  <si>
    <t>NBS DE JOURS RESTANTS A TRVAILLER :</t>
  </si>
  <si>
    <t>maladie :</t>
  </si>
  <si>
    <t>Heures travaillées</t>
  </si>
  <si>
    <t>DATE</t>
  </si>
  <si>
    <t>Total</t>
  </si>
  <si>
    <t>TOTAL  SEMAINE</t>
  </si>
  <si>
    <t>H,SUP</t>
  </si>
  <si>
    <t>N°.SEM</t>
  </si>
  <si>
    <t>NOTE</t>
  </si>
  <si>
    <t>TOTAL HEURE DU MOIS</t>
  </si>
  <si>
    <t xml:space="preserve"> HEURE SUP</t>
  </si>
  <si>
    <t xml:space="preserve">Jours ouvrés : </t>
  </si>
  <si>
    <t xml:space="preserve">Jours travaillés : </t>
  </si>
  <si>
    <t xml:space="preserve">Jours de congé : </t>
  </si>
  <si>
    <t xml:space="preserve">Jours de MALADIE : </t>
  </si>
  <si>
    <t>heure en centieme</t>
  </si>
  <si>
    <t>REALISER</t>
  </si>
  <si>
    <t>DÉCEMBRE</t>
  </si>
  <si>
    <t>AVRIL</t>
  </si>
  <si>
    <t>JUIN</t>
  </si>
  <si>
    <t>JUILLET</t>
  </si>
  <si>
    <t>AOÛT</t>
  </si>
  <si>
    <t>SEPTEMBRE</t>
  </si>
  <si>
    <t>OCTOBRE</t>
  </si>
  <si>
    <t>NOVEMBRE</t>
  </si>
  <si>
    <t>Jour 1 en surbrillance :</t>
  </si>
  <si>
    <t>Mercredi</t>
  </si>
  <si>
    <t>Jour 2 en surbrillance :</t>
  </si>
  <si>
    <t>Lundi</t>
  </si>
  <si>
    <t>Jour 3 en surbrillance :</t>
  </si>
  <si>
    <t>T/100</t>
  </si>
  <si>
    <t>PAUSE ONET2</t>
  </si>
  <si>
    <t>REPOS</t>
  </si>
  <si>
    <t>jours de repos</t>
  </si>
  <si>
    <t>repos :</t>
  </si>
  <si>
    <t>heure de nuit</t>
  </si>
  <si>
    <t>HEURE SUP</t>
  </si>
  <si>
    <t>HRS TH SEM</t>
  </si>
  <si>
    <t>sem</t>
  </si>
  <si>
    <t xml:space="preserve">date </t>
  </si>
  <si>
    <t>H,N</t>
  </si>
  <si>
    <t>Temps de travail matin</t>
  </si>
  <si>
    <t>Temps de travail après-midi</t>
  </si>
  <si>
    <t>Heure début</t>
  </si>
  <si>
    <t>Heure fin</t>
  </si>
  <si>
    <t>ANNEE</t>
  </si>
  <si>
    <t>planning_decoupe_abattage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</si>
</sst>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€_-;\-* #,##0.00\ _€_-;_-* &quot;-&quot;??\ _€_-;_-@_-"/>
    <numFmt numFmtId="165" formatCode="#,##0.00\ [$€];[Red]\-#,##0.00\ [$€]"/>
    <numFmt numFmtId="166" formatCode="0.0000"/>
    <numFmt numFmtId="167" formatCode="[$-40C]d\-mmm;@"/>
    <numFmt numFmtId="168" formatCode="[$-40C]d\ mmmm\ yyyy;@"/>
    <numFmt numFmtId="169" formatCode="d/m/yy;@"/>
    <numFmt numFmtId="170" formatCode="mmm\ yyyy"/>
    <numFmt numFmtId="171" formatCode="ddd\ dd"/>
    <numFmt numFmtId="172" formatCode="h:mm;@"/>
    <numFmt numFmtId="173" formatCode="0\ &quot;km&quot;"/>
    <numFmt numFmtId="174" formatCode="0\ &quot;jours&quot;"/>
    <numFmt numFmtId="175" formatCode="#,###__&quot;jours&quot;"/>
    <numFmt numFmtId="176" formatCode="[$-40C]dd\-mmm"/>
    <numFmt numFmtId="177" formatCode="[$-40C]d\ mmmm"/>
    <numFmt numFmtId="178" formatCode="[h]&quot;h&quot;mm"/>
    <numFmt numFmtId="179" formatCode="0_ ;[Red]\-0\ "/>
    <numFmt numFmtId="180" formatCode="d\ &quot; Jours&quot;"/>
    <numFmt numFmtId="181" formatCode="[$-F400]h:mm:ss\ AM/PM"/>
    <numFmt numFmtId="182" formatCode="&quot;    &quot;d&quot;  &quot;dddd"/>
    <numFmt numFmtId="183" formatCode="&quot;  &quot;d&quot;  &quot;dddd"/>
    <numFmt numFmtId="184" formatCode="ddd\ mm"/>
    <numFmt numFmtId="185" formatCode="dd/m/yy"/>
    <numFmt numFmtId="186" formatCode="d/m;@"/>
    <numFmt numFmtId="187" formatCode="dd/mm/yy;@"/>
    <numFmt numFmtId="188" formatCode="dddd"/>
    <numFmt numFmtId="189" formatCode="ddd"/>
  </numFmts>
  <fonts count="36">
    <font>
      <sz val="11"/>
      <name val="Calibri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0"/>
      <name val="Geneva"/>
    </font>
    <font>
      <sz val="10"/>
      <name val="Geneva"/>
    </font>
    <font>
      <sz val="12"/>
      <name val="Times New Roman"/>
      <family val="1"/>
    </font>
    <font>
      <sz val="8"/>
      <color rgb="FF333333"/>
      <name val="Arial"/>
      <family val="2"/>
    </font>
    <font>
      <b/>
      <sz val="12"/>
      <color rgb="FFFF0000"/>
      <name val="Times New Roman"/>
      <family val="1"/>
    </font>
    <font>
      <sz val="10"/>
      <color rgb="FFFF0000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name val="Times New Roman"/>
      <family val="1"/>
    </font>
    <font>
      <sz val="18"/>
      <name val="Arial"/>
      <family val="2"/>
    </font>
    <font>
      <sz val="16"/>
      <name val="Arial"/>
      <family val="2"/>
    </font>
    <font>
      <b/>
      <sz val="12"/>
      <color rgb="FF000000"/>
      <name val="Calibri"/>
      <family val="2"/>
    </font>
    <font>
      <sz val="28"/>
      <name val="Arial"/>
      <family val="2"/>
    </font>
    <font>
      <b/>
      <sz val="15"/>
      <color rgb="FF000000"/>
      <name val="Calibri"/>
      <family val="2"/>
    </font>
    <font>
      <b/>
      <sz val="36"/>
      <color rgb="FF000000"/>
      <name val="Arial Rounded MT Bold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sz val="7"/>
      <color rgb="FF333333"/>
      <name val="Courier New"/>
      <family val="3"/>
    </font>
    <font>
      <sz val="9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Verdana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0"/>
      <color theme="0"/>
      <name val="Arial"/>
      <family val="2"/>
    </font>
    <font>
      <sz val="8"/>
      <name val="Calibri"/>
      <family val="2"/>
    </font>
    <font>
      <b/>
      <sz val="14"/>
      <color rgb="FFFF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99CCFF"/>
        <bgColor rgb="FF000000"/>
      </patternFill>
    </fill>
    <fill>
      <patternFill patternType="solid">
        <fgColor rgb="FF339966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000000"/>
      </patternFill>
    </fill>
    <fill>
      <patternFill patternType="darkGray">
        <bgColor rgb="FFFFFFFF"/>
      </patternFill>
    </fill>
    <fill>
      <patternFill patternType="darkGray">
        <bgColor rgb="FF000000"/>
      </patternFill>
    </fill>
    <fill>
      <patternFill patternType="darkGray"/>
    </fill>
    <fill>
      <patternFill patternType="solid">
        <fgColor rgb="FFFFFF00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0066CC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666699"/>
        <bgColor rgb="FF000000"/>
      </patternFill>
    </fill>
    <fill>
      <patternFill patternType="solid">
        <fgColor rgb="FF33CCCC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FF9900"/>
        <bgColor rgb="FF000000"/>
      </patternFill>
    </fill>
    <fill>
      <patternFill patternType="solid">
        <fgColor rgb="FFFF6600"/>
        <bgColor rgb="FF000000"/>
      </patternFill>
    </fill>
    <fill>
      <patternFill patternType="solid">
        <fgColor rgb="FFFF8080"/>
        <bgColor rgb="FF000000"/>
      </patternFill>
    </fill>
    <fill>
      <patternFill patternType="solid">
        <fgColor rgb="FF993366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CC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rgb="FF000000"/>
      </patternFill>
    </fill>
  </fills>
  <borders count="9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ck">
        <color rgb="FFFF0000"/>
      </top>
      <bottom/>
      <diagonal/>
    </border>
    <border>
      <left style="thin">
        <color rgb="FF000000"/>
      </left>
      <right style="thick">
        <color rgb="FFFF0000"/>
      </right>
      <top style="thick">
        <color rgb="FFFF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ck">
        <color rgb="FFFF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8080"/>
      </left>
      <right/>
      <top/>
      <bottom/>
      <diagonal/>
    </border>
    <border>
      <left/>
      <right style="thick">
        <color rgb="FF008080"/>
      </right>
      <top/>
      <bottom/>
      <diagonal/>
    </border>
    <border>
      <left style="thick">
        <color rgb="FFFF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/>
      <top style="thin">
        <color rgb="FF000000"/>
      </top>
      <bottom style="thick">
        <color rgb="FFFF0000"/>
      </bottom>
      <diagonal/>
    </border>
    <border>
      <left/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ed">
        <color auto="1"/>
      </left>
      <right/>
      <top/>
      <bottom/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ck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rgb="FFFF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ck">
        <color rgb="FFFF0000"/>
      </left>
      <right/>
      <top/>
      <bottom/>
      <diagonal/>
    </border>
  </borders>
  <cellStyleXfs count="5">
    <xf numFmtId="0" fontId="0" fillId="0" borderId="0"/>
    <xf numFmtId="0" fontId="29" fillId="0" borderId="0">
      <protection locked="0"/>
    </xf>
    <xf numFmtId="0" fontId="30" fillId="0" borderId="0">
      <protection locked="0"/>
    </xf>
    <xf numFmtId="0" fontId="1" fillId="0" borderId="0"/>
    <xf numFmtId="164" fontId="1" fillId="0" borderId="0" applyFont="0" applyFill="0" applyBorder="0" applyAlignment="0" applyProtection="0"/>
  </cellStyleXfs>
  <cellXfs count="400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>
      <alignment vertical="center"/>
    </xf>
    <xf numFmtId="0" fontId="3" fillId="0" borderId="12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167" fontId="4" fillId="3" borderId="14" xfId="0" applyNumberFormat="1" applyFont="1" applyFill="1" applyBorder="1" applyAlignment="1" applyProtection="1">
      <alignment horizontal="center" vertical="center"/>
      <protection locked="0"/>
    </xf>
    <xf numFmtId="167" fontId="4" fillId="3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2" fontId="4" fillId="0" borderId="0" xfId="0" applyNumberFormat="1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167" fontId="4" fillId="3" borderId="14" xfId="0" applyNumberFormat="1" applyFont="1" applyFill="1" applyBorder="1" applyAlignment="1" applyProtection="1">
      <alignment vertical="center"/>
      <protection locked="0"/>
    </xf>
    <xf numFmtId="167" fontId="4" fillId="3" borderId="15" xfId="0" applyNumberFormat="1" applyFont="1" applyFill="1" applyBorder="1" applyAlignment="1" applyProtection="1">
      <alignment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167" fontId="4" fillId="3" borderId="22" xfId="0" applyNumberFormat="1" applyFont="1" applyFill="1" applyBorder="1" applyAlignment="1" applyProtection="1">
      <alignment horizontal="center" vertical="center"/>
      <protection locked="0"/>
    </xf>
    <xf numFmtId="167" fontId="4" fillId="3" borderId="2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12" borderId="3" xfId="0" applyFont="1" applyFill="1" applyBorder="1" applyAlignment="1" applyProtection="1">
      <alignment vertical="center"/>
      <protection locked="0"/>
    </xf>
    <xf numFmtId="0" fontId="8" fillId="9" borderId="0" xfId="0" applyFont="1" applyFill="1" applyAlignment="1" applyProtection="1">
      <alignment vertical="center"/>
      <protection locked="0"/>
    </xf>
    <xf numFmtId="169" fontId="2" fillId="0" borderId="1" xfId="0" applyNumberFormat="1" applyFont="1" applyBorder="1" applyAlignment="1" applyProtection="1">
      <alignment vertical="center"/>
      <protection locked="0"/>
    </xf>
    <xf numFmtId="20" fontId="2" fillId="12" borderId="3" xfId="0" applyNumberFormat="1" applyFont="1" applyFill="1" applyBorder="1" applyAlignment="1" applyProtection="1">
      <alignment vertical="center"/>
      <protection locked="0"/>
    </xf>
    <xf numFmtId="173" fontId="2" fillId="0" borderId="0" xfId="0" applyNumberFormat="1" applyFont="1" applyAlignment="1" applyProtection="1">
      <alignment vertical="center"/>
      <protection locked="0"/>
    </xf>
    <xf numFmtId="20" fontId="8" fillId="9" borderId="0" xfId="0" applyNumberFormat="1" applyFont="1" applyFill="1" applyAlignment="1" applyProtection="1">
      <alignment vertical="center"/>
      <protection locked="0"/>
    </xf>
    <xf numFmtId="0" fontId="2" fillId="5" borderId="0" xfId="0" applyFont="1" applyFill="1" applyAlignment="1" applyProtection="1">
      <alignment vertical="center"/>
      <protection locked="0"/>
    </xf>
    <xf numFmtId="173" fontId="2" fillId="0" borderId="1" xfId="0" applyNumberFormat="1" applyFont="1" applyBorder="1" applyAlignment="1" applyProtection="1">
      <alignment vertical="center"/>
      <protection locked="0"/>
    </xf>
    <xf numFmtId="20" fontId="2" fillId="12" borderId="6" xfId="0" applyNumberFormat="1" applyFont="1" applyFill="1" applyBorder="1" applyAlignment="1" applyProtection="1">
      <alignment vertical="center"/>
      <protection locked="0"/>
    </xf>
    <xf numFmtId="167" fontId="4" fillId="3" borderId="27" xfId="0" applyNumberFormat="1" applyFont="1" applyFill="1" applyBorder="1" applyAlignment="1" applyProtection="1">
      <alignment horizontal="center" vertical="center"/>
      <protection locked="0"/>
    </xf>
    <xf numFmtId="177" fontId="4" fillId="3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28" xfId="0" applyFont="1" applyBorder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178" fontId="13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172" fontId="4" fillId="0" borderId="3" xfId="0" applyNumberFormat="1" applyFont="1" applyBorder="1" applyAlignment="1">
      <alignment horizontal="center" vertical="center"/>
    </xf>
    <xf numFmtId="178" fontId="5" fillId="0" borderId="3" xfId="0" applyNumberFormat="1" applyFont="1" applyBorder="1" applyAlignment="1">
      <alignment horizontal="center" vertical="top"/>
    </xf>
    <xf numFmtId="0" fontId="4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8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178" fontId="4" fillId="0" borderId="3" xfId="0" applyNumberFormat="1" applyFont="1" applyBorder="1" applyAlignment="1" applyProtection="1">
      <alignment horizontal="center" vertical="center"/>
      <protection locked="0" hidden="1"/>
    </xf>
    <xf numFmtId="178" fontId="3" fillId="14" borderId="3" xfId="0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vertical="center"/>
    </xf>
    <xf numFmtId="178" fontId="5" fillId="0" borderId="32" xfId="0" applyNumberFormat="1" applyFont="1" applyBorder="1" applyAlignment="1">
      <alignment horizontal="center" vertical="top"/>
    </xf>
    <xf numFmtId="178" fontId="2" fillId="0" borderId="0" xfId="0" applyNumberFormat="1" applyFont="1" applyAlignment="1">
      <alignment vertical="center"/>
    </xf>
    <xf numFmtId="178" fontId="3" fillId="0" borderId="28" xfId="0" applyNumberFormat="1" applyFont="1" applyBorder="1" applyAlignment="1">
      <alignment horizontal="right" vertical="center"/>
    </xf>
    <xf numFmtId="172" fontId="3" fillId="0" borderId="0" xfId="0" applyNumberFormat="1" applyFont="1" applyAlignment="1">
      <alignment horizontal="right" vertical="center"/>
    </xf>
    <xf numFmtId="20" fontId="2" fillId="0" borderId="0" xfId="0" applyNumberFormat="1" applyFont="1" applyAlignment="1">
      <alignment vertical="center"/>
    </xf>
    <xf numFmtId="171" fontId="4" fillId="0" borderId="0" xfId="0" applyNumberFormat="1" applyFont="1" applyAlignment="1">
      <alignment horizontal="center" vertical="center"/>
    </xf>
    <xf numFmtId="181" fontId="2" fillId="0" borderId="0" xfId="0" applyNumberFormat="1" applyFont="1" applyAlignment="1">
      <alignment vertical="center"/>
    </xf>
    <xf numFmtId="171" fontId="4" fillId="0" borderId="35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vertical="center"/>
    </xf>
    <xf numFmtId="172" fontId="0" fillId="0" borderId="0" xfId="0" applyNumberFormat="1" applyFont="1" applyAlignment="1">
      <alignment vertical="center"/>
    </xf>
    <xf numFmtId="172" fontId="2" fillId="0" borderId="36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9" fillId="15" borderId="0" xfId="0" applyFont="1" applyFill="1" applyAlignment="1">
      <alignment horizontal="center" vertical="center"/>
    </xf>
    <xf numFmtId="0" fontId="19" fillId="0" borderId="37" xfId="0" applyFont="1" applyBorder="1" applyAlignment="1">
      <alignment vertical="center"/>
    </xf>
    <xf numFmtId="0" fontId="20" fillId="0" borderId="0" xfId="0" applyFont="1" applyAlignment="1"/>
    <xf numFmtId="0" fontId="20" fillId="0" borderId="38" xfId="0" applyFont="1" applyBorder="1" applyAlignment="1"/>
    <xf numFmtId="0" fontId="5" fillId="0" borderId="0" xfId="0" applyFont="1" applyAlignment="1">
      <alignment horizontal="center"/>
    </xf>
    <xf numFmtId="0" fontId="19" fillId="16" borderId="39" xfId="0" applyFont="1" applyFill="1" applyBorder="1" applyAlignment="1">
      <alignment horizontal="center" vertical="center"/>
    </xf>
    <xf numFmtId="0" fontId="19" fillId="11" borderId="28" xfId="0" applyFont="1" applyFill="1" applyBorder="1" applyAlignment="1">
      <alignment horizontal="center" vertical="center"/>
    </xf>
    <xf numFmtId="0" fontId="19" fillId="17" borderId="28" xfId="0" applyFont="1" applyFill="1" applyBorder="1" applyAlignment="1">
      <alignment horizontal="center" vertical="center"/>
    </xf>
    <xf numFmtId="0" fontId="19" fillId="17" borderId="28" xfId="0" applyFont="1" applyFill="1" applyBorder="1" applyAlignment="1">
      <alignment horizontal="center" vertical="center"/>
    </xf>
    <xf numFmtId="0" fontId="19" fillId="18" borderId="28" xfId="0" applyFont="1" applyFill="1" applyBorder="1" applyAlignment="1">
      <alignment horizontal="center" vertical="center"/>
    </xf>
    <xf numFmtId="0" fontId="19" fillId="19" borderId="28" xfId="0" applyFont="1" applyFill="1" applyBorder="1" applyAlignment="1">
      <alignment horizontal="center" vertical="center"/>
    </xf>
    <xf numFmtId="0" fontId="19" fillId="20" borderId="28" xfId="0" applyFont="1" applyFill="1" applyBorder="1" applyAlignment="1">
      <alignment horizontal="center" vertical="center"/>
    </xf>
    <xf numFmtId="0" fontId="19" fillId="21" borderId="28" xfId="0" applyFont="1" applyFill="1" applyBorder="1" applyAlignment="1">
      <alignment horizontal="center" vertical="center"/>
    </xf>
    <xf numFmtId="0" fontId="19" fillId="22" borderId="28" xfId="0" applyFont="1" applyFill="1" applyBorder="1" applyAlignment="1">
      <alignment horizontal="center" vertical="center"/>
    </xf>
    <xf numFmtId="0" fontId="19" fillId="23" borderId="28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24" borderId="28" xfId="0" applyFont="1" applyFill="1" applyBorder="1" applyAlignment="1">
      <alignment horizontal="center" vertical="center"/>
    </xf>
    <xf numFmtId="0" fontId="19" fillId="16" borderId="28" xfId="0" applyFont="1" applyFill="1" applyBorder="1" applyAlignment="1">
      <alignment horizontal="center" vertical="center"/>
    </xf>
    <xf numFmtId="0" fontId="19" fillId="11" borderId="39" xfId="0" applyFont="1" applyFill="1" applyBorder="1" applyAlignment="1">
      <alignment horizontal="center" vertical="center"/>
    </xf>
    <xf numFmtId="0" fontId="19" fillId="17" borderId="39" xfId="0" applyFont="1" applyFill="1" applyBorder="1" applyAlignment="1">
      <alignment horizontal="center" vertical="center"/>
    </xf>
    <xf numFmtId="182" fontId="21" fillId="0" borderId="40" xfId="0" applyNumberFormat="1" applyFont="1" applyBorder="1" applyAlignment="1">
      <alignment horizontal="left" vertical="center"/>
    </xf>
    <xf numFmtId="183" fontId="21" fillId="0" borderId="40" xfId="0" applyNumberFormat="1" applyFont="1" applyBorder="1" applyAlignment="1">
      <alignment horizontal="left" vertical="center"/>
    </xf>
    <xf numFmtId="0" fontId="5" fillId="0" borderId="0" xfId="0" applyFont="1" applyAlignment="1" applyProtection="1">
      <protection locked="0"/>
    </xf>
    <xf numFmtId="14" fontId="5" fillId="0" borderId="0" xfId="0" applyNumberFormat="1" applyFont="1" applyAlignment="1" applyProtection="1">
      <protection locked="0"/>
    </xf>
    <xf numFmtId="183" fontId="21" fillId="0" borderId="39" xfId="0" applyNumberFormat="1" applyFont="1" applyBorder="1" applyAlignment="1">
      <alignment horizontal="left" vertical="center"/>
    </xf>
    <xf numFmtId="0" fontId="5" fillId="0" borderId="0" xfId="0" applyFont="1" applyAlignment="1" applyProtection="1">
      <protection locked="0" hidden="1"/>
    </xf>
    <xf numFmtId="0" fontId="5" fillId="0" borderId="0" xfId="0" applyFont="1" applyAlignment="1" applyProtection="1">
      <alignment horizontal="center"/>
      <protection locked="0" hidden="1"/>
    </xf>
    <xf numFmtId="0" fontId="5" fillId="0" borderId="0" xfId="0" applyFont="1" applyAlignment="1" applyProtection="1">
      <alignment horizontal="left"/>
      <protection locked="0"/>
    </xf>
    <xf numFmtId="0" fontId="5" fillId="23" borderId="1" xfId="0" applyFont="1" applyFill="1" applyBorder="1" applyAlignment="1">
      <alignment horizontal="center"/>
    </xf>
    <xf numFmtId="183" fontId="5" fillId="0" borderId="0" xfId="0" applyNumberFormat="1" applyFont="1" applyAlignment="1" applyProtection="1">
      <alignment horizontal="center"/>
      <protection locked="0" hidden="1"/>
    </xf>
    <xf numFmtId="183" fontId="5" fillId="0" borderId="0" xfId="0" applyNumberFormat="1" applyFont="1" applyAlignment="1">
      <alignment horizontal="left"/>
    </xf>
    <xf numFmtId="183" fontId="5" fillId="0" borderId="0" xfId="0" applyNumberFormat="1" applyFont="1" applyAlignment="1" applyProtection="1">
      <protection locked="0" hidden="1"/>
    </xf>
    <xf numFmtId="0" fontId="5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/>
    </xf>
    <xf numFmtId="0" fontId="5" fillId="0" borderId="0" xfId="0" applyFont="1" applyAlignment="1"/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protection locked="0"/>
    </xf>
    <xf numFmtId="14" fontId="22" fillId="0" borderId="0" xfId="0" applyNumberFormat="1" applyFont="1" applyAlignment="1">
      <alignment horizontal="center"/>
    </xf>
    <xf numFmtId="0" fontId="19" fillId="0" borderId="0" xfId="0" applyFont="1" applyAlignment="1">
      <alignment horizontal="center" vertical="center"/>
    </xf>
    <xf numFmtId="184" fontId="21" fillId="0" borderId="0" xfId="0" applyNumberFormat="1" applyFont="1" applyAlignment="1">
      <alignment horizontal="left" vertical="center"/>
    </xf>
    <xf numFmtId="0" fontId="19" fillId="0" borderId="0" xfId="0" applyFont="1" applyAlignment="1" applyProtection="1">
      <alignment horizontal="center" vertical="center"/>
      <protection locked="0"/>
    </xf>
    <xf numFmtId="0" fontId="5" fillId="25" borderId="1" xfId="0" applyFont="1" applyFill="1" applyBorder="1" applyAlignment="1">
      <alignment horizontal="center"/>
    </xf>
    <xf numFmtId="0" fontId="5" fillId="0" borderId="0" xfId="0" applyFont="1" applyAlignment="1"/>
    <xf numFmtId="0" fontId="22" fillId="0" borderId="0" xfId="0" applyFont="1" applyAlignment="1">
      <alignment horizontal="center"/>
    </xf>
    <xf numFmtId="184" fontId="5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center"/>
    </xf>
    <xf numFmtId="171" fontId="2" fillId="0" borderId="0" xfId="0" applyNumberFormat="1" applyFont="1" applyAlignment="1">
      <alignment horizontal="center" vertical="center"/>
    </xf>
    <xf numFmtId="171" fontId="2" fillId="0" borderId="0" xfId="0" applyNumberFormat="1" applyFont="1" applyAlignment="1">
      <alignment vertical="center"/>
    </xf>
    <xf numFmtId="169" fontId="5" fillId="0" borderId="0" xfId="0" applyNumberFormat="1" applyFont="1" applyAlignment="1"/>
    <xf numFmtId="171" fontId="5" fillId="0" borderId="0" xfId="0" applyNumberFormat="1" applyFont="1" applyAlignment="1">
      <alignment horizontal="left"/>
    </xf>
    <xf numFmtId="185" fontId="5" fillId="0" borderId="0" xfId="0" applyNumberFormat="1" applyFont="1" applyAlignment="1"/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171" fontId="21" fillId="0" borderId="0" xfId="0" applyNumberFormat="1" applyFont="1" applyAlignment="1">
      <alignment horizontal="left" vertical="center"/>
    </xf>
    <xf numFmtId="2" fontId="4" fillId="0" borderId="11" xfId="0" applyNumberFormat="1" applyFont="1" applyBorder="1" applyAlignment="1">
      <alignment horizontal="center" vertical="center"/>
    </xf>
    <xf numFmtId="172" fontId="18" fillId="0" borderId="25" xfId="0" applyNumberFormat="1" applyFont="1" applyBorder="1" applyAlignment="1">
      <alignment vertical="center"/>
    </xf>
    <xf numFmtId="178" fontId="27" fillId="0" borderId="43" xfId="0" applyNumberFormat="1" applyFont="1" applyBorder="1" applyAlignment="1">
      <alignment vertical="center"/>
    </xf>
    <xf numFmtId="20" fontId="2" fillId="0" borderId="0" xfId="0" applyNumberFormat="1" applyFont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71" fontId="4" fillId="0" borderId="3" xfId="0" applyNumberFormat="1" applyFont="1" applyBorder="1" applyAlignment="1">
      <alignment vertical="center"/>
    </xf>
    <xf numFmtId="172" fontId="2" fillId="0" borderId="0" xfId="0" applyNumberFormat="1" applyFont="1" applyAlignment="1">
      <alignment vertical="center"/>
    </xf>
    <xf numFmtId="0" fontId="4" fillId="0" borderId="14" xfId="0" applyFont="1" applyBorder="1" applyAlignment="1" applyProtection="1">
      <alignment horizontal="center" vertical="center"/>
      <protection locked="0"/>
    </xf>
    <xf numFmtId="2" fontId="4" fillId="0" borderId="3" xfId="0" applyNumberFormat="1" applyFont="1" applyBorder="1" applyAlignment="1">
      <alignment horizontal="center" vertical="center"/>
    </xf>
    <xf numFmtId="178" fontId="4" fillId="0" borderId="3" xfId="0" applyNumberFormat="1" applyFont="1" applyBorder="1" applyAlignment="1">
      <alignment horizontal="center" vertical="center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>
      <alignment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 hidden="1"/>
    </xf>
    <xf numFmtId="14" fontId="4" fillId="0" borderId="8" xfId="0" applyNumberFormat="1" applyFont="1" applyBorder="1" applyAlignment="1" applyProtection="1">
      <alignment vertical="center"/>
      <protection locked="0"/>
    </xf>
    <xf numFmtId="169" fontId="29" fillId="0" borderId="8" xfId="0" applyNumberFormat="1" applyFont="1" applyBorder="1" applyAlignment="1" applyProtection="1">
      <alignment horizontal="center" vertical="center"/>
      <protection locked="0"/>
    </xf>
    <xf numFmtId="14" fontId="4" fillId="0" borderId="8" xfId="0" applyNumberFormat="1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vertical="center"/>
    </xf>
    <xf numFmtId="172" fontId="2" fillId="0" borderId="66" xfId="0" applyNumberFormat="1" applyFont="1" applyBorder="1" applyAlignment="1">
      <alignment horizontal="center" vertical="center"/>
    </xf>
    <xf numFmtId="172" fontId="2" fillId="0" borderId="69" xfId="0" applyNumberFormat="1" applyFont="1" applyBorder="1" applyAlignment="1">
      <alignment vertical="center"/>
    </xf>
    <xf numFmtId="2" fontId="0" fillId="0" borderId="0" xfId="0" applyNumberFormat="1" applyFont="1" applyAlignment="1">
      <alignment horizontal="center" vertical="center"/>
    </xf>
    <xf numFmtId="0" fontId="2" fillId="27" borderId="69" xfId="0" applyFont="1" applyFill="1" applyBorder="1" applyAlignment="1">
      <alignment vertical="center"/>
    </xf>
    <xf numFmtId="2" fontId="4" fillId="0" borderId="31" xfId="0" applyNumberFormat="1" applyFont="1" applyBorder="1" applyAlignment="1">
      <alignment horizontal="center" vertical="center"/>
    </xf>
    <xf numFmtId="167" fontId="4" fillId="0" borderId="0" xfId="0" applyNumberFormat="1" applyFont="1" applyFill="1" applyBorder="1" applyAlignment="1" applyProtection="1">
      <alignment horizontal="center" vertical="center"/>
      <protection locked="0"/>
    </xf>
    <xf numFmtId="177" fontId="4" fillId="0" borderId="0" xfId="0" applyNumberFormat="1" applyFont="1" applyFill="1" applyBorder="1" applyAlignment="1" applyProtection="1">
      <alignment horizontal="center" vertical="center"/>
      <protection locked="0"/>
    </xf>
    <xf numFmtId="2" fontId="0" fillId="28" borderId="77" xfId="0" applyNumberFormat="1" applyFont="1" applyFill="1" applyBorder="1" applyAlignment="1">
      <alignment horizontal="center" vertical="center"/>
    </xf>
    <xf numFmtId="180" fontId="5" fillId="0" borderId="76" xfId="0" applyNumberFormat="1" applyFont="1" applyBorder="1" applyAlignment="1">
      <alignment vertical="center"/>
    </xf>
    <xf numFmtId="180" fontId="5" fillId="0" borderId="0" xfId="0" applyNumberFormat="1" applyFont="1" applyAlignment="1">
      <alignment vertical="center"/>
    </xf>
    <xf numFmtId="178" fontId="2" fillId="29" borderId="3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28" borderId="68" xfId="0" applyFont="1" applyFill="1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14" fontId="2" fillId="0" borderId="0" xfId="0" applyNumberFormat="1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5" borderId="3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2" fillId="8" borderId="0" xfId="0" applyFont="1" applyFill="1" applyAlignment="1" applyProtection="1">
      <alignment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vertical="center"/>
      <protection locked="0"/>
    </xf>
    <xf numFmtId="166" fontId="2" fillId="0" borderId="0" xfId="0" applyNumberFormat="1" applyFont="1" applyAlignment="1" applyProtection="1">
      <alignment vertical="center"/>
      <protection locked="0"/>
    </xf>
    <xf numFmtId="167" fontId="2" fillId="0" borderId="0" xfId="0" applyNumberFormat="1" applyFont="1" applyAlignment="1" applyProtection="1">
      <alignment vertical="center"/>
      <protection locked="0"/>
    </xf>
    <xf numFmtId="16" fontId="2" fillId="5" borderId="3" xfId="0" applyNumberFormat="1" applyFont="1" applyFill="1" applyBorder="1" applyAlignment="1" applyProtection="1">
      <alignment vertical="center"/>
      <protection locked="0"/>
    </xf>
    <xf numFmtId="16" fontId="2" fillId="5" borderId="8" xfId="0" applyNumberFormat="1" applyFont="1" applyFill="1" applyBorder="1" applyAlignment="1" applyProtection="1">
      <alignment vertical="center"/>
      <protection locked="0"/>
    </xf>
    <xf numFmtId="0" fontId="4" fillId="0" borderId="8" xfId="0" applyFont="1" applyBorder="1" applyAlignment="1" applyProtection="1">
      <alignment vertical="center"/>
      <protection locked="0"/>
    </xf>
    <xf numFmtId="2" fontId="7" fillId="0" borderId="0" xfId="0" applyNumberFormat="1" applyFont="1" applyAlignment="1" applyProtection="1">
      <protection locked="0"/>
    </xf>
    <xf numFmtId="0" fontId="2" fillId="5" borderId="3" xfId="0" applyFont="1" applyFill="1" applyBorder="1" applyAlignment="1" applyProtection="1">
      <alignment vertical="center"/>
      <protection locked="0"/>
    </xf>
    <xf numFmtId="0" fontId="2" fillId="5" borderId="8" xfId="0" applyFont="1" applyFill="1" applyBorder="1" applyAlignment="1" applyProtection="1">
      <alignment vertical="center"/>
      <protection locked="0"/>
    </xf>
    <xf numFmtId="168" fontId="2" fillId="9" borderId="6" xfId="0" applyNumberFormat="1" applyFont="1" applyFill="1" applyBorder="1" applyAlignment="1" applyProtection="1">
      <alignment vertical="center"/>
      <protection locked="0"/>
    </xf>
    <xf numFmtId="168" fontId="4" fillId="10" borderId="18" xfId="0" applyNumberFormat="1" applyFont="1" applyFill="1" applyBorder="1" applyAlignment="1" applyProtection="1">
      <alignment vertical="center" wrapText="1"/>
      <protection locked="0"/>
    </xf>
    <xf numFmtId="0" fontId="5" fillId="11" borderId="19" xfId="0" applyFont="1" applyFill="1" applyBorder="1" applyAlignment="1" applyProtection="1">
      <alignment vertical="center" wrapText="1"/>
      <protection locked="0"/>
    </xf>
    <xf numFmtId="169" fontId="4" fillId="5" borderId="3" xfId="0" applyNumberFormat="1" applyFont="1" applyFill="1" applyBorder="1" applyAlignment="1" applyProtection="1">
      <alignment horizontal="center" vertical="center"/>
      <protection locked="0"/>
    </xf>
    <xf numFmtId="169" fontId="4" fillId="5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vertical="center"/>
      <protection locked="0"/>
    </xf>
    <xf numFmtId="0" fontId="4" fillId="5" borderId="8" xfId="0" applyFont="1" applyFill="1" applyBorder="1" applyAlignment="1" applyProtection="1">
      <alignment vertical="center"/>
      <protection locked="0"/>
    </xf>
    <xf numFmtId="170" fontId="7" fillId="0" borderId="0" xfId="0" applyNumberFormat="1" applyFont="1" applyAlignment="1" applyProtection="1"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2" fontId="4" fillId="5" borderId="3" xfId="0" applyNumberFormat="1" applyFont="1" applyFill="1" applyBorder="1" applyAlignment="1" applyProtection="1">
      <alignment horizontal="center" vertical="center"/>
      <protection locked="0"/>
    </xf>
    <xf numFmtId="2" fontId="4" fillId="5" borderId="8" xfId="0" applyNumberFormat="1" applyFont="1" applyFill="1" applyBorder="1" applyAlignment="1" applyProtection="1">
      <alignment horizontal="center" vertical="center"/>
      <protection locked="0"/>
    </xf>
    <xf numFmtId="0" fontId="4" fillId="9" borderId="0" xfId="0" applyFont="1" applyFill="1" applyAlignment="1" applyProtection="1">
      <alignment horizontal="center" vertical="center"/>
      <protection locked="0"/>
    </xf>
    <xf numFmtId="14" fontId="7" fillId="0" borderId="0" xfId="0" applyNumberFormat="1" applyFont="1" applyAlignment="1" applyProtection="1"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13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5" borderId="0" xfId="0" applyFont="1" applyFill="1" applyAlignment="1" applyProtection="1">
      <alignment horizontal="center" vertical="center"/>
      <protection locked="0"/>
    </xf>
    <xf numFmtId="167" fontId="2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9" borderId="3" xfId="0" applyFont="1" applyFill="1" applyBorder="1" applyAlignment="1" applyProtection="1">
      <alignment vertical="center"/>
      <protection locked="0"/>
    </xf>
    <xf numFmtId="0" fontId="2" fillId="9" borderId="24" xfId="0" applyFont="1" applyFill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171" fontId="2" fillId="0" borderId="3" xfId="0" applyNumberFormat="1" applyFont="1" applyBorder="1" applyAlignment="1" applyProtection="1">
      <alignment vertical="center"/>
      <protection locked="0"/>
    </xf>
    <xf numFmtId="172" fontId="2" fillId="0" borderId="3" xfId="0" applyNumberFormat="1" applyFont="1" applyBorder="1" applyAlignment="1" applyProtection="1">
      <alignment vertical="center"/>
      <protection locked="0"/>
    </xf>
    <xf numFmtId="0" fontId="8" fillId="0" borderId="0" xfId="0" applyFont="1" applyAlignment="1" applyProtection="1">
      <protection locked="0"/>
    </xf>
    <xf numFmtId="0" fontId="9" fillId="0" borderId="0" xfId="0" applyFont="1" applyAlignment="1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11" xfId="0" applyFont="1" applyBorder="1" applyAlignment="1" applyProtection="1">
      <alignment vertical="center"/>
      <protection locked="0"/>
    </xf>
    <xf numFmtId="0" fontId="10" fillId="2" borderId="3" xfId="0" applyFont="1" applyFill="1" applyBorder="1" applyAlignment="1" applyProtection="1">
      <protection locked="0"/>
    </xf>
    <xf numFmtId="169" fontId="7" fillId="0" borderId="0" xfId="0" applyNumberFormat="1" applyFont="1" applyAlignment="1" applyProtection="1">
      <protection locked="0"/>
    </xf>
    <xf numFmtId="14" fontId="8" fillId="0" borderId="3" xfId="0" applyNumberFormat="1" applyFont="1" applyBorder="1" applyAlignment="1" applyProtection="1">
      <protection locked="0"/>
    </xf>
    <xf numFmtId="14" fontId="8" fillId="0" borderId="8" xfId="0" applyNumberFormat="1" applyFont="1" applyBorder="1" applyAlignment="1" applyProtection="1">
      <protection locked="0"/>
    </xf>
    <xf numFmtId="9" fontId="2" fillId="0" borderId="0" xfId="0" applyNumberFormat="1" applyFont="1" applyAlignment="1" applyProtection="1">
      <alignment vertical="center"/>
      <protection locked="0"/>
    </xf>
    <xf numFmtId="20" fontId="11" fillId="9" borderId="0" xfId="0" applyNumberFormat="1" applyFont="1" applyFill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172" fontId="2" fillId="5" borderId="0" xfId="0" applyNumberFormat="1" applyFont="1" applyFill="1" applyAlignment="1" applyProtection="1">
      <alignment vertical="center"/>
      <protection locked="0"/>
    </xf>
    <xf numFmtId="169" fontId="5" fillId="0" borderId="0" xfId="0" applyNumberFormat="1" applyFont="1" applyAlignment="1" applyProtection="1">
      <alignment horizontal="center"/>
      <protection locked="0"/>
    </xf>
    <xf numFmtId="0" fontId="2" fillId="9" borderId="3" xfId="0" applyFont="1" applyFill="1" applyBorder="1" applyAlignment="1" applyProtection="1">
      <alignment horizontal="center" vertical="center"/>
      <protection locked="0"/>
    </xf>
    <xf numFmtId="174" fontId="2" fillId="0" borderId="3" xfId="0" applyNumberFormat="1" applyFont="1" applyBorder="1" applyAlignment="1" applyProtection="1">
      <alignment horizontal="center" vertical="center"/>
      <protection locked="0"/>
    </xf>
    <xf numFmtId="174" fontId="2" fillId="9" borderId="11" xfId="0" applyNumberFormat="1" applyFont="1" applyFill="1" applyBorder="1" applyAlignment="1" applyProtection="1">
      <alignment vertical="center"/>
      <protection locked="0"/>
    </xf>
    <xf numFmtId="174" fontId="2" fillId="0" borderId="0" xfId="0" applyNumberFormat="1" applyFont="1" applyAlignment="1" applyProtection="1">
      <alignment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14" fontId="32" fillId="0" borderId="69" xfId="0" applyNumberFormat="1" applyFont="1" applyBorder="1" applyAlignment="1" applyProtection="1">
      <alignment vertical="center"/>
      <protection locked="0"/>
    </xf>
    <xf numFmtId="3" fontId="2" fillId="0" borderId="0" xfId="0" applyNumberFormat="1" applyFont="1" applyAlignment="1" applyProtection="1">
      <alignment vertical="center"/>
      <protection locked="0"/>
    </xf>
    <xf numFmtId="16" fontId="0" fillId="0" borderId="69" xfId="0" applyNumberFormat="1" applyBorder="1" applyAlignment="1" applyProtection="1">
      <alignment vertical="center"/>
      <protection locked="0"/>
    </xf>
    <xf numFmtId="14" fontId="0" fillId="0" borderId="69" xfId="0" applyNumberFormat="1" applyBorder="1" applyAlignment="1" applyProtection="1">
      <alignment vertical="center"/>
      <protection locked="0"/>
    </xf>
    <xf numFmtId="175" fontId="2" fillId="0" borderId="0" xfId="0" applyNumberFormat="1" applyFont="1" applyAlignment="1" applyProtection="1">
      <alignment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20" borderId="8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176" fontId="2" fillId="0" borderId="0" xfId="0" applyNumberFormat="1" applyFont="1" applyBorder="1" applyAlignment="1" applyProtection="1">
      <alignment vertical="center"/>
      <protection locked="0"/>
    </xf>
    <xf numFmtId="176" fontId="2" fillId="0" borderId="25" xfId="0" applyNumberFormat="1" applyFont="1" applyBorder="1" applyAlignment="1" applyProtection="1">
      <alignment vertical="center"/>
      <protection locked="0"/>
    </xf>
    <xf numFmtId="0" fontId="31" fillId="0" borderId="74" xfId="0" applyFont="1" applyFill="1" applyBorder="1" applyAlignment="1" applyProtection="1">
      <alignment horizontal="center" vertical="center"/>
    </xf>
    <xf numFmtId="0" fontId="31" fillId="0" borderId="78" xfId="0" applyFont="1" applyFill="1" applyBorder="1" applyAlignment="1" applyProtection="1">
      <alignment horizontal="center" vertical="center"/>
    </xf>
    <xf numFmtId="178" fontId="5" fillId="0" borderId="37" xfId="0" applyNumberFormat="1" applyFont="1" applyBorder="1" applyAlignment="1">
      <alignment horizontal="center" vertical="top"/>
    </xf>
    <xf numFmtId="0" fontId="5" fillId="0" borderId="0" xfId="0" applyNumberFormat="1" applyFont="1" applyAlignment="1">
      <alignment horizontal="center" vertical="center"/>
    </xf>
    <xf numFmtId="171" fontId="4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180" fontId="5" fillId="0" borderId="0" xfId="0" applyNumberFormat="1" applyFont="1" applyAlignment="1">
      <alignment horizontal="center" vertical="center"/>
    </xf>
    <xf numFmtId="178" fontId="27" fillId="8" borderId="43" xfId="0" applyNumberFormat="1" applyFont="1" applyFill="1" applyBorder="1" applyAlignment="1">
      <alignment vertical="center"/>
    </xf>
    <xf numFmtId="178" fontId="27" fillId="8" borderId="34" xfId="0" applyNumberFormat="1" applyFont="1" applyFill="1" applyBorder="1" applyAlignment="1">
      <alignment vertical="center"/>
    </xf>
    <xf numFmtId="178" fontId="27" fillId="8" borderId="35" xfId="0" applyNumberFormat="1" applyFont="1" applyFill="1" applyBorder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71" fontId="4" fillId="0" borderId="11" xfId="0" applyNumberFormat="1" applyFont="1" applyBorder="1" applyAlignment="1">
      <alignment horizontal="center" vertical="center"/>
    </xf>
    <xf numFmtId="180" fontId="5" fillId="0" borderId="0" xfId="0" applyNumberFormat="1" applyFont="1" applyAlignment="1">
      <alignment horizontal="center" vertical="center"/>
    </xf>
    <xf numFmtId="174" fontId="2" fillId="0" borderId="3" xfId="0" applyNumberFormat="1" applyFont="1" applyBorder="1" applyAlignment="1">
      <alignment horizontal="center" vertical="center"/>
    </xf>
    <xf numFmtId="174" fontId="2" fillId="0" borderId="0" xfId="0" applyNumberFormat="1" applyFont="1" applyAlignment="1" applyProtection="1">
      <alignment horizontal="center" vertical="center"/>
      <protection locked="0"/>
    </xf>
    <xf numFmtId="14" fontId="32" fillId="0" borderId="88" xfId="0" applyNumberFormat="1" applyFont="1" applyBorder="1" applyAlignment="1" applyProtection="1">
      <alignment vertical="center"/>
      <protection locked="0"/>
    </xf>
    <xf numFmtId="14" fontId="32" fillId="0" borderId="89" xfId="0" applyNumberFormat="1" applyFont="1" applyBorder="1" applyAlignment="1" applyProtection="1">
      <alignment vertical="center"/>
      <protection locked="0"/>
    </xf>
    <xf numFmtId="14" fontId="32" fillId="0" borderId="90" xfId="0" applyNumberFormat="1" applyFont="1" applyBorder="1" applyAlignment="1" applyProtection="1">
      <alignment vertical="center"/>
      <protection locked="0"/>
    </xf>
    <xf numFmtId="188" fontId="31" fillId="0" borderId="0" xfId="0" applyNumberFormat="1" applyFont="1" applyFill="1" applyBorder="1" applyAlignment="1" applyProtection="1">
      <alignment horizontal="center"/>
      <protection locked="0"/>
    </xf>
    <xf numFmtId="0" fontId="30" fillId="0" borderId="0" xfId="0" applyFont="1" applyFill="1" applyBorder="1" applyAlignment="1" applyProtection="1">
      <alignment horizontal="center" vertical="center"/>
      <protection locked="0"/>
    </xf>
    <xf numFmtId="2" fontId="31" fillId="0" borderId="0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 applyProtection="1">
      <alignment vertical="center"/>
      <protection locked="0"/>
    </xf>
    <xf numFmtId="2" fontId="4" fillId="9" borderId="11" xfId="0" applyNumberFormat="1" applyFont="1" applyFill="1" applyBorder="1" applyAlignment="1" applyProtection="1">
      <alignment horizontal="center" vertical="center"/>
      <protection locked="0"/>
    </xf>
    <xf numFmtId="20" fontId="2" fillId="0" borderId="93" xfId="0" applyNumberFormat="1" applyFont="1" applyFill="1" applyBorder="1" applyAlignment="1" applyProtection="1">
      <alignment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189" fontId="3" fillId="2" borderId="2" xfId="0" applyNumberFormat="1" applyFont="1" applyFill="1" applyBorder="1" applyAlignment="1" applyProtection="1">
      <alignment horizontal="center" vertical="center"/>
    </xf>
    <xf numFmtId="0" fontId="2" fillId="27" borderId="69" xfId="0" quotePrefix="1" applyFont="1" applyFill="1" applyBorder="1" applyAlignment="1">
      <alignment vertical="center"/>
    </xf>
    <xf numFmtId="2" fontId="5" fillId="0" borderId="26" xfId="0" applyNumberFormat="1" applyFont="1" applyBorder="1" applyAlignment="1">
      <alignment vertical="center"/>
    </xf>
    <xf numFmtId="2" fontId="5" fillId="0" borderId="3" xfId="0" applyNumberFormat="1" applyFont="1" applyBorder="1" applyAlignment="1">
      <alignment vertical="center"/>
    </xf>
    <xf numFmtId="0" fontId="2" fillId="0" borderId="62" xfId="0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0" fontId="5" fillId="0" borderId="29" xfId="0" applyFont="1" applyBorder="1" applyAlignment="1">
      <alignment vertical="top"/>
    </xf>
    <xf numFmtId="0" fontId="5" fillId="0" borderId="30" xfId="0" applyFont="1" applyBorder="1" applyAlignment="1">
      <alignment vertical="top"/>
    </xf>
    <xf numFmtId="0" fontId="2" fillId="0" borderId="33" xfId="0" applyFont="1" applyBorder="1" applyAlignment="1">
      <alignment vertical="center"/>
    </xf>
    <xf numFmtId="2" fontId="5" fillId="0" borderId="63" xfId="0" applyNumberFormat="1" applyFont="1" applyBorder="1" applyAlignment="1">
      <alignment vertical="center"/>
    </xf>
    <xf numFmtId="2" fontId="5" fillId="0" borderId="64" xfId="0" applyNumberFormat="1" applyFont="1" applyBorder="1" applyAlignment="1">
      <alignment vertical="center"/>
    </xf>
    <xf numFmtId="0" fontId="35" fillId="0" borderId="0" xfId="0" applyFont="1" applyAlignment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42" xfId="0" applyNumberFormat="1" applyFont="1" applyBorder="1" applyAlignment="1" applyProtection="1">
      <alignment horizontal="center" vertical="center"/>
      <protection locked="0"/>
    </xf>
    <xf numFmtId="1" fontId="4" fillId="0" borderId="5" xfId="0" applyNumberFormat="1" applyFont="1" applyBorder="1" applyAlignment="1" applyProtection="1">
      <alignment horizontal="center" vertical="center"/>
      <protection locked="0"/>
    </xf>
    <xf numFmtId="0" fontId="33" fillId="30" borderId="85" xfId="0" applyFont="1" applyFill="1" applyBorder="1" applyAlignment="1" applyProtection="1">
      <alignment horizontal="center" vertical="center"/>
    </xf>
    <xf numFmtId="0" fontId="33" fillId="30" borderId="86" xfId="0" applyFont="1" applyFill="1" applyBorder="1" applyAlignment="1" applyProtection="1">
      <alignment horizontal="center" vertical="center"/>
    </xf>
    <xf numFmtId="0" fontId="33" fillId="30" borderId="87" xfId="0" applyFont="1" applyFill="1" applyBorder="1" applyAlignment="1" applyProtection="1">
      <alignment horizontal="center" vertical="center"/>
    </xf>
    <xf numFmtId="1" fontId="12" fillId="0" borderId="8" xfId="0" applyNumberFormat="1" applyFont="1" applyBorder="1" applyAlignment="1">
      <alignment horizontal="center" vertical="center"/>
    </xf>
    <xf numFmtId="1" fontId="12" fillId="0" borderId="5" xfId="0" applyNumberFormat="1" applyFont="1" applyBorder="1" applyAlignment="1">
      <alignment horizontal="center" vertical="center"/>
    </xf>
    <xf numFmtId="178" fontId="5" fillId="0" borderId="3" xfId="0" applyNumberFormat="1" applyFont="1" applyBorder="1" applyAlignment="1">
      <alignment horizontal="center" vertical="center"/>
    </xf>
    <xf numFmtId="180" fontId="0" fillId="0" borderId="46" xfId="0" applyNumberFormat="1" applyFont="1" applyBorder="1" applyAlignment="1">
      <alignment horizontal="center" vertical="center"/>
    </xf>
    <xf numFmtId="180" fontId="0" fillId="0" borderId="47" xfId="0" applyNumberFormat="1" applyFont="1" applyBorder="1" applyAlignment="1">
      <alignment horizontal="center" vertical="center"/>
    </xf>
    <xf numFmtId="180" fontId="0" fillId="0" borderId="67" xfId="0" applyNumberFormat="1" applyFont="1" applyBorder="1" applyAlignment="1">
      <alignment horizontal="center" vertical="center"/>
    </xf>
    <xf numFmtId="180" fontId="0" fillId="0" borderId="82" xfId="0" applyNumberFormat="1" applyFont="1" applyBorder="1" applyAlignment="1">
      <alignment horizontal="center" vertical="center"/>
    </xf>
    <xf numFmtId="180" fontId="0" fillId="0" borderId="83" xfId="0" applyNumberFormat="1" applyFont="1" applyBorder="1" applyAlignment="1">
      <alignment horizontal="center" vertical="center"/>
    </xf>
    <xf numFmtId="180" fontId="0" fillId="0" borderId="84" xfId="0" applyNumberFormat="1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16" fillId="0" borderId="48" xfId="0" applyNumberFormat="1" applyFont="1" applyBorder="1" applyAlignment="1">
      <alignment horizontal="center" vertical="center"/>
    </xf>
    <xf numFmtId="2" fontId="16" fillId="0" borderId="39" xfId="0" applyNumberFormat="1" applyFont="1" applyBorder="1" applyAlignment="1">
      <alignment horizontal="center" vertical="center"/>
    </xf>
    <xf numFmtId="0" fontId="2" fillId="26" borderId="8" xfId="0" applyFont="1" applyFill="1" applyBorder="1" applyAlignment="1">
      <alignment horizontal="center" vertical="center"/>
    </xf>
    <xf numFmtId="0" fontId="2" fillId="26" borderId="11" xfId="0" applyFont="1" applyFill="1" applyBorder="1" applyAlignment="1">
      <alignment horizontal="center" vertical="center"/>
    </xf>
    <xf numFmtId="0" fontId="15" fillId="31" borderId="57" xfId="0" applyFont="1" applyFill="1" applyBorder="1" applyAlignment="1">
      <alignment horizontal="center" vertical="center"/>
    </xf>
    <xf numFmtId="0" fontId="15" fillId="31" borderId="36" xfId="0" applyFont="1" applyFill="1" applyBorder="1" applyAlignment="1">
      <alignment horizontal="center" vertical="center"/>
    </xf>
    <xf numFmtId="0" fontId="15" fillId="31" borderId="58" xfId="0" applyFont="1" applyFill="1" applyBorder="1" applyAlignment="1">
      <alignment horizontal="center" vertical="center"/>
    </xf>
    <xf numFmtId="0" fontId="15" fillId="31" borderId="59" xfId="0" applyFont="1" applyFill="1" applyBorder="1" applyAlignment="1">
      <alignment horizontal="center" vertical="center"/>
    </xf>
    <xf numFmtId="0" fontId="15" fillId="31" borderId="60" xfId="0" applyFont="1" applyFill="1" applyBorder="1" applyAlignment="1">
      <alignment horizontal="center" vertical="center"/>
    </xf>
    <xf numFmtId="0" fontId="15" fillId="31" borderId="61" xfId="0" applyFont="1" applyFill="1" applyBorder="1" applyAlignment="1">
      <alignment horizontal="center" vertical="center"/>
    </xf>
    <xf numFmtId="178" fontId="16" fillId="0" borderId="36" xfId="0" applyNumberFormat="1" applyFont="1" applyBorder="1" applyAlignment="1">
      <alignment horizontal="center" vertical="center"/>
    </xf>
    <xf numFmtId="178" fontId="16" fillId="0" borderId="6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172" fontId="2" fillId="0" borderId="36" xfId="0" applyNumberFormat="1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180" fontId="5" fillId="0" borderId="4" xfId="0" applyNumberFormat="1" applyFont="1" applyBorder="1" applyAlignment="1">
      <alignment horizontal="center" vertical="center"/>
    </xf>
    <xf numFmtId="180" fontId="5" fillId="0" borderId="0" xfId="0" applyNumberFormat="1" applyFont="1" applyBorder="1" applyAlignment="1">
      <alignment horizontal="center" vertical="center"/>
    </xf>
    <xf numFmtId="180" fontId="5" fillId="0" borderId="45" xfId="0" applyNumberFormat="1" applyFont="1" applyBorder="1" applyAlignment="1">
      <alignment horizontal="center" vertical="center"/>
    </xf>
    <xf numFmtId="174" fontId="2" fillId="0" borderId="79" xfId="0" applyNumberFormat="1" applyFont="1" applyBorder="1" applyAlignment="1">
      <alignment horizontal="center" vertical="center"/>
    </xf>
    <xf numFmtId="174" fontId="2" fillId="0" borderId="80" xfId="0" applyNumberFormat="1" applyFont="1" applyBorder="1" applyAlignment="1">
      <alignment horizontal="center" vertical="center"/>
    </xf>
    <xf numFmtId="174" fontId="2" fillId="0" borderId="8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9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9" borderId="6" xfId="0" applyFont="1" applyFill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50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78" fontId="2" fillId="0" borderId="4" xfId="0" applyNumberFormat="1" applyFont="1" applyFill="1" applyBorder="1" applyAlignment="1" applyProtection="1">
      <alignment horizontal="center" vertical="center"/>
      <protection locked="0"/>
    </xf>
    <xf numFmtId="178" fontId="2" fillId="0" borderId="0" xfId="0" applyNumberFormat="1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172" fontId="2" fillId="0" borderId="4" xfId="0" applyNumberFormat="1" applyFont="1" applyFill="1" applyBorder="1" applyAlignment="1" applyProtection="1">
      <alignment horizontal="center" vertical="center"/>
      <protection locked="0"/>
    </xf>
    <xf numFmtId="172" fontId="2" fillId="0" borderId="0" xfId="0" applyNumberFormat="1" applyFont="1" applyFill="1" applyBorder="1" applyAlignment="1" applyProtection="1">
      <alignment horizontal="center" vertical="center"/>
      <protection locked="0"/>
    </xf>
    <xf numFmtId="20" fontId="2" fillId="19" borderId="91" xfId="0" applyNumberFormat="1" applyFont="1" applyFill="1" applyBorder="1" applyAlignment="1" applyProtection="1">
      <alignment horizontal="center" vertical="center"/>
      <protection locked="0"/>
    </xf>
    <xf numFmtId="20" fontId="2" fillId="19" borderId="49" xfId="0" applyNumberFormat="1" applyFont="1" applyFill="1" applyBorder="1" applyAlignment="1" applyProtection="1">
      <alignment horizontal="center" vertical="center"/>
      <protection locked="0"/>
    </xf>
    <xf numFmtId="20" fontId="2" fillId="0" borderId="92" xfId="0" applyNumberFormat="1" applyFont="1" applyFill="1" applyBorder="1" applyAlignment="1" applyProtection="1">
      <alignment horizontal="center" vertical="center"/>
      <protection locked="0"/>
    </xf>
    <xf numFmtId="2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86" fontId="5" fillId="0" borderId="55" xfId="0" applyNumberFormat="1" applyFont="1" applyBorder="1" applyAlignment="1" applyProtection="1">
      <alignment horizontal="center" vertical="center"/>
      <protection locked="0"/>
    </xf>
    <xf numFmtId="186" fontId="5" fillId="0" borderId="56" xfId="0" applyNumberFormat="1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5" fillId="0" borderId="43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2" fillId="0" borderId="51" xfId="0" applyFont="1" applyBorder="1" applyAlignment="1" applyProtection="1">
      <alignment horizontal="center" vertical="center"/>
      <protection locked="0"/>
    </xf>
    <xf numFmtId="0" fontId="2" fillId="9" borderId="4" xfId="0" applyFont="1" applyFill="1" applyBorder="1" applyAlignment="1" applyProtection="1">
      <alignment horizontal="center" vertical="center"/>
      <protection locked="0"/>
    </xf>
    <xf numFmtId="0" fontId="2" fillId="9" borderId="0" xfId="0" applyFont="1" applyFill="1" applyAlignment="1" applyProtection="1">
      <alignment horizontal="center" vertical="center"/>
      <protection locked="0"/>
    </xf>
    <xf numFmtId="0" fontId="2" fillId="9" borderId="52" xfId="0" applyFont="1" applyFill="1" applyBorder="1" applyAlignment="1" applyProtection="1">
      <alignment horizontal="center" vertical="center"/>
      <protection locked="0"/>
    </xf>
    <xf numFmtId="0" fontId="2" fillId="9" borderId="7" xfId="0" applyFont="1" applyFill="1" applyBorder="1" applyAlignment="1" applyProtection="1">
      <alignment horizontal="center" vertical="center"/>
      <protection locked="0"/>
    </xf>
    <xf numFmtId="0" fontId="5" fillId="9" borderId="25" xfId="0" applyFont="1" applyFill="1" applyBorder="1" applyAlignment="1" applyProtection="1">
      <alignment horizontal="center" vertical="center"/>
      <protection locked="0"/>
    </xf>
    <xf numFmtId="187" fontId="12" fillId="0" borderId="3" xfId="0" applyNumberFormat="1" applyFont="1" applyBorder="1" applyAlignment="1" applyProtection="1">
      <alignment horizontal="center" vertical="center"/>
      <protection locked="0"/>
    </xf>
    <xf numFmtId="186" fontId="5" fillId="0" borderId="53" xfId="0" applyNumberFormat="1" applyFont="1" applyBorder="1" applyAlignment="1" applyProtection="1">
      <alignment horizontal="center" vertical="center"/>
      <protection locked="0"/>
    </xf>
    <xf numFmtId="186" fontId="5" fillId="0" borderId="54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11" borderId="2" xfId="0" applyFont="1" applyFill="1" applyBorder="1" applyAlignment="1" applyProtection="1">
      <alignment horizontal="center" vertical="center"/>
      <protection locked="0"/>
    </xf>
    <xf numFmtId="0" fontId="2" fillId="11" borderId="3" xfId="0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2" fillId="0" borderId="74" xfId="0" applyFont="1" applyBorder="1" applyAlignment="1" applyProtection="1">
      <alignment horizontal="center" vertical="center"/>
      <protection locked="0"/>
    </xf>
    <xf numFmtId="0" fontId="2" fillId="0" borderId="75" xfId="0" applyFont="1" applyBorder="1" applyAlignment="1" applyProtection="1">
      <alignment horizontal="center" vertical="center"/>
      <protection locked="0"/>
    </xf>
    <xf numFmtId="0" fontId="2" fillId="0" borderId="73" xfId="0" applyFont="1" applyBorder="1" applyAlignment="1" applyProtection="1">
      <alignment horizontal="center" vertical="center"/>
      <protection locked="0"/>
    </xf>
    <xf numFmtId="0" fontId="2" fillId="9" borderId="8" xfId="0" applyFont="1" applyFill="1" applyBorder="1" applyAlignment="1" applyProtection="1">
      <alignment horizontal="center" vertical="center"/>
      <protection locked="0"/>
    </xf>
    <xf numFmtId="0" fontId="2" fillId="9" borderId="54" xfId="0" applyFont="1" applyFill="1" applyBorder="1" applyAlignment="1" applyProtection="1">
      <alignment horizontal="center" vertical="center"/>
      <protection locked="0"/>
    </xf>
    <xf numFmtId="0" fontId="8" fillId="9" borderId="7" xfId="0" applyFont="1" applyFill="1" applyBorder="1" applyAlignment="1" applyProtection="1">
      <alignment horizontal="center" vertical="center"/>
      <protection locked="0"/>
    </xf>
    <xf numFmtId="0" fontId="8" fillId="9" borderId="25" xfId="0" applyFont="1" applyFill="1" applyBorder="1" applyAlignment="1" applyProtection="1">
      <alignment horizontal="center" vertical="center"/>
      <protection locked="0"/>
    </xf>
    <xf numFmtId="0" fontId="8" fillId="9" borderId="24" xfId="0" applyFont="1" applyFill="1" applyBorder="1" applyAlignment="1" applyProtection="1">
      <alignment horizontal="center" vertical="center"/>
      <protection locked="0"/>
    </xf>
    <xf numFmtId="0" fontId="8" fillId="9" borderId="43" xfId="0" applyFont="1" applyFill="1" applyBorder="1" applyAlignment="1" applyProtection="1">
      <alignment horizontal="center" vertical="center"/>
      <protection locked="0"/>
    </xf>
    <xf numFmtId="0" fontId="8" fillId="9" borderId="34" xfId="0" applyFont="1" applyFill="1" applyBorder="1" applyAlignment="1" applyProtection="1">
      <alignment horizontal="center" vertical="center"/>
      <protection locked="0"/>
    </xf>
    <xf numFmtId="0" fontId="8" fillId="9" borderId="35" xfId="0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173" fontId="2" fillId="0" borderId="3" xfId="0" applyNumberFormat="1" applyFont="1" applyBorder="1" applyAlignment="1" applyProtection="1">
      <alignment horizontal="center" vertical="center"/>
      <protection locked="0"/>
    </xf>
    <xf numFmtId="0" fontId="2" fillId="9" borderId="41" xfId="0" applyFont="1" applyFill="1" applyBorder="1" applyAlignment="1" applyProtection="1">
      <alignment horizontal="center" vertical="center"/>
      <protection locked="0"/>
    </xf>
    <xf numFmtId="0" fontId="2" fillId="9" borderId="19" xfId="0" applyFont="1" applyFill="1" applyBorder="1" applyAlignment="1" applyProtection="1">
      <alignment horizontal="center" vertical="center"/>
      <protection locked="0"/>
    </xf>
    <xf numFmtId="0" fontId="28" fillId="0" borderId="3" xfId="0" applyFont="1" applyBorder="1" applyAlignment="1" applyProtection="1">
      <alignment horizontal="center" vertical="center"/>
      <protection locked="0"/>
    </xf>
    <xf numFmtId="0" fontId="17" fillId="23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17" fillId="9" borderId="0" xfId="0" applyFont="1" applyFill="1" applyAlignment="1">
      <alignment horizontal="left" vertical="center"/>
    </xf>
    <xf numFmtId="0" fontId="20" fillId="0" borderId="4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0" fillId="0" borderId="65" xfId="0" applyFont="1" applyBorder="1" applyAlignment="1">
      <alignment horizontal="center"/>
    </xf>
    <xf numFmtId="0" fontId="20" fillId="0" borderId="60" xfId="0" applyFont="1" applyBorder="1" applyAlignment="1">
      <alignment horizontal="center"/>
    </xf>
    <xf numFmtId="0" fontId="19" fillId="19" borderId="6" xfId="0" applyFont="1" applyFill="1" applyBorder="1" applyAlignment="1">
      <alignment horizontal="center" vertical="center"/>
    </xf>
    <xf numFmtId="0" fontId="19" fillId="19" borderId="2" xfId="0" applyFont="1" applyFill="1" applyBorder="1" applyAlignment="1">
      <alignment horizontal="center" vertical="center"/>
    </xf>
  </cellXfs>
  <cellStyles count="5">
    <cellStyle name="Milliers 2" xfId="4" xr:uid="{00000000-0005-0000-0000-000000000000}"/>
    <cellStyle name="Normal" xfId="0" builtinId="0"/>
    <cellStyle name="Normal 2" xfId="2" xr:uid="{00000000-0005-0000-0000-000002000000}"/>
    <cellStyle name="Normal 2 2" xfId="1" xr:uid="{00000000-0005-0000-0000-000003000000}"/>
    <cellStyle name="Normal 3" xfId="3" xr:uid="{00000000-0005-0000-0000-000004000000}"/>
  </cellStyles>
  <dxfs count="522"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ont>
        <b/>
        <i val="0"/>
        <sz val="10"/>
        <color rgb="FF000000"/>
      </font>
      <fill>
        <patternFill patternType="solid">
          <bgColor rgb="FFFFCC99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339966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m/d/yyyy"/>
      <alignment horizontal="general" vertical="center" textRotation="0" wrapText="0" relativeIndent="0" justifyLastLine="0" shrinkToFit="0" readingOrder="0"/>
      <border diagonalUp="0" diagonalDown="0">
        <left/>
        <right/>
        <top style="thick">
          <color auto="1"/>
        </top>
        <bottom style="thick">
          <color auto="1"/>
        </bottom>
        <vertical/>
        <horizontal/>
      </border>
      <protection locked="0" hidden="0"/>
    </dxf>
    <dxf>
      <border outline="0">
        <top style="thick">
          <color auto="1"/>
        </top>
      </border>
    </dxf>
    <dxf>
      <border outline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relativeIndent="0" justifyLastLine="0" shrinkToFit="0" readingOrder="0"/>
      <protection locked="0" hidden="0"/>
    </dxf>
    <dxf>
      <border outline="0"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m/d/yyyy"/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relativeIndent="0" justifyLastLine="0" shrinkToFit="0" readingOrder="0"/>
      <protection locked="0" hidden="0"/>
    </dxf>
    <dxf>
      <fill>
        <patternFill patternType="solid">
          <bgColor rgb="FF339966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339966"/>
        </patternFill>
      </fill>
    </dxf>
    <dxf>
      <fill>
        <patternFill>
          <bgColor rgb="FF333399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7030A0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rgb="FF00B0F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rgb="FF7030A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FF00"/>
        </patternFill>
      </fill>
    </dxf>
    <dxf>
      <fill>
        <patternFill patternType="solid">
          <bgColor rgb="FFFFCC99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  <dxf>
      <fill>
        <patternFill>
          <bgColor rgb="FF0066CC"/>
        </patternFill>
      </fill>
    </dxf>
    <dxf>
      <fill>
        <patternFill>
          <bgColor rgb="FF7030A0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339966"/>
        </patternFill>
      </fill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 patternType="solid">
          <bgColor rgb="FF0066CC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0066CC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 patternType="solid">
          <bgColor rgb="FFFF0000"/>
        </patternFill>
      </fill>
    </dxf>
    <dxf>
      <fill>
        <patternFill>
          <bgColor rgb="FF333399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cs typeface="+mn-cs"/>
              </a:defRPr>
            </a:pPr>
            <a:r>
              <a:rPr lang="fr-FR" altLang="fr-FR"/>
              <a:t>recap annee</a:t>
            </a:r>
          </a:p>
        </c:rich>
      </c:tx>
      <c:overlay val="0"/>
      <c:spPr>
        <a:noFill/>
        <a:ln w="3175">
          <a:noFill/>
        </a:ln>
      </c:spPr>
    </c:title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  <c:explosion val="26"/>
            <c:spPr>
              <a:solidFill>
                <a:srgbClr val="538DD3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0-B27F-4BC5-A36C-FE166252A5DD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B27F-4BC5-A36C-FE166252A5DD}"/>
              </c:ext>
            </c:extLst>
          </c:dPt>
          <c:dPt>
            <c:idx val="2"/>
            <c:bubble3D val="0"/>
            <c:spPr>
              <a:solidFill>
                <a:srgbClr val="0C0C0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B27F-4BC5-A36C-FE166252A5DD}"/>
              </c:ext>
            </c:extLst>
          </c:dPt>
          <c:dPt>
            <c:idx val="3"/>
            <c:bubble3D val="0"/>
            <c:spPr>
              <a:solidFill>
                <a:srgbClr val="8064A2"/>
              </a:solidFill>
              <a:ln w="12700">
                <a:solidFill>
                  <a:srgbClr val="FF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B27F-4BC5-A36C-FE166252A5DD}"/>
              </c:ext>
            </c:extLst>
          </c:dPt>
          <c:dLbls>
            <c:dLbl>
              <c:idx val="1"/>
              <c:layout>
                <c:manualLayout>
                  <c:x val="-9.2305227026176884E-2"/>
                  <c:y val="0.12014271971763379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27F-4BC5-A36C-FE166252A5DD}"/>
                </c:ext>
              </c:extLst>
            </c:dLbl>
            <c:dLbl>
              <c:idx val="2"/>
              <c:layout>
                <c:manualLayout>
                  <c:x val="-6.0264409532974792E-3"/>
                  <c:y val="1.641556786876984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27F-4BC5-A36C-FE166252A5DD}"/>
                </c:ext>
              </c:extLst>
            </c:dLbl>
            <c:dLbl>
              <c:idx val="4"/>
              <c:layout>
                <c:manualLayout>
                  <c:x val="0.20146828927844349"/>
                  <c:y val="8.284762786552268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27F-4BC5-A36C-FE166252A5DD}"/>
                </c:ext>
              </c:extLst>
            </c:dLbl>
            <c:spPr>
              <a:noFill/>
              <a:ln w="3175">
                <a:noFill/>
              </a:ln>
            </c:spPr>
            <c:txPr>
              <a:bodyPr rot="0" vert="horz"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 </c:separator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Données!$D$65:$D$69</c:f>
              <c:strCache>
                <c:ptCount val="5"/>
                <c:pt idx="0">
                  <c:v>NBS DE JOUR TRAVAILLER DANS L'ANNEE :</c:v>
                </c:pt>
                <c:pt idx="1">
                  <c:v>NBS DE JOURS DE CONGES :</c:v>
                </c:pt>
                <c:pt idx="2">
                  <c:v>NBS DE JOURS RESTANTS A TRVAILLER :</c:v>
                </c:pt>
                <c:pt idx="3">
                  <c:v>maladie :</c:v>
                </c:pt>
                <c:pt idx="4">
                  <c:v>repos :</c:v>
                </c:pt>
              </c:strCache>
            </c:strRef>
          </c:cat>
          <c:val>
            <c:numRef>
              <c:f>Données!$J$65:$J$68</c:f>
              <c:numCache>
                <c:formatCode>0\ "jours"</c:formatCode>
                <c:ptCount val="4"/>
                <c:pt idx="0">
                  <c:v>0</c:v>
                </c:pt>
                <c:pt idx="1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95-334A-8572-0CF2E73BAC48}"/>
            </c:ext>
          </c:extLst>
        </c:ser>
        <c:ser>
          <c:idx val="1"/>
          <c:order val="1"/>
          <c:tx>
            <c:strRef>
              <c:f>Données!$D$69</c:f>
              <c:strCache>
                <c:ptCount val="1"/>
                <c:pt idx="0">
                  <c:v>repos :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12700">
                <a:noFill/>
              </a:ln>
            </c:spPr>
            <c:txPr>
              <a:bodyPr rot="0" vert="horz"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,</c:separator>
            <c:showLeaderLines val="1"/>
            <c:leaderLines>
              <c:spPr>
                <a:ln w="3175">
                  <a:solidFill>
                    <a:srgbClr val="000000"/>
                  </a:solidFill>
                  <a:prstDash val="solid"/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Données!$J$68</c:f>
              <c:numCache>
                <c:formatCode>0\ "jours"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95-334A-8572-0CF2E73BA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solidFill>
          <a:srgbClr val="FFFFFF">
            <a:alpha val="0"/>
          </a:srgbClr>
        </a:solidFill>
        <a:ln w="3175">
          <a:noFill/>
        </a:ln>
      </c:spPr>
    </c:plotArea>
    <c:plotVisOnly val="0"/>
    <c:dispBlanksAs val="zero"/>
    <c:showDLblsOverMax val="0"/>
  </c:chart>
  <c:spPr>
    <a:solidFill>
      <a:srgbClr val="FFFFFF"/>
    </a:solidFill>
    <a:ln w="3175">
      <a:solidFill>
        <a:srgbClr val="868686"/>
      </a:solidFill>
      <a:prstDash val="solid"/>
    </a:ln>
  </c:spPr>
  <c:txPr>
    <a:bodyPr rot="0" vert="horz"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85</xdr:row>
      <xdr:rowOff>135131</xdr:rowOff>
    </xdr:from>
    <xdr:to>
      <xdr:col>8</xdr:col>
      <xdr:colOff>677731</xdr:colOff>
      <xdr:row>119</xdr:row>
      <xdr:rowOff>0</xdr:rowOff>
    </xdr:to>
    <xdr:graphicFrame macro="">
      <xdr:nvGraphicFramePr>
        <xdr:cNvPr id="1025" name="Chart 1025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NNEE" displayName="ANNEE" ref="U77:U101" totalsRowShown="0" headerRowDxfId="490" dataDxfId="489">
  <autoFilter ref="U77:U101" xr:uid="{00000000-0009-0000-0100-000001000000}"/>
  <tableColumns count="1">
    <tableColumn id="1" xr3:uid="{00000000-0010-0000-0000-000001000000}" name="ANNEE" dataDxfId="48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lanning_decoupe_abattage" displayName="planning_decoupe_abattage" ref="R76:R113" totalsRowShown="0" headerRowDxfId="487" dataDxfId="485" headerRowBorderDxfId="486" tableBorderDxfId="484" totalsRowBorderDxfId="483">
  <autoFilter ref="R76:R113" xr:uid="{00000000-0009-0000-0100-000002000000}"/>
  <tableColumns count="1">
    <tableColumn id="1" xr3:uid="{00000000-0010-0000-0100-000001000000}" name="planning_decoupe_abattage" dataDxfId="48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50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4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4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4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4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4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51" t="s">
        <v>93</v>
      </c>
      <c r="F41" s="252"/>
      <c r="G41" s="252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3" t="str">
        <f ca="1">SUMIFS(F10:F40,M10:M40,"&gt;0:00",E10:E40,"&lt;&gt;F")&amp;" /  "&amp;SUMIF(M10:M40,"&gt;0:00",F10:F40)+SUMIF(M10:M40,"f",F10:F40)</f>
        <v>0 /  0</v>
      </c>
      <c r="N47" s="247"/>
      <c r="O47" s="253"/>
      <c r="P47" s="253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3"/>
      <c r="P48" s="253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49"/>
      <c r="N49" s="257"/>
      <c r="O49" s="249"/>
      <c r="P49" s="249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50"/>
      <c r="N50" s="250"/>
      <c r="O50" s="250"/>
      <c r="P50" s="250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H7:P7"/>
    <mergeCell ref="R56:U56"/>
    <mergeCell ref="R51:R52"/>
    <mergeCell ref="S52:T52"/>
    <mergeCell ref="G53:Q54"/>
    <mergeCell ref="R53:R54"/>
    <mergeCell ref="S53:T54"/>
    <mergeCell ref="R55:S55"/>
    <mergeCell ref="Q51:Q52"/>
    <mergeCell ref="I48:L48"/>
    <mergeCell ref="I49:L49"/>
    <mergeCell ref="G50:L50"/>
    <mergeCell ref="I47:L47"/>
    <mergeCell ref="Q37:AA37"/>
    <mergeCell ref="Q38:AA38"/>
    <mergeCell ref="Q39:AA39"/>
    <mergeCell ref="Q40:AA40"/>
    <mergeCell ref="J42:R42"/>
    <mergeCell ref="I45:L45"/>
    <mergeCell ref="I46:L46"/>
    <mergeCell ref="Q36:AA36"/>
    <mergeCell ref="Q33:AA33"/>
    <mergeCell ref="Q34:AA34"/>
    <mergeCell ref="Q25:AA25"/>
    <mergeCell ref="Q26:AA26"/>
    <mergeCell ref="Q27:AA27"/>
    <mergeCell ref="Q28:AA28"/>
    <mergeCell ref="Q29:AA29"/>
    <mergeCell ref="Q35:AA35"/>
    <mergeCell ref="Q24:AA24"/>
    <mergeCell ref="Q13:AA13"/>
    <mergeCell ref="Q14:AA14"/>
    <mergeCell ref="Q15:AA15"/>
    <mergeCell ref="Q16:AA16"/>
    <mergeCell ref="Q17:AA17"/>
    <mergeCell ref="Q18:AA18"/>
    <mergeCell ref="Q19:AA19"/>
    <mergeCell ref="Q20:AA20"/>
    <mergeCell ref="Q21:AA21"/>
    <mergeCell ref="Q22:AA22"/>
    <mergeCell ref="Q23:AA23"/>
    <mergeCell ref="Q30:AA30"/>
    <mergeCell ref="Q31:AA31"/>
    <mergeCell ref="Q32:AA32"/>
    <mergeCell ref="Q12:AA12"/>
    <mergeCell ref="H8:I8"/>
    <mergeCell ref="J8:K8"/>
    <mergeCell ref="Q9:AA9"/>
    <mergeCell ref="Q10:AA10"/>
    <mergeCell ref="Q11:AA11"/>
  </mergeCells>
  <conditionalFormatting sqref="D10:G40 H10:L41 M10:AA40">
    <cfRule type="expression" dxfId="521" priority="34">
      <formula>IF(INDEX(planning_decoupe_abattage2,MATCH($G10,planning_decoupe_abattage2,1))=$G10,"vrai")</formula>
    </cfRule>
    <cfRule type="expression" dxfId="520" priority="35">
      <formula>$E10="REPOS"</formula>
    </cfRule>
    <cfRule type="expression" dxfId="519" priority="37">
      <formula>$E10="M"</formula>
    </cfRule>
    <cfRule type="expression" dxfId="518" priority="38" stopIfTrue="1">
      <formula>$G10=TODAY()</formula>
    </cfRule>
  </conditionalFormatting>
  <conditionalFormatting sqref="L10:L41">
    <cfRule type="expression" priority="32" stopIfTrue="1">
      <formula>$L10=""</formula>
    </cfRule>
    <cfRule type="expression" dxfId="517" priority="33" stopIfTrue="1">
      <formula>$L10&gt;="10:00"*1</formula>
    </cfRule>
  </conditionalFormatting>
  <conditionalFormatting sqref="N10:N40">
    <cfRule type="expression" dxfId="516" priority="31" stopIfTrue="1">
      <formula>$N10&lt;&gt;""</formula>
    </cfRule>
  </conditionalFormatting>
  <conditionalFormatting sqref="L10:L41">
    <cfRule type="expression" dxfId="515" priority="25" stopIfTrue="1">
      <formula>$E10="REPOS"</formula>
    </cfRule>
    <cfRule type="expression" dxfId="514" priority="26" stopIfTrue="1">
      <formula>$E10="M"</formula>
    </cfRule>
    <cfRule type="expression" dxfId="513" priority="30" stopIfTrue="1">
      <formula>$E10="CJ"</formula>
    </cfRule>
  </conditionalFormatting>
  <conditionalFormatting sqref="L10:O40">
    <cfRule type="expression" dxfId="512" priority="17">
      <formula>$E10="REPOS"</formula>
    </cfRule>
    <cfRule type="expression" dxfId="511" priority="18">
      <formula>$E10="M"</formula>
    </cfRule>
    <cfRule type="expression" dxfId="510" priority="20" stopIfTrue="1">
      <formula>$E10="CJ"</formula>
    </cfRule>
  </conditionalFormatting>
  <conditionalFormatting sqref="L10:O40">
    <cfRule type="expression" dxfId="509" priority="16">
      <formula>IF(INDEX(planning_decoupe_abattage2,MATCH($G10,planning_decoupe_abattage2,1))=$G10,"vrai")</formula>
    </cfRule>
  </conditionalFormatting>
  <conditionalFormatting sqref="N10:N40">
    <cfRule type="expression" dxfId="508" priority="15">
      <formula>$N10&lt;&gt;""</formula>
    </cfRule>
  </conditionalFormatting>
  <conditionalFormatting sqref="L10:L40">
    <cfRule type="expression" dxfId="507" priority="8" stopIfTrue="1">
      <formula>IF(INDEX(planning_decoupe_abattage2,MATCH($G10,planning_decoupe_abattage2,1))=$G10,"vrai")</formula>
    </cfRule>
    <cfRule type="expression" dxfId="506" priority="9" stopIfTrue="1">
      <formula>$E10="REPOS"</formula>
    </cfRule>
    <cfRule type="expression" dxfId="505" priority="11" stopIfTrue="1">
      <formula>$E10="w"</formula>
    </cfRule>
    <cfRule type="expression" dxfId="504" priority="12" stopIfTrue="1">
      <formula>$E10="F"</formula>
    </cfRule>
    <cfRule type="expression" dxfId="503" priority="13" stopIfTrue="1">
      <formula>$G10=TODAY()</formula>
    </cfRule>
    <cfRule type="expression" dxfId="502" priority="14" stopIfTrue="1">
      <formula>$E10="CJ"</formula>
    </cfRule>
  </conditionalFormatting>
  <conditionalFormatting sqref="D10:AB41">
    <cfRule type="expression" dxfId="501" priority="2">
      <formula>$E10="M"</formula>
    </cfRule>
    <cfRule type="expression" dxfId="500" priority="7">
      <formula>IF(INDEX(planning_decoupe_abattage2,MATCH($G10,planning_decoupe_abattage2,1))=$G10,"vrai")</formula>
    </cfRule>
    <cfRule type="expression" dxfId="499" priority="19" stopIfTrue="1">
      <formula>$G10=TODAY()</formula>
    </cfRule>
    <cfRule type="expression" dxfId="498" priority="21" stopIfTrue="1">
      <formula>$E10="w"</formula>
    </cfRule>
    <cfRule type="expression" dxfId="497" priority="23">
      <formula>IF(INDEX(planning_decoupe_abattage2,MATCH($G10,planning_decoupe_abattage2,1))=$G10,"vrai")</formula>
    </cfRule>
    <cfRule type="expression" dxfId="496" priority="28" stopIfTrue="1">
      <formula>$E10="F"</formula>
    </cfRule>
  </conditionalFormatting>
  <conditionalFormatting sqref="K10:K41">
    <cfRule type="expression" dxfId="495" priority="6" stopIfTrue="1">
      <formula>$E10="F"</formula>
    </cfRule>
  </conditionalFormatting>
  <conditionalFormatting sqref="D10:L41">
    <cfRule type="expression" dxfId="494" priority="1">
      <formula>$E10="REPOS"</formula>
    </cfRule>
    <cfRule type="expression" dxfId="493" priority="4" stopIfTrue="1">
      <formula>$E10="CJ"</formula>
    </cfRule>
    <cfRule type="expression" dxfId="492" priority="5" stopIfTrue="1">
      <formula>$E10="w"</formula>
    </cfRule>
    <cfRule type="expression" dxfId="491" priority="39" stopIfTrue="1">
      <formula>$E10="CJ"</formula>
    </cfRule>
  </conditionalFormatting>
  <dataValidations count="1">
    <dataValidation type="list" allowBlank="1" showInputMessage="1" showErrorMessage="1" sqref="H10:K41" xr:uid="{00000000-0002-0000-0000-000000000000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indexed="10"/>
  </sheetPr>
  <dimension ref="A1:IV124"/>
  <sheetViews>
    <sheetView zoomScale="75" zoomScaleNormal="75" workbookViewId="0">
      <selection activeCell="B1" sqref="B1"/>
    </sheetView>
  </sheetViews>
  <sheetFormatPr baseColWidth="10" defaultColWidth="8.85546875" defaultRowHeight="0" customHeight="1" zeroHeight="1"/>
  <cols>
    <col min="1" max="4" width="10" style="39" customWidth="1"/>
    <col min="5" max="5" width="14.42578125" style="39" customWidth="1"/>
    <col min="6" max="6" width="14.85546875" style="39" customWidth="1"/>
    <col min="7" max="8" width="12.140625" style="39" customWidth="1"/>
    <col min="9" max="9" width="12.28515625" style="39" customWidth="1"/>
    <col min="10" max="10" width="13.42578125" style="39" customWidth="1"/>
    <col min="11" max="13" width="10" style="39" customWidth="1"/>
    <col min="14" max="14" width="11.5703125" style="39" customWidth="1"/>
    <col min="15" max="15" width="14.85546875" style="39" customWidth="1"/>
    <col min="16" max="16" width="18.42578125" style="39" customWidth="1"/>
    <col min="17" max="17" width="10" style="39" customWidth="1"/>
    <col min="18" max="18" width="13" style="39" customWidth="1"/>
    <col min="19" max="20" width="10" style="39" customWidth="1"/>
    <col min="21" max="21" width="30.5703125" style="39" customWidth="1"/>
    <col min="22" max="22" width="14.7109375" style="39" customWidth="1"/>
    <col min="23" max="30" width="10" style="39" customWidth="1"/>
    <col min="31" max="256" width="10" style="39" hidden="1"/>
    <col min="257" max="16384" width="8.85546875" style="168"/>
  </cols>
  <sheetData>
    <row r="1" spans="1:28" ht="15">
      <c r="A1"/>
      <c r="B1" s="286">
        <v>2028</v>
      </c>
      <c r="C1" s="333" t="s">
        <v>0</v>
      </c>
      <c r="D1" s="333"/>
      <c r="E1" s="23"/>
      <c r="F1" s="23"/>
      <c r="G1" s="23"/>
      <c r="H1" s="23"/>
      <c r="I1" s="23"/>
      <c r="J1" s="23"/>
      <c r="K1" s="23"/>
      <c r="L1" s="23"/>
      <c r="M1" s="23"/>
      <c r="O1" s="167"/>
    </row>
    <row r="2" spans="1:28" ht="18.75">
      <c r="A2" s="146"/>
      <c r="B2" s="274" t="str">
        <f>UPPER(TEXT(DATE(B1,1,1),"jjj"))</f>
        <v>SAM</v>
      </c>
      <c r="C2" s="341" t="s">
        <v>1</v>
      </c>
      <c r="D2" s="333"/>
      <c r="E2" s="285"/>
      <c r="F2" s="23"/>
      <c r="G2" s="23"/>
      <c r="H2" s="23"/>
      <c r="I2" s="23"/>
      <c r="J2" s="23"/>
      <c r="K2" s="23"/>
      <c r="L2" s="23"/>
      <c r="M2" s="23"/>
      <c r="N2" s="23"/>
      <c r="P2" s="23"/>
      <c r="R2" s="39" t="s">
        <v>101</v>
      </c>
      <c r="W2" s="39" t="s">
        <v>0</v>
      </c>
    </row>
    <row r="3" spans="1:28" ht="15">
      <c r="A3"/>
      <c r="B3" s="166" t="str">
        <f>TEXT(EOMONTH(DATE(B1,2,1),0),"jj")</f>
        <v>29</v>
      </c>
      <c r="C3" s="169" t="s">
        <v>2</v>
      </c>
      <c r="D3" s="24"/>
      <c r="E3" s="24"/>
      <c r="F3" s="23"/>
      <c r="G3" s="23"/>
      <c r="H3" s="23"/>
      <c r="I3" s="23"/>
      <c r="J3" s="23"/>
      <c r="K3" s="23"/>
      <c r="L3" s="23"/>
      <c r="M3" s="23"/>
      <c r="N3" s="23"/>
      <c r="P3" s="23"/>
      <c r="W3" s="39">
        <v>2025</v>
      </c>
    </row>
    <row r="4" spans="1:28" ht="15">
      <c r="A4"/>
      <c r="B4" s="170"/>
      <c r="C4" s="24"/>
      <c r="P4" s="23"/>
      <c r="W4" s="39">
        <v>2026</v>
      </c>
    </row>
    <row r="5" spans="1:28" ht="15">
      <c r="F5" s="344" t="s">
        <v>3</v>
      </c>
      <c r="G5" s="345"/>
      <c r="H5" s="171" t="s">
        <v>116</v>
      </c>
      <c r="I5" s="346" t="s">
        <v>4</v>
      </c>
      <c r="J5" s="347"/>
      <c r="K5" s="172" t="s">
        <v>5</v>
      </c>
      <c r="L5" s="172" t="s">
        <v>6</v>
      </c>
      <c r="O5" s="170"/>
      <c r="W5" s="39">
        <v>2027</v>
      </c>
      <c r="Y5" s="111"/>
      <c r="Z5" s="173"/>
      <c r="AA5" s="334"/>
      <c r="AB5" s="334"/>
    </row>
    <row r="6" spans="1:28" ht="15.75" thickBot="1">
      <c r="B6" s="170" t="s">
        <v>7</v>
      </c>
      <c r="D6" s="170" t="s">
        <v>8</v>
      </c>
      <c r="F6" s="174" t="s">
        <v>9</v>
      </c>
      <c r="G6" s="175" t="s">
        <v>10</v>
      </c>
      <c r="H6" s="176"/>
      <c r="I6" s="177" t="s">
        <v>9</v>
      </c>
      <c r="J6" s="178" t="s">
        <v>10</v>
      </c>
      <c r="K6" s="172"/>
      <c r="L6" s="172"/>
      <c r="O6" s="170"/>
      <c r="P6" s="167" t="s">
        <v>11</v>
      </c>
      <c r="W6" s="39">
        <v>2028</v>
      </c>
      <c r="Y6" s="179"/>
      <c r="Z6" s="179"/>
      <c r="AA6" s="179"/>
      <c r="AB6" s="179"/>
    </row>
    <row r="7" spans="1:28" ht="15.75" thickTop="1">
      <c r="F7" s="3"/>
      <c r="G7" s="4"/>
      <c r="H7" s="5"/>
      <c r="I7" s="180"/>
      <c r="J7" s="180"/>
      <c r="K7" s="181">
        <v>1</v>
      </c>
      <c r="L7" s="182" t="s">
        <v>12</v>
      </c>
      <c r="P7" s="39" t="e">
        <f ca="1">TEXT(TODAY(),"dd/mm/yy")</f>
        <v>#VALUE!</v>
      </c>
      <c r="W7" s="39">
        <v>2029</v>
      </c>
      <c r="X7" s="25"/>
      <c r="Y7" s="340"/>
      <c r="Z7" s="340"/>
      <c r="AA7" s="179"/>
      <c r="AB7" s="179"/>
    </row>
    <row r="8" spans="1:28" ht="15.6" customHeight="1">
      <c r="A8" s="7" t="s">
        <v>13</v>
      </c>
      <c r="B8" s="7" t="s">
        <v>13</v>
      </c>
      <c r="C8" s="8" t="s">
        <v>14</v>
      </c>
      <c r="D8" s="9" t="s">
        <v>15</v>
      </c>
      <c r="E8" s="10" t="s">
        <v>16</v>
      </c>
      <c r="F8" s="11"/>
      <c r="G8" s="12"/>
      <c r="H8" s="184"/>
      <c r="I8" s="185"/>
      <c r="J8" s="186"/>
      <c r="K8" s="181">
        <v>2</v>
      </c>
      <c r="L8" s="187" t="s">
        <v>17</v>
      </c>
      <c r="M8" s="335"/>
      <c r="N8" s="336"/>
      <c r="O8" s="24"/>
      <c r="P8" s="39" t="s">
        <v>18</v>
      </c>
      <c r="V8" s="25"/>
      <c r="W8" s="39">
        <v>2030</v>
      </c>
      <c r="X8" s="25"/>
      <c r="Y8" s="179"/>
      <c r="Z8" s="188"/>
      <c r="AA8" s="179"/>
      <c r="AB8" s="179"/>
    </row>
    <row r="9" spans="1:28" ht="21" customHeight="1" thickBot="1">
      <c r="A9" s="13" t="s">
        <v>19</v>
      </c>
      <c r="B9" s="13" t="s">
        <v>19</v>
      </c>
      <c r="C9" s="13" t="s">
        <v>20</v>
      </c>
      <c r="D9" s="9" t="s">
        <v>21</v>
      </c>
      <c r="E9" s="14" t="s">
        <v>22</v>
      </c>
      <c r="F9" s="11"/>
      <c r="G9" s="12"/>
      <c r="I9" s="189"/>
      <c r="J9" s="190"/>
      <c r="K9" s="181">
        <v>3</v>
      </c>
      <c r="L9" s="182" t="s">
        <v>23</v>
      </c>
      <c r="M9" s="348"/>
      <c r="N9" s="349"/>
      <c r="O9" s="269" t="s">
        <v>24</v>
      </c>
      <c r="P9" s="191">
        <f ca="1">IF($P$8="lun",TODAY(),TEXT(TODAY(),"j/mm/aaaa"))</f>
        <v>46056</v>
      </c>
      <c r="Q9" s="337" t="s">
        <v>25</v>
      </c>
      <c r="R9" s="337"/>
      <c r="S9" s="337"/>
      <c r="T9" s="337"/>
      <c r="V9" s="25"/>
      <c r="W9" s="39">
        <v>2031</v>
      </c>
      <c r="X9" s="25"/>
      <c r="Y9" s="179"/>
      <c r="Z9" s="188"/>
      <c r="AA9" s="188"/>
      <c r="AB9" s="188"/>
    </row>
    <row r="10" spans="1:28" ht="15" customHeight="1" thickBot="1">
      <c r="A10" s="13" t="s">
        <v>14</v>
      </c>
      <c r="B10" s="13" t="s">
        <v>14</v>
      </c>
      <c r="C10" s="13" t="s">
        <v>26</v>
      </c>
      <c r="D10" s="9" t="s">
        <v>21</v>
      </c>
      <c r="E10" s="14" t="s">
        <v>27</v>
      </c>
      <c r="F10" s="11"/>
      <c r="G10" s="12"/>
      <c r="H10" s="137"/>
      <c r="I10" s="189"/>
      <c r="J10" s="190"/>
      <c r="K10" s="181">
        <v>4</v>
      </c>
      <c r="L10" s="187" t="s">
        <v>28</v>
      </c>
      <c r="M10" s="335"/>
      <c r="N10" s="336"/>
      <c r="O10" s="15"/>
      <c r="P10" s="192" t="str">
        <f ca="1">IF(OR(Q10="lun",Q10="MAR",Q10="MER",Q10="jeu",Q10="VEN",Q10="SAM",Q10="DIM"),TEXT(TODAY(),"j/mm/aaa"),TEXT(TODAY(),"d/mm/yyy"))</f>
        <v>3/02/2026</v>
      </c>
      <c r="Q10" s="193" t="str">
        <f ca="1">IF(TEXT(TODAY(),"ddd")="ddd",TEXT(TODAY(),"jjj"),TEXT(TODAY(),"ddd"))</f>
        <v>mar</v>
      </c>
      <c r="R10" s="338" t="s">
        <v>29</v>
      </c>
      <c r="S10" s="338"/>
      <c r="T10" s="339"/>
      <c r="V10" s="25"/>
      <c r="W10" s="39">
        <v>2032</v>
      </c>
      <c r="X10" s="25"/>
      <c r="Y10" s="179"/>
      <c r="Z10" s="179"/>
      <c r="AA10" s="179"/>
      <c r="AB10" s="179"/>
    </row>
    <row r="11" spans="1:28" ht="15">
      <c r="A11" s="13" t="s">
        <v>26</v>
      </c>
      <c r="B11" s="13" t="s">
        <v>26</v>
      </c>
      <c r="C11" s="13" t="s">
        <v>30</v>
      </c>
      <c r="D11" s="9" t="s">
        <v>21</v>
      </c>
      <c r="E11" s="14" t="s">
        <v>31</v>
      </c>
      <c r="F11" s="11"/>
      <c r="G11" s="12"/>
      <c r="H11" s="149"/>
      <c r="I11" s="189"/>
      <c r="J11" s="190"/>
      <c r="K11" s="181">
        <v>5</v>
      </c>
      <c r="L11" s="182" t="s">
        <v>32</v>
      </c>
      <c r="M11" s="342"/>
      <c r="N11" s="343"/>
      <c r="O11" s="15"/>
      <c r="V11" s="25"/>
      <c r="W11" s="39">
        <v>2033</v>
      </c>
      <c r="X11" s="25"/>
      <c r="Y11" s="179"/>
      <c r="Z11" s="179"/>
      <c r="AA11" s="179"/>
      <c r="AB11" s="179"/>
    </row>
    <row r="12" spans="1:28" ht="15">
      <c r="A12" s="13" t="s">
        <v>30</v>
      </c>
      <c r="B12" s="13" t="s">
        <v>30</v>
      </c>
      <c r="C12" s="13" t="s">
        <v>19</v>
      </c>
      <c r="D12" s="9" t="s">
        <v>21</v>
      </c>
      <c r="E12" s="14" t="s">
        <v>31</v>
      </c>
      <c r="F12" s="11"/>
      <c r="G12" s="12"/>
      <c r="H12" s="150"/>
      <c r="I12" s="194"/>
      <c r="J12" s="195"/>
      <c r="K12" s="181">
        <v>6</v>
      </c>
      <c r="L12" s="187" t="s">
        <v>33</v>
      </c>
      <c r="M12" s="335"/>
      <c r="N12" s="336"/>
      <c r="O12" s="15"/>
      <c r="V12" s="25"/>
      <c r="W12" s="39">
        <v>2034</v>
      </c>
      <c r="X12" s="25"/>
      <c r="Y12" s="179"/>
      <c r="Z12" s="179"/>
      <c r="AA12" s="179"/>
      <c r="AB12" s="179"/>
    </row>
    <row r="13" spans="1:28" ht="15.75" thickBot="1">
      <c r="A13" s="16" t="s">
        <v>34</v>
      </c>
      <c r="B13" s="16" t="s">
        <v>34</v>
      </c>
      <c r="C13" s="16" t="s">
        <v>13</v>
      </c>
      <c r="D13" s="9" t="s">
        <v>15</v>
      </c>
      <c r="E13" s="196" t="s">
        <v>35</v>
      </c>
      <c r="F13" s="17"/>
      <c r="G13" s="18"/>
      <c r="H13" s="148"/>
      <c r="I13" s="197"/>
      <c r="J13" s="198"/>
      <c r="K13" s="181">
        <v>7</v>
      </c>
      <c r="L13" s="187" t="s">
        <v>36</v>
      </c>
      <c r="M13" s="270"/>
      <c r="N13" s="210"/>
      <c r="O13" s="15"/>
      <c r="V13" s="25"/>
      <c r="W13" s="39">
        <v>2035</v>
      </c>
      <c r="X13" s="25"/>
      <c r="Y13" s="179"/>
      <c r="Z13" s="179"/>
      <c r="AA13" s="179"/>
      <c r="AB13" s="199"/>
    </row>
    <row r="14" spans="1:28" ht="16.5" thickTop="1" thickBot="1">
      <c r="A14" s="19" t="s">
        <v>20</v>
      </c>
      <c r="B14" s="19" t="s">
        <v>20</v>
      </c>
      <c r="C14" s="20" t="s">
        <v>34</v>
      </c>
      <c r="D14" s="9" t="s">
        <v>21</v>
      </c>
      <c r="E14" s="200" t="str">
        <f>"v"</f>
        <v>v</v>
      </c>
      <c r="F14" s="21"/>
      <c r="G14" s="22"/>
      <c r="H14" s="142"/>
      <c r="I14" s="201"/>
      <c r="J14" s="202"/>
      <c r="K14" s="181">
        <v>8</v>
      </c>
      <c r="L14" s="187" t="s">
        <v>37</v>
      </c>
      <c r="M14" s="352"/>
      <c r="N14" s="353"/>
      <c r="O14" s="350" t="s">
        <v>115</v>
      </c>
      <c r="P14" s="351"/>
      <c r="V14" s="25"/>
      <c r="W14" s="39">
        <v>2036</v>
      </c>
      <c r="X14" s="25"/>
      <c r="Y14" s="179"/>
      <c r="Z14" s="179"/>
      <c r="AA14" s="179"/>
      <c r="AB14" s="179"/>
    </row>
    <row r="15" spans="1:28" ht="15.75" thickTop="1">
      <c r="K15" s="9">
        <v>9</v>
      </c>
      <c r="L15" s="187" t="s">
        <v>38</v>
      </c>
      <c r="M15" s="352"/>
      <c r="N15" s="336"/>
      <c r="O15" s="136">
        <v>2.0833333333333332E-2</v>
      </c>
      <c r="V15" s="25"/>
      <c r="W15" s="39">
        <v>2037</v>
      </c>
      <c r="X15" s="25"/>
      <c r="Y15" s="179"/>
      <c r="Z15" s="179"/>
      <c r="AA15" s="179"/>
      <c r="AB15" s="179"/>
    </row>
    <row r="16" spans="1:28" ht="15">
      <c r="B16" s="24" t="s">
        <v>39</v>
      </c>
      <c r="D16" s="203" t="s">
        <v>40</v>
      </c>
      <c r="K16" s="9">
        <v>10</v>
      </c>
      <c r="L16" s="182" t="s">
        <v>41</v>
      </c>
      <c r="M16" s="271"/>
      <c r="N16" s="210"/>
      <c r="V16" s="25"/>
      <c r="W16" s="39">
        <v>2038</v>
      </c>
      <c r="X16" s="25"/>
      <c r="Y16" s="179"/>
      <c r="Z16" s="179"/>
      <c r="AA16" s="179"/>
      <c r="AB16" s="204"/>
    </row>
    <row r="17" spans="2:28" ht="15">
      <c r="B17" s="24" t="s">
        <v>43</v>
      </c>
      <c r="C17" s="23"/>
      <c r="D17" s="205" t="s">
        <v>44</v>
      </c>
      <c r="F17" s="369"/>
      <c r="G17" s="369"/>
      <c r="H17" s="163"/>
      <c r="K17" s="9">
        <v>11</v>
      </c>
      <c r="L17" s="182" t="s">
        <v>45</v>
      </c>
      <c r="M17" s="271"/>
      <c r="N17" s="210"/>
      <c r="V17" s="25"/>
      <c r="W17" s="39">
        <v>2039</v>
      </c>
      <c r="X17" s="25"/>
      <c r="Y17" s="179"/>
      <c r="Z17" s="179"/>
      <c r="AA17" s="179"/>
      <c r="AB17" s="179"/>
    </row>
    <row r="18" spans="2:28" ht="15">
      <c r="B18" s="24" t="s">
        <v>47</v>
      </c>
      <c r="D18" s="23" t="s">
        <v>21</v>
      </c>
      <c r="F18" s="163"/>
      <c r="G18" s="163"/>
      <c r="H18" s="163"/>
      <c r="K18" s="9">
        <v>12</v>
      </c>
      <c r="L18" s="182" t="s">
        <v>48</v>
      </c>
      <c r="V18" s="25"/>
      <c r="W18" s="39">
        <v>2040</v>
      </c>
      <c r="X18" s="25"/>
      <c r="Y18" s="179"/>
      <c r="Z18" s="179"/>
      <c r="AA18" s="179"/>
      <c r="AB18" s="179"/>
    </row>
    <row r="19" spans="2:28" ht="15">
      <c r="B19" s="24" t="s">
        <v>49</v>
      </c>
      <c r="D19" s="206" t="s">
        <v>15</v>
      </c>
      <c r="F19" s="163"/>
      <c r="G19" s="163"/>
      <c r="H19" s="163"/>
      <c r="V19" s="25"/>
      <c r="W19" s="39">
        <v>2041</v>
      </c>
      <c r="X19" s="183"/>
      <c r="Y19" s="179"/>
      <c r="Z19" s="179"/>
      <c r="AA19" s="179"/>
      <c r="AB19" s="179"/>
    </row>
    <row r="20" spans="2:28" ht="15">
      <c r="B20" s="207" t="s">
        <v>4</v>
      </c>
      <c r="C20" s="207"/>
      <c r="D20" s="208" t="s">
        <v>31</v>
      </c>
      <c r="E20" s="24"/>
      <c r="F20" s="157"/>
      <c r="G20" s="157"/>
      <c r="H20" s="209"/>
      <c r="I20" s="23"/>
      <c r="J20" s="23"/>
      <c r="K20" s="23"/>
      <c r="L20" s="23"/>
      <c r="M20" s="23"/>
      <c r="P20" s="23"/>
      <c r="Q20" s="24"/>
      <c r="V20" s="25"/>
      <c r="W20" s="39">
        <v>2042</v>
      </c>
      <c r="X20" s="25"/>
      <c r="Y20" s="179"/>
      <c r="Z20" s="179"/>
      <c r="AA20" s="179"/>
      <c r="AB20" s="179"/>
    </row>
    <row r="21" spans="2:28" ht="15">
      <c r="E21" s="24"/>
      <c r="F21" s="157"/>
      <c r="G21" s="157"/>
      <c r="H21" s="210"/>
      <c r="I21" s="15"/>
      <c r="J21" s="23"/>
      <c r="K21" s="23"/>
      <c r="L21" s="23"/>
      <c r="M21" s="23"/>
      <c r="P21" s="23"/>
      <c r="Q21" s="24"/>
      <c r="V21" s="25"/>
      <c r="W21" s="39">
        <v>2043</v>
      </c>
      <c r="X21" s="25"/>
      <c r="Y21" s="179"/>
      <c r="Z21" s="179"/>
      <c r="AA21" s="179"/>
      <c r="AB21" s="179"/>
    </row>
    <row r="22" spans="2:28" ht="15">
      <c r="E22" s="24"/>
      <c r="I22" s="23"/>
      <c r="J22" s="23"/>
      <c r="K22" s="23"/>
      <c r="L22" s="23"/>
      <c r="M22" s="23"/>
      <c r="V22" s="25"/>
      <c r="W22" s="39">
        <v>2044</v>
      </c>
      <c r="X22" s="25"/>
      <c r="Y22" s="179"/>
      <c r="Z22" s="179"/>
      <c r="AA22" s="179"/>
      <c r="AB22" s="179"/>
    </row>
    <row r="23" spans="2:28" ht="15">
      <c r="B23" s="364" t="s">
        <v>50</v>
      </c>
      <c r="C23" s="365"/>
      <c r="D23" s="211" t="s">
        <v>51</v>
      </c>
      <c r="E23" s="212" t="s">
        <v>52</v>
      </c>
      <c r="F23" s="211" t="s">
        <v>53</v>
      </c>
      <c r="G23" s="211" t="s">
        <v>54</v>
      </c>
      <c r="H23" s="211" t="s">
        <v>55</v>
      </c>
      <c r="I23" s="211" t="s">
        <v>56</v>
      </c>
      <c r="J23" s="361" t="s">
        <v>57</v>
      </c>
      <c r="K23" s="362"/>
      <c r="L23" s="362"/>
      <c r="M23" s="362"/>
      <c r="N23" s="362"/>
      <c r="O23" s="363"/>
      <c r="P23" s="360" t="s">
        <v>58</v>
      </c>
      <c r="Q23" s="354"/>
      <c r="V23" s="25"/>
      <c r="W23" s="39">
        <v>2045</v>
      </c>
      <c r="X23" s="25"/>
      <c r="Y23" s="179"/>
      <c r="Z23" s="179"/>
      <c r="AA23" s="179"/>
      <c r="AB23" s="179"/>
    </row>
    <row r="24" spans="2:28" ht="15.75">
      <c r="B24" s="367">
        <v>44266</v>
      </c>
      <c r="C24" s="368"/>
      <c r="D24" s="213" t="str">
        <f ca="1">IFERROR(IF(AND(VLOOKUP($B24,INDIRECT("'"&amp;TEXT($B24,"mmmm")&amp;"'!B10:V40"),2,EPÄTOSI)=0,$B24=0),"",VLOOKUP($B24,INDIRECT("'"&amp;TEXT($B24,"mmmm")&amp;"'!B10:V40"),2,EPÄTOSI)),"")</f>
        <v/>
      </c>
      <c r="E24" s="214" t="str">
        <f ca="1">IFERROR(IF(AND(VLOOKUP($B24,INDIRECT("'"&amp;TEXT($B24,"mmmm")&amp;"'!B10:V40"),1,EPÄTOSI)=0,$B24=0),"",VLOOKUP($B24,INDIRECT("'"&amp;TEXT($B24,"mmmm")&amp;"'!B10:V40"),1,EPÄTOSI)),"")</f>
        <v/>
      </c>
      <c r="F24" s="215" t="str">
        <f ca="1">IFERROR(IF(AND(VLOOKUP($B24,INDIRECT("'"&amp;TEXT($B24,"mmmm")&amp;"'!B10:V40"),5,EPÄTOSI)=0,$B24=0),"",VLOOKUP($B24,INDIRECT("'"&amp;TEXT($B24,"mmmm")&amp;"'!B10:V40"),5,EPÄTOSI)),"")</f>
        <v/>
      </c>
      <c r="G24" s="215" t="str">
        <f ca="1">IFERROR(IF(AND(VLOOKUP($B24,INDIRECT("'"&amp;TEXT($B24,"mmmm")&amp;"'!B10:V40"),6,EPÄTOSI)=0,$B24=0),"",VLOOKUP($B24,INDIRECT("'"&amp;TEXT($B24,"mmmm")&amp;"'!B10:V40"),6,EPÄTOSI)),"")</f>
        <v/>
      </c>
      <c r="H24" s="215" t="str">
        <f ca="1">IFERROR(IF(AND(VLOOKUP($B24,INDIRECT("'"&amp;TEXT($B24,"mmmm")&amp;"'!B10:V40"),7,EPÄTOSI)=0,$B24=0),"",VLOOKUP($B24,INDIRECT("'"&amp;TEXT($B24,"mmmm")&amp;"'!B10:V40"),7,EPÄTOSI)),"")</f>
        <v/>
      </c>
      <c r="I24" s="215" t="str">
        <f ca="1">IFERROR(IF(AND(VLOOKUP($B24,INDIRECT("'"&amp;TEXT($B24,"mmmm")&amp;"'!B10:V40"),8,EPÄTOSI)=0,$B24=0),"",VLOOKUP($B24,INDIRECT("'"&amp;TEXT($B24,"mmmm")&amp;"'!B10:V40"),8,EPÄTOSI)),"")</f>
        <v/>
      </c>
      <c r="J24" s="358" t="str">
        <f ca="1">IFERROR(IF(AND(VLOOKUP($B24,INDIRECT("'"&amp;TEXT($B24,"mmmm")&amp;"'!B10:V40"),16,EPÄTOSI)=0,$B24=0),"",VLOOKUP($B24,INDIRECT("'"&amp;TEXT($B24,"mmmm")&amp;"'!B10:V40"),16,EPÄTOSI)),"")</f>
        <v/>
      </c>
      <c r="K24" s="359"/>
      <c r="L24" s="359"/>
      <c r="M24" s="359"/>
      <c r="N24" s="359"/>
      <c r="O24" s="359"/>
      <c r="P24" s="360" t="s">
        <v>59</v>
      </c>
      <c r="Q24" s="354"/>
      <c r="R24" s="354"/>
      <c r="V24" s="25"/>
      <c r="W24" s="39">
        <v>2046</v>
      </c>
      <c r="X24" s="25"/>
      <c r="Y24" s="216"/>
      <c r="Z24" s="179"/>
      <c r="AA24" s="179"/>
      <c r="AB24" s="179"/>
    </row>
    <row r="25" spans="2:28" ht="15">
      <c r="B25" s="367">
        <v>44197</v>
      </c>
      <c r="C25" s="368"/>
      <c r="D25" s="213" t="str">
        <f ca="1">IFERROR(IF(AND(VLOOKUP($B25,INDIRECT("'"&amp;TEXT($B25,"mmmm")&amp;"'!B10:V40"),2,EPÄTOSI)=0,$B25=0),"",VLOOKUP($B25,INDIRECT("'"&amp;TEXT($B25,"mmmm")&amp;"'!B10:V40"),2,EPÄTOSI)),"")</f>
        <v/>
      </c>
      <c r="E25" s="214" t="str">
        <f ca="1">IFERROR(IF(AND(VLOOKUP($B25,INDIRECT("'"&amp;TEXT($B25,"mmmm")&amp;"'!B10:V40"),1,EPÄTOSI)=0,$B25=0),"",VLOOKUP($B25,INDIRECT("'"&amp;TEXT($B25,"mmmm")&amp;"'!B10:V40"),1,EPÄTOSI)),"")</f>
        <v/>
      </c>
      <c r="F25" s="215" t="str">
        <f ca="1">IFERROR(IF(AND(VLOOKUP($B25,INDIRECT("'"&amp;TEXT($B25,"mmmm")&amp;"'!B10:V40"),5,EPÄTOSI)=0,$B25=0),"",VLOOKUP($B25,INDIRECT("'"&amp;TEXT($B25,"mmmm")&amp;"'!B10:V40"),5,EPÄTOSI)),"")</f>
        <v/>
      </c>
      <c r="G25" s="215" t="str">
        <f ca="1">IFERROR(IF(AND(VLOOKUP($B25,INDIRECT("'"&amp;TEXT($B25,"mmmm")&amp;"'!B10:V40"),6,EPÄTOSI)=0,$B25=0),"",VLOOKUP($B25,INDIRECT("'"&amp;TEXT($B25,"mmmm")&amp;"'!B10:V40"),6,EPÄTOSI)),"")</f>
        <v/>
      </c>
      <c r="H25" s="215" t="str">
        <f ca="1">IFERROR(IF(AND(VLOOKUP($B25,INDIRECT("'"&amp;TEXT($B25,"mmmm")&amp;"'!B10:V40"),7,EPÄTOSI)=0,$B25=0),"",VLOOKUP($B25,INDIRECT("'"&amp;TEXT($B25,"mmmm")&amp;"'!B10:V40"),7,EPÄTOSI)),"")</f>
        <v/>
      </c>
      <c r="I25" s="215" t="str">
        <f ca="1">IFERROR(IF(AND(VLOOKUP($B25,INDIRECT("'"&amp;TEXT($B25,"mmmm")&amp;"'!B10:V40"),8,EPÄTOSI)=0,$B25=0),"",VLOOKUP($B25,INDIRECT("'"&amp;TEXT($B25,"mmmm")&amp;"'!B10:V40"),8,EPÄTOSI)),"")</f>
        <v/>
      </c>
      <c r="J25" s="358" t="str">
        <f ca="1">IFERROR(IF(AND(VLOOKUP($B25,INDIRECT("'"&amp;TEXT($B25,"mmmm")&amp;"'!B10:V40"),16,EPÄTOSI)=0,$B25=0),"",VLOOKUP($B25,INDIRECT("'"&amp;TEXT($B25,"mmmm")&amp;"'!B10:V40"),16,EPÄTOSI)),"")</f>
        <v/>
      </c>
      <c r="K25" s="359"/>
      <c r="L25" s="359"/>
      <c r="M25" s="359"/>
      <c r="N25" s="359"/>
      <c r="O25" s="359"/>
      <c r="V25" s="25"/>
      <c r="W25" s="39">
        <v>2047</v>
      </c>
      <c r="X25" s="25"/>
      <c r="Y25" s="179"/>
      <c r="Z25" s="217"/>
      <c r="AA25" s="179"/>
      <c r="AB25" s="179"/>
    </row>
    <row r="26" spans="2:28" ht="15">
      <c r="B26" s="367">
        <v>44266</v>
      </c>
      <c r="C26" s="368"/>
      <c r="D26" s="213" t="str">
        <f ca="1">IFERROR(IF(AND(VLOOKUP($B26,INDIRECT("'"&amp;TEXT($B26,"mmmm")&amp;"'!B10:V40"),2,EPÄTOSI)=0,$B26=0),"",VLOOKUP($B26,INDIRECT("'"&amp;TEXT($B26,"mmmm")&amp;"'!B10:V40"),2,EPÄTOSI)),"")</f>
        <v/>
      </c>
      <c r="E26" s="214" t="str">
        <f ca="1">IFERROR(IF(AND(VLOOKUP($B26,INDIRECT("'"&amp;TEXT($B26,"mmmm")&amp;"'!B10:V40"),1,EPÄTOSI)=0,$B26=0),"",VLOOKUP($B26,INDIRECT("'"&amp;TEXT($B26,"mmmm")&amp;"'!B10:V40"),1,EPÄTOSI)),"")</f>
        <v/>
      </c>
      <c r="F26" s="215" t="str">
        <f ca="1">IFERROR(IF(AND(VLOOKUP($B26,INDIRECT("'"&amp;TEXT($B26,"mmmm")&amp;"'!B10:V40"),5,EPÄTOSI)=0,$B26=0),"",VLOOKUP($B26,INDIRECT("'"&amp;TEXT($B26,"mmmm")&amp;"'!B10:V40"),5,EPÄTOSI)),"")</f>
        <v/>
      </c>
      <c r="G26" s="215" t="str">
        <f ca="1">IFERROR(IF(AND(VLOOKUP($B26,INDIRECT("'"&amp;TEXT($B26,"mmmm")&amp;"'!B10:V40"),6,EPÄTOSI)=0,$B26=0),"",VLOOKUP($B26,INDIRECT("'"&amp;TEXT($B26,"mmmm")&amp;"'!B10:V40"),6,EPÄTOSI)),"")</f>
        <v/>
      </c>
      <c r="H26" s="215" t="str">
        <f ca="1">IFERROR(IF(AND(VLOOKUP($B26,INDIRECT("'"&amp;TEXT($B26,"mmmm")&amp;"'!B10:V40"),7,EPÄTOSI)=0,$B26=0),"",VLOOKUP($B26,INDIRECT("'"&amp;TEXT($B26,"mmmm")&amp;"'!B10:V40"),7,EPÄTOSI)),"")</f>
        <v/>
      </c>
      <c r="I26" s="215" t="str">
        <f ca="1">IFERROR(IF(AND(VLOOKUP($B26,INDIRECT("'"&amp;TEXT($B26,"mmmm")&amp;"'!B10:V40"),8,EPÄTOSI)=0,$B26=0),"",VLOOKUP($B26,INDIRECT("'"&amp;TEXT($B26,"mmmm")&amp;"'!B10:V40"),8,EPÄTOSI)),"")</f>
        <v/>
      </c>
      <c r="J26" s="358" t="str">
        <f ca="1">IFERROR(IF(AND(VLOOKUP($B26,INDIRECT("'"&amp;TEXT($B26,"mmmm")&amp;"'!B10:V40"),16,EPÄTOSI)=0,$B26=0),"",VLOOKUP($B26,INDIRECT("'"&amp;TEXT($B26,"mmmm")&amp;"'!B10:V40"),16,EPÄTOSI)),"")</f>
        <v/>
      </c>
      <c r="K26" s="359"/>
      <c r="L26" s="359"/>
      <c r="M26" s="359"/>
      <c r="N26" s="359"/>
      <c r="O26" s="359"/>
      <c r="V26" s="25"/>
      <c r="W26" s="39">
        <v>2048</v>
      </c>
      <c r="X26" s="25"/>
      <c r="Y26" s="179"/>
      <c r="Z26" s="217"/>
      <c r="AA26" s="179"/>
      <c r="AB26" s="179"/>
    </row>
    <row r="27" spans="2:28" ht="15">
      <c r="B27" s="367">
        <v>43174</v>
      </c>
      <c r="C27" s="368"/>
      <c r="D27" s="213" t="str">
        <f ca="1">IFERROR(IF(AND(VLOOKUP($B27,INDIRECT("'"&amp;TEXT($B27,"mmmm")&amp;"'!B10:V40"),2,EPÄTOSI)=0,$B27=0),"",VLOOKUP($B27,INDIRECT("'"&amp;TEXT($B27,"mmmm")&amp;"'!B10:V40"),2,EPÄTOSI)),"")</f>
        <v/>
      </c>
      <c r="E27" s="214" t="str">
        <f ca="1">IFERROR(IF(AND(VLOOKUP($B27,INDIRECT("'"&amp;TEXT($B27,"mmmm")&amp;"'!B10:V40"),1,EPÄTOSI)=0,$B27=0),"",VLOOKUP($B27,INDIRECT("'"&amp;TEXT($B27,"mmmm")&amp;"'!B10:V40"),1,EPÄTOSI)),"")</f>
        <v/>
      </c>
      <c r="F27" s="215" t="str">
        <f ca="1">IFERROR(IF(AND(VLOOKUP($B27,INDIRECT("'"&amp;TEXT($B27,"mmmm")&amp;"'!B10:V40"),5,EPÄTOSI)=0,$B27=0),"",VLOOKUP($B27,INDIRECT("'"&amp;TEXT($B27,"mmmm")&amp;"'!B10:V40"),5,EPÄTOSI)),"")</f>
        <v/>
      </c>
      <c r="G27" s="215" t="str">
        <f ca="1">IFERROR(IF(AND(VLOOKUP($B27,INDIRECT("'"&amp;TEXT($B27,"mmmm")&amp;"'!B10:V40"),6,EPÄTOSI)=0,$B27=0),"",VLOOKUP($B27,INDIRECT("'"&amp;TEXT($B27,"mmmm")&amp;"'!B10:V40"),6,EPÄTOSI)),"")</f>
        <v/>
      </c>
      <c r="H27" s="215" t="str">
        <f ca="1">IFERROR(IF(AND(VLOOKUP($B27,INDIRECT("'"&amp;TEXT($B27,"mmmm")&amp;"'!B10:V40"),7,EPÄTOSI)=0,$B27=0),"",VLOOKUP($B27,INDIRECT("'"&amp;TEXT($B27,"mmmm")&amp;"'!B10:V40"),7,EPÄTOSI)),"")</f>
        <v/>
      </c>
      <c r="I27" s="215" t="str">
        <f ca="1">IFERROR(IF(AND(VLOOKUP($B27,INDIRECT("'"&amp;TEXT($B27,"mmmm")&amp;"'!B10:V40"),8,EPÄTOSI)=0,$B27=0),"",VLOOKUP($B27,INDIRECT("'"&amp;TEXT($B27,"mmmm")&amp;"'!B10:V40"),8,EPÄTOSI)),"")</f>
        <v/>
      </c>
      <c r="J27" s="358" t="str">
        <f ca="1">IFERROR(IF(AND(VLOOKUP($B27,INDIRECT("'"&amp;TEXT($B27,"mmmm")&amp;"'!B10:V40"),16,EPÄTOSI)=0,$B27=0),"",VLOOKUP($B27,INDIRECT("'"&amp;TEXT($B27,"mmmm")&amp;"'!B10:V40"),16,EPÄTOSI)),"")</f>
        <v/>
      </c>
      <c r="K27" s="359"/>
      <c r="L27" s="359"/>
      <c r="M27" s="359"/>
      <c r="N27" s="359"/>
      <c r="O27" s="359"/>
      <c r="P27" s="218"/>
      <c r="Q27" s="219"/>
      <c r="V27" s="25"/>
      <c r="W27" s="39">
        <v>2049</v>
      </c>
      <c r="X27" s="25"/>
      <c r="Y27" s="179"/>
      <c r="Z27" s="179"/>
      <c r="AA27" s="179"/>
      <c r="AB27" s="179"/>
    </row>
    <row r="28" spans="2:28" ht="15">
      <c r="B28" s="367">
        <v>43175</v>
      </c>
      <c r="C28" s="368"/>
      <c r="D28" s="213" t="str">
        <f ca="1">IFERROR(IF(AND(VLOOKUP($B28,INDIRECT("'"&amp;TEXT($B28,"mmmm")&amp;"'!B10:V40"),2,EPÄTOSI)=0,$B28=0),"",VLOOKUP($B28,INDIRECT("'"&amp;TEXT($B28,"mmmm")&amp;"'!B10:V40"),2,EPÄTOSI)),"")</f>
        <v/>
      </c>
      <c r="E28" s="214" t="str">
        <f ca="1">IFERROR(IF(AND(VLOOKUP($B28,INDIRECT("'"&amp;TEXT($B28,"mmmm")&amp;"'!B10:V40"),1,EPÄTOSI)=0,$B28=0),"",VLOOKUP($B28,INDIRECT("'"&amp;TEXT($B28,"mmmm")&amp;"'!B10:V40"),1,EPÄTOSI)),"")</f>
        <v/>
      </c>
      <c r="F28" s="215" t="str">
        <f ca="1">IFERROR(IF(AND(VLOOKUP($B28,INDIRECT("'"&amp;TEXT($B28,"mmmm")&amp;"'!B10:V40"),5,EPÄTOSI)=0,$B28=0),"",VLOOKUP($B28,INDIRECT("'"&amp;TEXT($B28,"mmmm")&amp;"'!B10:V40"),5,EPÄTOSI)),"")</f>
        <v/>
      </c>
      <c r="G28" s="215" t="str">
        <f ca="1">IFERROR(IF(AND(VLOOKUP($B28,INDIRECT("'"&amp;TEXT($B28,"mmmm")&amp;"'!B10:V40"),6,EPÄTOSI)=0,$B28=0),"",VLOOKUP($B28,INDIRECT("'"&amp;TEXT($B28,"mmmm")&amp;"'!B10:V40"),6,EPÄTOSI)),"")</f>
        <v/>
      </c>
      <c r="H28" s="215" t="str">
        <f ca="1">IFERROR(IF(AND(VLOOKUP($B28,INDIRECT("'"&amp;TEXT($B28,"mmmm")&amp;"'!B10:V40"),7,EPÄTOSI)=0,$B28=0),"",VLOOKUP($B28,INDIRECT("'"&amp;TEXT($B28,"mmmm")&amp;"'!B10:V40"),7,EPÄTOSI)),"")</f>
        <v/>
      </c>
      <c r="I28" s="215" t="str">
        <f ca="1">IFERROR(IF(AND(VLOOKUP($B28,INDIRECT("'"&amp;TEXT($B28,"mmmm")&amp;"'!B10:V40"),8,EPÄTOSI)=0,$B28=0),"",VLOOKUP($B28,INDIRECT("'"&amp;TEXT($B28,"mmmm")&amp;"'!B10:V40"),8,EPÄTOSI)),"")</f>
        <v/>
      </c>
      <c r="J28" s="358" t="str">
        <f ca="1">IFERROR(IF(AND(VLOOKUP($B28,INDIRECT("'"&amp;TEXT($B28,"mmmm")&amp;"'!B10:V40"),16,EPÄTOSI)=0,$B28=0),"",VLOOKUP($B28,INDIRECT("'"&amp;TEXT($B28,"mmmm")&amp;"'!B10:V40"),16,EPÄTOSI)),"")</f>
        <v/>
      </c>
      <c r="K28" s="359"/>
      <c r="L28" s="359"/>
      <c r="M28" s="359"/>
      <c r="N28" s="359"/>
      <c r="O28" s="359"/>
      <c r="W28" s="39">
        <v>2050</v>
      </c>
      <c r="X28" s="25"/>
      <c r="Y28" s="179"/>
      <c r="Z28" s="179"/>
      <c r="AA28" s="179"/>
      <c r="AB28" s="179"/>
    </row>
    <row r="29" spans="2:28" ht="15.75" thickBot="1">
      <c r="B29" s="355"/>
      <c r="C29" s="356"/>
      <c r="D29" s="213" t="str">
        <f ca="1">IFERROR(IF(AND(VLOOKUP($B29,INDIRECT("'"&amp;TEXT($B29,"mmmm")&amp;"'!B10:V40"),2,EPÄTOSI)=0,$B29=0),"",VLOOKUP($B29,INDIRECT("'"&amp;TEXT($B29,"mmmm")&amp;"'!B10:V40"),2,EPÄTOSI)),"")</f>
        <v/>
      </c>
      <c r="E29" s="214" t="str">
        <f ca="1">IFERROR(IF(AND(VLOOKUP($B29,INDIRECT("'"&amp;TEXT($B29,"mmmm")&amp;"'!B10:V40"),1,EPÄTOSI)=0,$B29=0),"",VLOOKUP($B29,INDIRECT("'"&amp;TEXT($B29,"mmmm")&amp;"'!B10:V40"),1,EPÄTOSI)),"")</f>
        <v/>
      </c>
      <c r="F29" s="215" t="str">
        <f ca="1">IFERROR(IF(AND(VLOOKUP($B29,INDIRECT("'"&amp;TEXT($B29,"mmmm")&amp;"'!B10:V40"),5,EPÄTOSI)=0,$B29=0),"",VLOOKUP($B29,INDIRECT("'"&amp;TEXT($B29,"mmmm")&amp;"'!B10:V40"),5,EPÄTOSI)),"")</f>
        <v/>
      </c>
      <c r="G29" s="215" t="str">
        <f ca="1">IFERROR(IF(AND(VLOOKUP($B29,INDIRECT("'"&amp;TEXT($B29,"mmmm")&amp;"'!B10:V40"),6,EPÄTOSI)=0,$B29=0),"",VLOOKUP($B29,INDIRECT("'"&amp;TEXT($B29,"mmmm")&amp;"'!B10:V40"),6,EPÄTOSI)),"")</f>
        <v/>
      </c>
      <c r="H29" s="215" t="str">
        <f ca="1">IFERROR(IF(AND(VLOOKUP($B29,INDIRECT("'"&amp;TEXT($B29,"mmmm")&amp;"'!B10:V40"),7,EPÄTOSI)=0,$B29=0),"",VLOOKUP($B29,INDIRECT("'"&amp;TEXT($B29,"mmmm")&amp;"'!B10:V40"),7,EPÄTOSI)),"")</f>
        <v/>
      </c>
      <c r="I29" s="215" t="str">
        <f ca="1">IFERROR(IF(AND(VLOOKUP($B29,INDIRECT("'"&amp;TEXT($B29,"mmmm")&amp;"'!B10:V40"),8,EPÄTOSI)=0,$B29=0),"",VLOOKUP($B29,INDIRECT("'"&amp;TEXT($B29,"mmmm")&amp;"'!B10:V40"),8,EPÄTOSI)),"")</f>
        <v/>
      </c>
      <c r="J29" s="358" t="str">
        <f ca="1">IFERROR(IF(AND(VLOOKUP($B29,INDIRECT("'"&amp;TEXT($B29,"mmmm")&amp;"'!B10:V40"),16,EPÄTOSI)=0,$B29=0),"",VLOOKUP($B29,INDIRECT("'"&amp;TEXT($B29,"mmmm")&amp;"'!B10:V40"),16,EPÄTOSI)),"")</f>
        <v/>
      </c>
      <c r="K29" s="359"/>
      <c r="L29" s="359"/>
      <c r="M29" s="359"/>
      <c r="N29" s="359"/>
      <c r="O29" s="359"/>
      <c r="P29" s="207"/>
      <c r="Q29" s="207"/>
      <c r="U29" s="164"/>
      <c r="W29" s="25"/>
      <c r="X29" s="25"/>
      <c r="Y29" s="179"/>
      <c r="Z29" s="179"/>
      <c r="AA29" s="179"/>
      <c r="AB29" s="179"/>
    </row>
    <row r="30" spans="2:28" ht="15.75" thickTop="1">
      <c r="V30" s="25"/>
      <c r="Y30" s="179"/>
      <c r="Z30" s="179"/>
      <c r="AA30" s="179"/>
      <c r="AB30" s="179"/>
    </row>
    <row r="31" spans="2:28" ht="16.5" customHeight="1">
      <c r="C31" s="380" t="s">
        <v>60</v>
      </c>
      <c r="D31" s="381"/>
      <c r="E31" s="381"/>
      <c r="F31" s="381"/>
      <c r="G31" s="381"/>
      <c r="H31" s="382"/>
      <c r="I31" s="145"/>
      <c r="Y31" s="179"/>
      <c r="Z31" s="179"/>
      <c r="AA31" s="179"/>
      <c r="AB31" s="179"/>
    </row>
    <row r="32" spans="2:28" ht="16.5" customHeight="1">
      <c r="C32" s="383"/>
      <c r="D32" s="384"/>
      <c r="E32" s="384"/>
      <c r="F32" s="384"/>
      <c r="G32" s="384"/>
      <c r="H32" s="385"/>
      <c r="I32" s="145"/>
      <c r="T32" s="26"/>
      <c r="V32" s="25"/>
      <c r="Y32" s="179"/>
      <c r="Z32" s="179"/>
      <c r="AA32" s="179"/>
      <c r="AB32" s="179"/>
    </row>
    <row r="33" spans="3:28" ht="15.75">
      <c r="C33" s="366">
        <f>DATE(B1,1,1)</f>
        <v>46753</v>
      </c>
      <c r="D33" s="366"/>
      <c r="E33" s="220">
        <f>YEAR($C$33)</f>
        <v>2028</v>
      </c>
      <c r="F33" s="220">
        <f>E33+1</f>
        <v>2029</v>
      </c>
      <c r="G33" s="220">
        <f>F33+1</f>
        <v>2030</v>
      </c>
      <c r="H33" s="220">
        <f>G33+1</f>
        <v>2031</v>
      </c>
      <c r="V33" s="221"/>
      <c r="W33" s="221"/>
      <c r="X33" s="179"/>
      <c r="Y33" s="179"/>
      <c r="Z33" s="221"/>
      <c r="AA33" s="179"/>
      <c r="AB33" s="221"/>
    </row>
    <row r="34" spans="3:28" ht="16.5" thickBot="1">
      <c r="C34" s="357" t="s">
        <v>61</v>
      </c>
      <c r="D34" s="357"/>
      <c r="E34" s="222">
        <f>DATE(E33,1,1)</f>
        <v>46753</v>
      </c>
      <c r="F34" s="222">
        <f>DATE(F33,1,1)</f>
        <v>47119</v>
      </c>
      <c r="G34" s="222">
        <f>DATE(G33,1,1)</f>
        <v>47484</v>
      </c>
      <c r="H34" s="222">
        <f>DATE(H33,1,1)</f>
        <v>47849</v>
      </c>
      <c r="N34" s="27" t="s">
        <v>62</v>
      </c>
      <c r="O34" s="28" t="s">
        <v>63</v>
      </c>
      <c r="Q34" s="172" t="s">
        <v>6</v>
      </c>
      <c r="V34" s="188"/>
      <c r="W34" s="179"/>
      <c r="X34" s="179"/>
      <c r="Y34" s="179"/>
      <c r="Z34" s="179"/>
      <c r="AA34" s="179"/>
      <c r="AB34" s="179"/>
    </row>
    <row r="35" spans="3:28" ht="17.25" thickTop="1" thickBot="1">
      <c r="C35" s="357" t="s">
        <v>64</v>
      </c>
      <c r="D35" s="357"/>
      <c r="E35" s="222">
        <f>E45+1</f>
        <v>46860</v>
      </c>
      <c r="F35" s="222">
        <f>F45+1</f>
        <v>47210</v>
      </c>
      <c r="G35" s="222">
        <f>G45+1</f>
        <v>47595</v>
      </c>
      <c r="H35" s="223">
        <f>H45+1</f>
        <v>47952</v>
      </c>
      <c r="I35" s="378" t="s">
        <v>65</v>
      </c>
      <c r="J35" s="379"/>
      <c r="K35" s="29">
        <f>E38</f>
        <v>46898</v>
      </c>
      <c r="N35" s="27"/>
      <c r="O35" s="28"/>
      <c r="Q35" s="172"/>
      <c r="T35" s="179"/>
      <c r="U35" s="179"/>
      <c r="V35" s="179"/>
      <c r="W35" s="179"/>
      <c r="X35" s="179"/>
      <c r="Y35" s="179"/>
      <c r="Z35" s="179"/>
      <c r="AA35" s="179"/>
      <c r="AB35" s="179"/>
    </row>
    <row r="36" spans="3:28" ht="16.5" thickTop="1">
      <c r="C36" s="357" t="s">
        <v>66</v>
      </c>
      <c r="D36" s="357"/>
      <c r="E36" s="222">
        <f>DATE(E33,5,1)</f>
        <v>46874</v>
      </c>
      <c r="F36" s="222">
        <f>DATE(F33,5,1)</f>
        <v>47239</v>
      </c>
      <c r="G36" s="222">
        <f>DATE(G33,5,1)</f>
        <v>47604</v>
      </c>
      <c r="H36" s="223">
        <f>DATE(H33,5,1)</f>
        <v>47969</v>
      </c>
      <c r="J36" s="354"/>
      <c r="K36" s="354"/>
      <c r="L36" s="354"/>
      <c r="M36" s="31"/>
      <c r="N36" s="30">
        <v>0</v>
      </c>
      <c r="O36" s="28" t="s">
        <v>42</v>
      </c>
      <c r="Q36" s="182" t="s">
        <v>12</v>
      </c>
      <c r="T36" s="179"/>
      <c r="U36" s="179"/>
      <c r="V36" s="179"/>
      <c r="W36" s="179"/>
      <c r="X36" s="179"/>
      <c r="Y36" s="179"/>
      <c r="Z36" s="179"/>
      <c r="AA36" s="179"/>
      <c r="AB36" s="179"/>
    </row>
    <row r="37" spans="3:28" ht="15.75">
      <c r="C37" s="357" t="s">
        <v>67</v>
      </c>
      <c r="D37" s="357"/>
      <c r="E37" s="222">
        <f>DATE(E33,5,8)</f>
        <v>46881</v>
      </c>
      <c r="F37" s="222">
        <f>DATE(F33,5,8)</f>
        <v>47246</v>
      </c>
      <c r="G37" s="222">
        <f>DATE(G33,5,8)</f>
        <v>47611</v>
      </c>
      <c r="H37" s="222">
        <f>DATE(H33,5,8)</f>
        <v>47976</v>
      </c>
      <c r="N37" s="30">
        <v>2.0833333333333301E-2</v>
      </c>
      <c r="O37" s="28" t="s">
        <v>46</v>
      </c>
      <c r="Q37" s="187" t="s">
        <v>17</v>
      </c>
      <c r="W37" s="224"/>
    </row>
    <row r="38" spans="3:28" ht="15.75">
      <c r="C38" s="357" t="s">
        <v>68</v>
      </c>
      <c r="D38" s="357"/>
      <c r="E38" s="222">
        <f>E45+39</f>
        <v>46898</v>
      </c>
      <c r="F38" s="222">
        <f>F45+39</f>
        <v>47248</v>
      </c>
      <c r="G38" s="222">
        <f>G45+39</f>
        <v>47633</v>
      </c>
      <c r="H38" s="222">
        <f>H45+39</f>
        <v>47990</v>
      </c>
      <c r="N38" s="30">
        <v>4.1666666666666699E-2</v>
      </c>
      <c r="O38" s="225">
        <v>4.1666666666666699E-2</v>
      </c>
      <c r="Q38" s="182" t="s">
        <v>23</v>
      </c>
      <c r="T38" s="354">
        <f>VLOOKUP("AOÛT",Q36:R47,2,FALSE)</f>
        <v>0</v>
      </c>
      <c r="U38" s="354"/>
      <c r="V38" s="354"/>
      <c r="W38" s="354"/>
      <c r="X38" s="354"/>
    </row>
    <row r="39" spans="3:28" ht="15.75">
      <c r="C39" s="357" t="s">
        <v>69</v>
      </c>
      <c r="D39" s="357"/>
      <c r="E39" s="222">
        <f>E45+50</f>
        <v>46909</v>
      </c>
      <c r="F39" s="222">
        <f>F45+50</f>
        <v>47259</v>
      </c>
      <c r="G39" s="222">
        <f>G45+50</f>
        <v>47644</v>
      </c>
      <c r="H39" s="222">
        <f>H45+50</f>
        <v>48001</v>
      </c>
      <c r="N39" s="30">
        <v>6.25E-2</v>
      </c>
      <c r="O39" s="32">
        <v>3.4722222222222199E-3</v>
      </c>
      <c r="Q39" s="182" t="s">
        <v>102</v>
      </c>
    </row>
    <row r="40" spans="3:28" ht="15.75">
      <c r="C40" s="357" t="s">
        <v>70</v>
      </c>
      <c r="D40" s="357"/>
      <c r="E40" s="222">
        <f>DATE(E33,7,14)</f>
        <v>46948</v>
      </c>
      <c r="F40" s="222">
        <f>DATE(F33,7,14)</f>
        <v>47313</v>
      </c>
      <c r="G40" s="222">
        <f>DATE(G33,7,14)</f>
        <v>47678</v>
      </c>
      <c r="H40" s="222">
        <f>DATE(H33,7,14)</f>
        <v>48043</v>
      </c>
      <c r="N40" s="30">
        <v>8.3333333333333301E-2</v>
      </c>
      <c r="O40" s="32">
        <v>6.9444444444444397E-3</v>
      </c>
      <c r="Q40" s="187" t="s">
        <v>32</v>
      </c>
    </row>
    <row r="41" spans="3:28" ht="15.75">
      <c r="C41" s="357" t="s">
        <v>71</v>
      </c>
      <c r="D41" s="357"/>
      <c r="E41" s="222">
        <f>DATE(E33,8,15)</f>
        <v>46980</v>
      </c>
      <c r="F41" s="222">
        <f>DATE(F33,8,15)</f>
        <v>47345</v>
      </c>
      <c r="G41" s="222">
        <f>DATE(G33,8,15)</f>
        <v>47710</v>
      </c>
      <c r="H41" s="222">
        <f>DATE(H33,8,15)</f>
        <v>48075</v>
      </c>
      <c r="N41" s="30">
        <v>0.104166666666667</v>
      </c>
      <c r="O41" s="32">
        <v>1.0416666666666701E-2</v>
      </c>
      <c r="Q41" s="182" t="s">
        <v>103</v>
      </c>
    </row>
    <row r="42" spans="3:28" ht="15.75">
      <c r="C42" s="357" t="s">
        <v>72</v>
      </c>
      <c r="D42" s="357"/>
      <c r="E42" s="222">
        <f>DATE(E33,11,1)</f>
        <v>47058</v>
      </c>
      <c r="F42" s="222">
        <f>DATE(F33,11,1)</f>
        <v>47423</v>
      </c>
      <c r="G42" s="222">
        <f>DATE(G33,11,1)</f>
        <v>47788</v>
      </c>
      <c r="H42" s="222">
        <f>DATE(H33,11,1)</f>
        <v>48153</v>
      </c>
      <c r="N42" s="30">
        <v>0.125</v>
      </c>
      <c r="O42" s="32">
        <v>1.38888888888889E-2</v>
      </c>
      <c r="Q42" s="182" t="s">
        <v>104</v>
      </c>
    </row>
    <row r="43" spans="3:28" ht="15.75">
      <c r="C43" s="357" t="s">
        <v>73</v>
      </c>
      <c r="D43" s="357"/>
      <c r="E43" s="222">
        <f>DATE(E33,11,11)</f>
        <v>47068</v>
      </c>
      <c r="F43" s="222">
        <f>DATE(F33,11,11)</f>
        <v>47433</v>
      </c>
      <c r="G43" s="222">
        <f>DATE(G33,11,11)</f>
        <v>47798</v>
      </c>
      <c r="H43" s="222">
        <f>DATE(H33,11,11)</f>
        <v>48163</v>
      </c>
      <c r="N43" s="30">
        <v>0.14583333333333301</v>
      </c>
      <c r="O43" s="32">
        <v>1.7361111111111101E-2</v>
      </c>
      <c r="Q43" s="187" t="s">
        <v>105</v>
      </c>
    </row>
    <row r="44" spans="3:28" ht="15.75">
      <c r="C44" s="357" t="s">
        <v>74</v>
      </c>
      <c r="D44" s="357"/>
      <c r="E44" s="222">
        <f>DATE(E33,12,25)</f>
        <v>47112</v>
      </c>
      <c r="F44" s="222">
        <f>DATE(F33,12,25)</f>
        <v>47477</v>
      </c>
      <c r="G44" s="222">
        <f>DATE(G33,12,25)</f>
        <v>47842</v>
      </c>
      <c r="H44" s="222">
        <f>DATE(H33,12,25)</f>
        <v>48207</v>
      </c>
      <c r="N44" s="30">
        <v>0.16666666666666699</v>
      </c>
      <c r="O44" s="32">
        <v>2.0833333333333301E-2</v>
      </c>
      <c r="Q44" s="182" t="s">
        <v>106</v>
      </c>
    </row>
    <row r="45" spans="3:28" ht="15.75">
      <c r="C45" s="357" t="s">
        <v>75</v>
      </c>
      <c r="D45" s="357"/>
      <c r="E45" s="222">
        <f>ROUND(DATE(E33,4,MOD(234-11*MOD(E33,19),30))/7,0)*7-6</f>
        <v>46859</v>
      </c>
      <c r="F45" s="222">
        <f>ROUND(DATE(F33,4,MOD(234-11*MOD(F33,19),30))/7,0)*7-6</f>
        <v>47209</v>
      </c>
      <c r="G45" s="222">
        <f>ROUND(DATE(G33,4,MOD(234-11*MOD(G33,19),30))/7,0)*7-6</f>
        <v>47594</v>
      </c>
      <c r="H45" s="222">
        <f>ROUND(DATE(H33,4,MOD(234-11*MOD(H33,19),30))/7,0)*7-6</f>
        <v>47951</v>
      </c>
      <c r="N45" s="30">
        <v>0.1875</v>
      </c>
      <c r="O45" s="32">
        <v>2.43055555555555E-2</v>
      </c>
      <c r="Q45" s="182" t="s">
        <v>107</v>
      </c>
    </row>
    <row r="46" spans="3:28" ht="15.75">
      <c r="D46" s="226"/>
      <c r="E46" s="226"/>
      <c r="F46" s="226"/>
      <c r="G46" s="226"/>
      <c r="H46" s="226"/>
      <c r="N46" s="30">
        <v>0.20833333333333301</v>
      </c>
      <c r="O46" s="32">
        <v>2.7777777777777801E-2</v>
      </c>
      <c r="Q46" s="187" t="s">
        <v>108</v>
      </c>
    </row>
    <row r="47" spans="3:28" ht="15.75">
      <c r="N47" s="30">
        <v>0.22916666666666699</v>
      </c>
      <c r="O47" s="32">
        <v>3.4722222222222203E-2</v>
      </c>
      <c r="P47" s="39" t="s">
        <v>76</v>
      </c>
      <c r="Q47" s="182" t="s">
        <v>101</v>
      </c>
    </row>
    <row r="48" spans="3:28" ht="15.75" thickBot="1">
      <c r="N48" s="30">
        <v>0.25</v>
      </c>
      <c r="O48" s="227">
        <v>0</v>
      </c>
      <c r="P48" s="33" t="s">
        <v>77</v>
      </c>
    </row>
    <row r="49" spans="3:17" ht="16.5" thickTop="1" thickBot="1">
      <c r="C49" s="388" t="s">
        <v>78</v>
      </c>
      <c r="D49" s="389"/>
      <c r="E49" s="389"/>
      <c r="F49" s="34">
        <v>39</v>
      </c>
      <c r="G49" s="164"/>
      <c r="H49" s="164"/>
      <c r="I49" s="164"/>
      <c r="J49" s="164"/>
      <c r="K49" s="164"/>
      <c r="L49" s="164"/>
      <c r="M49" s="164"/>
      <c r="N49" s="30">
        <v>0.27083333333333298</v>
      </c>
      <c r="O49" s="215"/>
      <c r="P49" s="215"/>
      <c r="Q49" s="215"/>
    </row>
    <row r="50" spans="3:17" ht="15">
      <c r="C50" s="371" t="s">
        <v>79</v>
      </c>
      <c r="D50" s="371"/>
      <c r="E50" s="371"/>
      <c r="F50" s="371"/>
      <c r="G50" s="228"/>
      <c r="H50" s="228"/>
      <c r="I50" s="228"/>
      <c r="J50" s="228"/>
      <c r="K50" s="228"/>
      <c r="L50" s="228"/>
      <c r="M50" s="228"/>
      <c r="N50" s="30">
        <v>0.29166666666666702</v>
      </c>
      <c r="O50" s="228"/>
      <c r="P50" s="228"/>
      <c r="Q50" s="228"/>
    </row>
    <row r="51" spans="3:17" ht="15">
      <c r="C51" s="372"/>
      <c r="D51" s="372"/>
      <c r="E51" s="372"/>
      <c r="F51" s="372"/>
      <c r="N51" s="30">
        <v>0.3125</v>
      </c>
    </row>
    <row r="52" spans="3:17" ht="15">
      <c r="C52" s="372"/>
      <c r="D52" s="372"/>
      <c r="E52" s="372"/>
      <c r="F52" s="372"/>
      <c r="N52" s="30">
        <v>0.33333333333333298</v>
      </c>
    </row>
    <row r="53" spans="3:17" ht="15">
      <c r="C53" s="387" t="e">
        <f>J65*(F49*2)</f>
        <v>#REF!</v>
      </c>
      <c r="D53" s="387"/>
      <c r="E53" s="387"/>
      <c r="F53" s="387"/>
      <c r="N53" s="30">
        <v>0.35416666666666702</v>
      </c>
    </row>
    <row r="54" spans="3:17" ht="15">
      <c r="C54" s="387"/>
      <c r="D54" s="387"/>
      <c r="E54" s="387"/>
      <c r="F54" s="387"/>
      <c r="N54" s="30">
        <v>0.375</v>
      </c>
    </row>
    <row r="55" spans="3:17" ht="15">
      <c r="C55" s="387"/>
      <c r="D55" s="387"/>
      <c r="E55" s="387"/>
      <c r="F55" s="387"/>
      <c r="N55" s="30">
        <v>0.39583333333333298</v>
      </c>
    </row>
    <row r="56" spans="3:17" ht="15">
      <c r="C56" s="387"/>
      <c r="D56" s="387"/>
      <c r="E56" s="387"/>
      <c r="F56" s="387"/>
      <c r="N56" s="30">
        <v>0.41666666666666702</v>
      </c>
    </row>
    <row r="57" spans="3:17" ht="15">
      <c r="N57" s="30">
        <v>0.4375</v>
      </c>
    </row>
    <row r="58" spans="3:17" ht="15">
      <c r="N58" s="30">
        <v>0.45833333333333298</v>
      </c>
    </row>
    <row r="59" spans="3:17" ht="15">
      <c r="N59" s="30">
        <v>0.47916666666666702</v>
      </c>
    </row>
    <row r="60" spans="3:17" ht="15">
      <c r="N60" s="30">
        <v>0.5</v>
      </c>
    </row>
    <row r="61" spans="3:17" ht="15">
      <c r="N61" s="30">
        <v>0.52083333333333304</v>
      </c>
    </row>
    <row r="62" spans="3:17" ht="15">
      <c r="N62" s="30">
        <v>0.54166666666666696</v>
      </c>
    </row>
    <row r="63" spans="3:17" ht="15">
      <c r="K63" s="229" t="s">
        <v>80</v>
      </c>
      <c r="N63" s="30">
        <v>0.5625</v>
      </c>
    </row>
    <row r="64" spans="3:17" ht="15">
      <c r="D64" s="390" t="s">
        <v>81</v>
      </c>
      <c r="E64" s="390"/>
      <c r="F64" s="390"/>
      <c r="G64" s="390"/>
      <c r="H64" s="390"/>
      <c r="I64" s="390"/>
      <c r="J64" s="230" t="e">
        <f>SUM(#REF!+#REF!+#REF!+#REF!+#REF!+#REF!+#REF!+#REF!+#REF!+#REF!+#REF!+#REF!)</f>
        <v>#REF!</v>
      </c>
      <c r="K64" s="231">
        <f>NETWORKDAYS('CALENDRIER PERPETUEL'!$B$4,'CALENDRIER PERPETUEL'!$M$34,JOURS_FERIE)</f>
        <v>251</v>
      </c>
      <c r="N64" s="30">
        <v>0.58333333333333304</v>
      </c>
    </row>
    <row r="65" spans="4:22" ht="15">
      <c r="D65" s="370" t="s">
        <v>82</v>
      </c>
      <c r="E65" s="370"/>
      <c r="F65" s="370"/>
      <c r="G65" s="370"/>
      <c r="H65" s="370"/>
      <c r="I65" s="370"/>
      <c r="J65" s="230" t="e">
        <f>SUM(#REF!+#REF!+#REF!+#REF!+#REF!+#REF!+#REF!+#REF!+#REF!+#REF!+#REF!+#REF!)</f>
        <v>#REF!</v>
      </c>
      <c r="N65" s="30">
        <v>0.60416666666666696</v>
      </c>
    </row>
    <row r="66" spans="4:22" ht="15">
      <c r="D66" s="370" t="s">
        <v>83</v>
      </c>
      <c r="E66" s="370"/>
      <c r="F66" s="370"/>
      <c r="G66" s="370"/>
      <c r="H66" s="370"/>
      <c r="I66" s="370"/>
      <c r="J66" s="260" t="e">
        <v>#REF!</v>
      </c>
      <c r="N66" s="30">
        <v>0.625</v>
      </c>
    </row>
    <row r="67" spans="4:22" ht="15">
      <c r="D67" s="370" t="s">
        <v>84</v>
      </c>
      <c r="E67" s="370"/>
      <c r="F67" s="370"/>
      <c r="G67" s="370"/>
      <c r="H67" s="370"/>
      <c r="I67" s="370"/>
      <c r="J67" s="260"/>
      <c r="N67" s="30">
        <v>0.64583333333333304</v>
      </c>
    </row>
    <row r="68" spans="4:22" ht="15">
      <c r="D68" s="386" t="s">
        <v>85</v>
      </c>
      <c r="E68" s="386"/>
      <c r="F68" s="386"/>
      <c r="G68" s="386"/>
      <c r="H68" s="386"/>
      <c r="I68" s="386"/>
      <c r="J68" s="260" t="e">
        <f>SUM(#REF!+#REF!+#REF!+#REF!+#REF!+#REF!+#REF!+#REF!+#REF!+#REF!+#REF!+#REF!)</f>
        <v>#REF!</v>
      </c>
      <c r="N68" s="30">
        <v>0.66666666666666696</v>
      </c>
      <c r="Q68" s="265"/>
      <c r="R68" s="265"/>
      <c r="S68" s="265"/>
      <c r="T68" s="265"/>
      <c r="U68" s="265"/>
      <c r="V68" s="266"/>
    </row>
    <row r="69" spans="4:22" ht="15">
      <c r="D69" s="375" t="s">
        <v>118</v>
      </c>
      <c r="E69" s="376"/>
      <c r="F69" s="376"/>
      <c r="G69" s="376"/>
      <c r="H69" s="376"/>
      <c r="I69" s="377"/>
      <c r="J69" s="261" t="e">
        <f>SUM(#REF!+#REF!+#REF!+#REF!+#REF!+#REF!+#REF!+#REF!+#REF!+#REF!+#REF!+#REF!)</f>
        <v>#REF!</v>
      </c>
      <c r="L69" s="232"/>
      <c r="N69" s="30">
        <v>0.6875</v>
      </c>
      <c r="Q69" s="267"/>
      <c r="R69" s="267"/>
      <c r="S69" s="267"/>
      <c r="T69" s="267"/>
      <c r="U69" s="267"/>
      <c r="V69" s="268"/>
    </row>
    <row r="70" spans="4:22" ht="15">
      <c r="D70" s="373"/>
      <c r="E70" s="373"/>
      <c r="F70" s="373"/>
      <c r="G70" s="373"/>
      <c r="H70" s="233"/>
      <c r="I70" s="232"/>
      <c r="K70" s="232"/>
      <c r="L70" s="232"/>
      <c r="N70" s="30">
        <v>0.70833333333333304</v>
      </c>
      <c r="Q70" s="210"/>
      <c r="R70" s="210"/>
      <c r="S70" s="210"/>
      <c r="T70" s="210"/>
      <c r="U70" s="210"/>
      <c r="V70" s="268"/>
    </row>
    <row r="71" spans="4:22" ht="15">
      <c r="E71" s="344" t="s">
        <v>3</v>
      </c>
      <c r="F71" s="345"/>
      <c r="G71" s="171" t="s">
        <v>116</v>
      </c>
      <c r="H71" s="346" t="s">
        <v>4</v>
      </c>
      <c r="I71" s="347"/>
      <c r="N71" s="30">
        <v>0.72916666666666685</v>
      </c>
      <c r="Q71" s="210"/>
      <c r="R71" s="210"/>
      <c r="S71" s="210"/>
      <c r="T71" s="210"/>
      <c r="U71" s="210"/>
      <c r="V71" s="210"/>
    </row>
    <row r="72" spans="4:22" ht="15.75" thickBot="1">
      <c r="E72" s="174" t="s">
        <v>9</v>
      </c>
      <c r="F72" s="175" t="s">
        <v>10</v>
      </c>
      <c r="G72" s="176"/>
      <c r="H72" s="177" t="s">
        <v>9</v>
      </c>
      <c r="I72" s="178" t="s">
        <v>10</v>
      </c>
      <c r="N72" s="30">
        <v>0.75</v>
      </c>
      <c r="Q72" s="232"/>
    </row>
    <row r="73" spans="4:22" ht="15.75" thickTop="1">
      <c r="E73" s="3"/>
      <c r="F73" s="4"/>
      <c r="G73" s="5"/>
      <c r="H73" s="180"/>
      <c r="I73" s="180"/>
      <c r="N73" s="30">
        <v>0.77083333333333315</v>
      </c>
    </row>
    <row r="74" spans="4:22" ht="15">
      <c r="E74" s="11"/>
      <c r="F74" s="12"/>
      <c r="G74" s="184"/>
      <c r="H74" s="185"/>
      <c r="I74" s="186"/>
      <c r="N74" s="30">
        <v>0.79166666666666685</v>
      </c>
    </row>
    <row r="75" spans="4:22" ht="15">
      <c r="E75" s="11"/>
      <c r="F75" s="12"/>
      <c r="H75" s="189"/>
      <c r="I75" s="190"/>
      <c r="N75" s="30">
        <v>0.8125</v>
      </c>
    </row>
    <row r="76" spans="4:22" ht="15.75" thickBot="1">
      <c r="E76" s="11"/>
      <c r="F76" s="12"/>
      <c r="G76" s="137"/>
      <c r="H76" s="189"/>
      <c r="I76" s="190"/>
      <c r="N76" s="30">
        <v>0.83333333333333315</v>
      </c>
      <c r="R76" s="263" t="s">
        <v>130</v>
      </c>
    </row>
    <row r="77" spans="4:22" ht="14.45" customHeight="1" thickTop="1" thickBot="1">
      <c r="E77" s="11"/>
      <c r="F77" s="12"/>
      <c r="G77" s="149"/>
      <c r="H77" s="189"/>
      <c r="I77" s="190"/>
      <c r="N77" s="30">
        <v>0.85416666666666685</v>
      </c>
      <c r="R77" s="262">
        <f>DATE(2025,1,3)</f>
        <v>45660</v>
      </c>
      <c r="U77" s="39" t="s">
        <v>129</v>
      </c>
    </row>
    <row r="78" spans="4:22" ht="14.45" customHeight="1" thickTop="1" thickBot="1">
      <c r="E78" s="11"/>
      <c r="F78" s="12"/>
      <c r="G78" s="150"/>
      <c r="H78" s="194"/>
      <c r="I78" s="195"/>
      <c r="N78" s="30">
        <v>0.875</v>
      </c>
      <c r="R78" s="262">
        <f>DATE(2025,1,31)</f>
        <v>45688</v>
      </c>
      <c r="U78" s="39">
        <v>2025</v>
      </c>
    </row>
    <row r="79" spans="4:22" ht="16.5" thickTop="1" thickBot="1">
      <c r="E79" s="17"/>
      <c r="F79" s="18"/>
      <c r="G79" s="148"/>
      <c r="H79" s="197"/>
      <c r="I79" s="198"/>
      <c r="N79" s="30">
        <v>0.89583333333333315</v>
      </c>
      <c r="R79" s="262">
        <f>DATE(2025,2,14)</f>
        <v>45702</v>
      </c>
      <c r="U79" s="39">
        <v>2026</v>
      </c>
    </row>
    <row r="80" spans="4:22" ht="16.5" thickTop="1" thickBot="1">
      <c r="E80" s="21"/>
      <c r="F80" s="22"/>
      <c r="G80" s="142"/>
      <c r="H80" s="201"/>
      <c r="I80" s="202"/>
      <c r="N80" s="30">
        <v>0.91666666666666685</v>
      </c>
      <c r="R80" s="262">
        <f>DATE(2025,2,21)</f>
        <v>45709</v>
      </c>
      <c r="U80" s="39">
        <v>2027</v>
      </c>
    </row>
    <row r="81" spans="4:21" ht="16.5" thickTop="1" thickBot="1">
      <c r="N81" s="30">
        <v>0.9375</v>
      </c>
      <c r="R81" s="262">
        <f>DATE(2025,2,28)</f>
        <v>45716</v>
      </c>
      <c r="U81" s="39">
        <v>2028</v>
      </c>
    </row>
    <row r="82" spans="4:21" ht="16.5" thickTop="1" thickBot="1">
      <c r="N82" s="30">
        <v>0.95833333333333315</v>
      </c>
      <c r="R82" s="262">
        <f>DATE(2025,3,21)</f>
        <v>45737</v>
      </c>
      <c r="U82" s="39">
        <v>2029</v>
      </c>
    </row>
    <row r="83" spans="4:21" ht="16.5" thickTop="1" thickBot="1">
      <c r="N83" s="30">
        <v>0.97916666666666685</v>
      </c>
      <c r="R83" s="262">
        <f>DATE(2025,3,28)</f>
        <v>45744</v>
      </c>
      <c r="U83" s="39">
        <v>2030</v>
      </c>
    </row>
    <row r="84" spans="4:21" ht="16.5" thickTop="1" thickBot="1">
      <c r="G84" s="232"/>
      <c r="H84" s="232"/>
      <c r="I84" s="232"/>
      <c r="J84" s="232"/>
      <c r="K84" s="232"/>
      <c r="N84" s="35">
        <v>1</v>
      </c>
      <c r="R84" s="262">
        <f>DATE(2025,4,18)</f>
        <v>45765</v>
      </c>
      <c r="U84" s="39">
        <v>2031</v>
      </c>
    </row>
    <row r="85" spans="4:21" ht="16.5" thickTop="1" thickBot="1">
      <c r="G85" s="232"/>
      <c r="H85" s="232"/>
      <c r="I85" s="232"/>
      <c r="J85" s="232"/>
      <c r="K85" s="232"/>
      <c r="N85" s="136"/>
      <c r="R85" s="262">
        <f>DATE(2025,4,25)</f>
        <v>45772</v>
      </c>
      <c r="U85" s="39">
        <v>2032</v>
      </c>
    </row>
    <row r="86" spans="4:21" ht="16.5" thickTop="1" thickBot="1">
      <c r="G86" s="232"/>
      <c r="H86" s="232"/>
      <c r="I86" s="232"/>
      <c r="J86" s="232"/>
      <c r="K86" s="232"/>
      <c r="N86" s="136"/>
      <c r="R86" s="262">
        <f>DATE(2025,5,2)</f>
        <v>45779</v>
      </c>
      <c r="U86" s="39">
        <v>2033</v>
      </c>
    </row>
    <row r="87" spans="4:21" ht="16.5" thickTop="1" thickBot="1">
      <c r="N87" s="136"/>
      <c r="R87" s="262">
        <f>DATE(2025,5,9)</f>
        <v>45786</v>
      </c>
      <c r="U87" s="39">
        <v>2034</v>
      </c>
    </row>
    <row r="88" spans="4:21" ht="16.5" thickTop="1" thickBot="1">
      <c r="D88" s="235"/>
      <c r="E88" s="25"/>
      <c r="N88" s="374" t="s">
        <v>123</v>
      </c>
      <c r="O88" s="374"/>
      <c r="R88" s="262">
        <f>DATE(2024,5,16)</f>
        <v>45428</v>
      </c>
      <c r="U88" s="39">
        <v>2035</v>
      </c>
    </row>
    <row r="89" spans="4:21" ht="16.5" thickTop="1" thickBot="1">
      <c r="D89" s="235"/>
      <c r="E89" s="25"/>
      <c r="N89" s="236">
        <v>44939</v>
      </c>
      <c r="O89" s="234">
        <f>DATE(2024,1,5)</f>
        <v>45296</v>
      </c>
      <c r="P89" s="237">
        <f>DATE(2024,1,5)</f>
        <v>45296</v>
      </c>
      <c r="R89" s="262">
        <f>DATE(2025,5,23)</f>
        <v>45800</v>
      </c>
      <c r="U89" s="39">
        <v>2036</v>
      </c>
    </row>
    <row r="90" spans="4:21" ht="16.5" thickTop="1" thickBot="1">
      <c r="D90" s="238"/>
      <c r="E90" s="25"/>
      <c r="N90" s="236">
        <v>44981</v>
      </c>
      <c r="O90" s="234">
        <f>DATE(2024,1,12)</f>
        <v>45303</v>
      </c>
      <c r="P90" s="237">
        <f>DATE(2024,1,12)</f>
        <v>45303</v>
      </c>
      <c r="R90" s="262">
        <f>DATE(2025,5,29)</f>
        <v>45806</v>
      </c>
      <c r="U90" s="39">
        <v>2037</v>
      </c>
    </row>
    <row r="91" spans="4:21" ht="16.5" thickTop="1" thickBot="1">
      <c r="N91" s="236">
        <v>45009</v>
      </c>
      <c r="O91" s="234">
        <f>DATE(2024,1,26)</f>
        <v>45317</v>
      </c>
      <c r="P91" s="237">
        <f>DATE(2024,1,26)</f>
        <v>45317</v>
      </c>
      <c r="R91" s="262">
        <f>DATE(2025,5,30)</f>
        <v>45807</v>
      </c>
      <c r="U91" s="39">
        <v>2038</v>
      </c>
    </row>
    <row r="92" spans="4:21" ht="16.5" thickTop="1" thickBot="1">
      <c r="N92" s="236">
        <v>45016</v>
      </c>
      <c r="O92" s="234">
        <f>DATE(2024,2,2)</f>
        <v>45324</v>
      </c>
      <c r="P92" s="237">
        <f>DATE(2024,2,2)</f>
        <v>45324</v>
      </c>
      <c r="R92" s="262">
        <f>DATE(2025,6,6)</f>
        <v>45814</v>
      </c>
      <c r="U92" s="39">
        <v>2039</v>
      </c>
    </row>
    <row r="93" spans="4:21" ht="16.5" thickTop="1" thickBot="1">
      <c r="N93" s="236">
        <v>45023</v>
      </c>
      <c r="O93" s="234">
        <f>DATE(2024,3,29)</f>
        <v>45380</v>
      </c>
      <c r="P93" s="237">
        <f>DATE(2024,3,29)</f>
        <v>45380</v>
      </c>
      <c r="R93" s="262">
        <f>DATE(2025,6,13)</f>
        <v>45821</v>
      </c>
      <c r="U93" s="39">
        <v>2040</v>
      </c>
    </row>
    <row r="94" spans="4:21" ht="16.5" thickTop="1" thickBot="1">
      <c r="N94" s="236">
        <v>45030</v>
      </c>
      <c r="O94" s="234">
        <f>DATE(2024,4,5)</f>
        <v>45387</v>
      </c>
      <c r="P94" s="237">
        <f>DATE(2024,4,5)</f>
        <v>45387</v>
      </c>
      <c r="R94" s="262">
        <f>DATE(2025,8,22)</f>
        <v>45891</v>
      </c>
      <c r="U94" s="39">
        <v>2041</v>
      </c>
    </row>
    <row r="95" spans="4:21" ht="16.5" thickTop="1" thickBot="1">
      <c r="N95" s="236">
        <v>45037</v>
      </c>
      <c r="O95" s="234">
        <f>DATE(2024,4,26)</f>
        <v>45408</v>
      </c>
      <c r="P95" s="237">
        <f>DATE(2024,4,26)</f>
        <v>45408</v>
      </c>
      <c r="R95" s="262">
        <f>DATE(2025,8,29)</f>
        <v>45898</v>
      </c>
      <c r="U95" s="39">
        <v>2042</v>
      </c>
    </row>
    <row r="96" spans="4:21" ht="16.5" thickTop="1" thickBot="1">
      <c r="N96" s="236">
        <v>45044</v>
      </c>
      <c r="O96" s="234">
        <f>DATE(2024,5,3)</f>
        <v>45415</v>
      </c>
      <c r="P96" s="237">
        <f>DATE(2024,5,3)</f>
        <v>45415</v>
      </c>
      <c r="R96" s="262">
        <f>DATE(2025,9,19)</f>
        <v>45919</v>
      </c>
      <c r="U96" s="39">
        <v>2043</v>
      </c>
    </row>
    <row r="97" spans="8:21" ht="16.5" thickTop="1" thickBot="1">
      <c r="N97" s="236">
        <v>45051</v>
      </c>
      <c r="O97" s="234">
        <f>DATE(2024,5,9)</f>
        <v>45421</v>
      </c>
      <c r="P97" s="237">
        <f>DATE(2024,5,9)</f>
        <v>45421</v>
      </c>
      <c r="R97" s="262">
        <f>DATE(2025,9,26)</f>
        <v>45926</v>
      </c>
      <c r="U97" s="39">
        <v>2044</v>
      </c>
    </row>
    <row r="98" spans="8:21" ht="16.5" thickTop="1" thickBot="1">
      <c r="N98" s="236">
        <v>45058</v>
      </c>
      <c r="O98" s="234">
        <f>DATE(2024,5,10)</f>
        <v>45422</v>
      </c>
      <c r="P98" s="237">
        <f>DATE(2024,5,10)</f>
        <v>45422</v>
      </c>
      <c r="R98" s="262">
        <f>DATE(2025,10,17)</f>
        <v>45947</v>
      </c>
      <c r="U98" s="39">
        <v>2045</v>
      </c>
    </row>
    <row r="99" spans="8:21" ht="16.5" thickTop="1" thickBot="1">
      <c r="N99" s="236">
        <v>45064</v>
      </c>
      <c r="O99" s="234">
        <f>DATE(2024,5,17)</f>
        <v>45429</v>
      </c>
      <c r="P99" s="237">
        <f>DATE(2024,5,17)</f>
        <v>45429</v>
      </c>
      <c r="R99" s="262">
        <f>DATE(2025,10,24)</f>
        <v>45954</v>
      </c>
      <c r="U99" s="39">
        <v>2046</v>
      </c>
    </row>
    <row r="100" spans="8:21" ht="16.5" thickTop="1" thickBot="1">
      <c r="N100" s="236">
        <v>45065</v>
      </c>
      <c r="O100" s="234">
        <f>DATE(2024,5,24)</f>
        <v>45436</v>
      </c>
      <c r="P100" s="237">
        <f>DATE(2024,5,24)</f>
        <v>45436</v>
      </c>
      <c r="R100" s="262">
        <f>DATE(2025,10,31)</f>
        <v>45961</v>
      </c>
      <c r="U100" s="39">
        <v>2047</v>
      </c>
    </row>
    <row r="101" spans="8:21" ht="16.5" thickTop="1" thickBot="1">
      <c r="N101" s="236">
        <v>45072</v>
      </c>
      <c r="O101" s="234">
        <f>DATE(2024,5,24)</f>
        <v>45436</v>
      </c>
      <c r="P101" s="237">
        <f>DATE(2024,5,24)</f>
        <v>45436</v>
      </c>
      <c r="R101" s="262">
        <f>DATE(2025,11,7)</f>
        <v>45968</v>
      </c>
      <c r="U101" s="39">
        <v>2048</v>
      </c>
    </row>
    <row r="102" spans="8:21" ht="16.5" thickTop="1" thickBot="1">
      <c r="N102" s="236">
        <v>45079</v>
      </c>
      <c r="O102" s="234">
        <f>DATE(2024,6,21)</f>
        <v>45464</v>
      </c>
      <c r="P102" s="237">
        <f>DATE(2024,8,16)</f>
        <v>45520</v>
      </c>
      <c r="R102" s="262">
        <f>DATE(2025,11,14)</f>
        <v>45975</v>
      </c>
    </row>
    <row r="103" spans="8:21" ht="16.5" thickTop="1" thickBot="1">
      <c r="N103" s="236">
        <v>45093</v>
      </c>
      <c r="O103" s="234">
        <f>DATE(2024,7,26)</f>
        <v>45499</v>
      </c>
      <c r="P103" s="237">
        <f>DATE(2024,8,23)</f>
        <v>45527</v>
      </c>
      <c r="R103" s="262">
        <f>DATE(2025,11,21)</f>
        <v>45982</v>
      </c>
    </row>
    <row r="104" spans="8:21" ht="16.5" thickTop="1" thickBot="1">
      <c r="N104" s="236">
        <v>45114</v>
      </c>
      <c r="O104" s="234">
        <f>DATE(2024,8,2)</f>
        <v>45506</v>
      </c>
      <c r="P104" s="237">
        <f>DATE(2024,11,15)</f>
        <v>45611</v>
      </c>
      <c r="R104" s="262">
        <f>DATE(2025,12,5)</f>
        <v>45996</v>
      </c>
    </row>
    <row r="105" spans="8:21" ht="16.5" thickTop="1" thickBot="1">
      <c r="N105" s="236">
        <v>45149</v>
      </c>
      <c r="O105" s="234">
        <f>DATE(2024,8,16)</f>
        <v>45520</v>
      </c>
      <c r="P105" s="237">
        <f>DATE(2024,12,6)</f>
        <v>45632</v>
      </c>
      <c r="R105" s="262">
        <f>DATE(2025,12,12)</f>
        <v>46003</v>
      </c>
    </row>
    <row r="106" spans="8:21" ht="16.5" thickTop="1" thickBot="1">
      <c r="N106" s="236">
        <v>45156</v>
      </c>
      <c r="O106" s="234">
        <f>DATE(2024,8,23)</f>
        <v>45527</v>
      </c>
      <c r="P106" s="237">
        <f>DATE(2024,12,13)</f>
        <v>45639</v>
      </c>
      <c r="R106" s="262">
        <f>DATE(2025,12,19)</f>
        <v>46010</v>
      </c>
    </row>
    <row r="107" spans="8:21" ht="16.5" thickTop="1" thickBot="1">
      <c r="H107" s="163"/>
      <c r="I107" s="163"/>
      <c r="N107" s="236">
        <v>45191</v>
      </c>
      <c r="O107" s="234">
        <f>DATE(2024,8,30)</f>
        <v>45534</v>
      </c>
      <c r="P107" s="237">
        <f>DATE(2024,12,14)</f>
        <v>45640</v>
      </c>
      <c r="R107" s="262">
        <f>DATE(2025,12,20)</f>
        <v>46011</v>
      </c>
    </row>
    <row r="108" spans="8:21" ht="16.5" thickTop="1" thickBot="1">
      <c r="H108" s="163"/>
      <c r="I108" s="163"/>
      <c r="N108" s="236">
        <v>45219</v>
      </c>
      <c r="O108" s="234">
        <f>DATE(2024,9,27)</f>
        <v>45562</v>
      </c>
      <c r="P108" s="237">
        <f>DATE(2024,12,20)</f>
        <v>45646</v>
      </c>
      <c r="R108" s="262">
        <f>DATE(2025,12,26)</f>
        <v>46017</v>
      </c>
    </row>
    <row r="109" spans="8:21" ht="16.5" thickTop="1" thickBot="1">
      <c r="H109" s="157"/>
      <c r="I109" s="157"/>
      <c r="L109" s="239" t="s">
        <v>3</v>
      </c>
      <c r="M109" s="240">
        <v>2022</v>
      </c>
      <c r="N109" s="236">
        <v>45233</v>
      </c>
      <c r="O109" s="234">
        <f>DATE(2024,10,4)</f>
        <v>45569</v>
      </c>
      <c r="P109" s="237">
        <f>DATE(2024,12,21)</f>
        <v>45647</v>
      </c>
      <c r="R109" s="262">
        <f>DATE(2025,12,27)</f>
        <v>46018</v>
      </c>
    </row>
    <row r="110" spans="8:21" ht="16.5" thickTop="1" thickBot="1">
      <c r="H110" s="157"/>
      <c r="I110" s="157"/>
      <c r="L110" s="239" t="s">
        <v>9</v>
      </c>
      <c r="M110" s="241" t="s">
        <v>10</v>
      </c>
      <c r="N110" s="236">
        <v>45247</v>
      </c>
      <c r="O110" s="234">
        <f>DATE(2024,10,18)</f>
        <v>45583</v>
      </c>
      <c r="P110" s="237">
        <f>DATE(2024,12,27)</f>
        <v>45653</v>
      </c>
      <c r="R110" s="262">
        <f>DATE(2026,1,2)</f>
        <v>46024</v>
      </c>
    </row>
    <row r="111" spans="8:21" ht="16.5" thickTop="1" thickBot="1">
      <c r="H111" s="157"/>
      <c r="I111" s="157"/>
      <c r="L111" s="11">
        <v>45055</v>
      </c>
      <c r="M111" s="12">
        <v>45073</v>
      </c>
      <c r="N111" s="236">
        <v>45254</v>
      </c>
      <c r="O111" s="234">
        <f>DATE(2024,10,25)</f>
        <v>45590</v>
      </c>
      <c r="P111" s="237">
        <f>DATE(2024,12,28)</f>
        <v>45654</v>
      </c>
      <c r="R111" s="262">
        <f>DATE(2026,1,9)</f>
        <v>46031</v>
      </c>
    </row>
    <row r="112" spans="8:21" ht="16.5" thickTop="1" thickBot="1">
      <c r="H112" s="158"/>
      <c r="I112" s="157"/>
      <c r="L112" s="11">
        <v>45076</v>
      </c>
      <c r="M112" s="12">
        <v>45076</v>
      </c>
      <c r="N112" s="236">
        <v>45275</v>
      </c>
      <c r="O112" s="234">
        <f>DATE(2024,11,8)</f>
        <v>45604</v>
      </c>
      <c r="P112" s="237">
        <f>DATE(2025,1,3)</f>
        <v>45660</v>
      </c>
      <c r="R112" s="264">
        <f>DATE(2026,1,16)</f>
        <v>46038</v>
      </c>
    </row>
    <row r="113" spans="8:18" ht="16.5" thickTop="1" thickBot="1">
      <c r="H113" s="242"/>
      <c r="I113" s="242"/>
      <c r="L113" s="11"/>
      <c r="M113" s="12"/>
      <c r="N113" s="236">
        <v>45276</v>
      </c>
      <c r="O113" s="234">
        <f>DATE(2024,11,15)</f>
        <v>45611</v>
      </c>
      <c r="P113" s="237">
        <f>DATE(2024,6,21)</f>
        <v>45464</v>
      </c>
      <c r="R113" s="264">
        <v>46042</v>
      </c>
    </row>
    <row r="114" spans="8:18" ht="16.5" thickTop="1" thickBot="1">
      <c r="H114" s="15"/>
      <c r="I114" s="15"/>
      <c r="L114" s="37"/>
      <c r="M114" s="36"/>
      <c r="N114" s="236">
        <v>45282</v>
      </c>
      <c r="O114" s="234">
        <f>DATE(2024,11,22)</f>
        <v>45618</v>
      </c>
    </row>
    <row r="115" spans="8:18" ht="16.5" thickTop="1" thickBot="1">
      <c r="H115" s="24"/>
      <c r="I115" s="24"/>
      <c r="L115" s="243"/>
      <c r="M115" s="243"/>
      <c r="N115" s="236">
        <v>45289</v>
      </c>
      <c r="O115" s="234">
        <f>DATE(2024,11,29)</f>
        <v>45625</v>
      </c>
      <c r="P115" s="237"/>
    </row>
    <row r="116" spans="8:18" ht="16.5" thickTop="1" thickBot="1">
      <c r="N116" s="237">
        <v>45296</v>
      </c>
      <c r="O116" s="234">
        <f>DATE(2024,12,6)</f>
        <v>45632</v>
      </c>
      <c r="P116" s="237"/>
    </row>
    <row r="117" spans="8:18" ht="16.5" thickTop="1" thickBot="1">
      <c r="N117" s="237">
        <v>45303</v>
      </c>
      <c r="O117" s="234">
        <f>DATE(2024,12,13)</f>
        <v>45639</v>
      </c>
      <c r="P117" s="237"/>
    </row>
    <row r="118" spans="8:18" ht="16.5" thickTop="1" thickBot="1">
      <c r="N118" s="136"/>
      <c r="O118" s="234">
        <f>DATE(2024,12,14)</f>
        <v>45640</v>
      </c>
    </row>
    <row r="119" spans="8:18" ht="16.5" thickTop="1" thickBot="1">
      <c r="N119" s="136"/>
      <c r="O119" s="234">
        <f>DATE(2024,12,20)</f>
        <v>45646</v>
      </c>
    </row>
    <row r="120" spans="8:18" ht="0" hidden="1" customHeight="1">
      <c r="N120" s="136"/>
      <c r="O120" s="234">
        <f>DATE(2024,12,21)</f>
        <v>45647</v>
      </c>
    </row>
    <row r="121" spans="8:18" ht="0" hidden="1" customHeight="1">
      <c r="O121" s="234">
        <f>DATE(2024,12,27)</f>
        <v>45653</v>
      </c>
    </row>
    <row r="122" spans="8:18" ht="0" hidden="1" customHeight="1">
      <c r="O122" s="234">
        <f>DATE(2024,12,28)</f>
        <v>45654</v>
      </c>
    </row>
    <row r="123" spans="8:18" ht="0" hidden="1" customHeight="1">
      <c r="O123" s="234">
        <f>DATE(2025,1,3)</f>
        <v>45660</v>
      </c>
    </row>
    <row r="124" spans="8:18" ht="0" hidden="1" customHeight="1">
      <c r="O124" s="234"/>
    </row>
  </sheetData>
  <mergeCells count="64">
    <mergeCell ref="N88:O88"/>
    <mergeCell ref="D69:I69"/>
    <mergeCell ref="C39:D39"/>
    <mergeCell ref="J26:O26"/>
    <mergeCell ref="I35:J35"/>
    <mergeCell ref="J28:O28"/>
    <mergeCell ref="C31:H32"/>
    <mergeCell ref="C34:D34"/>
    <mergeCell ref="D68:I68"/>
    <mergeCell ref="D67:I67"/>
    <mergeCell ref="C45:D45"/>
    <mergeCell ref="C53:F56"/>
    <mergeCell ref="D65:I65"/>
    <mergeCell ref="C49:E49"/>
    <mergeCell ref="D64:I64"/>
    <mergeCell ref="E71:F71"/>
    <mergeCell ref="H71:I71"/>
    <mergeCell ref="B24:C24"/>
    <mergeCell ref="B28:C28"/>
    <mergeCell ref="D66:I66"/>
    <mergeCell ref="C50:F52"/>
    <mergeCell ref="D70:G70"/>
    <mergeCell ref="B25:C25"/>
    <mergeCell ref="B26:C26"/>
    <mergeCell ref="C37:D37"/>
    <mergeCell ref="M15:N15"/>
    <mergeCell ref="C44:D44"/>
    <mergeCell ref="C40:D40"/>
    <mergeCell ref="C41:D41"/>
    <mergeCell ref="C42:D42"/>
    <mergeCell ref="C43:D43"/>
    <mergeCell ref="B27:C27"/>
    <mergeCell ref="J29:O29"/>
    <mergeCell ref="F17:G17"/>
    <mergeCell ref="J25:O25"/>
    <mergeCell ref="O14:P14"/>
    <mergeCell ref="M14:N14"/>
    <mergeCell ref="T38:V38"/>
    <mergeCell ref="B29:C29"/>
    <mergeCell ref="W38:X38"/>
    <mergeCell ref="C35:D35"/>
    <mergeCell ref="J24:O24"/>
    <mergeCell ref="P23:Q23"/>
    <mergeCell ref="C38:D38"/>
    <mergeCell ref="P24:R24"/>
    <mergeCell ref="J23:O23"/>
    <mergeCell ref="C36:D36"/>
    <mergeCell ref="B23:C23"/>
    <mergeCell ref="J27:O27"/>
    <mergeCell ref="C33:D33"/>
    <mergeCell ref="J36:L36"/>
    <mergeCell ref="C1:D1"/>
    <mergeCell ref="AA5:AB5"/>
    <mergeCell ref="M12:N12"/>
    <mergeCell ref="Q9:T9"/>
    <mergeCell ref="M10:N10"/>
    <mergeCell ref="R10:T10"/>
    <mergeCell ref="M8:N8"/>
    <mergeCell ref="Y7:Z7"/>
    <mergeCell ref="C2:D2"/>
    <mergeCell ref="M11:N11"/>
    <mergeCell ref="F5:G5"/>
    <mergeCell ref="I5:J5"/>
    <mergeCell ref="M9:N9"/>
  </mergeCells>
  <phoneticPr fontId="34" type="noConversion"/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4">
    <pageSetUpPr fitToPage="1"/>
  </sheetPr>
  <dimension ref="A1:IV57"/>
  <sheetViews>
    <sheetView workbookViewId="0">
      <selection activeCell="G24" sqref="G24"/>
    </sheetView>
  </sheetViews>
  <sheetFormatPr baseColWidth="10" defaultColWidth="8.85546875" defaultRowHeight="14.45" customHeight="1"/>
  <cols>
    <col min="1" max="1" width="18" style="71" customWidth="1"/>
    <col min="2" max="2" width="18.42578125" style="71" customWidth="1"/>
    <col min="3" max="3" width="18.42578125" style="72" customWidth="1"/>
    <col min="4" max="5" width="19" style="71" customWidth="1"/>
    <col min="6" max="6" width="19" style="72" customWidth="1"/>
    <col min="7" max="7" width="23.140625" style="73" customWidth="1"/>
    <col min="8" max="8" width="17.7109375" style="71" customWidth="1"/>
    <col min="9" max="9" width="21" style="73" customWidth="1"/>
    <col min="10" max="10" width="20" style="74" customWidth="1"/>
    <col min="11" max="11" width="19.28515625" style="73" customWidth="1"/>
    <col min="12" max="12" width="21.28515625" style="71" customWidth="1"/>
    <col min="13" max="13" width="19" style="73" customWidth="1"/>
    <col min="14" max="14" width="19" style="71" customWidth="1"/>
    <col min="15" max="15" width="18.42578125" style="71" customWidth="1"/>
    <col min="16" max="19" width="19" style="71" customWidth="1"/>
    <col min="20" max="256" width="11.42578125" style="71" customWidth="1"/>
  </cols>
  <sheetData>
    <row r="1" spans="1:21" ht="50.1" customHeight="1">
      <c r="A1" s="398">
        <f>YEAR(A4)</f>
        <v>2027</v>
      </c>
      <c r="B1" s="394">
        <f>Données!B1</f>
        <v>2028</v>
      </c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75">
        <f>YEAR(N5)</f>
        <v>2029</v>
      </c>
      <c r="O1" s="75"/>
      <c r="Q1" s="76"/>
      <c r="R1" s="77"/>
      <c r="S1" s="78"/>
    </row>
    <row r="2" spans="1:21" ht="24.95" customHeight="1">
      <c r="A2" s="399"/>
      <c r="B2" s="396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75"/>
      <c r="O2" s="75"/>
      <c r="Q2" s="76"/>
    </row>
    <row r="3" spans="1:21" s="79" customFormat="1" ht="21.95" customHeight="1">
      <c r="A3" s="80" t="s">
        <v>101</v>
      </c>
      <c r="B3" s="81" t="s">
        <v>12</v>
      </c>
      <c r="C3" s="82" t="s">
        <v>17</v>
      </c>
      <c r="D3" s="83" t="s">
        <v>23</v>
      </c>
      <c r="E3" s="84" t="s">
        <v>102</v>
      </c>
      <c r="F3" s="85" t="s">
        <v>32</v>
      </c>
      <c r="G3" s="86" t="s">
        <v>103</v>
      </c>
      <c r="H3" s="87" t="s">
        <v>104</v>
      </c>
      <c r="I3" s="88" t="s">
        <v>105</v>
      </c>
      <c r="J3" s="89" t="s">
        <v>106</v>
      </c>
      <c r="K3" s="90" t="s">
        <v>107</v>
      </c>
      <c r="L3" s="91" t="s">
        <v>108</v>
      </c>
      <c r="M3" s="92" t="s">
        <v>101</v>
      </c>
      <c r="N3" s="93" t="s">
        <v>12</v>
      </c>
      <c r="O3" s="94" t="s">
        <v>17</v>
      </c>
    </row>
    <row r="4" spans="1:21" ht="15" customHeight="1">
      <c r="A4" s="95">
        <f>EDATE(B4,-1)</f>
        <v>46722</v>
      </c>
      <c r="B4" s="95">
        <f>DATE(B1,1,1)</f>
        <v>46753</v>
      </c>
      <c r="C4" s="95">
        <f>EDATE(B4,1)</f>
        <v>46784</v>
      </c>
      <c r="D4" s="95">
        <f t="shared" ref="D4:N4" si="0">EDATE(C4,1)</f>
        <v>46813</v>
      </c>
      <c r="E4" s="95">
        <f t="shared" si="0"/>
        <v>46844</v>
      </c>
      <c r="F4" s="95">
        <f t="shared" si="0"/>
        <v>46874</v>
      </c>
      <c r="G4" s="95">
        <f t="shared" si="0"/>
        <v>46905</v>
      </c>
      <c r="H4" s="95">
        <f t="shared" si="0"/>
        <v>46935</v>
      </c>
      <c r="I4" s="95">
        <f t="shared" si="0"/>
        <v>46966</v>
      </c>
      <c r="J4" s="95">
        <f t="shared" si="0"/>
        <v>46997</v>
      </c>
      <c r="K4" s="95">
        <f t="shared" si="0"/>
        <v>47027</v>
      </c>
      <c r="L4" s="95">
        <f t="shared" si="0"/>
        <v>47058</v>
      </c>
      <c r="M4" s="95">
        <f t="shared" si="0"/>
        <v>47088</v>
      </c>
      <c r="N4" s="95">
        <f t="shared" si="0"/>
        <v>47119</v>
      </c>
      <c r="O4" s="95">
        <f t="shared" ref="O4" si="1">EDATE(N4,1)</f>
        <v>47150</v>
      </c>
    </row>
    <row r="5" spans="1:21" ht="15" customHeight="1">
      <c r="A5" s="95">
        <f>A4+1</f>
        <v>46723</v>
      </c>
      <c r="B5" s="95">
        <f>B4+1</f>
        <v>46754</v>
      </c>
      <c r="C5" s="95">
        <f>C4+1</f>
        <v>46785</v>
      </c>
      <c r="D5" s="95">
        <f t="shared" ref="D5:O5" si="2">D4+1</f>
        <v>46814</v>
      </c>
      <c r="E5" s="95">
        <f t="shared" si="2"/>
        <v>46845</v>
      </c>
      <c r="F5" s="95">
        <f t="shared" si="2"/>
        <v>46875</v>
      </c>
      <c r="G5" s="95">
        <f t="shared" si="2"/>
        <v>46906</v>
      </c>
      <c r="H5" s="95">
        <f t="shared" si="2"/>
        <v>46936</v>
      </c>
      <c r="I5" s="95">
        <f t="shared" si="2"/>
        <v>46967</v>
      </c>
      <c r="J5" s="95">
        <f t="shared" si="2"/>
        <v>46998</v>
      </c>
      <c r="K5" s="95">
        <f t="shared" si="2"/>
        <v>47028</v>
      </c>
      <c r="L5" s="95">
        <f t="shared" si="2"/>
        <v>47059</v>
      </c>
      <c r="M5" s="95">
        <f t="shared" si="2"/>
        <v>47089</v>
      </c>
      <c r="N5" s="95">
        <f t="shared" si="2"/>
        <v>47120</v>
      </c>
      <c r="O5" s="95">
        <f t="shared" si="2"/>
        <v>47151</v>
      </c>
    </row>
    <row r="6" spans="1:21" ht="15" customHeight="1">
      <c r="A6" s="95">
        <f t="shared" ref="A6:B34" si="3">A5+1</f>
        <v>46724</v>
      </c>
      <c r="B6" s="95">
        <f t="shared" si="3"/>
        <v>46755</v>
      </c>
      <c r="C6" s="95">
        <f t="shared" ref="C6:C33" si="4">C5+1</f>
        <v>46786</v>
      </c>
      <c r="D6" s="95">
        <f t="shared" ref="D6:D34" si="5">D5+1</f>
        <v>46815</v>
      </c>
      <c r="E6" s="95">
        <f t="shared" ref="E6:E33" si="6">E5+1</f>
        <v>46846</v>
      </c>
      <c r="F6" s="95">
        <f t="shared" ref="F6:F34" si="7">F5+1</f>
        <v>46876</v>
      </c>
      <c r="G6" s="95">
        <f t="shared" ref="G6:G33" si="8">G5+1</f>
        <v>46907</v>
      </c>
      <c r="H6" s="95">
        <f t="shared" ref="H6:H34" si="9">H5+1</f>
        <v>46937</v>
      </c>
      <c r="I6" s="95">
        <f t="shared" ref="I6:I34" si="10">I5+1</f>
        <v>46968</v>
      </c>
      <c r="J6" s="95">
        <f t="shared" ref="J6:J33" si="11">J5+1</f>
        <v>46999</v>
      </c>
      <c r="K6" s="95">
        <f t="shared" ref="K6:K34" si="12">K5+1</f>
        <v>47029</v>
      </c>
      <c r="L6" s="95">
        <f t="shared" ref="L6:L33" si="13">L5+1</f>
        <v>47060</v>
      </c>
      <c r="M6" s="95">
        <f t="shared" ref="M6:M34" si="14">M5+1</f>
        <v>47090</v>
      </c>
      <c r="N6" s="95">
        <f t="shared" ref="N6:O34" si="15">N5+1</f>
        <v>47121</v>
      </c>
      <c r="O6" s="95">
        <f t="shared" si="15"/>
        <v>47152</v>
      </c>
    </row>
    <row r="7" spans="1:21" ht="15.75">
      <c r="A7" s="95">
        <f t="shared" si="3"/>
        <v>46725</v>
      </c>
      <c r="B7" s="95">
        <f t="shared" si="3"/>
        <v>46756</v>
      </c>
      <c r="C7" s="95">
        <f t="shared" si="4"/>
        <v>46787</v>
      </c>
      <c r="D7" s="95">
        <f t="shared" si="5"/>
        <v>46816</v>
      </c>
      <c r="E7" s="95">
        <f t="shared" si="6"/>
        <v>46847</v>
      </c>
      <c r="F7" s="95">
        <f t="shared" si="7"/>
        <v>46877</v>
      </c>
      <c r="G7" s="95">
        <f t="shared" si="8"/>
        <v>46908</v>
      </c>
      <c r="H7" s="95">
        <f t="shared" si="9"/>
        <v>46938</v>
      </c>
      <c r="I7" s="95">
        <f t="shared" si="10"/>
        <v>46969</v>
      </c>
      <c r="J7" s="95">
        <f t="shared" si="11"/>
        <v>47000</v>
      </c>
      <c r="K7" s="95">
        <f t="shared" si="12"/>
        <v>47030</v>
      </c>
      <c r="L7" s="95">
        <f t="shared" si="13"/>
        <v>47061</v>
      </c>
      <c r="M7" s="95">
        <f t="shared" si="14"/>
        <v>47091</v>
      </c>
      <c r="N7" s="95">
        <f t="shared" si="15"/>
        <v>47122</v>
      </c>
      <c r="O7" s="95">
        <f t="shared" si="15"/>
        <v>47153</v>
      </c>
    </row>
    <row r="8" spans="1:21" ht="15" customHeight="1">
      <c r="A8" s="95">
        <f t="shared" si="3"/>
        <v>46726</v>
      </c>
      <c r="B8" s="95">
        <f t="shared" si="3"/>
        <v>46757</v>
      </c>
      <c r="C8" s="95">
        <f t="shared" si="4"/>
        <v>46788</v>
      </c>
      <c r="D8" s="95">
        <f t="shared" si="5"/>
        <v>46817</v>
      </c>
      <c r="E8" s="95">
        <f t="shared" si="6"/>
        <v>46848</v>
      </c>
      <c r="F8" s="95">
        <f t="shared" si="7"/>
        <v>46878</v>
      </c>
      <c r="G8" s="95">
        <f t="shared" si="8"/>
        <v>46909</v>
      </c>
      <c r="H8" s="95">
        <f t="shared" si="9"/>
        <v>46939</v>
      </c>
      <c r="I8" s="95">
        <f t="shared" si="10"/>
        <v>46970</v>
      </c>
      <c r="J8" s="95">
        <f t="shared" si="11"/>
        <v>47001</v>
      </c>
      <c r="K8" s="95">
        <f t="shared" si="12"/>
        <v>47031</v>
      </c>
      <c r="L8" s="95">
        <f t="shared" si="13"/>
        <v>47062</v>
      </c>
      <c r="M8" s="95">
        <f t="shared" si="14"/>
        <v>47092</v>
      </c>
      <c r="N8" s="95">
        <f t="shared" si="15"/>
        <v>47123</v>
      </c>
      <c r="O8" s="95">
        <f t="shared" si="15"/>
        <v>47154</v>
      </c>
    </row>
    <row r="9" spans="1:21" ht="15" customHeight="1">
      <c r="A9" s="95">
        <f t="shared" si="3"/>
        <v>46727</v>
      </c>
      <c r="B9" s="95">
        <f t="shared" si="3"/>
        <v>46758</v>
      </c>
      <c r="C9" s="95">
        <f t="shared" si="4"/>
        <v>46789</v>
      </c>
      <c r="D9" s="95">
        <f t="shared" si="5"/>
        <v>46818</v>
      </c>
      <c r="E9" s="95">
        <f t="shared" si="6"/>
        <v>46849</v>
      </c>
      <c r="F9" s="95">
        <f t="shared" si="7"/>
        <v>46879</v>
      </c>
      <c r="G9" s="95">
        <f t="shared" si="8"/>
        <v>46910</v>
      </c>
      <c r="H9" s="95">
        <f t="shared" si="9"/>
        <v>46940</v>
      </c>
      <c r="I9" s="95">
        <f t="shared" si="10"/>
        <v>46971</v>
      </c>
      <c r="J9" s="95">
        <f t="shared" si="11"/>
        <v>47002</v>
      </c>
      <c r="K9" s="95">
        <f t="shared" si="12"/>
        <v>47032</v>
      </c>
      <c r="L9" s="95">
        <f t="shared" si="13"/>
        <v>47063</v>
      </c>
      <c r="M9" s="95">
        <f t="shared" si="14"/>
        <v>47093</v>
      </c>
      <c r="N9" s="95">
        <f t="shared" si="15"/>
        <v>47124</v>
      </c>
      <c r="O9" s="95">
        <f t="shared" si="15"/>
        <v>47155</v>
      </c>
    </row>
    <row r="10" spans="1:21" ht="15.75">
      <c r="A10" s="95">
        <f t="shared" si="3"/>
        <v>46728</v>
      </c>
      <c r="B10" s="95">
        <f t="shared" si="3"/>
        <v>46759</v>
      </c>
      <c r="C10" s="95">
        <f t="shared" si="4"/>
        <v>46790</v>
      </c>
      <c r="D10" s="95">
        <f t="shared" si="5"/>
        <v>46819</v>
      </c>
      <c r="E10" s="95">
        <f t="shared" si="6"/>
        <v>46850</v>
      </c>
      <c r="F10" s="95">
        <f t="shared" si="7"/>
        <v>46880</v>
      </c>
      <c r="G10" s="95">
        <f t="shared" si="8"/>
        <v>46911</v>
      </c>
      <c r="H10" s="95">
        <f t="shared" si="9"/>
        <v>46941</v>
      </c>
      <c r="I10" s="95">
        <f t="shared" si="10"/>
        <v>46972</v>
      </c>
      <c r="J10" s="95">
        <f t="shared" si="11"/>
        <v>47003</v>
      </c>
      <c r="K10" s="95">
        <f t="shared" si="12"/>
        <v>47033</v>
      </c>
      <c r="L10" s="95">
        <f t="shared" si="13"/>
        <v>47064</v>
      </c>
      <c r="M10" s="95">
        <f t="shared" si="14"/>
        <v>47094</v>
      </c>
      <c r="N10" s="95">
        <f t="shared" si="15"/>
        <v>47125</v>
      </c>
      <c r="O10" s="95">
        <f t="shared" si="15"/>
        <v>47156</v>
      </c>
      <c r="P10" s="97"/>
      <c r="Q10" s="97"/>
      <c r="R10" s="97"/>
      <c r="S10" s="97"/>
      <c r="T10" s="97"/>
      <c r="U10" s="97"/>
    </row>
    <row r="11" spans="1:21" ht="15" customHeight="1">
      <c r="A11" s="95">
        <f t="shared" si="3"/>
        <v>46729</v>
      </c>
      <c r="B11" s="95">
        <f t="shared" si="3"/>
        <v>46760</v>
      </c>
      <c r="C11" s="95">
        <f t="shared" si="4"/>
        <v>46791</v>
      </c>
      <c r="D11" s="95">
        <f t="shared" si="5"/>
        <v>46820</v>
      </c>
      <c r="E11" s="95">
        <f t="shared" si="6"/>
        <v>46851</v>
      </c>
      <c r="F11" s="95">
        <f t="shared" si="7"/>
        <v>46881</v>
      </c>
      <c r="G11" s="95">
        <f t="shared" si="8"/>
        <v>46912</v>
      </c>
      <c r="H11" s="95">
        <f t="shared" si="9"/>
        <v>46942</v>
      </c>
      <c r="I11" s="95">
        <f t="shared" si="10"/>
        <v>46973</v>
      </c>
      <c r="J11" s="95">
        <f t="shared" si="11"/>
        <v>47004</v>
      </c>
      <c r="K11" s="95">
        <f t="shared" si="12"/>
        <v>47034</v>
      </c>
      <c r="L11" s="95">
        <f t="shared" si="13"/>
        <v>47065</v>
      </c>
      <c r="M11" s="95">
        <f t="shared" si="14"/>
        <v>47095</v>
      </c>
      <c r="N11" s="95">
        <f t="shared" si="15"/>
        <v>47126</v>
      </c>
      <c r="O11" s="95">
        <f t="shared" si="15"/>
        <v>47157</v>
      </c>
      <c r="P11" s="97"/>
      <c r="Q11" s="97"/>
      <c r="R11" s="97"/>
      <c r="S11" s="97"/>
      <c r="T11" s="97"/>
      <c r="U11" s="97"/>
    </row>
    <row r="12" spans="1:21" ht="15" customHeight="1">
      <c r="A12" s="95">
        <f t="shared" si="3"/>
        <v>46730</v>
      </c>
      <c r="B12" s="95">
        <f t="shared" si="3"/>
        <v>46761</v>
      </c>
      <c r="C12" s="95">
        <f t="shared" si="4"/>
        <v>46792</v>
      </c>
      <c r="D12" s="95">
        <f t="shared" si="5"/>
        <v>46821</v>
      </c>
      <c r="E12" s="95">
        <f t="shared" si="6"/>
        <v>46852</v>
      </c>
      <c r="F12" s="95">
        <f t="shared" si="7"/>
        <v>46882</v>
      </c>
      <c r="G12" s="95">
        <f t="shared" si="8"/>
        <v>46913</v>
      </c>
      <c r="H12" s="95">
        <f t="shared" si="9"/>
        <v>46943</v>
      </c>
      <c r="I12" s="95">
        <f t="shared" si="10"/>
        <v>46974</v>
      </c>
      <c r="J12" s="95">
        <f t="shared" si="11"/>
        <v>47005</v>
      </c>
      <c r="K12" s="95">
        <f t="shared" si="12"/>
        <v>47035</v>
      </c>
      <c r="L12" s="95">
        <f t="shared" si="13"/>
        <v>47066</v>
      </c>
      <c r="M12" s="95">
        <f t="shared" si="14"/>
        <v>47096</v>
      </c>
      <c r="N12" s="95">
        <f t="shared" si="15"/>
        <v>47127</v>
      </c>
      <c r="O12" s="95">
        <f t="shared" si="15"/>
        <v>47158</v>
      </c>
      <c r="P12" s="97"/>
      <c r="Q12" s="97"/>
      <c r="R12" s="97"/>
      <c r="S12" s="97"/>
      <c r="T12" s="97"/>
      <c r="U12" s="97"/>
    </row>
    <row r="13" spans="1:21" ht="15" customHeight="1">
      <c r="A13" s="95">
        <f t="shared" si="3"/>
        <v>46731</v>
      </c>
      <c r="B13" s="95">
        <f t="shared" si="3"/>
        <v>46762</v>
      </c>
      <c r="C13" s="95">
        <f t="shared" si="4"/>
        <v>46793</v>
      </c>
      <c r="D13" s="95">
        <f t="shared" si="5"/>
        <v>46822</v>
      </c>
      <c r="E13" s="95">
        <f t="shared" si="6"/>
        <v>46853</v>
      </c>
      <c r="F13" s="95">
        <f t="shared" si="7"/>
        <v>46883</v>
      </c>
      <c r="G13" s="95">
        <f t="shared" si="8"/>
        <v>46914</v>
      </c>
      <c r="H13" s="95">
        <f t="shared" si="9"/>
        <v>46944</v>
      </c>
      <c r="I13" s="95">
        <f t="shared" si="10"/>
        <v>46975</v>
      </c>
      <c r="J13" s="95">
        <f t="shared" si="11"/>
        <v>47006</v>
      </c>
      <c r="K13" s="95">
        <f t="shared" si="12"/>
        <v>47036</v>
      </c>
      <c r="L13" s="95">
        <f t="shared" si="13"/>
        <v>47067</v>
      </c>
      <c r="M13" s="95">
        <f t="shared" si="14"/>
        <v>47097</v>
      </c>
      <c r="N13" s="95">
        <f t="shared" si="15"/>
        <v>47128</v>
      </c>
      <c r="O13" s="95">
        <f t="shared" si="15"/>
        <v>47159</v>
      </c>
      <c r="P13" s="97"/>
      <c r="Q13" s="97"/>
      <c r="R13" s="97"/>
      <c r="S13" s="97"/>
      <c r="T13" s="97"/>
      <c r="U13" s="97"/>
    </row>
    <row r="14" spans="1:21" ht="15" customHeight="1">
      <c r="A14" s="95">
        <f t="shared" si="3"/>
        <v>46732</v>
      </c>
      <c r="B14" s="95">
        <f t="shared" si="3"/>
        <v>46763</v>
      </c>
      <c r="C14" s="95">
        <f t="shared" si="4"/>
        <v>46794</v>
      </c>
      <c r="D14" s="95">
        <f t="shared" si="5"/>
        <v>46823</v>
      </c>
      <c r="E14" s="95">
        <f t="shared" si="6"/>
        <v>46854</v>
      </c>
      <c r="F14" s="95">
        <f t="shared" si="7"/>
        <v>46884</v>
      </c>
      <c r="G14" s="95">
        <f t="shared" si="8"/>
        <v>46915</v>
      </c>
      <c r="H14" s="95">
        <f t="shared" si="9"/>
        <v>46945</v>
      </c>
      <c r="I14" s="95">
        <f t="shared" si="10"/>
        <v>46976</v>
      </c>
      <c r="J14" s="95">
        <f t="shared" si="11"/>
        <v>47007</v>
      </c>
      <c r="K14" s="95">
        <f t="shared" si="12"/>
        <v>47037</v>
      </c>
      <c r="L14" s="95">
        <f t="shared" si="13"/>
        <v>47068</v>
      </c>
      <c r="M14" s="95">
        <f t="shared" si="14"/>
        <v>47098</v>
      </c>
      <c r="N14" s="95">
        <f t="shared" si="15"/>
        <v>47129</v>
      </c>
      <c r="O14" s="95">
        <f t="shared" si="15"/>
        <v>47160</v>
      </c>
      <c r="P14" s="97"/>
      <c r="Q14" s="97"/>
      <c r="R14" s="97"/>
      <c r="S14" s="97"/>
      <c r="T14" s="97"/>
      <c r="U14" s="97"/>
    </row>
    <row r="15" spans="1:21" ht="15" customHeight="1">
      <c r="A15" s="95">
        <f t="shared" si="3"/>
        <v>46733</v>
      </c>
      <c r="B15" s="95">
        <f t="shared" si="3"/>
        <v>46764</v>
      </c>
      <c r="C15" s="95">
        <f t="shared" si="4"/>
        <v>46795</v>
      </c>
      <c r="D15" s="95">
        <f t="shared" si="5"/>
        <v>46824</v>
      </c>
      <c r="E15" s="95">
        <f t="shared" si="6"/>
        <v>46855</v>
      </c>
      <c r="F15" s="95">
        <f t="shared" si="7"/>
        <v>46885</v>
      </c>
      <c r="G15" s="95">
        <f t="shared" si="8"/>
        <v>46916</v>
      </c>
      <c r="H15" s="95">
        <f t="shared" si="9"/>
        <v>46946</v>
      </c>
      <c r="I15" s="95">
        <f t="shared" si="10"/>
        <v>46977</v>
      </c>
      <c r="J15" s="95">
        <f t="shared" si="11"/>
        <v>47008</v>
      </c>
      <c r="K15" s="95">
        <f t="shared" si="12"/>
        <v>47038</v>
      </c>
      <c r="L15" s="95">
        <f t="shared" si="13"/>
        <v>47069</v>
      </c>
      <c r="M15" s="95">
        <f t="shared" si="14"/>
        <v>47099</v>
      </c>
      <c r="N15" s="95">
        <f t="shared" si="15"/>
        <v>47130</v>
      </c>
      <c r="O15" s="95">
        <f t="shared" si="15"/>
        <v>47161</v>
      </c>
      <c r="P15" s="97"/>
      <c r="Q15" s="97"/>
      <c r="R15" s="97"/>
      <c r="S15" s="97"/>
      <c r="T15" s="97"/>
      <c r="U15" s="97"/>
    </row>
    <row r="16" spans="1:21" ht="15" customHeight="1">
      <c r="A16" s="95">
        <f t="shared" si="3"/>
        <v>46734</v>
      </c>
      <c r="B16" s="95">
        <f t="shared" si="3"/>
        <v>46765</v>
      </c>
      <c r="C16" s="95">
        <f t="shared" si="4"/>
        <v>46796</v>
      </c>
      <c r="D16" s="95">
        <f t="shared" si="5"/>
        <v>46825</v>
      </c>
      <c r="E16" s="95">
        <f t="shared" si="6"/>
        <v>46856</v>
      </c>
      <c r="F16" s="95">
        <f t="shared" si="7"/>
        <v>46886</v>
      </c>
      <c r="G16" s="95">
        <f t="shared" si="8"/>
        <v>46917</v>
      </c>
      <c r="H16" s="95">
        <f t="shared" si="9"/>
        <v>46947</v>
      </c>
      <c r="I16" s="95">
        <f t="shared" si="10"/>
        <v>46978</v>
      </c>
      <c r="J16" s="95">
        <f t="shared" si="11"/>
        <v>47009</v>
      </c>
      <c r="K16" s="95">
        <f t="shared" si="12"/>
        <v>47039</v>
      </c>
      <c r="L16" s="95">
        <f t="shared" si="13"/>
        <v>47070</v>
      </c>
      <c r="M16" s="95">
        <f t="shared" si="14"/>
        <v>47100</v>
      </c>
      <c r="N16" s="95">
        <f t="shared" si="15"/>
        <v>47131</v>
      </c>
      <c r="O16" s="95">
        <f t="shared" si="15"/>
        <v>47162</v>
      </c>
      <c r="P16" s="97"/>
      <c r="Q16" s="98"/>
      <c r="R16" s="97"/>
      <c r="S16" s="97"/>
      <c r="T16" s="97"/>
      <c r="U16" s="97"/>
    </row>
    <row r="17" spans="1:21" ht="15" customHeight="1">
      <c r="A17" s="95">
        <f t="shared" si="3"/>
        <v>46735</v>
      </c>
      <c r="B17" s="95">
        <f t="shared" si="3"/>
        <v>46766</v>
      </c>
      <c r="C17" s="95">
        <f t="shared" si="4"/>
        <v>46797</v>
      </c>
      <c r="D17" s="95">
        <f t="shared" si="5"/>
        <v>46826</v>
      </c>
      <c r="E17" s="95">
        <f t="shared" si="6"/>
        <v>46857</v>
      </c>
      <c r="F17" s="95">
        <f t="shared" si="7"/>
        <v>46887</v>
      </c>
      <c r="G17" s="95">
        <f t="shared" si="8"/>
        <v>46918</v>
      </c>
      <c r="H17" s="95">
        <f t="shared" si="9"/>
        <v>46948</v>
      </c>
      <c r="I17" s="95">
        <f t="shared" si="10"/>
        <v>46979</v>
      </c>
      <c r="J17" s="95">
        <f t="shared" si="11"/>
        <v>47010</v>
      </c>
      <c r="K17" s="95">
        <f t="shared" si="12"/>
        <v>47040</v>
      </c>
      <c r="L17" s="95">
        <f t="shared" si="13"/>
        <v>47071</v>
      </c>
      <c r="M17" s="95">
        <f t="shared" si="14"/>
        <v>47101</v>
      </c>
      <c r="N17" s="95">
        <f t="shared" si="15"/>
        <v>47132</v>
      </c>
      <c r="O17" s="95">
        <f t="shared" si="15"/>
        <v>47163</v>
      </c>
      <c r="P17" s="97"/>
      <c r="Q17" s="97"/>
      <c r="R17" s="97"/>
      <c r="S17" s="97"/>
      <c r="T17" s="97"/>
      <c r="U17" s="97"/>
    </row>
    <row r="18" spans="1:21" ht="15" customHeight="1">
      <c r="A18" s="95">
        <f t="shared" si="3"/>
        <v>46736</v>
      </c>
      <c r="B18" s="95">
        <f t="shared" si="3"/>
        <v>46767</v>
      </c>
      <c r="C18" s="95">
        <f t="shared" si="4"/>
        <v>46798</v>
      </c>
      <c r="D18" s="95">
        <f t="shared" si="5"/>
        <v>46827</v>
      </c>
      <c r="E18" s="95">
        <f t="shared" si="6"/>
        <v>46858</v>
      </c>
      <c r="F18" s="95">
        <f t="shared" si="7"/>
        <v>46888</v>
      </c>
      <c r="G18" s="95">
        <f t="shared" si="8"/>
        <v>46919</v>
      </c>
      <c r="H18" s="95">
        <f t="shared" si="9"/>
        <v>46949</v>
      </c>
      <c r="I18" s="95">
        <f t="shared" si="10"/>
        <v>46980</v>
      </c>
      <c r="J18" s="95">
        <f t="shared" si="11"/>
        <v>47011</v>
      </c>
      <c r="K18" s="95">
        <f t="shared" si="12"/>
        <v>47041</v>
      </c>
      <c r="L18" s="95">
        <f t="shared" si="13"/>
        <v>47072</v>
      </c>
      <c r="M18" s="95">
        <f t="shared" si="14"/>
        <v>47102</v>
      </c>
      <c r="N18" s="95">
        <f t="shared" si="15"/>
        <v>47133</v>
      </c>
      <c r="O18" s="95">
        <f t="shared" si="15"/>
        <v>47164</v>
      </c>
      <c r="P18" s="97"/>
      <c r="Q18" s="97"/>
      <c r="R18" s="97"/>
      <c r="S18" s="97"/>
      <c r="T18" s="97"/>
      <c r="U18" s="97"/>
    </row>
    <row r="19" spans="1:21" ht="15" customHeight="1">
      <c r="A19" s="95">
        <f t="shared" si="3"/>
        <v>46737</v>
      </c>
      <c r="B19" s="95">
        <f t="shared" si="3"/>
        <v>46768</v>
      </c>
      <c r="C19" s="95">
        <f t="shared" si="4"/>
        <v>46799</v>
      </c>
      <c r="D19" s="95">
        <f t="shared" si="5"/>
        <v>46828</v>
      </c>
      <c r="E19" s="95">
        <f t="shared" si="6"/>
        <v>46859</v>
      </c>
      <c r="F19" s="95">
        <f t="shared" si="7"/>
        <v>46889</v>
      </c>
      <c r="G19" s="95">
        <f t="shared" si="8"/>
        <v>46920</v>
      </c>
      <c r="H19" s="95">
        <f t="shared" si="9"/>
        <v>46950</v>
      </c>
      <c r="I19" s="95">
        <f t="shared" si="10"/>
        <v>46981</v>
      </c>
      <c r="J19" s="95">
        <f t="shared" si="11"/>
        <v>47012</v>
      </c>
      <c r="K19" s="95">
        <f t="shared" si="12"/>
        <v>47042</v>
      </c>
      <c r="L19" s="95">
        <f t="shared" si="13"/>
        <v>47073</v>
      </c>
      <c r="M19" s="95">
        <f t="shared" si="14"/>
        <v>47103</v>
      </c>
      <c r="N19" s="95">
        <f t="shared" si="15"/>
        <v>47134</v>
      </c>
      <c r="O19" s="95">
        <f t="shared" si="15"/>
        <v>47165</v>
      </c>
      <c r="P19" s="97"/>
      <c r="Q19" s="97"/>
      <c r="R19" s="97"/>
      <c r="S19" s="97"/>
      <c r="T19" s="97"/>
      <c r="U19" s="97"/>
    </row>
    <row r="20" spans="1:21" ht="15" customHeight="1">
      <c r="A20" s="95">
        <f t="shared" si="3"/>
        <v>46738</v>
      </c>
      <c r="B20" s="95">
        <f t="shared" si="3"/>
        <v>46769</v>
      </c>
      <c r="C20" s="95">
        <f t="shared" si="4"/>
        <v>46800</v>
      </c>
      <c r="D20" s="95">
        <f t="shared" si="5"/>
        <v>46829</v>
      </c>
      <c r="E20" s="95">
        <f t="shared" si="6"/>
        <v>46860</v>
      </c>
      <c r="F20" s="95">
        <f t="shared" si="7"/>
        <v>46890</v>
      </c>
      <c r="G20" s="95">
        <f t="shared" si="8"/>
        <v>46921</v>
      </c>
      <c r="H20" s="95">
        <f t="shared" si="9"/>
        <v>46951</v>
      </c>
      <c r="I20" s="95">
        <f t="shared" si="10"/>
        <v>46982</v>
      </c>
      <c r="J20" s="95">
        <f t="shared" si="11"/>
        <v>47013</v>
      </c>
      <c r="K20" s="95">
        <f t="shared" si="12"/>
        <v>47043</v>
      </c>
      <c r="L20" s="95">
        <f t="shared" si="13"/>
        <v>47074</v>
      </c>
      <c r="M20" s="95">
        <f t="shared" si="14"/>
        <v>47104</v>
      </c>
      <c r="N20" s="95">
        <f t="shared" si="15"/>
        <v>47135</v>
      </c>
      <c r="O20" s="95">
        <f t="shared" si="15"/>
        <v>47166</v>
      </c>
      <c r="P20" s="97"/>
      <c r="Q20" s="97"/>
      <c r="R20" s="97"/>
      <c r="S20" s="97"/>
      <c r="T20" s="97"/>
      <c r="U20" s="97"/>
    </row>
    <row r="21" spans="1:21" ht="15" customHeight="1">
      <c r="A21" s="95">
        <f t="shared" si="3"/>
        <v>46739</v>
      </c>
      <c r="B21" s="95">
        <f t="shared" si="3"/>
        <v>46770</v>
      </c>
      <c r="C21" s="95">
        <f t="shared" si="4"/>
        <v>46801</v>
      </c>
      <c r="D21" s="95">
        <f t="shared" si="5"/>
        <v>46830</v>
      </c>
      <c r="E21" s="95">
        <f t="shared" si="6"/>
        <v>46861</v>
      </c>
      <c r="F21" s="95">
        <f t="shared" si="7"/>
        <v>46891</v>
      </c>
      <c r="G21" s="95">
        <f t="shared" si="8"/>
        <v>46922</v>
      </c>
      <c r="H21" s="95">
        <f t="shared" si="9"/>
        <v>46952</v>
      </c>
      <c r="I21" s="95">
        <f t="shared" si="10"/>
        <v>46983</v>
      </c>
      <c r="J21" s="95">
        <f t="shared" si="11"/>
        <v>47014</v>
      </c>
      <c r="K21" s="95">
        <f t="shared" si="12"/>
        <v>47044</v>
      </c>
      <c r="L21" s="95">
        <f t="shared" si="13"/>
        <v>47075</v>
      </c>
      <c r="M21" s="95">
        <f t="shared" si="14"/>
        <v>47105</v>
      </c>
      <c r="N21" s="95">
        <f t="shared" si="15"/>
        <v>47136</v>
      </c>
      <c r="O21" s="95">
        <f t="shared" si="15"/>
        <v>47167</v>
      </c>
      <c r="P21" s="97"/>
      <c r="Q21" s="97"/>
      <c r="R21" s="97"/>
      <c r="S21" s="97"/>
      <c r="T21" s="97"/>
      <c r="U21" s="97"/>
    </row>
    <row r="22" spans="1:21" ht="15" customHeight="1">
      <c r="A22" s="95">
        <f t="shared" si="3"/>
        <v>46740</v>
      </c>
      <c r="B22" s="95">
        <f t="shared" si="3"/>
        <v>46771</v>
      </c>
      <c r="C22" s="95">
        <f t="shared" si="4"/>
        <v>46802</v>
      </c>
      <c r="D22" s="95">
        <f t="shared" si="5"/>
        <v>46831</v>
      </c>
      <c r="E22" s="95">
        <f t="shared" si="6"/>
        <v>46862</v>
      </c>
      <c r="F22" s="95">
        <f t="shared" si="7"/>
        <v>46892</v>
      </c>
      <c r="G22" s="95">
        <f t="shared" si="8"/>
        <v>46923</v>
      </c>
      <c r="H22" s="95">
        <f t="shared" si="9"/>
        <v>46953</v>
      </c>
      <c r="I22" s="95">
        <f t="shared" si="10"/>
        <v>46984</v>
      </c>
      <c r="J22" s="95">
        <f t="shared" si="11"/>
        <v>47015</v>
      </c>
      <c r="K22" s="95">
        <f t="shared" si="12"/>
        <v>47045</v>
      </c>
      <c r="L22" s="95">
        <f t="shared" si="13"/>
        <v>47076</v>
      </c>
      <c r="M22" s="95">
        <f t="shared" si="14"/>
        <v>47106</v>
      </c>
      <c r="N22" s="95">
        <f t="shared" si="15"/>
        <v>47137</v>
      </c>
      <c r="O22" s="95">
        <f t="shared" si="15"/>
        <v>47168</v>
      </c>
      <c r="P22" s="97"/>
      <c r="Q22" s="97"/>
      <c r="R22" s="97"/>
      <c r="S22" s="97"/>
      <c r="T22" s="97"/>
      <c r="U22" s="97"/>
    </row>
    <row r="23" spans="1:21" ht="15" customHeight="1">
      <c r="A23" s="95">
        <f t="shared" si="3"/>
        <v>46741</v>
      </c>
      <c r="B23" s="95">
        <f t="shared" si="3"/>
        <v>46772</v>
      </c>
      <c r="C23" s="95">
        <f t="shared" si="4"/>
        <v>46803</v>
      </c>
      <c r="D23" s="95">
        <f t="shared" si="5"/>
        <v>46832</v>
      </c>
      <c r="E23" s="95">
        <f t="shared" si="6"/>
        <v>46863</v>
      </c>
      <c r="F23" s="95">
        <f t="shared" si="7"/>
        <v>46893</v>
      </c>
      <c r="G23" s="95">
        <f t="shared" si="8"/>
        <v>46924</v>
      </c>
      <c r="H23" s="95">
        <f t="shared" si="9"/>
        <v>46954</v>
      </c>
      <c r="I23" s="95">
        <f t="shared" si="10"/>
        <v>46985</v>
      </c>
      <c r="J23" s="95">
        <f t="shared" si="11"/>
        <v>47016</v>
      </c>
      <c r="K23" s="95">
        <f t="shared" si="12"/>
        <v>47046</v>
      </c>
      <c r="L23" s="95">
        <f t="shared" si="13"/>
        <v>47077</v>
      </c>
      <c r="M23" s="95">
        <f t="shared" si="14"/>
        <v>47107</v>
      </c>
      <c r="N23" s="95">
        <f t="shared" si="15"/>
        <v>47138</v>
      </c>
      <c r="O23" s="95">
        <f t="shared" si="15"/>
        <v>47169</v>
      </c>
      <c r="P23" s="97"/>
      <c r="Q23" s="97"/>
      <c r="R23" s="97"/>
      <c r="S23" s="97"/>
      <c r="T23" s="97"/>
      <c r="U23" s="97"/>
    </row>
    <row r="24" spans="1:21" ht="15" customHeight="1">
      <c r="A24" s="95">
        <f t="shared" si="3"/>
        <v>46742</v>
      </c>
      <c r="B24" s="95">
        <f t="shared" si="3"/>
        <v>46773</v>
      </c>
      <c r="C24" s="95">
        <f t="shared" si="4"/>
        <v>46804</v>
      </c>
      <c r="D24" s="95">
        <f t="shared" si="5"/>
        <v>46833</v>
      </c>
      <c r="E24" s="95">
        <f t="shared" si="6"/>
        <v>46864</v>
      </c>
      <c r="F24" s="95">
        <f t="shared" si="7"/>
        <v>46894</v>
      </c>
      <c r="G24" s="95">
        <f t="shared" si="8"/>
        <v>46925</v>
      </c>
      <c r="H24" s="95">
        <f t="shared" si="9"/>
        <v>46955</v>
      </c>
      <c r="I24" s="95">
        <f t="shared" si="10"/>
        <v>46986</v>
      </c>
      <c r="J24" s="95">
        <f t="shared" si="11"/>
        <v>47017</v>
      </c>
      <c r="K24" s="95">
        <f t="shared" si="12"/>
        <v>47047</v>
      </c>
      <c r="L24" s="95">
        <f t="shared" si="13"/>
        <v>47078</v>
      </c>
      <c r="M24" s="95">
        <f t="shared" si="14"/>
        <v>47108</v>
      </c>
      <c r="N24" s="95">
        <f t="shared" si="15"/>
        <v>47139</v>
      </c>
      <c r="O24" s="95">
        <f t="shared" si="15"/>
        <v>47170</v>
      </c>
      <c r="P24" s="97"/>
      <c r="Q24" s="97"/>
      <c r="R24" s="97"/>
      <c r="S24" s="97"/>
      <c r="T24" s="97"/>
      <c r="U24" s="97"/>
    </row>
    <row r="25" spans="1:21" ht="15" customHeight="1">
      <c r="A25" s="95">
        <f t="shared" si="3"/>
        <v>46743</v>
      </c>
      <c r="B25" s="95">
        <f t="shared" si="3"/>
        <v>46774</v>
      </c>
      <c r="C25" s="95">
        <f t="shared" si="4"/>
        <v>46805</v>
      </c>
      <c r="D25" s="95">
        <f t="shared" si="5"/>
        <v>46834</v>
      </c>
      <c r="E25" s="95">
        <f t="shared" si="6"/>
        <v>46865</v>
      </c>
      <c r="F25" s="95">
        <f t="shared" si="7"/>
        <v>46895</v>
      </c>
      <c r="G25" s="95">
        <f t="shared" si="8"/>
        <v>46926</v>
      </c>
      <c r="H25" s="95">
        <f t="shared" si="9"/>
        <v>46956</v>
      </c>
      <c r="I25" s="95">
        <f t="shared" si="10"/>
        <v>46987</v>
      </c>
      <c r="J25" s="95">
        <f t="shared" si="11"/>
        <v>47018</v>
      </c>
      <c r="K25" s="95">
        <f t="shared" si="12"/>
        <v>47048</v>
      </c>
      <c r="L25" s="95">
        <f t="shared" si="13"/>
        <v>47079</v>
      </c>
      <c r="M25" s="95">
        <f t="shared" si="14"/>
        <v>47109</v>
      </c>
      <c r="N25" s="95">
        <f t="shared" si="15"/>
        <v>47140</v>
      </c>
      <c r="O25" s="95">
        <f t="shared" si="15"/>
        <v>47171</v>
      </c>
      <c r="P25" s="97"/>
      <c r="Q25" s="97"/>
      <c r="R25" s="97"/>
      <c r="S25" s="97"/>
      <c r="T25" s="97"/>
      <c r="U25" s="97"/>
    </row>
    <row r="26" spans="1:21" ht="15" customHeight="1">
      <c r="A26" s="95">
        <f t="shared" si="3"/>
        <v>46744</v>
      </c>
      <c r="B26" s="95">
        <f t="shared" si="3"/>
        <v>46775</v>
      </c>
      <c r="C26" s="95">
        <f t="shared" si="4"/>
        <v>46806</v>
      </c>
      <c r="D26" s="95">
        <f t="shared" si="5"/>
        <v>46835</v>
      </c>
      <c r="E26" s="95">
        <f t="shared" si="6"/>
        <v>46866</v>
      </c>
      <c r="F26" s="95">
        <f t="shared" si="7"/>
        <v>46896</v>
      </c>
      <c r="G26" s="95">
        <f t="shared" si="8"/>
        <v>46927</v>
      </c>
      <c r="H26" s="95">
        <f t="shared" si="9"/>
        <v>46957</v>
      </c>
      <c r="I26" s="95">
        <f t="shared" si="10"/>
        <v>46988</v>
      </c>
      <c r="J26" s="95">
        <f t="shared" si="11"/>
        <v>47019</v>
      </c>
      <c r="K26" s="95">
        <f t="shared" si="12"/>
        <v>47049</v>
      </c>
      <c r="L26" s="95">
        <f t="shared" si="13"/>
        <v>47080</v>
      </c>
      <c r="M26" s="95">
        <f t="shared" si="14"/>
        <v>47110</v>
      </c>
      <c r="N26" s="95">
        <f t="shared" si="15"/>
        <v>47141</v>
      </c>
      <c r="O26" s="95">
        <f t="shared" si="15"/>
        <v>47172</v>
      </c>
      <c r="P26" s="97"/>
      <c r="Q26" s="97"/>
      <c r="R26" s="97"/>
      <c r="S26" s="97"/>
      <c r="T26" s="97"/>
      <c r="U26" s="97"/>
    </row>
    <row r="27" spans="1:21" ht="15" customHeight="1">
      <c r="A27" s="95">
        <f t="shared" si="3"/>
        <v>46745</v>
      </c>
      <c r="B27" s="95">
        <f t="shared" si="3"/>
        <v>46776</v>
      </c>
      <c r="C27" s="95">
        <f t="shared" si="4"/>
        <v>46807</v>
      </c>
      <c r="D27" s="95">
        <f t="shared" si="5"/>
        <v>46836</v>
      </c>
      <c r="E27" s="95">
        <f t="shared" si="6"/>
        <v>46867</v>
      </c>
      <c r="F27" s="95">
        <f t="shared" si="7"/>
        <v>46897</v>
      </c>
      <c r="G27" s="95">
        <f t="shared" si="8"/>
        <v>46928</v>
      </c>
      <c r="H27" s="95">
        <f t="shared" si="9"/>
        <v>46958</v>
      </c>
      <c r="I27" s="95">
        <f t="shared" si="10"/>
        <v>46989</v>
      </c>
      <c r="J27" s="95">
        <f t="shared" si="11"/>
        <v>47020</v>
      </c>
      <c r="K27" s="95">
        <f t="shared" si="12"/>
        <v>47050</v>
      </c>
      <c r="L27" s="95">
        <f t="shared" si="13"/>
        <v>47081</v>
      </c>
      <c r="M27" s="95">
        <f t="shared" si="14"/>
        <v>47111</v>
      </c>
      <c r="N27" s="95">
        <f t="shared" si="15"/>
        <v>47142</v>
      </c>
      <c r="O27" s="95">
        <f t="shared" si="15"/>
        <v>47173</v>
      </c>
      <c r="P27" s="97"/>
      <c r="Q27" s="97"/>
      <c r="R27" s="97"/>
      <c r="S27" s="97"/>
      <c r="T27" s="97"/>
      <c r="U27" s="97"/>
    </row>
    <row r="28" spans="1:21" ht="15" customHeight="1">
      <c r="A28" s="95">
        <f t="shared" si="3"/>
        <v>46746</v>
      </c>
      <c r="B28" s="95">
        <f t="shared" si="3"/>
        <v>46777</v>
      </c>
      <c r="C28" s="95">
        <f t="shared" si="4"/>
        <v>46808</v>
      </c>
      <c r="D28" s="95">
        <f t="shared" si="5"/>
        <v>46837</v>
      </c>
      <c r="E28" s="95">
        <f t="shared" si="6"/>
        <v>46868</v>
      </c>
      <c r="F28" s="95">
        <f t="shared" si="7"/>
        <v>46898</v>
      </c>
      <c r="G28" s="95">
        <f t="shared" si="8"/>
        <v>46929</v>
      </c>
      <c r="H28" s="95">
        <f t="shared" si="9"/>
        <v>46959</v>
      </c>
      <c r="I28" s="95">
        <f t="shared" si="10"/>
        <v>46990</v>
      </c>
      <c r="J28" s="95">
        <f t="shared" si="11"/>
        <v>47021</v>
      </c>
      <c r="K28" s="95">
        <f t="shared" si="12"/>
        <v>47051</v>
      </c>
      <c r="L28" s="95">
        <f t="shared" si="13"/>
        <v>47082</v>
      </c>
      <c r="M28" s="95">
        <f t="shared" si="14"/>
        <v>47112</v>
      </c>
      <c r="N28" s="95">
        <f t="shared" si="15"/>
        <v>47143</v>
      </c>
      <c r="O28" s="95">
        <f t="shared" si="15"/>
        <v>47174</v>
      </c>
      <c r="P28" s="97"/>
      <c r="Q28" s="97"/>
      <c r="R28" s="97"/>
      <c r="S28" s="97"/>
      <c r="T28" s="97"/>
      <c r="U28" s="97"/>
    </row>
    <row r="29" spans="1:21" ht="15" customHeight="1">
      <c r="A29" s="95">
        <f t="shared" si="3"/>
        <v>46747</v>
      </c>
      <c r="B29" s="95">
        <f t="shared" si="3"/>
        <v>46778</v>
      </c>
      <c r="C29" s="95">
        <f t="shared" si="4"/>
        <v>46809</v>
      </c>
      <c r="D29" s="95">
        <f t="shared" si="5"/>
        <v>46838</v>
      </c>
      <c r="E29" s="95">
        <f t="shared" si="6"/>
        <v>46869</v>
      </c>
      <c r="F29" s="95">
        <f t="shared" si="7"/>
        <v>46899</v>
      </c>
      <c r="G29" s="95">
        <f t="shared" si="8"/>
        <v>46930</v>
      </c>
      <c r="H29" s="95">
        <f t="shared" si="9"/>
        <v>46960</v>
      </c>
      <c r="I29" s="95">
        <f t="shared" si="10"/>
        <v>46991</v>
      </c>
      <c r="J29" s="95">
        <f t="shared" si="11"/>
        <v>47022</v>
      </c>
      <c r="K29" s="95">
        <f t="shared" si="12"/>
        <v>47052</v>
      </c>
      <c r="L29" s="95">
        <f t="shared" si="13"/>
        <v>47083</v>
      </c>
      <c r="M29" s="95">
        <f t="shared" si="14"/>
        <v>47113</v>
      </c>
      <c r="N29" s="95">
        <f t="shared" si="15"/>
        <v>47144</v>
      </c>
      <c r="O29" s="95">
        <f t="shared" si="15"/>
        <v>47175</v>
      </c>
      <c r="P29" s="97"/>
      <c r="Q29" s="97"/>
      <c r="R29" s="97"/>
      <c r="S29" s="97"/>
      <c r="T29" s="97"/>
      <c r="U29" s="97"/>
    </row>
    <row r="30" spans="1:21" ht="15" customHeight="1">
      <c r="A30" s="95">
        <f t="shared" si="3"/>
        <v>46748</v>
      </c>
      <c r="B30" s="95">
        <f t="shared" si="3"/>
        <v>46779</v>
      </c>
      <c r="C30" s="95">
        <f t="shared" si="4"/>
        <v>46810</v>
      </c>
      <c r="D30" s="95">
        <f t="shared" si="5"/>
        <v>46839</v>
      </c>
      <c r="E30" s="95">
        <f t="shared" si="6"/>
        <v>46870</v>
      </c>
      <c r="F30" s="95">
        <f t="shared" si="7"/>
        <v>46900</v>
      </c>
      <c r="G30" s="95">
        <f t="shared" si="8"/>
        <v>46931</v>
      </c>
      <c r="H30" s="95">
        <f t="shared" si="9"/>
        <v>46961</v>
      </c>
      <c r="I30" s="95">
        <f t="shared" si="10"/>
        <v>46992</v>
      </c>
      <c r="J30" s="95">
        <f t="shared" si="11"/>
        <v>47023</v>
      </c>
      <c r="K30" s="95">
        <f t="shared" si="12"/>
        <v>47053</v>
      </c>
      <c r="L30" s="95">
        <f t="shared" si="13"/>
        <v>47084</v>
      </c>
      <c r="M30" s="95">
        <f t="shared" si="14"/>
        <v>47114</v>
      </c>
      <c r="N30" s="95">
        <f t="shared" si="15"/>
        <v>47145</v>
      </c>
      <c r="O30" s="95">
        <f t="shared" si="15"/>
        <v>47176</v>
      </c>
      <c r="P30" s="97"/>
      <c r="Q30" s="97"/>
      <c r="R30" s="97"/>
      <c r="S30" s="97"/>
      <c r="T30" s="97"/>
      <c r="U30" s="97"/>
    </row>
    <row r="31" spans="1:21" ht="15" customHeight="1">
      <c r="A31" s="95">
        <f t="shared" si="3"/>
        <v>46749</v>
      </c>
      <c r="B31" s="95">
        <f t="shared" si="3"/>
        <v>46780</v>
      </c>
      <c r="C31" s="95">
        <f t="shared" si="4"/>
        <v>46811</v>
      </c>
      <c r="D31" s="95">
        <f t="shared" si="5"/>
        <v>46840</v>
      </c>
      <c r="E31" s="95">
        <f t="shared" si="6"/>
        <v>46871</v>
      </c>
      <c r="F31" s="95">
        <f t="shared" si="7"/>
        <v>46901</v>
      </c>
      <c r="G31" s="95">
        <f t="shared" si="8"/>
        <v>46932</v>
      </c>
      <c r="H31" s="95">
        <f t="shared" si="9"/>
        <v>46962</v>
      </c>
      <c r="I31" s="95">
        <f t="shared" si="10"/>
        <v>46993</v>
      </c>
      <c r="J31" s="95">
        <f t="shared" si="11"/>
        <v>47024</v>
      </c>
      <c r="K31" s="95">
        <f t="shared" si="12"/>
        <v>47054</v>
      </c>
      <c r="L31" s="95">
        <f t="shared" si="13"/>
        <v>47085</v>
      </c>
      <c r="M31" s="95">
        <f t="shared" si="14"/>
        <v>47115</v>
      </c>
      <c r="N31" s="95">
        <f t="shared" si="15"/>
        <v>47146</v>
      </c>
      <c r="O31" s="95">
        <f t="shared" si="15"/>
        <v>47177</v>
      </c>
      <c r="P31" s="97"/>
      <c r="Q31" s="97"/>
      <c r="R31" s="97"/>
      <c r="S31" s="97"/>
      <c r="T31" s="97"/>
      <c r="U31" s="97"/>
    </row>
    <row r="32" spans="1:21" ht="15" customHeight="1">
      <c r="A32" s="95">
        <f t="shared" si="3"/>
        <v>46750</v>
      </c>
      <c r="B32" s="95">
        <f t="shared" si="3"/>
        <v>46781</v>
      </c>
      <c r="C32" s="95">
        <f>IF(MONTH(C31+1)=MONTH(C4),C31+1,"")</f>
        <v>46812</v>
      </c>
      <c r="D32" s="95">
        <f t="shared" si="5"/>
        <v>46841</v>
      </c>
      <c r="E32" s="95">
        <f t="shared" si="6"/>
        <v>46872</v>
      </c>
      <c r="F32" s="95">
        <f t="shared" si="7"/>
        <v>46902</v>
      </c>
      <c r="G32" s="95">
        <f t="shared" si="8"/>
        <v>46933</v>
      </c>
      <c r="H32" s="95">
        <f t="shared" si="9"/>
        <v>46963</v>
      </c>
      <c r="I32" s="95">
        <f t="shared" si="10"/>
        <v>46994</v>
      </c>
      <c r="J32" s="95">
        <f t="shared" si="11"/>
        <v>47025</v>
      </c>
      <c r="K32" s="95">
        <f t="shared" si="12"/>
        <v>47055</v>
      </c>
      <c r="L32" s="95">
        <f t="shared" si="13"/>
        <v>47086</v>
      </c>
      <c r="M32" s="95">
        <f t="shared" si="14"/>
        <v>47116</v>
      </c>
      <c r="N32" s="95">
        <f t="shared" si="15"/>
        <v>47147</v>
      </c>
      <c r="O32" s="96" t="str">
        <f>IF(MONTH(O31+1)&gt;MONTH(O31),"",O31+1)</f>
        <v/>
      </c>
      <c r="P32" s="97"/>
      <c r="Q32" s="97"/>
      <c r="R32" s="97"/>
      <c r="S32" s="97"/>
      <c r="T32" s="97"/>
      <c r="U32" s="97"/>
    </row>
    <row r="33" spans="1:21" ht="15" customHeight="1">
      <c r="A33" s="95">
        <f t="shared" si="3"/>
        <v>46751</v>
      </c>
      <c r="B33" s="95">
        <f t="shared" si="3"/>
        <v>46782</v>
      </c>
      <c r="C33" s="95"/>
      <c r="D33" s="95">
        <f t="shared" si="5"/>
        <v>46842</v>
      </c>
      <c r="E33" s="95">
        <f t="shared" si="6"/>
        <v>46873</v>
      </c>
      <c r="F33" s="95">
        <f t="shared" si="7"/>
        <v>46903</v>
      </c>
      <c r="G33" s="95">
        <f t="shared" si="8"/>
        <v>46934</v>
      </c>
      <c r="H33" s="95">
        <f t="shared" si="9"/>
        <v>46964</v>
      </c>
      <c r="I33" s="95">
        <f t="shared" si="10"/>
        <v>46995</v>
      </c>
      <c r="J33" s="95">
        <f t="shared" si="11"/>
        <v>47026</v>
      </c>
      <c r="K33" s="95">
        <f t="shared" si="12"/>
        <v>47056</v>
      </c>
      <c r="L33" s="95">
        <f t="shared" si="13"/>
        <v>47087</v>
      </c>
      <c r="M33" s="95">
        <f t="shared" si="14"/>
        <v>47117</v>
      </c>
      <c r="N33" s="95">
        <f t="shared" si="15"/>
        <v>47148</v>
      </c>
      <c r="O33" s="96"/>
      <c r="P33" s="97"/>
      <c r="Q33" s="97"/>
      <c r="R33" s="97"/>
      <c r="S33" s="97"/>
      <c r="T33" s="97"/>
      <c r="U33" s="97"/>
    </row>
    <row r="34" spans="1:21" ht="15" customHeight="1">
      <c r="A34" s="95">
        <f t="shared" si="3"/>
        <v>46752</v>
      </c>
      <c r="B34" s="95">
        <f t="shared" si="3"/>
        <v>46783</v>
      </c>
      <c r="C34" s="96"/>
      <c r="D34" s="95">
        <f t="shared" si="5"/>
        <v>46843</v>
      </c>
      <c r="E34" s="96" t="str">
        <f t="shared" ref="A34:N34" si="16">IF(E33="","",IF(MONTH(E33+1)&gt;MONTH(E33),"",E33+1))</f>
        <v/>
      </c>
      <c r="F34" s="95">
        <f t="shared" si="7"/>
        <v>46904</v>
      </c>
      <c r="G34" s="96" t="str">
        <f t="shared" si="16"/>
        <v/>
      </c>
      <c r="H34" s="95">
        <f t="shared" si="9"/>
        <v>46965</v>
      </c>
      <c r="I34" s="95">
        <f t="shared" si="10"/>
        <v>46996</v>
      </c>
      <c r="J34" s="96" t="str">
        <f t="shared" si="16"/>
        <v/>
      </c>
      <c r="K34" s="95">
        <f t="shared" si="12"/>
        <v>47057</v>
      </c>
      <c r="L34" s="96" t="str">
        <f t="shared" si="16"/>
        <v/>
      </c>
      <c r="M34" s="95">
        <f t="shared" si="14"/>
        <v>47118</v>
      </c>
      <c r="N34" s="95">
        <f t="shared" si="15"/>
        <v>47149</v>
      </c>
      <c r="O34" s="96"/>
      <c r="P34" s="97"/>
      <c r="Q34" s="97"/>
      <c r="R34" s="97"/>
      <c r="S34" s="97"/>
      <c r="T34" s="97"/>
      <c r="U34" s="97"/>
    </row>
    <row r="35" spans="1:21" ht="16.149999999999999" customHeight="1">
      <c r="A35" s="99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7"/>
      <c r="Q35" s="97"/>
      <c r="R35" s="97"/>
      <c r="S35" s="97"/>
      <c r="T35" s="97"/>
      <c r="U35" s="97"/>
    </row>
    <row r="36" spans="1:21" ht="15" customHeight="1">
      <c r="E36" s="100"/>
      <c r="F36" s="101"/>
      <c r="K36" s="102"/>
      <c r="L36" s="97"/>
      <c r="M36" s="102"/>
      <c r="N36" s="97"/>
      <c r="O36" s="97"/>
      <c r="P36" s="97"/>
      <c r="Q36" s="97"/>
      <c r="R36" s="97"/>
      <c r="S36" s="97"/>
      <c r="T36" s="97"/>
      <c r="U36" s="97"/>
    </row>
    <row r="37" spans="1:21" ht="15" customHeight="1">
      <c r="B37" s="391" t="s">
        <v>109</v>
      </c>
      <c r="C37" s="391"/>
      <c r="D37" s="103" t="s">
        <v>110</v>
      </c>
      <c r="E37" s="100"/>
      <c r="F37" s="104"/>
      <c r="G37" s="105"/>
      <c r="I37" s="71"/>
      <c r="J37" s="71"/>
      <c r="K37" s="102"/>
      <c r="L37" s="97"/>
      <c r="M37" s="102"/>
      <c r="N37" s="97"/>
      <c r="O37" s="97"/>
      <c r="P37" s="97"/>
      <c r="Q37" s="97"/>
      <c r="R37" s="97"/>
      <c r="S37" s="97"/>
      <c r="T37" s="97"/>
      <c r="U37" s="97"/>
    </row>
    <row r="38" spans="1:21" ht="15" customHeight="1">
      <c r="E38" s="106"/>
      <c r="F38" s="101"/>
      <c r="J38" s="107"/>
      <c r="K38" s="102"/>
      <c r="L38" s="97"/>
      <c r="M38" s="102"/>
      <c r="N38" s="97"/>
      <c r="O38" s="97"/>
      <c r="P38" s="97"/>
      <c r="Q38" s="97"/>
      <c r="R38" s="97"/>
      <c r="S38" s="97"/>
      <c r="T38" s="97"/>
      <c r="U38" s="97"/>
    </row>
    <row r="39" spans="1:21" ht="15" customHeight="1">
      <c r="B39" s="392" t="s">
        <v>111</v>
      </c>
      <c r="C39" s="392"/>
      <c r="D39" s="108" t="s">
        <v>112</v>
      </c>
      <c r="E39" s="100"/>
      <c r="F39" s="101"/>
      <c r="G39" s="74"/>
      <c r="H39" s="109"/>
      <c r="I39" s="74"/>
      <c r="K39" s="110"/>
      <c r="L39" s="111"/>
      <c r="M39" s="102"/>
      <c r="N39" s="102"/>
      <c r="O39" s="102"/>
      <c r="P39" s="102"/>
      <c r="Q39" s="102"/>
      <c r="R39" s="102"/>
      <c r="S39" s="102"/>
      <c r="T39" s="102"/>
      <c r="U39" s="97"/>
    </row>
    <row r="40" spans="1:21" ht="19.5">
      <c r="C40" s="71"/>
      <c r="E40" s="100"/>
      <c r="F40" s="101"/>
      <c r="G40" s="74"/>
      <c r="H40" s="112"/>
      <c r="I40" s="113"/>
      <c r="J40" s="114"/>
      <c r="K40" s="115"/>
      <c r="L40" s="111"/>
      <c r="M40" s="102"/>
      <c r="N40" s="102"/>
      <c r="O40" s="102"/>
      <c r="P40" s="102"/>
      <c r="Q40" s="102"/>
      <c r="R40" s="102"/>
      <c r="S40" s="102"/>
      <c r="T40" s="102"/>
      <c r="U40" s="97"/>
    </row>
    <row r="41" spans="1:21" ht="19.5">
      <c r="B41" s="393" t="s">
        <v>113</v>
      </c>
      <c r="C41" s="393"/>
      <c r="D41" s="116"/>
      <c r="E41" s="117"/>
      <c r="F41" s="79"/>
      <c r="G41" s="74"/>
      <c r="H41" s="118"/>
      <c r="I41" s="113"/>
      <c r="J41" s="119"/>
      <c r="K41" s="120"/>
      <c r="L41" s="109"/>
      <c r="N41" s="73"/>
      <c r="O41" s="73"/>
      <c r="P41" s="73"/>
      <c r="Q41" s="73"/>
      <c r="R41" s="73"/>
      <c r="S41" s="73"/>
      <c r="T41" s="73"/>
    </row>
    <row r="42" spans="1:21" ht="19.5">
      <c r="E42" s="117"/>
      <c r="F42" s="79"/>
      <c r="G42" s="74"/>
      <c r="H42" s="118"/>
      <c r="I42" s="113"/>
      <c r="J42" s="114"/>
      <c r="K42" s="121"/>
      <c r="L42" s="122"/>
      <c r="N42" s="73"/>
      <c r="O42" s="73"/>
      <c r="P42" s="73"/>
      <c r="Q42" s="73"/>
      <c r="R42" s="73"/>
      <c r="S42" s="73"/>
      <c r="T42" s="73"/>
    </row>
    <row r="43" spans="1:21" ht="19.5">
      <c r="C43" s="79"/>
      <c r="D43" s="117"/>
      <c r="E43" s="117"/>
      <c r="F43" s="79"/>
      <c r="G43" s="74"/>
      <c r="H43" s="118"/>
      <c r="I43" s="113"/>
      <c r="J43" s="114"/>
      <c r="K43" s="74"/>
      <c r="L43" s="74"/>
      <c r="N43" s="73"/>
      <c r="O43" s="73"/>
      <c r="P43" s="73"/>
      <c r="Q43" s="73"/>
      <c r="R43" s="73"/>
      <c r="S43" s="73"/>
      <c r="T43" s="73"/>
    </row>
    <row r="44" spans="1:21" ht="19.5">
      <c r="C44" s="79"/>
      <c r="D44" s="117"/>
      <c r="E44" s="123"/>
      <c r="F44" s="123"/>
      <c r="G44" s="74"/>
      <c r="H44" s="118"/>
      <c r="I44" s="113"/>
      <c r="J44" s="114"/>
      <c r="K44" s="124"/>
      <c r="L44" s="109"/>
      <c r="N44" s="73"/>
      <c r="O44" s="73"/>
      <c r="P44" s="73"/>
      <c r="Q44" s="73"/>
      <c r="R44" s="73"/>
      <c r="S44" s="73"/>
      <c r="T44" s="73"/>
    </row>
    <row r="45" spans="1:21" ht="19.5">
      <c r="C45" s="79"/>
      <c r="D45" s="125"/>
      <c r="E45" s="123"/>
      <c r="F45" s="79"/>
      <c r="G45" s="126"/>
      <c r="H45" s="118"/>
      <c r="I45" s="113"/>
      <c r="J45" s="114"/>
      <c r="K45" s="74"/>
      <c r="L45" s="74"/>
      <c r="N45" s="73"/>
      <c r="O45" s="73"/>
      <c r="P45" s="73"/>
      <c r="Q45" s="73"/>
      <c r="R45" s="73"/>
      <c r="S45" s="73"/>
      <c r="T45" s="73"/>
    </row>
    <row r="46" spans="1:21" ht="19.5">
      <c r="C46" s="79"/>
      <c r="D46" s="6"/>
      <c r="E46" s="123"/>
      <c r="F46" s="79"/>
      <c r="G46" s="127"/>
      <c r="H46" s="118"/>
      <c r="I46" s="113"/>
      <c r="J46" s="119"/>
      <c r="K46" s="74"/>
      <c r="L46" s="74"/>
      <c r="N46" s="73"/>
      <c r="O46" s="73"/>
      <c r="P46" s="73"/>
      <c r="Q46" s="73"/>
      <c r="R46" s="73"/>
      <c r="S46" s="73"/>
      <c r="T46" s="73"/>
    </row>
    <row r="47" spans="1:21" ht="19.5">
      <c r="C47" s="79"/>
      <c r="D47" s="117"/>
      <c r="E47" s="123"/>
      <c r="F47" s="128"/>
      <c r="G47" s="129"/>
      <c r="H47" s="118"/>
      <c r="I47" s="113"/>
      <c r="J47" s="114"/>
      <c r="K47" s="74"/>
      <c r="L47" s="74"/>
      <c r="N47" s="73"/>
      <c r="O47" s="73"/>
      <c r="P47" s="73"/>
      <c r="Q47" s="73"/>
      <c r="R47" s="73"/>
      <c r="S47" s="73"/>
      <c r="T47" s="73"/>
    </row>
    <row r="48" spans="1:21" ht="19.5">
      <c r="C48" s="79"/>
      <c r="D48" s="117"/>
      <c r="E48" s="117"/>
      <c r="F48" s="79"/>
      <c r="G48" s="74"/>
      <c r="H48" s="118"/>
      <c r="I48" s="113"/>
      <c r="J48" s="119"/>
      <c r="K48" s="74"/>
      <c r="L48" s="74"/>
      <c r="N48" s="73"/>
      <c r="O48" s="73"/>
      <c r="P48" s="73"/>
      <c r="Q48" s="73"/>
      <c r="R48" s="73"/>
      <c r="S48" s="73"/>
      <c r="T48" s="73"/>
    </row>
    <row r="49" spans="3:20" ht="19.5">
      <c r="C49" s="79"/>
      <c r="D49" s="130"/>
      <c r="E49" s="117"/>
      <c r="F49" s="79"/>
      <c r="G49" s="74"/>
      <c r="H49" s="118"/>
      <c r="I49" s="113"/>
      <c r="J49" s="119"/>
      <c r="K49" s="74"/>
      <c r="L49" s="74"/>
      <c r="M49" s="131"/>
      <c r="N49" s="131"/>
      <c r="O49" s="131"/>
      <c r="P49" s="131"/>
      <c r="Q49" s="73"/>
      <c r="R49" s="73"/>
      <c r="S49" s="73"/>
      <c r="T49" s="73"/>
    </row>
    <row r="50" spans="3:20" ht="19.5">
      <c r="C50" s="79"/>
      <c r="D50" s="117"/>
      <c r="E50" s="117"/>
      <c r="F50" s="79"/>
      <c r="G50" s="74"/>
      <c r="H50" s="118"/>
      <c r="I50" s="113"/>
      <c r="J50" s="132"/>
      <c r="K50" s="74"/>
      <c r="L50" s="74"/>
      <c r="M50" s="131"/>
      <c r="N50" s="131"/>
      <c r="O50" s="131"/>
      <c r="P50" s="131"/>
      <c r="Q50" s="73"/>
      <c r="R50" s="73"/>
      <c r="S50" s="73"/>
      <c r="T50" s="73"/>
    </row>
    <row r="51" spans="3:20" ht="19.5">
      <c r="C51" s="79"/>
      <c r="D51" s="117"/>
      <c r="E51" s="117"/>
      <c r="F51" s="79"/>
      <c r="G51" s="74"/>
      <c r="H51" s="118"/>
      <c r="I51" s="113"/>
      <c r="J51" s="119"/>
      <c r="K51" s="74"/>
      <c r="L51" s="74"/>
      <c r="M51" s="131"/>
      <c r="N51" s="131"/>
      <c r="O51" s="131"/>
      <c r="P51" s="131"/>
      <c r="Q51" s="73"/>
      <c r="R51" s="73"/>
      <c r="S51" s="73"/>
      <c r="T51" s="73"/>
    </row>
    <row r="52" spans="3:20" ht="15">
      <c r="C52" s="79"/>
      <c r="D52" s="117"/>
      <c r="E52" s="117"/>
      <c r="F52" s="79"/>
      <c r="G52" s="131"/>
      <c r="H52" s="117"/>
      <c r="I52" s="74"/>
      <c r="K52" s="74"/>
      <c r="L52" s="117"/>
      <c r="M52" s="131"/>
      <c r="N52" s="131"/>
      <c r="O52" s="131"/>
      <c r="P52" s="131"/>
      <c r="Q52" s="73"/>
      <c r="R52" s="73"/>
      <c r="S52" s="73"/>
      <c r="T52" s="73"/>
    </row>
    <row r="53" spans="3:20" ht="15">
      <c r="F53" s="79"/>
      <c r="G53" s="131"/>
      <c r="H53" s="117"/>
      <c r="I53" s="131"/>
      <c r="K53" s="131"/>
      <c r="L53" s="117"/>
      <c r="M53" s="131"/>
      <c r="N53" s="117"/>
      <c r="O53" s="117"/>
      <c r="P53" s="117"/>
    </row>
    <row r="54" spans="3:20" ht="15">
      <c r="F54" s="79"/>
      <c r="G54" s="131"/>
      <c r="H54" s="117"/>
      <c r="I54" s="131"/>
      <c r="K54" s="131"/>
      <c r="L54" s="117"/>
      <c r="M54" s="131"/>
      <c r="N54" s="117"/>
      <c r="O54" s="117"/>
      <c r="P54" s="117"/>
    </row>
    <row r="55" spans="3:20" ht="15">
      <c r="F55" s="79"/>
      <c r="G55" s="131"/>
      <c r="H55" s="117"/>
      <c r="I55" s="131"/>
      <c r="K55" s="131"/>
      <c r="L55" s="117"/>
      <c r="M55" s="131"/>
      <c r="N55" s="117"/>
      <c r="O55" s="117"/>
      <c r="P55" s="117"/>
    </row>
    <row r="56" spans="3:20" ht="15">
      <c r="F56" s="79"/>
      <c r="G56" s="131"/>
      <c r="H56" s="117"/>
      <c r="I56" s="131"/>
      <c r="K56" s="131"/>
      <c r="L56" s="117"/>
      <c r="M56" s="131"/>
      <c r="N56" s="117"/>
      <c r="O56" s="117"/>
      <c r="P56" s="117"/>
    </row>
    <row r="57" spans="3:20" ht="15">
      <c r="F57" s="79"/>
      <c r="G57" s="131"/>
      <c r="H57" s="117"/>
      <c r="I57" s="131"/>
      <c r="K57" s="131"/>
      <c r="L57" s="117"/>
      <c r="M57" s="131"/>
      <c r="N57" s="117"/>
      <c r="O57" s="117"/>
      <c r="P57" s="117"/>
    </row>
  </sheetData>
  <mergeCells count="5">
    <mergeCell ref="B37:C37"/>
    <mergeCell ref="B39:C39"/>
    <mergeCell ref="B41:C41"/>
    <mergeCell ref="A1:A2"/>
    <mergeCell ref="B1:M2"/>
  </mergeCells>
  <conditionalFormatting sqref="A4:A35">
    <cfRule type="expression" priority="178" stopIfTrue="1">
      <formula>A4=""</formula>
    </cfRule>
    <cfRule type="expression" dxfId="481" priority="179">
      <formula>SUM((Debut_Congés&lt;=A4)*(A4&lt;=FIN_Congés))=1</formula>
    </cfRule>
    <cfRule type="expression" dxfId="480" priority="180" stopIfTrue="1">
      <formula>COUNTIF(JOURS_FERIE,A4)=1</formula>
    </cfRule>
    <cfRule type="expression" dxfId="479" priority="181">
      <formula>SUM((D.MALADIE&lt;=A4)*(A4&lt;=F.MALADIE))=1</formula>
    </cfRule>
    <cfRule type="expression" dxfId="478" priority="182">
      <formula>WEEKDAY(A4,2)&gt;5</formula>
    </cfRule>
  </conditionalFormatting>
  <conditionalFormatting sqref="B35">
    <cfRule type="expression" priority="172" stopIfTrue="1">
      <formula>$B35=""</formula>
    </cfRule>
    <cfRule type="expression" dxfId="477" priority="173">
      <formula>SUM((Debut_Congés&lt;=$B35)*($B35&lt;=FIN_Congés))=1</formula>
    </cfRule>
    <cfRule type="expression" dxfId="476" priority="174" stopIfTrue="1">
      <formula>COUNTIF(JOURS_FERIE,$B35)=1</formula>
    </cfRule>
    <cfRule type="expression" dxfId="475" priority="175">
      <formula>SUM((D.MALADIE&lt;=$B35)*($B35&lt;=F.MALADIE))=1</formula>
    </cfRule>
    <cfRule type="expression" dxfId="474" priority="176" stopIfTrue="1">
      <formula>WEEKDAY($B35)=7</formula>
    </cfRule>
    <cfRule type="expression" dxfId="473" priority="177" stopIfTrue="1">
      <formula>WEEKDAY($B35)=1</formula>
    </cfRule>
  </conditionalFormatting>
  <conditionalFormatting sqref="E34">
    <cfRule type="expression" dxfId="472" priority="154" stopIfTrue="1">
      <formula>SUM((Debut_Congés&lt;=$E34)*($E34&lt;=FIN_Congés))=1</formula>
    </cfRule>
  </conditionalFormatting>
  <conditionalFormatting sqref="E34:E35">
    <cfRule type="expression" dxfId="471" priority="155" stopIfTrue="1">
      <formula>WEEKDAY($E34)=1</formula>
    </cfRule>
    <cfRule type="expression" dxfId="470" priority="156" stopIfTrue="1">
      <formula>COUNTIF(JOURS_FERIE,$E34)=1</formula>
    </cfRule>
    <cfRule type="expression" priority="157" stopIfTrue="1">
      <formula>$E34=""</formula>
    </cfRule>
    <cfRule type="expression" dxfId="469" priority="158">
      <formula>SUM((D.MALADIE&lt;=$E34)*($E34&lt;=F.MALADIE))=1</formula>
    </cfRule>
    <cfRule type="expression" dxfId="468" priority="159" stopIfTrue="1">
      <formula>WEEKDAY($E34)=7</formula>
    </cfRule>
  </conditionalFormatting>
  <conditionalFormatting sqref="F35">
    <cfRule type="expression" priority="136" stopIfTrue="1">
      <formula>$F35=""</formula>
    </cfRule>
    <cfRule type="expression" dxfId="467" priority="143" stopIfTrue="1">
      <formula>SUM((Debut_Congés&lt;=$F35)*($F35&lt;=FIN_Congés))=1</formula>
    </cfRule>
    <cfRule type="expression" dxfId="466" priority="144" stopIfTrue="1">
      <formula>WEEKDAY($F35)=1</formula>
    </cfRule>
    <cfRule type="expression" dxfId="465" priority="145" stopIfTrue="1">
      <formula>COUNTIF(JOURS_FERIE,$F35)=1</formula>
    </cfRule>
    <cfRule type="expression" dxfId="464" priority="146">
      <formula>SUM((D.MALADIE&lt;=$F35)*($F35&lt;=F.MALADIE))=1</formula>
    </cfRule>
    <cfRule type="expression" dxfId="463" priority="153" stopIfTrue="1">
      <formula>WEEKDAY($F35)=7</formula>
    </cfRule>
  </conditionalFormatting>
  <conditionalFormatting sqref="G34">
    <cfRule type="expression" dxfId="462" priority="137" stopIfTrue="1">
      <formula>SUM((Debut_Congés&lt;=$G34)*($G34&lt;=FIN_Congés))=1</formula>
    </cfRule>
  </conditionalFormatting>
  <conditionalFormatting sqref="G34:G35">
    <cfRule type="expression" priority="131" stopIfTrue="1">
      <formula>$G34=""</formula>
    </cfRule>
    <cfRule type="expression" dxfId="461" priority="138" stopIfTrue="1">
      <formula>COUNTIF(JOURS_FERIE,$G34)=1</formula>
    </cfRule>
    <cfRule type="expression" dxfId="460" priority="139">
      <formula>SUM((D.MALADIE&lt;=$G34)*($G34&lt;=F.MALADIE))=1</formula>
    </cfRule>
    <cfRule type="expression" dxfId="459" priority="140" stopIfTrue="1">
      <formula>WEEKDAY($G34)=7</formula>
    </cfRule>
    <cfRule type="expression" dxfId="458" priority="141" stopIfTrue="1">
      <formula>WEEKDAY($G34)=1</formula>
    </cfRule>
  </conditionalFormatting>
  <conditionalFormatting sqref="H35">
    <cfRule type="expression" dxfId="456" priority="0" stopIfTrue="1">
      <formula>WEEKDAY($H35)=1</formula>
    </cfRule>
    <cfRule type="expression" dxfId="455" priority="130" stopIfTrue="1">
      <formula>WEEKDAY($H35)=7</formula>
    </cfRule>
    <cfRule type="expression" dxfId="454" priority="133" stopIfTrue="1">
      <formula>COUNTIF(JOURS_FERIE,$H35)=1</formula>
    </cfRule>
    <cfRule type="expression" priority="134" stopIfTrue="1">
      <formula>$H35=""</formula>
    </cfRule>
    <cfRule type="expression" dxfId="453" priority="135">
      <formula>SUM((D.MALADIE&lt;=$H35)*($H35&lt;=F.MALADIE))=1</formula>
    </cfRule>
  </conditionalFormatting>
  <conditionalFormatting sqref="I35">
    <cfRule type="expression" priority="124" stopIfTrue="1">
      <formula>$I35=""</formula>
    </cfRule>
    <cfRule type="expression" dxfId="451" priority="125" stopIfTrue="1">
      <formula>WEEKDAY($I35)=1</formula>
    </cfRule>
    <cfRule type="expression" dxfId="450" priority="126" stopIfTrue="1">
      <formula>WEEKDAY($I35)=7</formula>
    </cfRule>
    <cfRule type="expression" dxfId="449" priority="128" stopIfTrue="1">
      <formula>COUNTIF(JOURS_FERIE,$I35)=1</formula>
    </cfRule>
    <cfRule type="expression" dxfId="448" priority="129">
      <formula>SUM((D.MALADIE&lt;=$I35)*($I35&lt;=F.MALADIE))=1</formula>
    </cfRule>
  </conditionalFormatting>
  <conditionalFormatting sqref="J34">
    <cfRule type="expression" dxfId="447" priority="121" stopIfTrue="1">
      <formula>SUM((Debut_Congés&lt;=$J34)*($J34&lt;=FIN_Congés))=1</formula>
    </cfRule>
  </conditionalFormatting>
  <conditionalFormatting sqref="J34:J35">
    <cfRule type="expression" priority="118" stopIfTrue="1">
      <formula>$J34=""</formula>
    </cfRule>
    <cfRule type="expression" dxfId="446" priority="119" stopIfTrue="1">
      <formula>WEEKDAY($J34)=7</formula>
    </cfRule>
    <cfRule type="expression" dxfId="445" priority="120" stopIfTrue="1">
      <formula>WEEKDAY($J34)=1</formula>
    </cfRule>
    <cfRule type="expression" dxfId="444" priority="122" stopIfTrue="1">
      <formula>COUNTIF(JOURS_FERIE,$J34)=1</formula>
    </cfRule>
    <cfRule type="expression" dxfId="443" priority="123">
      <formula>SUM((D.MALADIE&lt;=$J34)*($J34&lt;=F.MALADIE))=1</formula>
    </cfRule>
  </conditionalFormatting>
  <conditionalFormatting sqref="K35">
    <cfRule type="expression" dxfId="441" priority="113" stopIfTrue="1">
      <formula>COUNTIF(JOURS_FERIE,$K35)=1</formula>
    </cfRule>
    <cfRule type="expression" priority="114" stopIfTrue="1">
      <formula>$K35=""</formula>
    </cfRule>
    <cfRule type="expression" dxfId="440" priority="115">
      <formula>SUM((D.MALADIE&lt;=$K35)*($K35&lt;=F.MALADIE))=1</formula>
    </cfRule>
    <cfRule type="expression" dxfId="439" priority="116" stopIfTrue="1">
      <formula>WEEKDAY($K35)=7</formula>
    </cfRule>
    <cfRule type="expression" dxfId="438" priority="117" stopIfTrue="1">
      <formula>WEEKDAY($K35)=1</formula>
    </cfRule>
  </conditionalFormatting>
  <conditionalFormatting sqref="L34">
    <cfRule type="expression" dxfId="437" priority="107">
      <formula>SUM((Debut_Congés&lt;=$L34)*($L34&lt;=FIN_Congés))=1</formula>
    </cfRule>
  </conditionalFormatting>
  <conditionalFormatting sqref="L34:L35">
    <cfRule type="expression" priority="106" stopIfTrue="1">
      <formula>$L34=""</formula>
    </cfRule>
    <cfRule type="expression" dxfId="436" priority="108" stopIfTrue="1">
      <formula>COUNTIF(JOURS_FERIE,$L34)=1</formula>
    </cfRule>
    <cfRule type="expression" dxfId="435" priority="109" stopIfTrue="1">
      <formula>SUM((D.MALADIE&lt;=$L34)*($L34&lt;=F.MALADIE))=1</formula>
    </cfRule>
    <cfRule type="expression" dxfId="434" priority="110" stopIfTrue="1">
      <formula>WEEKDAY($L34)=7</formula>
    </cfRule>
    <cfRule type="expression" dxfId="433" priority="111" stopIfTrue="1">
      <formula>WEEKDAY($L34)=1</formula>
    </cfRule>
  </conditionalFormatting>
  <conditionalFormatting sqref="M35">
    <cfRule type="expression" dxfId="431" priority="101" stopIfTrue="1">
      <formula>COUNTIF(JOURS_FERIE,$M35)=1</formula>
    </cfRule>
    <cfRule type="expression" priority="102" stopIfTrue="1">
      <formula>$M35=""</formula>
    </cfRule>
    <cfRule type="expression" dxfId="430" priority="103" stopIfTrue="1">
      <formula>SUM((D.MALADIE&lt;=$M35)*($M35&lt;=F.MALADIE))=1</formula>
    </cfRule>
    <cfRule type="expression" dxfId="429" priority="104" stopIfTrue="1">
      <formula>WEEKDAY($M35)=7</formula>
    </cfRule>
    <cfRule type="expression" dxfId="428" priority="105" stopIfTrue="1">
      <formula>WEEKDAY($M35)=1</formula>
    </cfRule>
  </conditionalFormatting>
  <conditionalFormatting sqref="B4:B34">
    <cfRule type="expression" priority="66" stopIfTrue="1">
      <formula>B4=""</formula>
    </cfRule>
    <cfRule type="expression" dxfId="427" priority="67">
      <formula>SUM((Debut_Congés&lt;=B4)*(B4&lt;=FIN_Congés))=1</formula>
    </cfRule>
    <cfRule type="expression" dxfId="426" priority="68" stopIfTrue="1">
      <formula>COUNTIF(JOURS_FERIE,B4)=1</formula>
    </cfRule>
    <cfRule type="expression" dxfId="425" priority="69">
      <formula>SUM((D.MALADIE&lt;=B4)*(B4&lt;=F.MALADIE))=1</formula>
    </cfRule>
    <cfRule type="expression" dxfId="424" priority="70">
      <formula>WEEKDAY(B4,2)&gt;5</formula>
    </cfRule>
  </conditionalFormatting>
  <conditionalFormatting sqref="C4:C31">
    <cfRule type="expression" priority="61" stopIfTrue="1">
      <formula>C4=""</formula>
    </cfRule>
    <cfRule type="expression" dxfId="423" priority="62">
      <formula>SUM((Debut_Congés&lt;=C4)*(C4&lt;=FIN_Congés))=1</formula>
    </cfRule>
    <cfRule type="expression" dxfId="422" priority="63" stopIfTrue="1">
      <formula>COUNTIF(JOURS_FERIE,C4)=1</formula>
    </cfRule>
    <cfRule type="expression" dxfId="421" priority="64">
      <formula>SUM((D.MALADIE&lt;=C4)*(C4&lt;=F.MALADIE))=1</formula>
    </cfRule>
    <cfRule type="expression" dxfId="420" priority="65">
      <formula>WEEKDAY(C4,2)&gt;5</formula>
    </cfRule>
  </conditionalFormatting>
  <conditionalFormatting sqref="D4:D34">
    <cfRule type="expression" priority="56" stopIfTrue="1">
      <formula>D4=""</formula>
    </cfRule>
    <cfRule type="expression" dxfId="419" priority="57">
      <formula>SUM((Debut_Congés&lt;=D4)*(D4&lt;=FIN_Congés))=1</formula>
    </cfRule>
    <cfRule type="expression" dxfId="418" priority="58" stopIfTrue="1">
      <formula>COUNTIF(JOURS_FERIE,D4)=1</formula>
    </cfRule>
    <cfRule type="expression" dxfId="417" priority="59">
      <formula>SUM((D.MALADIE&lt;=D4)*(D4&lt;=F.MALADIE))=1</formula>
    </cfRule>
    <cfRule type="expression" dxfId="416" priority="60">
      <formula>WEEKDAY(D4,2)&gt;5</formula>
    </cfRule>
  </conditionalFormatting>
  <conditionalFormatting sqref="F4:F34">
    <cfRule type="expression" priority="51" stopIfTrue="1">
      <formula>F4=""</formula>
    </cfRule>
    <cfRule type="expression" dxfId="415" priority="52">
      <formula>SUM((Debut_Congés&lt;=F4)*(F4&lt;=FIN_Congés))=1</formula>
    </cfRule>
    <cfRule type="expression" dxfId="414" priority="53" stopIfTrue="1">
      <formula>COUNTIF(JOURS_FERIE,F4)=1</formula>
    </cfRule>
    <cfRule type="expression" dxfId="413" priority="54">
      <formula>SUM((D.MALADIE&lt;=F4)*(F4&lt;=F.MALADIE))=1</formula>
    </cfRule>
    <cfRule type="expression" dxfId="412" priority="55">
      <formula>WEEKDAY(F4,2)&gt;5</formula>
    </cfRule>
  </conditionalFormatting>
  <conditionalFormatting sqref="H4:H34">
    <cfRule type="expression" priority="46" stopIfTrue="1">
      <formula>H4=""</formula>
    </cfRule>
    <cfRule type="expression" dxfId="411" priority="47">
      <formula>SUM((Debut_Congés&lt;=H4)*(H4&lt;=FIN_Congés))=1</formula>
    </cfRule>
    <cfRule type="expression" dxfId="410" priority="48" stopIfTrue="1">
      <formula>COUNTIF(JOURS_FERIE,H4)=1</formula>
    </cfRule>
    <cfRule type="expression" dxfId="409" priority="49">
      <formula>SUM((D.MALADIE&lt;=H4)*(H4&lt;=F.MALADIE))=1</formula>
    </cfRule>
    <cfRule type="expression" dxfId="408" priority="50">
      <formula>WEEKDAY(H4,2)&gt;5</formula>
    </cfRule>
  </conditionalFormatting>
  <conditionalFormatting sqref="I4:I34">
    <cfRule type="expression" priority="41" stopIfTrue="1">
      <formula>I4=""</formula>
    </cfRule>
    <cfRule type="expression" dxfId="407" priority="42">
      <formula>SUM((Debut_Congés&lt;=I4)*(I4&lt;=FIN_Congés))=1</formula>
    </cfRule>
    <cfRule type="expression" dxfId="406" priority="43" stopIfTrue="1">
      <formula>COUNTIF(JOURS_FERIE,I4)=1</formula>
    </cfRule>
    <cfRule type="expression" dxfId="405" priority="44">
      <formula>SUM((D.MALADIE&lt;=I4)*(I4&lt;=F.MALADIE))=1</formula>
    </cfRule>
    <cfRule type="expression" dxfId="404" priority="45">
      <formula>WEEKDAY(I4,2)&gt;5</formula>
    </cfRule>
  </conditionalFormatting>
  <conditionalFormatting sqref="K4:K34">
    <cfRule type="expression" priority="36" stopIfTrue="1">
      <formula>K4=""</formula>
    </cfRule>
    <cfRule type="expression" dxfId="403" priority="37">
      <formula>SUM((Debut_Congés&lt;=K4)*(K4&lt;=FIN_Congés))=1</formula>
    </cfRule>
    <cfRule type="expression" dxfId="402" priority="38" stopIfTrue="1">
      <formula>COUNTIF(JOURS_FERIE,K4)=1</formula>
    </cfRule>
    <cfRule type="expression" dxfId="401" priority="39">
      <formula>SUM((D.MALADIE&lt;=K4)*(K4&lt;=F.MALADIE))=1</formula>
    </cfRule>
    <cfRule type="expression" dxfId="400" priority="40">
      <formula>WEEKDAY(K4,2)&gt;5</formula>
    </cfRule>
  </conditionalFormatting>
  <conditionalFormatting sqref="M4:M34">
    <cfRule type="expression" priority="31" stopIfTrue="1">
      <formula>M4=""</formula>
    </cfRule>
    <cfRule type="expression" dxfId="399" priority="32">
      <formula>SUM((Debut_Congés&lt;=M4)*(M4&lt;=FIN_Congés))=1</formula>
    </cfRule>
    <cfRule type="expression" dxfId="398" priority="33" stopIfTrue="1">
      <formula>COUNTIF(JOURS_FERIE,M4)=1</formula>
    </cfRule>
    <cfRule type="expression" dxfId="397" priority="34">
      <formula>SUM((D.MALADIE&lt;=M4)*(M4&lt;=F.MALADIE))=1</formula>
    </cfRule>
    <cfRule type="expression" dxfId="396" priority="35">
      <formula>WEEKDAY(M4,2)&gt;5</formula>
    </cfRule>
  </conditionalFormatting>
  <conditionalFormatting sqref="N4:N34">
    <cfRule type="expression" priority="26" stopIfTrue="1">
      <formula>N4=""</formula>
    </cfRule>
    <cfRule type="expression" dxfId="395" priority="27">
      <formula>SUM((Debut_Congés&lt;=N4)*(N4&lt;=FIN_Congés))=1</formula>
    </cfRule>
    <cfRule type="expression" dxfId="394" priority="28" stopIfTrue="1">
      <formula>COUNTIF(JOURS_FERIE,N4)=1</formula>
    </cfRule>
    <cfRule type="expression" dxfId="393" priority="29">
      <formula>SUM((D.MALADIE&lt;=N4)*(N4&lt;=F.MALADIE))=1</formula>
    </cfRule>
    <cfRule type="expression" dxfId="392" priority="30">
      <formula>WEEKDAY(N4,2)&gt;5</formula>
    </cfRule>
  </conditionalFormatting>
  <conditionalFormatting sqref="O4:O31">
    <cfRule type="expression" priority="21" stopIfTrue="1">
      <formula>O4=""</formula>
    </cfRule>
    <cfRule type="expression" dxfId="391" priority="22">
      <formula>SUM((Debut_Congés&lt;=O4)*(O4&lt;=FIN_Congés))=1</formula>
    </cfRule>
    <cfRule type="expression" dxfId="390" priority="23" stopIfTrue="1">
      <formula>COUNTIF(JOURS_FERIE,O4)=1</formula>
    </cfRule>
    <cfRule type="expression" dxfId="389" priority="24">
      <formula>SUM((D.MALADIE&lt;=O4)*(O4&lt;=F.MALADIE))=1</formula>
    </cfRule>
    <cfRule type="expression" dxfId="388" priority="25">
      <formula>WEEKDAY(O4,2)&gt;5</formula>
    </cfRule>
  </conditionalFormatting>
  <conditionalFormatting sqref="L4:L33">
    <cfRule type="expression" priority="16" stopIfTrue="1">
      <formula>L4=""</formula>
    </cfRule>
    <cfRule type="expression" dxfId="387" priority="17">
      <formula>SUM((Debut_Congés&lt;=L4)*(L4&lt;=FIN_Congés))=1</formula>
    </cfRule>
    <cfRule type="expression" dxfId="386" priority="18" stopIfTrue="1">
      <formula>COUNTIF(JOURS_FERIE,L4)=1</formula>
    </cfRule>
    <cfRule type="expression" dxfId="385" priority="19">
      <formula>SUM((D.MALADIE&lt;=L4)*(L4&lt;=F.MALADIE))=1</formula>
    </cfRule>
    <cfRule type="expression" dxfId="384" priority="20">
      <formula>WEEKDAY(L4,2)&gt;5</formula>
    </cfRule>
  </conditionalFormatting>
  <conditionalFormatting sqref="J4:J33">
    <cfRule type="expression" priority="11" stopIfTrue="1">
      <formula>J4=""</formula>
    </cfRule>
    <cfRule type="expression" dxfId="383" priority="12">
      <formula>SUM((Debut_Congés&lt;=J4)*(J4&lt;=FIN_Congés))=1</formula>
    </cfRule>
    <cfRule type="expression" dxfId="382" priority="13" stopIfTrue="1">
      <formula>COUNTIF(JOURS_FERIE,J4)=1</formula>
    </cfRule>
    <cfRule type="expression" dxfId="381" priority="14">
      <formula>SUM((D.MALADIE&lt;=J4)*(J4&lt;=F.MALADIE))=1</formula>
    </cfRule>
    <cfRule type="expression" dxfId="380" priority="15">
      <formula>WEEKDAY(J4,2)&gt;5</formula>
    </cfRule>
  </conditionalFormatting>
  <conditionalFormatting sqref="E4:E33">
    <cfRule type="expression" priority="6" stopIfTrue="1">
      <formula>E4=""</formula>
    </cfRule>
    <cfRule type="expression" dxfId="379" priority="7">
      <formula>SUM((Debut_Congés&lt;=E4)*(E4&lt;=FIN_Congés))=1</formula>
    </cfRule>
    <cfRule type="expression" dxfId="378" priority="8" stopIfTrue="1">
      <formula>COUNTIF(JOURS_FERIE,E4)=1</formula>
    </cfRule>
    <cfRule type="expression" dxfId="377" priority="9">
      <formula>SUM((D.MALADIE&lt;=E4)*(E4&lt;=F.MALADIE))=1</formula>
    </cfRule>
    <cfRule type="expression" dxfId="376" priority="10">
      <formula>WEEKDAY(E4,2)&gt;5</formula>
    </cfRule>
  </conditionalFormatting>
  <conditionalFormatting sqref="G4:G33">
    <cfRule type="expression" priority="1" stopIfTrue="1">
      <formula>G4=""</formula>
    </cfRule>
    <cfRule type="expression" dxfId="375" priority="2">
      <formula>SUM((Debut_Congés&lt;=G4)*(G4&lt;=FIN_Congés))=1</formula>
    </cfRule>
    <cfRule type="expression" dxfId="374" priority="3" stopIfTrue="1">
      <formula>COUNTIF(JOURS_FERIE,G4)=1</formula>
    </cfRule>
    <cfRule type="expression" dxfId="373" priority="4">
      <formula>SUM((D.MALADIE&lt;=G4)*(G4&lt;=F.MALADIE))=1</formula>
    </cfRule>
    <cfRule type="expression" dxfId="372" priority="5">
      <formula>WEEKDAY(G4,2)&gt;5</formula>
    </cfRule>
  </conditionalFormatting>
  <printOptions horizontalCentered="1" verticalCentered="1"/>
  <pageMargins left="0.19687500000000002" right="0.19687500000000002" top="0.19687500000000002" bottom="0.19687500000000002" header="0.19687500000000002" footer="0.19687500000000002"/>
  <pageSetup paperSize="9" fitToWidth="2" orientation="landscape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6186B-2061-4DC3-B0B5-8B28217E39E3}">
  <sheetPr codeName="Sheet20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71" priority="28">
      <formula>IF(INDEX(planning_decoupe_abattage2,MATCH($G10,planning_decoupe_abattage2,1))=$G10,"vrai")</formula>
    </cfRule>
    <cfRule type="expression" dxfId="370" priority="29">
      <formula>$E10="REPOS"</formula>
    </cfRule>
    <cfRule type="expression" dxfId="369" priority="30">
      <formula>$E10="M"</formula>
    </cfRule>
    <cfRule type="expression" dxfId="368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67" priority="27" stopIfTrue="1">
      <formula>$L10&gt;="10:00"*1</formula>
    </cfRule>
  </conditionalFormatting>
  <conditionalFormatting sqref="N10:N40">
    <cfRule type="expression" dxfId="366" priority="25" stopIfTrue="1">
      <formula>$N10&lt;&gt;""</formula>
    </cfRule>
  </conditionalFormatting>
  <conditionalFormatting sqref="L10:L41">
    <cfRule type="expression" dxfId="365" priority="21" stopIfTrue="1">
      <formula>$E10="REPOS"</formula>
    </cfRule>
    <cfRule type="expression" dxfId="364" priority="22" stopIfTrue="1">
      <formula>$E10="M"</formula>
    </cfRule>
    <cfRule type="expression" dxfId="363" priority="24" stopIfTrue="1">
      <formula>$E10="CJ"</formula>
    </cfRule>
  </conditionalFormatting>
  <conditionalFormatting sqref="L10:O40">
    <cfRule type="expression" dxfId="362" priority="15">
      <formula>$E10="REPOS"</formula>
    </cfRule>
    <cfRule type="expression" dxfId="361" priority="16">
      <formula>$E10="M"</formula>
    </cfRule>
    <cfRule type="expression" dxfId="360" priority="18" stopIfTrue="1">
      <formula>$E10="CJ"</formula>
    </cfRule>
  </conditionalFormatting>
  <conditionalFormatting sqref="L10:O40">
    <cfRule type="expression" dxfId="359" priority="14">
      <formula>IF(INDEX(planning_decoupe_abattage2,MATCH($G10,planning_decoupe_abattage2,1))=$G10,"vrai")</formula>
    </cfRule>
  </conditionalFormatting>
  <conditionalFormatting sqref="N10:N40">
    <cfRule type="expression" dxfId="358" priority="13">
      <formula>$N10&lt;&gt;""</formula>
    </cfRule>
  </conditionalFormatting>
  <conditionalFormatting sqref="L10:L40">
    <cfRule type="expression" dxfId="357" priority="7" stopIfTrue="1">
      <formula>IF(INDEX(planning_decoupe_abattage2,MATCH($G10,planning_decoupe_abattage2,1))=$G10,"vrai")</formula>
    </cfRule>
    <cfRule type="expression" dxfId="356" priority="8" stopIfTrue="1">
      <formula>$E10="REPOS"</formula>
    </cfRule>
    <cfRule type="expression" dxfId="355" priority="9" stopIfTrue="1">
      <formula>$E10="w"</formula>
    </cfRule>
    <cfRule type="expression" dxfId="354" priority="10" stopIfTrue="1">
      <formula>$E10="F"</formula>
    </cfRule>
    <cfRule type="expression" dxfId="353" priority="11" stopIfTrue="1">
      <formula>$G10=TODAY()</formula>
    </cfRule>
    <cfRule type="expression" dxfId="352" priority="12" stopIfTrue="1">
      <formula>$E10="CJ"</formula>
    </cfRule>
  </conditionalFormatting>
  <conditionalFormatting sqref="D10:AB41">
    <cfRule type="expression" dxfId="351" priority="2">
      <formula>$E10="M"</formula>
    </cfRule>
    <cfRule type="expression" dxfId="350" priority="6">
      <formula>IF(INDEX(planning_decoupe_abattage2,MATCH($G10,planning_decoupe_abattage2,1))=$G10,"vrai")</formula>
    </cfRule>
    <cfRule type="expression" dxfId="349" priority="17" stopIfTrue="1">
      <formula>$G10=TODAY()</formula>
    </cfRule>
    <cfRule type="expression" dxfId="348" priority="19" stopIfTrue="1">
      <formula>$E10="w"</formula>
    </cfRule>
    <cfRule type="expression" dxfId="347" priority="20">
      <formula>IF(INDEX(planning_decoupe_abattage2,MATCH($G10,planning_decoupe_abattage2,1))=$G10,"vrai")</formula>
    </cfRule>
    <cfRule type="expression" dxfId="346" priority="23" stopIfTrue="1">
      <formula>$E10="F"</formula>
    </cfRule>
  </conditionalFormatting>
  <conditionalFormatting sqref="K10:K41">
    <cfRule type="expression" dxfId="345" priority="5" stopIfTrue="1">
      <formula>$E10="F"</formula>
    </cfRule>
  </conditionalFormatting>
  <conditionalFormatting sqref="D10:L41">
    <cfRule type="expression" dxfId="344" priority="1">
      <formula>$E10="REPOS"</formula>
    </cfRule>
    <cfRule type="expression" dxfId="343" priority="3" stopIfTrue="1">
      <formula>$E10="CJ"</formula>
    </cfRule>
    <cfRule type="expression" dxfId="342" priority="4" stopIfTrue="1">
      <formula>$E10="w"</formula>
    </cfRule>
    <cfRule type="expression" dxfId="341" priority="32" stopIfTrue="1">
      <formula>$E10="CJ"</formula>
    </cfRule>
  </conditionalFormatting>
  <dataValidations count="1">
    <dataValidation type="list" allowBlank="1" showInputMessage="1" showErrorMessage="1" sqref="H10:K41" xr:uid="{C5DF04CC-4C19-457B-99DB-03FCD1741CA8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0A246-8808-4931-8EC3-926E27175B86}">
  <sheetPr codeName="Sheet21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40" priority="28">
      <formula>IF(INDEX(planning_decoupe_abattage2,MATCH($G10,planning_decoupe_abattage2,1))=$G10,"vrai")</formula>
    </cfRule>
    <cfRule type="expression" dxfId="339" priority="29">
      <formula>$E10="REPOS"</formula>
    </cfRule>
    <cfRule type="expression" dxfId="338" priority="30">
      <formula>$E10="M"</formula>
    </cfRule>
    <cfRule type="expression" dxfId="337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36" priority="27" stopIfTrue="1">
      <formula>$L10&gt;="10:00"*1</formula>
    </cfRule>
  </conditionalFormatting>
  <conditionalFormatting sqref="N10:N40">
    <cfRule type="expression" dxfId="335" priority="25" stopIfTrue="1">
      <formula>$N10&lt;&gt;""</formula>
    </cfRule>
  </conditionalFormatting>
  <conditionalFormatting sqref="L10:L41">
    <cfRule type="expression" dxfId="334" priority="21" stopIfTrue="1">
      <formula>$E10="REPOS"</formula>
    </cfRule>
    <cfRule type="expression" dxfId="333" priority="22" stopIfTrue="1">
      <formula>$E10="M"</formula>
    </cfRule>
    <cfRule type="expression" dxfId="332" priority="24" stopIfTrue="1">
      <formula>$E10="CJ"</formula>
    </cfRule>
  </conditionalFormatting>
  <conditionalFormatting sqref="L10:O40">
    <cfRule type="expression" dxfId="331" priority="15">
      <formula>$E10="REPOS"</formula>
    </cfRule>
    <cfRule type="expression" dxfId="330" priority="16">
      <formula>$E10="M"</formula>
    </cfRule>
    <cfRule type="expression" dxfId="329" priority="18" stopIfTrue="1">
      <formula>$E10="CJ"</formula>
    </cfRule>
  </conditionalFormatting>
  <conditionalFormatting sqref="L10:O40">
    <cfRule type="expression" dxfId="328" priority="14">
      <formula>IF(INDEX(planning_decoupe_abattage2,MATCH($G10,planning_decoupe_abattage2,1))=$G10,"vrai")</formula>
    </cfRule>
  </conditionalFormatting>
  <conditionalFormatting sqref="N10:N40">
    <cfRule type="expression" dxfId="327" priority="13">
      <formula>$N10&lt;&gt;""</formula>
    </cfRule>
  </conditionalFormatting>
  <conditionalFormatting sqref="L10:L40">
    <cfRule type="expression" dxfId="326" priority="7" stopIfTrue="1">
      <formula>IF(INDEX(planning_decoupe_abattage2,MATCH($G10,planning_decoupe_abattage2,1))=$G10,"vrai")</formula>
    </cfRule>
    <cfRule type="expression" dxfId="325" priority="8" stopIfTrue="1">
      <formula>$E10="REPOS"</formula>
    </cfRule>
    <cfRule type="expression" dxfId="324" priority="9" stopIfTrue="1">
      <formula>$E10="w"</formula>
    </cfRule>
    <cfRule type="expression" dxfId="323" priority="10" stopIfTrue="1">
      <formula>$E10="F"</formula>
    </cfRule>
    <cfRule type="expression" dxfId="322" priority="11" stopIfTrue="1">
      <formula>$G10=TODAY()</formula>
    </cfRule>
    <cfRule type="expression" dxfId="321" priority="12" stopIfTrue="1">
      <formula>$E10="CJ"</formula>
    </cfRule>
  </conditionalFormatting>
  <conditionalFormatting sqref="D10:AB41">
    <cfRule type="expression" dxfId="320" priority="2">
      <formula>$E10="M"</formula>
    </cfRule>
    <cfRule type="expression" dxfId="319" priority="6">
      <formula>IF(INDEX(planning_decoupe_abattage2,MATCH($G10,planning_decoupe_abattage2,1))=$G10,"vrai")</formula>
    </cfRule>
    <cfRule type="expression" dxfId="318" priority="17" stopIfTrue="1">
      <formula>$G10=TODAY()</formula>
    </cfRule>
    <cfRule type="expression" dxfId="317" priority="19" stopIfTrue="1">
      <formula>$E10="w"</formula>
    </cfRule>
    <cfRule type="expression" dxfId="316" priority="20">
      <formula>IF(INDEX(planning_decoupe_abattage2,MATCH($G10,planning_decoupe_abattage2,1))=$G10,"vrai")</formula>
    </cfRule>
    <cfRule type="expression" dxfId="315" priority="23" stopIfTrue="1">
      <formula>$E10="F"</formula>
    </cfRule>
  </conditionalFormatting>
  <conditionalFormatting sqref="K10:K41">
    <cfRule type="expression" dxfId="314" priority="5" stopIfTrue="1">
      <formula>$E10="F"</formula>
    </cfRule>
  </conditionalFormatting>
  <conditionalFormatting sqref="D10:L41">
    <cfRule type="expression" dxfId="313" priority="1">
      <formula>$E10="REPOS"</formula>
    </cfRule>
    <cfRule type="expression" dxfId="312" priority="3" stopIfTrue="1">
      <formula>$E10="CJ"</formula>
    </cfRule>
    <cfRule type="expression" dxfId="311" priority="4" stopIfTrue="1">
      <formula>$E10="w"</formula>
    </cfRule>
    <cfRule type="expression" dxfId="310" priority="32" stopIfTrue="1">
      <formula>$E10="CJ"</formula>
    </cfRule>
  </conditionalFormatting>
  <dataValidations count="1">
    <dataValidation type="list" allowBlank="1" showInputMessage="1" showErrorMessage="1" sqref="H10:K41" xr:uid="{271FF0A6-43EB-4E43-BD58-9B34BD38C975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570DF-CF5A-422A-83C9-2A9480577461}">
  <sheetPr codeName="Sheet22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09" priority="28">
      <formula>IF(INDEX(planning_decoupe_abattage2,MATCH($G10,planning_decoupe_abattage2,1))=$G10,"vrai")</formula>
    </cfRule>
    <cfRule type="expression" dxfId="308" priority="29">
      <formula>$E10="REPOS"</formula>
    </cfRule>
    <cfRule type="expression" dxfId="307" priority="30">
      <formula>$E10="M"</formula>
    </cfRule>
    <cfRule type="expression" dxfId="306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305" priority="27" stopIfTrue="1">
      <formula>$L10&gt;="10:00"*1</formula>
    </cfRule>
  </conditionalFormatting>
  <conditionalFormatting sqref="N10:N40">
    <cfRule type="expression" dxfId="304" priority="25" stopIfTrue="1">
      <formula>$N10&lt;&gt;""</formula>
    </cfRule>
  </conditionalFormatting>
  <conditionalFormatting sqref="L10:L41">
    <cfRule type="expression" dxfId="303" priority="21" stopIfTrue="1">
      <formula>$E10="REPOS"</formula>
    </cfRule>
    <cfRule type="expression" dxfId="302" priority="22" stopIfTrue="1">
      <formula>$E10="M"</formula>
    </cfRule>
    <cfRule type="expression" dxfId="301" priority="24" stopIfTrue="1">
      <formula>$E10="CJ"</formula>
    </cfRule>
  </conditionalFormatting>
  <conditionalFormatting sqref="L10:O40">
    <cfRule type="expression" dxfId="300" priority="15">
      <formula>$E10="REPOS"</formula>
    </cfRule>
    <cfRule type="expression" dxfId="299" priority="16">
      <formula>$E10="M"</formula>
    </cfRule>
    <cfRule type="expression" dxfId="298" priority="18" stopIfTrue="1">
      <formula>$E10="CJ"</formula>
    </cfRule>
  </conditionalFormatting>
  <conditionalFormatting sqref="L10:O40">
    <cfRule type="expression" dxfId="297" priority="14">
      <formula>IF(INDEX(planning_decoupe_abattage2,MATCH($G10,planning_decoupe_abattage2,1))=$G10,"vrai")</formula>
    </cfRule>
  </conditionalFormatting>
  <conditionalFormatting sqref="N10:N40">
    <cfRule type="expression" dxfId="296" priority="13">
      <formula>$N10&lt;&gt;""</formula>
    </cfRule>
  </conditionalFormatting>
  <conditionalFormatting sqref="L10:L40">
    <cfRule type="expression" dxfId="295" priority="7" stopIfTrue="1">
      <formula>IF(INDEX(planning_decoupe_abattage2,MATCH($G10,planning_decoupe_abattage2,1))=$G10,"vrai")</formula>
    </cfRule>
    <cfRule type="expression" dxfId="294" priority="8" stopIfTrue="1">
      <formula>$E10="REPOS"</formula>
    </cfRule>
    <cfRule type="expression" dxfId="293" priority="9" stopIfTrue="1">
      <formula>$E10="w"</formula>
    </cfRule>
    <cfRule type="expression" dxfId="292" priority="10" stopIfTrue="1">
      <formula>$E10="F"</formula>
    </cfRule>
    <cfRule type="expression" dxfId="291" priority="11" stopIfTrue="1">
      <formula>$G10=TODAY()</formula>
    </cfRule>
    <cfRule type="expression" dxfId="290" priority="12" stopIfTrue="1">
      <formula>$E10="CJ"</formula>
    </cfRule>
  </conditionalFormatting>
  <conditionalFormatting sqref="D10:AB41">
    <cfRule type="expression" dxfId="289" priority="2">
      <formula>$E10="M"</formula>
    </cfRule>
    <cfRule type="expression" dxfId="288" priority="6">
      <formula>IF(INDEX(planning_decoupe_abattage2,MATCH($G10,planning_decoupe_abattage2,1))=$G10,"vrai")</formula>
    </cfRule>
    <cfRule type="expression" dxfId="287" priority="17" stopIfTrue="1">
      <formula>$G10=TODAY()</formula>
    </cfRule>
    <cfRule type="expression" dxfId="286" priority="19" stopIfTrue="1">
      <formula>$E10="w"</formula>
    </cfRule>
    <cfRule type="expression" dxfId="285" priority="20">
      <formula>IF(INDEX(planning_decoupe_abattage2,MATCH($G10,planning_decoupe_abattage2,1))=$G10,"vrai")</formula>
    </cfRule>
    <cfRule type="expression" dxfId="284" priority="23" stopIfTrue="1">
      <formula>$E10="F"</formula>
    </cfRule>
  </conditionalFormatting>
  <conditionalFormatting sqref="K10:K41">
    <cfRule type="expression" dxfId="283" priority="5" stopIfTrue="1">
      <formula>$E10="F"</formula>
    </cfRule>
  </conditionalFormatting>
  <conditionalFormatting sqref="D10:L41">
    <cfRule type="expression" dxfId="282" priority="1">
      <formula>$E10="REPOS"</formula>
    </cfRule>
    <cfRule type="expression" dxfId="281" priority="3" stopIfTrue="1">
      <formula>$E10="CJ"</formula>
    </cfRule>
    <cfRule type="expression" dxfId="280" priority="4" stopIfTrue="1">
      <formula>$E10="w"</formula>
    </cfRule>
    <cfRule type="expression" dxfId="279" priority="32" stopIfTrue="1">
      <formula>$E10="CJ"</formula>
    </cfRule>
  </conditionalFormatting>
  <dataValidations count="1">
    <dataValidation type="list" allowBlank="1" showInputMessage="1" showErrorMessage="1" sqref="H10:K41" xr:uid="{07EFF723-FAE4-469B-AD14-C7072A287C5B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5ECA5-641C-4689-BD5B-17F341A5FA39}">
  <sheetPr codeName="Sheet23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278" priority="28">
      <formula>IF(INDEX(planning_decoupe_abattage2,MATCH($G10,planning_decoupe_abattage2,1))=$G10,"vrai")</formula>
    </cfRule>
    <cfRule type="expression" dxfId="277" priority="29">
      <formula>$E10="REPOS"</formula>
    </cfRule>
    <cfRule type="expression" dxfId="276" priority="30">
      <formula>$E10="M"</formula>
    </cfRule>
    <cfRule type="expression" dxfId="275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74" priority="27" stopIfTrue="1">
      <formula>$L10&gt;="10:00"*1</formula>
    </cfRule>
  </conditionalFormatting>
  <conditionalFormatting sqref="N10:N40">
    <cfRule type="expression" dxfId="273" priority="25" stopIfTrue="1">
      <formula>$N10&lt;&gt;""</formula>
    </cfRule>
  </conditionalFormatting>
  <conditionalFormatting sqref="L10:L41">
    <cfRule type="expression" dxfId="272" priority="21" stopIfTrue="1">
      <formula>$E10="REPOS"</formula>
    </cfRule>
    <cfRule type="expression" dxfId="271" priority="22" stopIfTrue="1">
      <formula>$E10="M"</formula>
    </cfRule>
    <cfRule type="expression" dxfId="270" priority="24" stopIfTrue="1">
      <formula>$E10="CJ"</formula>
    </cfRule>
  </conditionalFormatting>
  <conditionalFormatting sqref="L10:O40">
    <cfRule type="expression" dxfId="269" priority="15">
      <formula>$E10="REPOS"</formula>
    </cfRule>
    <cfRule type="expression" dxfId="268" priority="16">
      <formula>$E10="M"</formula>
    </cfRule>
    <cfRule type="expression" dxfId="267" priority="18" stopIfTrue="1">
      <formula>$E10="CJ"</formula>
    </cfRule>
  </conditionalFormatting>
  <conditionalFormatting sqref="L10:O40">
    <cfRule type="expression" dxfId="266" priority="14">
      <formula>IF(INDEX(planning_decoupe_abattage2,MATCH($G10,planning_decoupe_abattage2,1))=$G10,"vrai")</formula>
    </cfRule>
  </conditionalFormatting>
  <conditionalFormatting sqref="N10:N40">
    <cfRule type="expression" dxfId="265" priority="13">
      <formula>$N10&lt;&gt;""</formula>
    </cfRule>
  </conditionalFormatting>
  <conditionalFormatting sqref="L10:L40">
    <cfRule type="expression" dxfId="264" priority="7" stopIfTrue="1">
      <formula>IF(INDEX(planning_decoupe_abattage2,MATCH($G10,planning_decoupe_abattage2,1))=$G10,"vrai")</formula>
    </cfRule>
    <cfRule type="expression" dxfId="263" priority="8" stopIfTrue="1">
      <formula>$E10="REPOS"</formula>
    </cfRule>
    <cfRule type="expression" dxfId="262" priority="9" stopIfTrue="1">
      <formula>$E10="w"</formula>
    </cfRule>
    <cfRule type="expression" dxfId="261" priority="10" stopIfTrue="1">
      <formula>$E10="F"</formula>
    </cfRule>
    <cfRule type="expression" dxfId="260" priority="11" stopIfTrue="1">
      <formula>$G10=TODAY()</formula>
    </cfRule>
    <cfRule type="expression" dxfId="259" priority="12" stopIfTrue="1">
      <formula>$E10="CJ"</formula>
    </cfRule>
  </conditionalFormatting>
  <conditionalFormatting sqref="D10:AB41">
    <cfRule type="expression" dxfId="258" priority="2">
      <formula>$E10="M"</formula>
    </cfRule>
    <cfRule type="expression" dxfId="257" priority="6">
      <formula>IF(INDEX(planning_decoupe_abattage2,MATCH($G10,planning_decoupe_abattage2,1))=$G10,"vrai")</formula>
    </cfRule>
    <cfRule type="expression" dxfId="256" priority="17" stopIfTrue="1">
      <formula>$G10=TODAY()</formula>
    </cfRule>
    <cfRule type="expression" dxfId="255" priority="19" stopIfTrue="1">
      <formula>$E10="w"</formula>
    </cfRule>
    <cfRule type="expression" dxfId="254" priority="20">
      <formula>IF(INDEX(planning_decoupe_abattage2,MATCH($G10,planning_decoupe_abattage2,1))=$G10,"vrai")</formula>
    </cfRule>
    <cfRule type="expression" dxfId="253" priority="23" stopIfTrue="1">
      <formula>$E10="F"</formula>
    </cfRule>
  </conditionalFormatting>
  <conditionalFormatting sqref="K10:K41">
    <cfRule type="expression" dxfId="252" priority="5" stopIfTrue="1">
      <formula>$E10="F"</formula>
    </cfRule>
  </conditionalFormatting>
  <conditionalFormatting sqref="D10:L41">
    <cfRule type="expression" dxfId="251" priority="1">
      <formula>$E10="REPOS"</formula>
    </cfRule>
    <cfRule type="expression" dxfId="250" priority="3" stopIfTrue="1">
      <formula>$E10="CJ"</formula>
    </cfRule>
    <cfRule type="expression" dxfId="249" priority="4" stopIfTrue="1">
      <formula>$E10="w"</formula>
    </cfRule>
    <cfRule type="expression" dxfId="248" priority="32" stopIfTrue="1">
      <formula>$E10="CJ"</formula>
    </cfRule>
  </conditionalFormatting>
  <dataValidations count="1">
    <dataValidation type="list" allowBlank="1" showInputMessage="1" showErrorMessage="1" sqref="H10:K41" xr:uid="{400DFBDA-F83B-42B7-9881-9ACA3032FFA9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0341E-AB19-46B4-8A2C-7427615034F8}">
  <sheetPr codeName="Sheet24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247" priority="28">
      <formula>IF(INDEX(planning_decoupe_abattage2,MATCH($G10,planning_decoupe_abattage2,1))=$G10,"vrai")</formula>
    </cfRule>
    <cfRule type="expression" dxfId="246" priority="29">
      <formula>$E10="REPOS"</formula>
    </cfRule>
    <cfRule type="expression" dxfId="245" priority="30">
      <formula>$E10="M"</formula>
    </cfRule>
    <cfRule type="expression" dxfId="244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43" priority="27" stopIfTrue="1">
      <formula>$L10&gt;="10:00"*1</formula>
    </cfRule>
  </conditionalFormatting>
  <conditionalFormatting sqref="N10:N40">
    <cfRule type="expression" dxfId="242" priority="25" stopIfTrue="1">
      <formula>$N10&lt;&gt;""</formula>
    </cfRule>
  </conditionalFormatting>
  <conditionalFormatting sqref="L10:L41">
    <cfRule type="expression" dxfId="241" priority="21" stopIfTrue="1">
      <formula>$E10="REPOS"</formula>
    </cfRule>
    <cfRule type="expression" dxfId="240" priority="22" stopIfTrue="1">
      <formula>$E10="M"</formula>
    </cfRule>
    <cfRule type="expression" dxfId="239" priority="24" stopIfTrue="1">
      <formula>$E10="CJ"</formula>
    </cfRule>
  </conditionalFormatting>
  <conditionalFormatting sqref="L10:O40">
    <cfRule type="expression" dxfId="238" priority="15">
      <formula>$E10="REPOS"</formula>
    </cfRule>
    <cfRule type="expression" dxfId="237" priority="16">
      <formula>$E10="M"</formula>
    </cfRule>
    <cfRule type="expression" dxfId="236" priority="18" stopIfTrue="1">
      <formula>$E10="CJ"</formula>
    </cfRule>
  </conditionalFormatting>
  <conditionalFormatting sqref="L10:O40">
    <cfRule type="expression" dxfId="235" priority="14">
      <formula>IF(INDEX(planning_decoupe_abattage2,MATCH($G10,planning_decoupe_abattage2,1))=$G10,"vrai")</formula>
    </cfRule>
  </conditionalFormatting>
  <conditionalFormatting sqref="N10:N40">
    <cfRule type="expression" dxfId="234" priority="13">
      <formula>$N10&lt;&gt;""</formula>
    </cfRule>
  </conditionalFormatting>
  <conditionalFormatting sqref="L10:L40">
    <cfRule type="expression" dxfId="233" priority="7" stopIfTrue="1">
      <formula>IF(INDEX(planning_decoupe_abattage2,MATCH($G10,planning_decoupe_abattage2,1))=$G10,"vrai")</formula>
    </cfRule>
    <cfRule type="expression" dxfId="232" priority="8" stopIfTrue="1">
      <formula>$E10="REPOS"</formula>
    </cfRule>
    <cfRule type="expression" dxfId="231" priority="9" stopIfTrue="1">
      <formula>$E10="w"</formula>
    </cfRule>
    <cfRule type="expression" dxfId="230" priority="10" stopIfTrue="1">
      <formula>$E10="F"</formula>
    </cfRule>
    <cfRule type="expression" dxfId="229" priority="11" stopIfTrue="1">
      <formula>$G10=TODAY()</formula>
    </cfRule>
    <cfRule type="expression" dxfId="228" priority="12" stopIfTrue="1">
      <formula>$E10="CJ"</formula>
    </cfRule>
  </conditionalFormatting>
  <conditionalFormatting sqref="D10:AB41">
    <cfRule type="expression" dxfId="227" priority="2">
      <formula>$E10="M"</formula>
    </cfRule>
    <cfRule type="expression" dxfId="226" priority="6">
      <formula>IF(INDEX(planning_decoupe_abattage2,MATCH($G10,planning_decoupe_abattage2,1))=$G10,"vrai")</formula>
    </cfRule>
    <cfRule type="expression" dxfId="225" priority="17" stopIfTrue="1">
      <formula>$G10=TODAY()</formula>
    </cfRule>
    <cfRule type="expression" dxfId="224" priority="19" stopIfTrue="1">
      <formula>$E10="w"</formula>
    </cfRule>
    <cfRule type="expression" dxfId="223" priority="20">
      <formula>IF(INDEX(planning_decoupe_abattage2,MATCH($G10,planning_decoupe_abattage2,1))=$G10,"vrai")</formula>
    </cfRule>
    <cfRule type="expression" dxfId="222" priority="23" stopIfTrue="1">
      <formula>$E10="F"</formula>
    </cfRule>
  </conditionalFormatting>
  <conditionalFormatting sqref="K10:K41">
    <cfRule type="expression" dxfId="221" priority="5" stopIfTrue="1">
      <formula>$E10="F"</formula>
    </cfRule>
  </conditionalFormatting>
  <conditionalFormatting sqref="D10:L41">
    <cfRule type="expression" dxfId="220" priority="1">
      <formula>$E10="REPOS"</formula>
    </cfRule>
    <cfRule type="expression" dxfId="219" priority="3" stopIfTrue="1">
      <formula>$E10="CJ"</formula>
    </cfRule>
    <cfRule type="expression" dxfId="218" priority="4" stopIfTrue="1">
      <formula>$E10="w"</formula>
    </cfRule>
    <cfRule type="expression" dxfId="217" priority="32" stopIfTrue="1">
      <formula>$E10="CJ"</formula>
    </cfRule>
  </conditionalFormatting>
  <dataValidations count="1">
    <dataValidation type="list" allowBlank="1" showInputMessage="1" showErrorMessage="1" sqref="H10:K41" xr:uid="{9CDEE925-BDC8-43F1-814A-304E0AE2DAD4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8F509-A6F1-4B39-AC14-F411D53BA03E}">
  <sheetPr codeName="Sheet25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216" priority="28">
      <formula>IF(INDEX(planning_decoupe_abattage2,MATCH($G10,planning_decoupe_abattage2,1))=$G10,"vrai")</formula>
    </cfRule>
    <cfRule type="expression" dxfId="215" priority="29">
      <formula>$E10="REPOS"</formula>
    </cfRule>
    <cfRule type="expression" dxfId="214" priority="30">
      <formula>$E10="M"</formula>
    </cfRule>
    <cfRule type="expression" dxfId="213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12" priority="27" stopIfTrue="1">
      <formula>$L10&gt;="10:00"*1</formula>
    </cfRule>
  </conditionalFormatting>
  <conditionalFormatting sqref="N10:N40">
    <cfRule type="expression" dxfId="211" priority="25" stopIfTrue="1">
      <formula>$N10&lt;&gt;""</formula>
    </cfRule>
  </conditionalFormatting>
  <conditionalFormatting sqref="L10:L41">
    <cfRule type="expression" dxfId="210" priority="21" stopIfTrue="1">
      <formula>$E10="REPOS"</formula>
    </cfRule>
    <cfRule type="expression" dxfId="209" priority="22" stopIfTrue="1">
      <formula>$E10="M"</formula>
    </cfRule>
    <cfRule type="expression" dxfId="208" priority="24" stopIfTrue="1">
      <formula>$E10="CJ"</formula>
    </cfRule>
  </conditionalFormatting>
  <conditionalFormatting sqref="L10:O40">
    <cfRule type="expression" dxfId="207" priority="15">
      <formula>$E10="REPOS"</formula>
    </cfRule>
    <cfRule type="expression" dxfId="206" priority="16">
      <formula>$E10="M"</formula>
    </cfRule>
    <cfRule type="expression" dxfId="205" priority="18" stopIfTrue="1">
      <formula>$E10="CJ"</formula>
    </cfRule>
  </conditionalFormatting>
  <conditionalFormatting sqref="L10:O40">
    <cfRule type="expression" dxfId="204" priority="14">
      <formula>IF(INDEX(planning_decoupe_abattage2,MATCH($G10,planning_decoupe_abattage2,1))=$G10,"vrai")</formula>
    </cfRule>
  </conditionalFormatting>
  <conditionalFormatting sqref="N10:N40">
    <cfRule type="expression" dxfId="203" priority="13">
      <formula>$N10&lt;&gt;""</formula>
    </cfRule>
  </conditionalFormatting>
  <conditionalFormatting sqref="L10:L40">
    <cfRule type="expression" dxfId="202" priority="7" stopIfTrue="1">
      <formula>IF(INDEX(planning_decoupe_abattage2,MATCH($G10,planning_decoupe_abattage2,1))=$G10,"vrai")</formula>
    </cfRule>
    <cfRule type="expression" dxfId="201" priority="8" stopIfTrue="1">
      <formula>$E10="REPOS"</formula>
    </cfRule>
    <cfRule type="expression" dxfId="200" priority="9" stopIfTrue="1">
      <formula>$E10="w"</formula>
    </cfRule>
    <cfRule type="expression" dxfId="199" priority="10" stopIfTrue="1">
      <formula>$E10="F"</formula>
    </cfRule>
    <cfRule type="expression" dxfId="198" priority="11" stopIfTrue="1">
      <formula>$G10=TODAY()</formula>
    </cfRule>
    <cfRule type="expression" dxfId="197" priority="12" stopIfTrue="1">
      <formula>$E10="CJ"</formula>
    </cfRule>
  </conditionalFormatting>
  <conditionalFormatting sqref="D10:AB41">
    <cfRule type="expression" dxfId="196" priority="2">
      <formula>$E10="M"</formula>
    </cfRule>
    <cfRule type="expression" dxfId="195" priority="6">
      <formula>IF(INDEX(planning_decoupe_abattage2,MATCH($G10,planning_decoupe_abattage2,1))=$G10,"vrai")</formula>
    </cfRule>
    <cfRule type="expression" dxfId="194" priority="17" stopIfTrue="1">
      <formula>$G10=TODAY()</formula>
    </cfRule>
    <cfRule type="expression" dxfId="193" priority="19" stopIfTrue="1">
      <formula>$E10="w"</formula>
    </cfRule>
    <cfRule type="expression" dxfId="192" priority="20">
      <formula>IF(INDEX(planning_decoupe_abattage2,MATCH($G10,planning_decoupe_abattage2,1))=$G10,"vrai")</formula>
    </cfRule>
    <cfRule type="expression" dxfId="191" priority="23" stopIfTrue="1">
      <formula>$E10="F"</formula>
    </cfRule>
  </conditionalFormatting>
  <conditionalFormatting sqref="K10:K41">
    <cfRule type="expression" dxfId="190" priority="5" stopIfTrue="1">
      <formula>$E10="F"</formula>
    </cfRule>
  </conditionalFormatting>
  <conditionalFormatting sqref="D10:L41">
    <cfRule type="expression" dxfId="189" priority="1">
      <formula>$E10="REPOS"</formula>
    </cfRule>
    <cfRule type="expression" dxfId="188" priority="3" stopIfTrue="1">
      <formula>$E10="CJ"</formula>
    </cfRule>
    <cfRule type="expression" dxfId="187" priority="4" stopIfTrue="1">
      <formula>$E10="w"</formula>
    </cfRule>
    <cfRule type="expression" dxfId="186" priority="32" stopIfTrue="1">
      <formula>$E10="CJ"</formula>
    </cfRule>
  </conditionalFormatting>
  <dataValidations count="1">
    <dataValidation type="list" allowBlank="1" showInputMessage="1" showErrorMessage="1" sqref="H10:K41" xr:uid="{DBB21223-CF7A-4F10-90C6-335B11D1A98C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93209-C5C3-4436-821F-B4B8C6FFC83C}">
  <sheetPr codeName="Sheet26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185" priority="28">
      <formula>IF(INDEX(planning_decoupe_abattage2,MATCH($G10,planning_decoupe_abattage2,1))=$G10,"vrai")</formula>
    </cfRule>
    <cfRule type="expression" dxfId="184" priority="29">
      <formula>$E10="REPOS"</formula>
    </cfRule>
    <cfRule type="expression" dxfId="183" priority="30">
      <formula>$E10="M"</formula>
    </cfRule>
    <cfRule type="expression" dxfId="182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81" priority="27" stopIfTrue="1">
      <formula>$L10&gt;="10:00"*1</formula>
    </cfRule>
  </conditionalFormatting>
  <conditionalFormatting sqref="N10:N40">
    <cfRule type="expression" dxfId="180" priority="25" stopIfTrue="1">
      <formula>$N10&lt;&gt;""</formula>
    </cfRule>
  </conditionalFormatting>
  <conditionalFormatting sqref="L10:L41">
    <cfRule type="expression" dxfId="179" priority="21" stopIfTrue="1">
      <formula>$E10="REPOS"</formula>
    </cfRule>
    <cfRule type="expression" dxfId="178" priority="22" stopIfTrue="1">
      <formula>$E10="M"</formula>
    </cfRule>
    <cfRule type="expression" dxfId="177" priority="24" stopIfTrue="1">
      <formula>$E10="CJ"</formula>
    </cfRule>
  </conditionalFormatting>
  <conditionalFormatting sqref="L10:O40">
    <cfRule type="expression" dxfId="176" priority="15">
      <formula>$E10="REPOS"</formula>
    </cfRule>
    <cfRule type="expression" dxfId="175" priority="16">
      <formula>$E10="M"</formula>
    </cfRule>
    <cfRule type="expression" dxfId="174" priority="18" stopIfTrue="1">
      <formula>$E10="CJ"</formula>
    </cfRule>
  </conditionalFormatting>
  <conditionalFormatting sqref="L10:O40">
    <cfRule type="expression" dxfId="173" priority="14">
      <formula>IF(INDEX(planning_decoupe_abattage2,MATCH($G10,planning_decoupe_abattage2,1))=$G10,"vrai")</formula>
    </cfRule>
  </conditionalFormatting>
  <conditionalFormatting sqref="N10:N40">
    <cfRule type="expression" dxfId="172" priority="13">
      <formula>$N10&lt;&gt;""</formula>
    </cfRule>
  </conditionalFormatting>
  <conditionalFormatting sqref="L10:L40">
    <cfRule type="expression" dxfId="171" priority="7" stopIfTrue="1">
      <formula>IF(INDEX(planning_decoupe_abattage2,MATCH($G10,planning_decoupe_abattage2,1))=$G10,"vrai")</formula>
    </cfRule>
    <cfRule type="expression" dxfId="170" priority="8" stopIfTrue="1">
      <formula>$E10="REPOS"</formula>
    </cfRule>
    <cfRule type="expression" dxfId="169" priority="9" stopIfTrue="1">
      <formula>$E10="w"</formula>
    </cfRule>
    <cfRule type="expression" dxfId="168" priority="10" stopIfTrue="1">
      <formula>$E10="F"</formula>
    </cfRule>
    <cfRule type="expression" dxfId="167" priority="11" stopIfTrue="1">
      <formula>$G10=TODAY()</formula>
    </cfRule>
    <cfRule type="expression" dxfId="166" priority="12" stopIfTrue="1">
      <formula>$E10="CJ"</formula>
    </cfRule>
  </conditionalFormatting>
  <conditionalFormatting sqref="D10:AB41">
    <cfRule type="expression" dxfId="165" priority="2">
      <formula>$E10="M"</formula>
    </cfRule>
    <cfRule type="expression" dxfId="164" priority="6">
      <formula>IF(INDEX(planning_decoupe_abattage2,MATCH($G10,planning_decoupe_abattage2,1))=$G10,"vrai")</formula>
    </cfRule>
    <cfRule type="expression" dxfId="163" priority="17" stopIfTrue="1">
      <formula>$G10=TODAY()</formula>
    </cfRule>
    <cfRule type="expression" dxfId="162" priority="19" stopIfTrue="1">
      <formula>$E10="w"</formula>
    </cfRule>
    <cfRule type="expression" dxfId="161" priority="20">
      <formula>IF(INDEX(planning_decoupe_abattage2,MATCH($G10,planning_decoupe_abattage2,1))=$G10,"vrai")</formula>
    </cfRule>
    <cfRule type="expression" dxfId="160" priority="23" stopIfTrue="1">
      <formula>$E10="F"</formula>
    </cfRule>
  </conditionalFormatting>
  <conditionalFormatting sqref="K10:K41">
    <cfRule type="expression" dxfId="159" priority="5" stopIfTrue="1">
      <formula>$E10="F"</formula>
    </cfRule>
  </conditionalFormatting>
  <conditionalFormatting sqref="D10:L41">
    <cfRule type="expression" dxfId="158" priority="1">
      <formula>$E10="REPOS"</formula>
    </cfRule>
    <cfRule type="expression" dxfId="157" priority="3" stopIfTrue="1">
      <formula>$E10="CJ"</formula>
    </cfRule>
    <cfRule type="expression" dxfId="156" priority="4" stopIfTrue="1">
      <formula>$E10="w"</formula>
    </cfRule>
    <cfRule type="expression" dxfId="155" priority="32" stopIfTrue="1">
      <formula>$E10="CJ"</formula>
    </cfRule>
  </conditionalFormatting>
  <dataValidations count="1">
    <dataValidation type="list" allowBlank="1" showInputMessage="1" showErrorMessage="1" sqref="H10:K41" xr:uid="{31CCBA67-D672-4378-8890-926A001F2049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80BFD-593F-4A3F-8F7E-891CF66E514B}">
  <sheetPr codeName="Sheet27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154" priority="28">
      <formula>IF(INDEX(planning_decoupe_abattage2,MATCH($G10,planning_decoupe_abattage2,1))=$G10,"vrai")</formula>
    </cfRule>
    <cfRule type="expression" dxfId="153" priority="29">
      <formula>$E10="REPOS"</formula>
    </cfRule>
    <cfRule type="expression" dxfId="152" priority="30">
      <formula>$E10="M"</formula>
    </cfRule>
    <cfRule type="expression" dxfId="151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50" priority="27" stopIfTrue="1">
      <formula>$L10&gt;="10:00"*1</formula>
    </cfRule>
  </conditionalFormatting>
  <conditionalFormatting sqref="N10:N40">
    <cfRule type="expression" dxfId="149" priority="25" stopIfTrue="1">
      <formula>$N10&lt;&gt;""</formula>
    </cfRule>
  </conditionalFormatting>
  <conditionalFormatting sqref="L10:L41">
    <cfRule type="expression" dxfId="148" priority="21" stopIfTrue="1">
      <formula>$E10="REPOS"</formula>
    </cfRule>
    <cfRule type="expression" dxfId="147" priority="22" stopIfTrue="1">
      <formula>$E10="M"</formula>
    </cfRule>
    <cfRule type="expression" dxfId="146" priority="24" stopIfTrue="1">
      <formula>$E10="CJ"</formula>
    </cfRule>
  </conditionalFormatting>
  <conditionalFormatting sqref="L10:O40">
    <cfRule type="expression" dxfId="145" priority="15">
      <formula>$E10="REPOS"</formula>
    </cfRule>
    <cfRule type="expression" dxfId="144" priority="16">
      <formula>$E10="M"</formula>
    </cfRule>
    <cfRule type="expression" dxfId="143" priority="18" stopIfTrue="1">
      <formula>$E10="CJ"</formula>
    </cfRule>
  </conditionalFormatting>
  <conditionalFormatting sqref="L10:O40">
    <cfRule type="expression" dxfId="142" priority="14">
      <formula>IF(INDEX(planning_decoupe_abattage2,MATCH($G10,planning_decoupe_abattage2,1))=$G10,"vrai")</formula>
    </cfRule>
  </conditionalFormatting>
  <conditionalFormatting sqref="N10:N40">
    <cfRule type="expression" dxfId="141" priority="13">
      <formula>$N10&lt;&gt;""</formula>
    </cfRule>
  </conditionalFormatting>
  <conditionalFormatting sqref="L10:L40">
    <cfRule type="expression" dxfId="140" priority="7" stopIfTrue="1">
      <formula>IF(INDEX(planning_decoupe_abattage2,MATCH($G10,planning_decoupe_abattage2,1))=$G10,"vrai")</formula>
    </cfRule>
    <cfRule type="expression" dxfId="139" priority="8" stopIfTrue="1">
      <formula>$E10="REPOS"</formula>
    </cfRule>
    <cfRule type="expression" dxfId="138" priority="9" stopIfTrue="1">
      <formula>$E10="w"</formula>
    </cfRule>
    <cfRule type="expression" dxfId="137" priority="10" stopIfTrue="1">
      <formula>$E10="F"</formula>
    </cfRule>
    <cfRule type="expression" dxfId="136" priority="11" stopIfTrue="1">
      <formula>$G10=TODAY()</formula>
    </cfRule>
    <cfRule type="expression" dxfId="135" priority="12" stopIfTrue="1">
      <formula>$E10="CJ"</formula>
    </cfRule>
  </conditionalFormatting>
  <conditionalFormatting sqref="D10:AB41">
    <cfRule type="expression" dxfId="134" priority="2">
      <formula>$E10="M"</formula>
    </cfRule>
    <cfRule type="expression" dxfId="133" priority="6">
      <formula>IF(INDEX(planning_decoupe_abattage2,MATCH($G10,planning_decoupe_abattage2,1))=$G10,"vrai")</formula>
    </cfRule>
    <cfRule type="expression" dxfId="132" priority="17" stopIfTrue="1">
      <formula>$G10=TODAY()</formula>
    </cfRule>
    <cfRule type="expression" dxfId="131" priority="19" stopIfTrue="1">
      <formula>$E10="w"</formula>
    </cfRule>
    <cfRule type="expression" dxfId="130" priority="20">
      <formula>IF(INDEX(planning_decoupe_abattage2,MATCH($G10,planning_decoupe_abattage2,1))=$G10,"vrai")</formula>
    </cfRule>
    <cfRule type="expression" dxfId="129" priority="23" stopIfTrue="1">
      <formula>$E10="F"</formula>
    </cfRule>
  </conditionalFormatting>
  <conditionalFormatting sqref="K10:K41">
    <cfRule type="expression" dxfId="128" priority="5" stopIfTrue="1">
      <formula>$E10="F"</formula>
    </cfRule>
  </conditionalFormatting>
  <conditionalFormatting sqref="D10:L41">
    <cfRule type="expression" dxfId="127" priority="1">
      <formula>$E10="REPOS"</formula>
    </cfRule>
    <cfRule type="expression" dxfId="126" priority="3" stopIfTrue="1">
      <formula>$E10="CJ"</formula>
    </cfRule>
    <cfRule type="expression" dxfId="125" priority="4" stopIfTrue="1">
      <formula>$E10="w"</formula>
    </cfRule>
    <cfRule type="expression" dxfId="124" priority="32" stopIfTrue="1">
      <formula>$E10="CJ"</formula>
    </cfRule>
  </conditionalFormatting>
  <dataValidations count="1">
    <dataValidation type="list" allowBlank="1" showInputMessage="1" showErrorMessage="1" sqref="H10:K41" xr:uid="{916EB5BA-6426-4E5D-9CC2-620E695E7787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6E01D-729C-498D-897C-5CC135EE5FA9}">
  <sheetPr codeName="Sheet28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123" priority="28">
      <formula>IF(INDEX(planning_decoupe_abattage2,MATCH($G10,planning_decoupe_abattage2,1))=$G10,"vrai")</formula>
    </cfRule>
    <cfRule type="expression" dxfId="122" priority="29">
      <formula>$E10="REPOS"</formula>
    </cfRule>
    <cfRule type="expression" dxfId="121" priority="30">
      <formula>$E10="M"</formula>
    </cfRule>
    <cfRule type="expression" dxfId="120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119" priority="27" stopIfTrue="1">
      <formula>$L10&gt;="10:00"*1</formula>
    </cfRule>
  </conditionalFormatting>
  <conditionalFormatting sqref="N10:N40">
    <cfRule type="expression" dxfId="118" priority="25" stopIfTrue="1">
      <formula>$N10&lt;&gt;""</formula>
    </cfRule>
  </conditionalFormatting>
  <conditionalFormatting sqref="L10:L41">
    <cfRule type="expression" dxfId="117" priority="21" stopIfTrue="1">
      <formula>$E10="REPOS"</formula>
    </cfRule>
    <cfRule type="expression" dxfId="116" priority="22" stopIfTrue="1">
      <formula>$E10="M"</formula>
    </cfRule>
    <cfRule type="expression" dxfId="115" priority="24" stopIfTrue="1">
      <formula>$E10="CJ"</formula>
    </cfRule>
  </conditionalFormatting>
  <conditionalFormatting sqref="L10:O40">
    <cfRule type="expression" dxfId="114" priority="15">
      <formula>$E10="REPOS"</formula>
    </cfRule>
    <cfRule type="expression" dxfId="113" priority="16">
      <formula>$E10="M"</formula>
    </cfRule>
    <cfRule type="expression" dxfId="112" priority="18" stopIfTrue="1">
      <formula>$E10="CJ"</formula>
    </cfRule>
  </conditionalFormatting>
  <conditionalFormatting sqref="L10:O40">
    <cfRule type="expression" dxfId="111" priority="14">
      <formula>IF(INDEX(planning_decoupe_abattage2,MATCH($G10,planning_decoupe_abattage2,1))=$G10,"vrai")</formula>
    </cfRule>
  </conditionalFormatting>
  <conditionalFormatting sqref="N10:N40">
    <cfRule type="expression" dxfId="110" priority="13">
      <formula>$N10&lt;&gt;""</formula>
    </cfRule>
  </conditionalFormatting>
  <conditionalFormatting sqref="L10:L40">
    <cfRule type="expression" dxfId="109" priority="7" stopIfTrue="1">
      <formula>IF(INDEX(planning_decoupe_abattage2,MATCH($G10,planning_decoupe_abattage2,1))=$G10,"vrai")</formula>
    </cfRule>
    <cfRule type="expression" dxfId="108" priority="8" stopIfTrue="1">
      <formula>$E10="REPOS"</formula>
    </cfRule>
    <cfRule type="expression" dxfId="107" priority="9" stopIfTrue="1">
      <formula>$E10="w"</formula>
    </cfRule>
    <cfRule type="expression" dxfId="106" priority="10" stopIfTrue="1">
      <formula>$E10="F"</formula>
    </cfRule>
    <cfRule type="expression" dxfId="105" priority="11" stopIfTrue="1">
      <formula>$G10=TODAY()</formula>
    </cfRule>
    <cfRule type="expression" dxfId="104" priority="12" stopIfTrue="1">
      <formula>$E10="CJ"</formula>
    </cfRule>
  </conditionalFormatting>
  <conditionalFormatting sqref="D10:AB41">
    <cfRule type="expression" dxfId="103" priority="2">
      <formula>$E10="M"</formula>
    </cfRule>
    <cfRule type="expression" dxfId="102" priority="6">
      <formula>IF(INDEX(planning_decoupe_abattage2,MATCH($G10,planning_decoupe_abattage2,1))=$G10,"vrai")</formula>
    </cfRule>
    <cfRule type="expression" dxfId="101" priority="17" stopIfTrue="1">
      <formula>$G10=TODAY()</formula>
    </cfRule>
    <cfRule type="expression" dxfId="100" priority="19" stopIfTrue="1">
      <formula>$E10="w"</formula>
    </cfRule>
    <cfRule type="expression" dxfId="99" priority="20">
      <formula>IF(INDEX(planning_decoupe_abattage2,MATCH($G10,planning_decoupe_abattage2,1))=$G10,"vrai")</formula>
    </cfRule>
    <cfRule type="expression" dxfId="98" priority="23" stopIfTrue="1">
      <formula>$E10="F"</formula>
    </cfRule>
  </conditionalFormatting>
  <conditionalFormatting sqref="K10:K41">
    <cfRule type="expression" dxfId="97" priority="5" stopIfTrue="1">
      <formula>$E10="F"</formula>
    </cfRule>
  </conditionalFormatting>
  <conditionalFormatting sqref="D10:L41">
    <cfRule type="expression" dxfId="96" priority="1">
      <formula>$E10="REPOS"</formula>
    </cfRule>
    <cfRule type="expression" dxfId="95" priority="3" stopIfTrue="1">
      <formula>$E10="CJ"</formula>
    </cfRule>
    <cfRule type="expression" dxfId="94" priority="4" stopIfTrue="1">
      <formula>$E10="w"</formula>
    </cfRule>
    <cfRule type="expression" dxfId="93" priority="32" stopIfTrue="1">
      <formula>$E10="CJ"</formula>
    </cfRule>
  </conditionalFormatting>
  <dataValidations count="1">
    <dataValidation type="list" allowBlank="1" showInputMessage="1" showErrorMessage="1" sqref="H10:K41" xr:uid="{80F59256-E239-42DA-A228-207DC199B6AF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B7DDB-AF85-42F6-A5D0-CD2C546AC16F}">
  <sheetPr codeName="Sheet29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92" priority="28">
      <formula>IF(INDEX(planning_decoupe_abattage2,MATCH($G10,planning_decoupe_abattage2,1))=$G10,"vrai")</formula>
    </cfRule>
    <cfRule type="expression" dxfId="91" priority="29">
      <formula>$E10="REPOS"</formula>
    </cfRule>
    <cfRule type="expression" dxfId="90" priority="30">
      <formula>$E10="M"</formula>
    </cfRule>
    <cfRule type="expression" dxfId="89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88" priority="27" stopIfTrue="1">
      <formula>$L10&gt;="10:00"*1</formula>
    </cfRule>
  </conditionalFormatting>
  <conditionalFormatting sqref="N10:N40">
    <cfRule type="expression" dxfId="87" priority="25" stopIfTrue="1">
      <formula>$N10&lt;&gt;""</formula>
    </cfRule>
  </conditionalFormatting>
  <conditionalFormatting sqref="L10:L41">
    <cfRule type="expression" dxfId="86" priority="21" stopIfTrue="1">
      <formula>$E10="REPOS"</formula>
    </cfRule>
    <cfRule type="expression" dxfId="85" priority="22" stopIfTrue="1">
      <formula>$E10="M"</formula>
    </cfRule>
    <cfRule type="expression" dxfId="84" priority="24" stopIfTrue="1">
      <formula>$E10="CJ"</formula>
    </cfRule>
  </conditionalFormatting>
  <conditionalFormatting sqref="L10:O40">
    <cfRule type="expression" dxfId="83" priority="15">
      <formula>$E10="REPOS"</formula>
    </cfRule>
    <cfRule type="expression" dxfId="82" priority="16">
      <formula>$E10="M"</formula>
    </cfRule>
    <cfRule type="expression" dxfId="81" priority="18" stopIfTrue="1">
      <formula>$E10="CJ"</formula>
    </cfRule>
  </conditionalFormatting>
  <conditionalFormatting sqref="L10:O40">
    <cfRule type="expression" dxfId="80" priority="14">
      <formula>IF(INDEX(planning_decoupe_abattage2,MATCH($G10,planning_decoupe_abattage2,1))=$G10,"vrai")</formula>
    </cfRule>
  </conditionalFormatting>
  <conditionalFormatting sqref="N10:N40">
    <cfRule type="expression" dxfId="79" priority="13">
      <formula>$N10&lt;&gt;""</formula>
    </cfRule>
  </conditionalFormatting>
  <conditionalFormatting sqref="L10:L40">
    <cfRule type="expression" dxfId="78" priority="7" stopIfTrue="1">
      <formula>IF(INDEX(planning_decoupe_abattage2,MATCH($G10,planning_decoupe_abattage2,1))=$G10,"vrai")</formula>
    </cfRule>
    <cfRule type="expression" dxfId="77" priority="8" stopIfTrue="1">
      <formula>$E10="REPOS"</formula>
    </cfRule>
    <cfRule type="expression" dxfId="76" priority="9" stopIfTrue="1">
      <formula>$E10="w"</formula>
    </cfRule>
    <cfRule type="expression" dxfId="75" priority="10" stopIfTrue="1">
      <formula>$E10="F"</formula>
    </cfRule>
    <cfRule type="expression" dxfId="74" priority="11" stopIfTrue="1">
      <formula>$G10=TODAY()</formula>
    </cfRule>
    <cfRule type="expression" dxfId="73" priority="12" stopIfTrue="1">
      <formula>$E10="CJ"</formula>
    </cfRule>
  </conditionalFormatting>
  <conditionalFormatting sqref="D10:AB41">
    <cfRule type="expression" dxfId="72" priority="2">
      <formula>$E10="M"</formula>
    </cfRule>
    <cfRule type="expression" dxfId="71" priority="6">
      <formula>IF(INDEX(planning_decoupe_abattage2,MATCH($G10,planning_decoupe_abattage2,1))=$G10,"vrai")</formula>
    </cfRule>
    <cfRule type="expression" dxfId="70" priority="17" stopIfTrue="1">
      <formula>$G10=TODAY()</formula>
    </cfRule>
    <cfRule type="expression" dxfId="69" priority="19" stopIfTrue="1">
      <formula>$E10="w"</formula>
    </cfRule>
    <cfRule type="expression" dxfId="68" priority="20">
      <formula>IF(INDEX(planning_decoupe_abattage2,MATCH($G10,planning_decoupe_abattage2,1))=$G10,"vrai")</formula>
    </cfRule>
    <cfRule type="expression" dxfId="67" priority="23" stopIfTrue="1">
      <formula>$E10="F"</formula>
    </cfRule>
  </conditionalFormatting>
  <conditionalFormatting sqref="K10:K41">
    <cfRule type="expression" dxfId="66" priority="5" stopIfTrue="1">
      <formula>$E10="F"</formula>
    </cfRule>
  </conditionalFormatting>
  <conditionalFormatting sqref="D10:L41">
    <cfRule type="expression" dxfId="65" priority="1">
      <formula>$E10="REPOS"</formula>
    </cfRule>
    <cfRule type="expression" dxfId="64" priority="3" stopIfTrue="1">
      <formula>$E10="CJ"</formula>
    </cfRule>
    <cfRule type="expression" dxfId="63" priority="4" stopIfTrue="1">
      <formula>$E10="w"</formula>
    </cfRule>
    <cfRule type="expression" dxfId="62" priority="32" stopIfTrue="1">
      <formula>$E10="CJ"</formula>
    </cfRule>
  </conditionalFormatting>
  <dataValidations count="1">
    <dataValidation type="list" allowBlank="1" showInputMessage="1" showErrorMessage="1" sqref="H10:K41" xr:uid="{1CE838AF-6204-4284-AD20-0FFA80ED0D08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50020-5E81-4308-8A6F-FED31493663C}">
  <sheetPr codeName="Sheet30"/>
  <dimension ref="A1:IY89"/>
  <sheetViews>
    <sheetView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61" priority="28">
      <formula>IF(INDEX(planning_decoupe_abattage2,MATCH($G10,planning_decoupe_abattage2,1))=$G10,"vrai")</formula>
    </cfRule>
    <cfRule type="expression" dxfId="60" priority="29">
      <formula>$E10="REPOS"</formula>
    </cfRule>
    <cfRule type="expression" dxfId="59" priority="30">
      <formula>$E10="M"</formula>
    </cfRule>
    <cfRule type="expression" dxfId="58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57" priority="27" stopIfTrue="1">
      <formula>$L10&gt;="10:00"*1</formula>
    </cfRule>
  </conditionalFormatting>
  <conditionalFormatting sqref="N10:N40">
    <cfRule type="expression" dxfId="56" priority="25" stopIfTrue="1">
      <formula>$N10&lt;&gt;""</formula>
    </cfRule>
  </conditionalFormatting>
  <conditionalFormatting sqref="L10:L41">
    <cfRule type="expression" dxfId="55" priority="21" stopIfTrue="1">
      <formula>$E10="REPOS"</formula>
    </cfRule>
    <cfRule type="expression" dxfId="54" priority="22" stopIfTrue="1">
      <formula>$E10="M"</formula>
    </cfRule>
    <cfRule type="expression" dxfId="53" priority="24" stopIfTrue="1">
      <formula>$E10="CJ"</formula>
    </cfRule>
  </conditionalFormatting>
  <conditionalFormatting sqref="L10:O40">
    <cfRule type="expression" dxfId="52" priority="15">
      <formula>$E10="REPOS"</formula>
    </cfRule>
    <cfRule type="expression" dxfId="51" priority="16">
      <formula>$E10="M"</formula>
    </cfRule>
    <cfRule type="expression" dxfId="50" priority="18" stopIfTrue="1">
      <formula>$E10="CJ"</formula>
    </cfRule>
  </conditionalFormatting>
  <conditionalFormatting sqref="L10:O40">
    <cfRule type="expression" dxfId="49" priority="14">
      <formula>IF(INDEX(planning_decoupe_abattage2,MATCH($G10,planning_decoupe_abattage2,1))=$G10,"vrai")</formula>
    </cfRule>
  </conditionalFormatting>
  <conditionalFormatting sqref="N10:N40">
    <cfRule type="expression" dxfId="48" priority="13">
      <formula>$N10&lt;&gt;""</formula>
    </cfRule>
  </conditionalFormatting>
  <conditionalFormatting sqref="L10:L40">
    <cfRule type="expression" dxfId="47" priority="7" stopIfTrue="1">
      <formula>IF(INDEX(planning_decoupe_abattage2,MATCH($G10,planning_decoupe_abattage2,1))=$G10,"vrai")</formula>
    </cfRule>
    <cfRule type="expression" dxfId="46" priority="8" stopIfTrue="1">
      <formula>$E10="REPOS"</formula>
    </cfRule>
    <cfRule type="expression" dxfId="45" priority="9" stopIfTrue="1">
      <formula>$E10="w"</formula>
    </cfRule>
    <cfRule type="expression" dxfId="44" priority="10" stopIfTrue="1">
      <formula>$E10="F"</formula>
    </cfRule>
    <cfRule type="expression" dxfId="43" priority="11" stopIfTrue="1">
      <formula>$G10=TODAY()</formula>
    </cfRule>
    <cfRule type="expression" dxfId="42" priority="12" stopIfTrue="1">
      <formula>$E10="CJ"</formula>
    </cfRule>
  </conditionalFormatting>
  <conditionalFormatting sqref="D10:AB41">
    <cfRule type="expression" dxfId="41" priority="2">
      <formula>$E10="M"</formula>
    </cfRule>
    <cfRule type="expression" dxfId="40" priority="6">
      <formula>IF(INDEX(planning_decoupe_abattage2,MATCH($G10,planning_decoupe_abattage2,1))=$G10,"vrai")</formula>
    </cfRule>
    <cfRule type="expression" dxfId="39" priority="17" stopIfTrue="1">
      <formula>$G10=TODAY()</formula>
    </cfRule>
    <cfRule type="expression" dxfId="38" priority="19" stopIfTrue="1">
      <formula>$E10="w"</formula>
    </cfRule>
    <cfRule type="expression" dxfId="37" priority="20">
      <formula>IF(INDEX(planning_decoupe_abattage2,MATCH($G10,planning_decoupe_abattage2,1))=$G10,"vrai")</formula>
    </cfRule>
    <cfRule type="expression" dxfId="36" priority="23" stopIfTrue="1">
      <formula>$E10="F"</formula>
    </cfRule>
  </conditionalFormatting>
  <conditionalFormatting sqref="K10:K41">
    <cfRule type="expression" dxfId="35" priority="5" stopIfTrue="1">
      <formula>$E10="F"</formula>
    </cfRule>
  </conditionalFormatting>
  <conditionalFormatting sqref="D10:L41">
    <cfRule type="expression" dxfId="34" priority="1">
      <formula>$E10="REPOS"</formula>
    </cfRule>
    <cfRule type="expression" dxfId="33" priority="3" stopIfTrue="1">
      <formula>$E10="CJ"</formula>
    </cfRule>
    <cfRule type="expression" dxfId="32" priority="4" stopIfTrue="1">
      <formula>$E10="w"</formula>
    </cfRule>
    <cfRule type="expression" dxfId="31" priority="32" stopIfTrue="1">
      <formula>$E10="CJ"</formula>
    </cfRule>
  </conditionalFormatting>
  <dataValidations count="1">
    <dataValidation type="list" allowBlank="1" showInputMessage="1" showErrorMessage="1" sqref="H10:K41" xr:uid="{F82C36A3-C414-44EB-946E-6F835BCA2BB6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DEF95-3696-4F86-AC3C-82547BC95ADD}">
  <sheetPr codeName="Sheet31"/>
  <dimension ref="A1:IY89"/>
  <sheetViews>
    <sheetView tabSelected="1" zoomScale="90" zoomScaleNormal="90" workbookViewId="0">
      <selection activeCell="B24" sqref="B24"/>
    </sheetView>
  </sheetViews>
  <sheetFormatPr baseColWidth="10" defaultColWidth="8.85546875" defaultRowHeight="0" customHeight="1" zeroHeight="1"/>
  <cols>
    <col min="1" max="3" width="11.5703125" style="70" customWidth="1"/>
    <col min="4" max="4" width="10.7109375" style="70" customWidth="1"/>
    <col min="5" max="5" width="8.85546875" style="70" customWidth="1"/>
    <col min="6" max="6" width="5.5703125" style="70" customWidth="1"/>
    <col min="7" max="7" width="12.85546875" style="70" customWidth="1"/>
    <col min="8" max="8" width="14.85546875" style="70" customWidth="1"/>
    <col min="9" max="9" width="11.5703125" style="70" customWidth="1"/>
    <col min="10" max="11" width="13.42578125" style="70" customWidth="1"/>
    <col min="12" max="12" width="11.5703125" style="70" customWidth="1"/>
    <col min="13" max="13" width="17.42578125" style="70" customWidth="1"/>
    <col min="14" max="14" width="19.5703125" style="70" customWidth="1"/>
    <col min="15" max="15" width="11.5703125" style="70" customWidth="1"/>
    <col min="16" max="16" width="10" style="70" customWidth="1"/>
    <col min="17" max="17" width="34" style="70" customWidth="1"/>
    <col min="18" max="18" width="28.5703125" style="70" customWidth="1"/>
    <col min="19" max="19" width="28.140625" style="70" customWidth="1"/>
    <col min="20" max="20" width="26.140625" style="70" customWidth="1"/>
    <col min="21" max="21" width="41.42578125" style="70" customWidth="1"/>
    <col min="22" max="26" width="11.5703125" style="70" customWidth="1"/>
    <col min="27" max="27" width="31.5703125" style="70" customWidth="1"/>
    <col min="28" max="28" width="23.140625" style="70" customWidth="1"/>
    <col min="29" max="29" width="24" style="70" customWidth="1"/>
    <col min="30" max="32" width="11.5703125" style="70" customWidth="1"/>
    <col min="33" max="33" width="8.85546875" style="70" customWidth="1"/>
    <col min="34" max="259" width="8.85546875" style="70"/>
    <col min="260" max="16384" width="8.85546875" style="146"/>
  </cols>
  <sheetData>
    <row r="1" spans="1:33" ht="15.75" thickBot="1">
      <c r="B1" s="151"/>
      <c r="C1" s="151"/>
      <c r="D1" s="62"/>
    </row>
    <row r="2" spans="1:33" ht="15.75" thickBot="1">
      <c r="D2" s="62"/>
      <c r="R2" s="38" t="s">
        <v>105</v>
      </c>
      <c r="S2" s="53">
        <f>INDEX(Données!K7:K18,MATCH($R$2,Données!$L$7:$L$18,0))</f>
        <v>8</v>
      </c>
    </row>
    <row r="3" spans="1:33" ht="15">
      <c r="D3" s="62"/>
    </row>
    <row r="4" spans="1:33" ht="15">
      <c r="D4" s="62"/>
      <c r="H4" s="61"/>
      <c r="I4" s="61"/>
      <c r="J4" s="63"/>
      <c r="L4" s="141"/>
      <c r="M4" s="141"/>
      <c r="R4" s="2"/>
      <c r="S4" s="122"/>
    </row>
    <row r="5" spans="1:33" ht="15">
      <c r="D5" s="62"/>
      <c r="L5" s="141"/>
    </row>
    <row r="6" spans="1:33" ht="15.75" thickBot="1">
      <c r="D6" s="62"/>
      <c r="G6" s="288"/>
      <c r="AG6" s="1"/>
    </row>
    <row r="7" spans="1:33" ht="15.75" thickBot="1">
      <c r="D7" s="62"/>
      <c r="H7" s="303" t="s">
        <v>86</v>
      </c>
      <c r="I7" s="304"/>
      <c r="J7" s="304"/>
      <c r="K7" s="304"/>
      <c r="L7" s="304"/>
      <c r="M7" s="304"/>
      <c r="N7" s="304"/>
      <c r="O7" s="304"/>
      <c r="P7" s="305"/>
      <c r="R7" s="2"/>
      <c r="AG7" s="1"/>
    </row>
    <row r="8" spans="1:33" ht="16.5" thickBot="1">
      <c r="D8" s="62"/>
      <c r="E8" s="40" t="s">
        <v>8</v>
      </c>
      <c r="F8" s="41"/>
      <c r="H8" s="291" t="s">
        <v>125</v>
      </c>
      <c r="I8" s="292"/>
      <c r="J8" s="293" t="s">
        <v>126</v>
      </c>
      <c r="K8" s="291"/>
      <c r="L8" s="254"/>
      <c r="M8" s="255"/>
      <c r="N8" s="255"/>
      <c r="O8" s="255"/>
      <c r="P8" s="256"/>
      <c r="Q8" s="135"/>
      <c r="R8" s="1"/>
      <c r="AF8" s="1"/>
    </row>
    <row r="9" spans="1:33" ht="17.25" thickTop="1" thickBot="1">
      <c r="A9" s="155" t="s">
        <v>122</v>
      </c>
      <c r="B9" s="155" t="s">
        <v>120</v>
      </c>
      <c r="C9" s="155" t="s">
        <v>121</v>
      </c>
      <c r="D9" s="64"/>
      <c r="E9" s="138"/>
      <c r="F9" s="41"/>
      <c r="G9" s="42" t="s">
        <v>87</v>
      </c>
      <c r="H9" s="244" t="s">
        <v>127</v>
      </c>
      <c r="I9" s="245" t="s">
        <v>128</v>
      </c>
      <c r="J9" s="244" t="s">
        <v>127</v>
      </c>
      <c r="K9" s="245" t="s">
        <v>128</v>
      </c>
      <c r="L9" s="43" t="s">
        <v>88</v>
      </c>
      <c r="M9" s="43" t="s">
        <v>114</v>
      </c>
      <c r="N9" s="43" t="s">
        <v>89</v>
      </c>
      <c r="O9" s="44" t="s">
        <v>90</v>
      </c>
      <c r="P9" s="45" t="s">
        <v>91</v>
      </c>
      <c r="Q9" s="294" t="s">
        <v>92</v>
      </c>
      <c r="R9" s="295"/>
      <c r="S9" s="295"/>
      <c r="T9" s="295"/>
      <c r="U9" s="295"/>
      <c r="V9" s="295"/>
      <c r="W9" s="295"/>
      <c r="X9" s="295"/>
      <c r="Y9" s="295"/>
      <c r="Z9" s="295"/>
      <c r="AA9" s="295"/>
      <c r="AB9" s="165" t="s">
        <v>119</v>
      </c>
    </row>
    <row r="10" spans="1:33" ht="15" customHeight="1" thickTop="1" thickBot="1">
      <c r="A10" s="155">
        <f>_xlfn.ISOWEEKNUM(D11)</f>
        <v>31</v>
      </c>
      <c r="B10" s="155">
        <f>IFERROR(SMALL($N$10:$N$40,ROW(N10)-ROW($N$10)+1)*24,"")</f>
        <v>0</v>
      </c>
      <c r="C10" s="155">
        <f>IF(A10="","",SUMIFS($F$10:$F$40,$P$10:$P$40,IF($E$10&lt;&gt;"W",WEEKNUM($D$10,1),WEEKNUM($D$10,2))-(1-$A10),D$10:D$40,"&lt;&gt;"&amp;TRAVAILPRLESRETRAITEE))</f>
        <v>0</v>
      </c>
      <c r="D10" s="258">
        <f>DATEVALUE("01 " &amp;R2 &amp; " " &amp;Var_an)</f>
        <v>46966</v>
      </c>
      <c r="E10" s="138" t="str">
        <f t="array" ref="E10">IF($G10&lt;&gt;"",IF(COUNTIF(REPOS_jour,$G10)=1,"REPOS",IF(INDEX(JOURS_FERIE,MATCH($G10,JOURS_FERIE,1))=$G10,F,IF(AND(SUM((Debut_Congés&lt;=$G10)*($G10&lt;=FIN_Congés))=1,TEXT($G10,"jjj")&lt;&gt;"sam",TEXT($G10,"jjj")&lt;&gt;"dim"),CJ,IF(AND(SUM((D.MALADIE&lt;=$G10)*($G10&lt;=F.MALADIE))=1,TEXT($G10,"jjj")&lt;&gt;"sam",TEXT($G10,"jjj")&lt;&gt;"dim"),M,VLOOKUP(TEXT($G10,"jjj"),Jour_QUESTION,3))))),"")</f>
        <v>T</v>
      </c>
      <c r="F10" s="139">
        <f>IF(OR(D10="",E10=W),"",IF(WEEKDAY(D11,2)=5,7,8))</f>
        <v>8</v>
      </c>
      <c r="G10" s="140">
        <f>HLOOKUP($R$2,'CALENDRIER PERPETUEL'!$B$3:$M$34,ROW('CALENDRIER PERPETUEL'!C2),FALSE)</f>
        <v>46966</v>
      </c>
      <c r="H10" s="54"/>
      <c r="I10" s="54" t="str">
        <f t="shared" ref="I10:I41" si="0">IF(E10="T","12:00","")</f>
        <v>12:00</v>
      </c>
      <c r="J10" s="147" t="str">
        <f t="shared" ref="J10:J41" si="1">IF(E10="T","14:00","")</f>
        <v>14:00</v>
      </c>
      <c r="K10" s="54"/>
      <c r="L10" s="47" t="str">
        <f t="shared" ref="L10:L40" si="2">IF(IF(AND(OR(E10="t",$G10=TRAVAILPRLESRETRAITEE),OR(H10="",K10="")),IF(H10="",0,I10-H10)+IF(K10="",0,K10-J10),"")=0,"",IF(AND(OR(E10="t",$G10=TRAVAILPRLESRETRAITEE),OR(H10&lt;&gt;"",K10&lt;&gt;"")),IF(H10="",0,I10-H10)+IF(K10="",0,K10-J10),""))</f>
        <v/>
      </c>
      <c r="M10" s="143" t="str">
        <f t="shared" ref="M10:M40" ca="1" si="3">IF(AND(E10="f",TODAY()&gt;=D10),F,IF(L10="","",L10*24))</f>
        <v/>
      </c>
      <c r="N10" s="162" t="str">
        <f>IF($E10="","",IF(OR((VLOOKUP((TEXT($D10,"jjj")),Données!$A$8:$E$14,5)="v"),AND(G11="",E10&lt;&gt;"",OR(E10="T",E10="CJ",E10="F",E10="M"))),SUMIFS($L$10:$L$40,$P$10:$P$40,$P10),""))</f>
        <v/>
      </c>
      <c r="O10" s="55" t="str">
        <f t="shared" ref="O10:O18" si="4">IF(IF(OR($E10&lt;&gt;"T",$L10="",$L10&gt;F10),"",IF(ROUND(M10,3)-F10=0,"",L10-TIME(F10,,)))&lt;=0,"",IF(OR($E10&lt;&gt;"T",$L10="",$L10&gt;F10),"",IF(ROUND(M10,3)-F10=0,"",L10-TIME(F10,,))))</f>
        <v/>
      </c>
      <c r="P10" s="56">
        <f>_xlfn.ISOWEEKNUM(D10)</f>
        <v>31</v>
      </c>
      <c r="Q10" s="289"/>
      <c r="R10" s="290"/>
      <c r="S10" s="290"/>
      <c r="T10" s="290"/>
      <c r="U10" s="290"/>
      <c r="V10" s="290"/>
      <c r="W10" s="290"/>
      <c r="X10" s="290"/>
      <c r="Y10" s="290"/>
      <c r="Z10" s="290"/>
      <c r="AA10" s="290"/>
      <c r="AB10" s="152" t="str">
        <f t="shared" ref="AB10:AB40" si="5">IF(OR(E10&lt;&gt;"t",AND(K10="",H10=""),IF(H10&lt;TIME(6,0,),TIME(6,0,)-H10,0)+IF(K10&gt;TIME(21,0,),K10-TIME(21,0,),0)=0),"",IF(H10&lt;TIME(6,0,),TIME(6,0,)-H10,0)+IF(K10&gt;TIME(21,0,),K10-TIME(21,0,),0))</f>
        <v/>
      </c>
    </row>
    <row r="11" spans="1:33" ht="15" customHeight="1" thickTop="1" thickBot="1">
      <c r="A11" s="155">
        <f>A10+1</f>
        <v>32</v>
      </c>
      <c r="B11" s="155">
        <f>IFERROR(SMALL($N$10:$N$40,ROW(N11)-ROW($N$10)+1)*24,"")</f>
        <v>0</v>
      </c>
      <c r="C11" s="155">
        <f>IF(A11="","",SUMIFS($F$10:$F$40,$P$10:$P$40,IF($E$10&lt;&gt;"W",WEEKNUM($D$10,1),WEEKNUM($D$10,2))-(1-$A11),D$10:D$40,"&lt;&gt;"&amp;TRAVAILPRLESRETRAITEE))</f>
        <v>0</v>
      </c>
      <c r="D11" s="258">
        <f>HLOOKUP($R$2,'CALENDRIER PERPETUEL'!$B$3:$M$34,ROW('CALENDRIER PERPETUEL'!C3),FALSE)</f>
        <v>46967</v>
      </c>
      <c r="E11" s="138" t="str">
        <f t="array" ref="E11">IF($G11&lt;&gt;"",IF(COUNTIF(REPOS_jour,$G11)=1,"REPOS",IF(INDEX(JOURS_FERIE,MATCH($G11,JOURS_FERIE,1))=$G11,F,IF(AND(SUM((Debut_Congés&lt;=$G11)*($G11&lt;=FIN_Congés))=1,TEXT($G11,"jjj")&lt;&gt;"sam",TEXT($G11,"jjj")&lt;&gt;"dim"),CJ,IF(AND(SUM((D.MALADIE&lt;=$G11)*($G11&lt;=F.MALADIE))=1,TEXT($G11,"jjj")&lt;&gt;"sam",TEXT($G11,"jjj")&lt;&gt;"dim"),M,VLOOKUP(TEXT($G11,"jjj"),Jour_QUESTION,3))))),"")</f>
        <v>T</v>
      </c>
      <c r="F11" s="156">
        <f>IF(D11="","",IF(E11=W,"",IF(WEEKDAY(D11,2)=5,7,8)))</f>
        <v>8</v>
      </c>
      <c r="G11" s="140">
        <f>HLOOKUP($R$2,'CALENDRIER PERPETUEL'!$B$3:$M$34,ROW('CALENDRIER PERPETUEL'!C3),FALSE)</f>
        <v>46967</v>
      </c>
      <c r="H11" s="54"/>
      <c r="I11" s="54" t="str">
        <f t="shared" si="0"/>
        <v>12:00</v>
      </c>
      <c r="J11" s="147" t="str">
        <f t="shared" si="1"/>
        <v>14:00</v>
      </c>
      <c r="K11" s="54"/>
      <c r="L11" s="47" t="str">
        <f t="shared" si="2"/>
        <v/>
      </c>
      <c r="M11" s="143" t="str">
        <f t="shared" ca="1" si="3"/>
        <v/>
      </c>
      <c r="N11" s="162" t="str">
        <f>IF($E11="","",IF(OR((VLOOKUP((TEXT($D11,"jjj")),Données!$A$8:$E$14,5)="v"),AND(G12="",E11&lt;&gt;"",OR(E11="T",E11="CJ",E11="F",E11="M"))),SUMIFS($L$10:$L$40,$P$10:$P$40,$P11),""))</f>
        <v/>
      </c>
      <c r="O11" s="55" t="str">
        <f t="shared" si="4"/>
        <v/>
      </c>
      <c r="P11" s="56">
        <f t="shared" ref="P11:P40" si="6">_xlfn.ISOWEEKNUM(D11)</f>
        <v>31</v>
      </c>
      <c r="Q11" s="289"/>
      <c r="R11" s="290"/>
      <c r="S11" s="290"/>
      <c r="T11" s="290"/>
      <c r="U11" s="290"/>
      <c r="V11" s="290"/>
      <c r="W11" s="290"/>
      <c r="X11" s="290"/>
      <c r="Y11" s="290"/>
      <c r="Z11" s="290"/>
      <c r="AA11" s="290"/>
      <c r="AB11" s="152" t="str">
        <f t="shared" si="5"/>
        <v/>
      </c>
    </row>
    <row r="12" spans="1:33" ht="16.5" thickTop="1" thickBot="1">
      <c r="A12" s="155">
        <f>A11+1</f>
        <v>33</v>
      </c>
      <c r="B12" s="155">
        <f>IFERROR(SMALL($N$10:$N$40,ROW(N12)-ROW($N$10)+1)*24,"")</f>
        <v>0</v>
      </c>
      <c r="C12" s="155">
        <f>IF(A12="","",SUMIFS($F$10:$F$40,$P$10:$P$40,IF($E$10&lt;&gt;"W",WEEKNUM($D$10,1),WEEKNUM($D$10,2))-(1-$A12),D$10:D$40,"&lt;&gt;"&amp;TRAVAILPRLESRETRAITEE))</f>
        <v>0</v>
      </c>
      <c r="D12" s="258">
        <f>HLOOKUP($R$2,'CALENDRIER PERPETUEL'!$B$3:$M$34,ROW('CALENDRIER PERPETUEL'!C4),FALSE)</f>
        <v>46968</v>
      </c>
      <c r="E12" s="138" t="str">
        <f t="array" ref="E12">IF($G12&lt;&gt;"",IF(COUNTIF(REPOS_jour,$G12)=1,"REPOS",IF(INDEX(JOURS_FERIE,MATCH($G12,JOURS_FERIE,1))=$G12,F,IF(AND(SUM((Debut_Congés&lt;=$G12)*($G12&lt;=FIN_Congés))=1,TEXT($G12,"jjj")&lt;&gt;"sam",TEXT($G12,"jjj")&lt;&gt;"dim"),CJ,IF(AND(SUM((D.MALADIE&lt;=$G12)*($G12&lt;=F.MALADIE))=1,TEXT($G12,"jjj")&lt;&gt;"sam",TEXT($G12,"jjj")&lt;&gt;"dim"),M,VLOOKUP(TEXT($G12,"jjj"),Jour_QUESTION,3))))),"")</f>
        <v>T</v>
      </c>
      <c r="F12" s="156">
        <f t="shared" ref="F12:F40" si="7">IF(D12="","",IF(E12=W,"",IF(TEXT(D12,"[$-40C]jjj")="ven.",7,8)))</f>
        <v>8</v>
      </c>
      <c r="G12" s="140">
        <f>HLOOKUP($R$2,'CALENDRIER PERPETUEL'!$B$3:$M$34,ROW('CALENDRIER PERPETUEL'!C4),FALSE)</f>
        <v>46968</v>
      </c>
      <c r="H12" s="54"/>
      <c r="I12" s="54" t="str">
        <f t="shared" si="0"/>
        <v>12:00</v>
      </c>
      <c r="J12" s="147" t="str">
        <f t="shared" si="1"/>
        <v>14:00</v>
      </c>
      <c r="K12" s="54"/>
      <c r="L12" s="47" t="str">
        <f t="shared" si="2"/>
        <v/>
      </c>
      <c r="M12" s="143" t="str">
        <f t="shared" ca="1" si="3"/>
        <v/>
      </c>
      <c r="N12" s="162" t="str">
        <f>IF($E12="","",IF(OR((VLOOKUP((TEXT($D12,"jjj")),Données!$A$8:$E$14,5)="v"),AND(G13="",E12&lt;&gt;"",OR(E12="T",E12="CJ",E12="F",E12="M"))),SUMIFS($L$10:$L$40,$P$10:$P$40,$P12),""))</f>
        <v/>
      </c>
      <c r="O12" s="55" t="str">
        <f t="shared" si="4"/>
        <v/>
      </c>
      <c r="P12" s="56">
        <f t="shared" si="6"/>
        <v>31</v>
      </c>
      <c r="Q12" s="289"/>
      <c r="R12" s="290"/>
      <c r="S12" s="290"/>
      <c r="T12" s="290"/>
      <c r="U12" s="290"/>
      <c r="V12" s="290"/>
      <c r="W12" s="290"/>
      <c r="X12" s="290"/>
      <c r="Y12" s="290"/>
      <c r="Z12" s="290"/>
      <c r="AA12" s="290"/>
      <c r="AB12" s="152" t="str">
        <f t="shared" si="5"/>
        <v/>
      </c>
    </row>
    <row r="13" spans="1:33" ht="16.5" thickTop="1" thickBot="1">
      <c r="A13" s="155">
        <f>A12+1</f>
        <v>34</v>
      </c>
      <c r="B13" s="155">
        <f>IFERROR(SMALL($N$10:$N$40,ROW(N13)-ROW($N$10)+1)*24,"")</f>
        <v>0</v>
      </c>
      <c r="C13" s="155">
        <f>IF(A13="","",SUMIFS($F$10:$F$40,$P$10:$P$40,IF($E$10&lt;&gt;"W",WEEKNUM($D$10,1),WEEKNUM($D$10,2))-(1-$A13),D$10:D$40,"&lt;&gt;"&amp;TRAVAILPRLESRETRAITEE))</f>
        <v>0</v>
      </c>
      <c r="D13" s="258">
        <f>HLOOKUP($R$2,'CALENDRIER PERPETUEL'!$B$3:$M$34,ROW('CALENDRIER PERPETUEL'!C5),FALSE)</f>
        <v>46969</v>
      </c>
      <c r="E13" s="138" t="str">
        <f t="array" ref="E13">IF($G13&lt;&gt;"",IF(COUNTIF(REPOS_jour,$G13)=1,"REPOS",IF(INDEX(JOURS_FERIE,MATCH($G13,JOURS_FERIE,1))=$G13,F,IF(AND(SUM((Debut_Congés&lt;=$G13)*($G13&lt;=FIN_Congés))=1,TEXT($G13,"jjj")&lt;&gt;"sam",TEXT($G13,"jjj")&lt;&gt;"dim"),CJ,IF(AND(SUM((D.MALADIE&lt;=$G13)*($G13&lt;=F.MALADIE))=1,TEXT($G13,"jjj")&lt;&gt;"sam",TEXT($G13,"jjj")&lt;&gt;"dim"),M,VLOOKUP(TEXT($G13,"jjj"),Jour_QUESTION,3))))),"")</f>
        <v>T</v>
      </c>
      <c r="F13" s="156">
        <f t="shared" si="7"/>
        <v>7</v>
      </c>
      <c r="G13" s="140">
        <f>HLOOKUP($R$2,'CALENDRIER PERPETUEL'!$B$3:$M$34,ROW('CALENDRIER PERPETUEL'!C5),FALSE)</f>
        <v>46969</v>
      </c>
      <c r="H13" s="54"/>
      <c r="I13" s="54" t="str">
        <f t="shared" si="0"/>
        <v>12:00</v>
      </c>
      <c r="J13" s="147" t="str">
        <f t="shared" si="1"/>
        <v>14:00</v>
      </c>
      <c r="K13" s="54"/>
      <c r="L13" s="47" t="str">
        <f t="shared" si="2"/>
        <v/>
      </c>
      <c r="M13" s="143" t="str">
        <f t="shared" ca="1" si="3"/>
        <v/>
      </c>
      <c r="N13" s="162">
        <f>IF($E13="","",IF(OR((VLOOKUP((TEXT($D13,"jjj")),Données!$A$8:$E$14,5)="v"),AND(G14="",E13&lt;&gt;"",OR(E13="T",E13="CJ",E13="F",E13="M"))),SUMIFS($L$10:$L$40,$P$10:$P$40,$P13),""))</f>
        <v>0</v>
      </c>
      <c r="O13" s="55" t="str">
        <f t="shared" si="4"/>
        <v/>
      </c>
      <c r="P13" s="56">
        <f t="shared" si="6"/>
        <v>31</v>
      </c>
      <c r="Q13" s="289"/>
      <c r="R13" s="290"/>
      <c r="S13" s="290"/>
      <c r="T13" s="290"/>
      <c r="U13" s="290"/>
      <c r="V13" s="290"/>
      <c r="W13" s="290"/>
      <c r="X13" s="290"/>
      <c r="Y13" s="290"/>
      <c r="Z13" s="290"/>
      <c r="AA13" s="290"/>
      <c r="AB13" s="152" t="str">
        <f t="shared" si="5"/>
        <v/>
      </c>
    </row>
    <row r="14" spans="1:33" ht="16.5" thickTop="1" thickBot="1">
      <c r="A14" s="275">
        <f>IF(A13+1&gt;_xlfn.ISOWEEKNUM(EOMONTH(D10,0)),"",A13+1)</f>
        <v>35</v>
      </c>
      <c r="B14" s="155">
        <f>IFERROR(SMALL($N$10:$N$40,ROW(N14)-ROW($N$10)+1)*24,"")</f>
        <v>0</v>
      </c>
      <c r="C14" s="155">
        <f>IF(A14="","",SUMIFS($F$10:$F$40,$P$10:$P$40,IF($E$10&lt;&gt;"W",WEEKNUM($D$10,1),WEEKNUM($D$10,2))-(1-$A14),D$10:D$40,"&lt;&gt;"&amp;TRAVAILPRLESRETRAITEE))</f>
        <v>0</v>
      </c>
      <c r="D14" s="258">
        <f>HLOOKUP($R$2,'CALENDRIER PERPETUEL'!$B$3:$M$34,ROW('CALENDRIER PERPETUEL'!C6),FALSE)</f>
        <v>46970</v>
      </c>
      <c r="E14" s="138" t="str">
        <f t="array" ref="E14">IF($G14&lt;&gt;"",IF(COUNTIF(REPOS_jour,$G14)=1,"REPOS",IF(INDEX(JOURS_FERIE,MATCH($G14,JOURS_FERIE,1))=$G14,F,IF(AND(SUM((Debut_Congés&lt;=$G14)*($G14&lt;=FIN_Congés))=1,TEXT($G14,"jjj")&lt;&gt;"sam",TEXT($G14,"jjj")&lt;&gt;"dim"),CJ,IF(AND(SUM((D.MALADIE&lt;=$G14)*($G14&lt;=F.MALADIE))=1,TEXT($G14,"jjj")&lt;&gt;"sam",TEXT($G14,"jjj")&lt;&gt;"dim"),M,VLOOKUP(TEXT($G14,"jjj"),Jour_QUESTION,3))))),"")</f>
        <v>W</v>
      </c>
      <c r="F14" s="156" t="str">
        <f t="shared" si="7"/>
        <v/>
      </c>
      <c r="G14" s="140">
        <f>HLOOKUP($R$2,'CALENDRIER PERPETUEL'!$B$3:$M$34,ROW('CALENDRIER PERPETUEL'!C6),FALSE)</f>
        <v>46970</v>
      </c>
      <c r="H14" s="54"/>
      <c r="I14" s="54" t="str">
        <f t="shared" si="0"/>
        <v/>
      </c>
      <c r="J14" s="147" t="str">
        <f t="shared" si="1"/>
        <v/>
      </c>
      <c r="K14" s="54"/>
      <c r="L14" s="47" t="str">
        <f t="shared" si="2"/>
        <v/>
      </c>
      <c r="M14" s="143" t="str">
        <f t="shared" ca="1" si="3"/>
        <v/>
      </c>
      <c r="N14" s="162" t="str">
        <f>IF($E14="","",IF(OR((VLOOKUP((TEXT($D14,"jjj")),Données!$A$8:$E$14,5)="v"),AND(G15="",E14&lt;&gt;"",OR(E14="T",E14="CJ",E14="F",E14="M"))),SUMIFS($L$10:$L$40,$P$10:$P$40,$P14),""))</f>
        <v/>
      </c>
      <c r="O14" s="55" t="str">
        <f t="shared" si="4"/>
        <v/>
      </c>
      <c r="P14" s="56">
        <f t="shared" si="6"/>
        <v>31</v>
      </c>
      <c r="Q14" s="289"/>
      <c r="R14" s="290"/>
      <c r="S14" s="290"/>
      <c r="T14" s="290"/>
      <c r="U14" s="290"/>
      <c r="V14" s="290"/>
      <c r="W14" s="290"/>
      <c r="X14" s="290"/>
      <c r="Y14" s="290"/>
      <c r="Z14" s="290"/>
      <c r="AA14" s="290"/>
      <c r="AB14" s="152" t="str">
        <f t="shared" si="5"/>
        <v/>
      </c>
    </row>
    <row r="15" spans="1:33" ht="15.75" thickTop="1">
      <c r="D15" s="46">
        <f>HLOOKUP($R$2,'CALENDRIER PERPETUEL'!$B$3:$M$34,ROW('CALENDRIER PERPETUEL'!C7),FALSE)</f>
        <v>46971</v>
      </c>
      <c r="E15" s="138" t="str">
        <f t="array" ref="E15">IF($G15&lt;&gt;"",IF(COUNTIF(REPOS_jour,$G15)=1,"REPOS",IF(INDEX(JOURS_FERIE,MATCH($G15,JOURS_FERIE,1))=$G15,F,IF(AND(SUM((Debut_Congés&lt;=$G15)*($G15&lt;=FIN_Congés))=1,TEXT($G15,"jjj")&lt;&gt;"sam",TEXT($G15,"jjj")&lt;&gt;"dim"),CJ,IF(AND(SUM((D.MALADIE&lt;=$G15)*($G15&lt;=F.MALADIE))=1,TEXT($G15,"jjj")&lt;&gt;"sam",TEXT($G15,"jjj")&lt;&gt;"dim"),M,VLOOKUP(TEXT($G15,"jjj"),Jour_QUESTION,3))))),"")</f>
        <v>W</v>
      </c>
      <c r="F15" s="156" t="str">
        <f t="shared" si="7"/>
        <v/>
      </c>
      <c r="G15" s="140">
        <f>HLOOKUP($R$2,'CALENDRIER PERPETUEL'!$B$3:$M$34,ROW('CALENDRIER PERPETUEL'!C7),FALSE)</f>
        <v>46971</v>
      </c>
      <c r="H15" s="54"/>
      <c r="I15" s="54" t="str">
        <f t="shared" si="0"/>
        <v/>
      </c>
      <c r="J15" s="147" t="str">
        <f t="shared" si="1"/>
        <v/>
      </c>
      <c r="K15" s="54"/>
      <c r="L15" s="47" t="str">
        <f t="shared" si="2"/>
        <v/>
      </c>
      <c r="M15" s="143" t="str">
        <f t="shared" ca="1" si="3"/>
        <v/>
      </c>
      <c r="N15" s="162" t="str">
        <f>IF($E15="","",IF(OR((VLOOKUP((TEXT($D15,"jjj")),Données!$A$8:$E$14,5)="v"),AND(G16="",E15&lt;&gt;"",OR(E15="T",E15="CJ",E15="F",E15="M"))),SUMIFS($L$10:$L$40,$P$10:$P$40,$P15),""))</f>
        <v/>
      </c>
      <c r="O15" s="55" t="str">
        <f t="shared" si="4"/>
        <v/>
      </c>
      <c r="P15" s="56">
        <f t="shared" si="6"/>
        <v>31</v>
      </c>
      <c r="Q15" s="289"/>
      <c r="R15" s="290"/>
      <c r="S15" s="290"/>
      <c r="T15" s="290"/>
      <c r="U15" s="290"/>
      <c r="V15" s="290"/>
      <c r="W15" s="290"/>
      <c r="X15" s="290"/>
      <c r="Y15" s="290"/>
      <c r="Z15" s="290"/>
      <c r="AA15" s="290"/>
      <c r="AB15" s="152" t="str">
        <f t="shared" si="5"/>
        <v/>
      </c>
    </row>
    <row r="16" spans="1:33" ht="15">
      <c r="D16" s="46">
        <f>HLOOKUP($R$2,'CALENDRIER PERPETUEL'!$B$3:$M$34,ROW('CALENDRIER PERPETUEL'!C8),FALSE)</f>
        <v>46972</v>
      </c>
      <c r="E16" s="138" t="str">
        <f t="array" ref="E16">IF($G16&lt;&gt;"",IF(COUNTIF(REPOS_jour,$G16)=1,"REPOS",IF(INDEX(JOURS_FERIE,MATCH($G16,JOURS_FERIE,1))=$G16,F,IF(AND(SUM((Debut_Congés&lt;=$G16)*($G16&lt;=FIN_Congés))=1,TEXT($G16,"jjj")&lt;&gt;"sam",TEXT($G16,"jjj")&lt;&gt;"dim"),CJ,IF(AND(SUM((D.MALADIE&lt;=$G16)*($G16&lt;=F.MALADIE))=1,TEXT($G16,"jjj")&lt;&gt;"sam",TEXT($G16,"jjj")&lt;&gt;"dim"),M,VLOOKUP(TEXT($G16,"jjj"),Jour_QUESTION,3))))),"")</f>
        <v>T</v>
      </c>
      <c r="F16" s="156">
        <f t="shared" si="7"/>
        <v>8</v>
      </c>
      <c r="G16" s="140">
        <f>HLOOKUP($R$2,'CALENDRIER PERPETUEL'!$B$3:$M$34,ROW('CALENDRIER PERPETUEL'!C8),FALSE)</f>
        <v>46972</v>
      </c>
      <c r="H16" s="54"/>
      <c r="I16" s="54" t="str">
        <f t="shared" si="0"/>
        <v>12:00</v>
      </c>
      <c r="J16" s="147" t="str">
        <f t="shared" si="1"/>
        <v>14:00</v>
      </c>
      <c r="K16" s="54"/>
      <c r="L16" s="47" t="str">
        <f t="shared" si="2"/>
        <v/>
      </c>
      <c r="M16" s="143" t="str">
        <f t="shared" ca="1" si="3"/>
        <v/>
      </c>
      <c r="N16" s="162" t="str">
        <f>IF($E16="","",IF(OR((VLOOKUP((TEXT($D16,"jjj")),Données!$A$8:$E$14,5)="v"),AND(G17="",E16&lt;&gt;"",OR(E16="T",E16="CJ",E16="F",E16="M"))),SUMIFS($L$10:$L$40,$P$10:$P$40,$P16),""))</f>
        <v/>
      </c>
      <c r="O16" s="55" t="str">
        <f t="shared" si="4"/>
        <v/>
      </c>
      <c r="P16" s="56">
        <f t="shared" si="6"/>
        <v>32</v>
      </c>
      <c r="Q16" s="289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152" t="str">
        <f t="shared" si="5"/>
        <v/>
      </c>
    </row>
    <row r="17" spans="4:28" ht="15">
      <c r="D17" s="46">
        <f>HLOOKUP($R$2,'CALENDRIER PERPETUEL'!$B$3:$M$34,ROW('CALENDRIER PERPETUEL'!C9),FALSE)</f>
        <v>46973</v>
      </c>
      <c r="E17" s="138" t="str">
        <f t="array" ref="E17">IF($G17&lt;&gt;"",IF(COUNTIF(REPOS_jour,$G17)=1,"REPOS",IF(INDEX(JOURS_FERIE,MATCH($G17,JOURS_FERIE,1))=$G17,F,IF(AND(SUM((Debut_Congés&lt;=$G17)*($G17&lt;=FIN_Congés))=1,TEXT($G17,"jjj")&lt;&gt;"sam",TEXT($G17,"jjj")&lt;&gt;"dim"),CJ,IF(AND(SUM((D.MALADIE&lt;=$G17)*($G17&lt;=F.MALADIE))=1,TEXT($G17,"jjj")&lt;&gt;"sam",TEXT($G17,"jjj")&lt;&gt;"dim"),M,VLOOKUP(TEXT($G17,"jjj"),Jour_QUESTION,3))))),"")</f>
        <v>T</v>
      </c>
      <c r="F17" s="156">
        <f t="shared" si="7"/>
        <v>8</v>
      </c>
      <c r="G17" s="140">
        <f>HLOOKUP($R$2,'CALENDRIER PERPETUEL'!$B$3:$M$34,ROW('CALENDRIER PERPETUEL'!C9),FALSE)</f>
        <v>46973</v>
      </c>
      <c r="H17" s="54"/>
      <c r="I17" s="54" t="str">
        <f t="shared" si="0"/>
        <v>12:00</v>
      </c>
      <c r="J17" s="147" t="str">
        <f t="shared" si="1"/>
        <v>14:00</v>
      </c>
      <c r="K17" s="54"/>
      <c r="L17" s="47" t="str">
        <f t="shared" si="2"/>
        <v/>
      </c>
      <c r="M17" s="143" t="str">
        <f t="shared" ca="1" si="3"/>
        <v/>
      </c>
      <c r="N17" s="162" t="str">
        <f>IF($E17="","",IF(OR((VLOOKUP((TEXT($D17,"jjj")),Données!$A$8:$E$14,5)="v"),AND(G18="",E17&lt;&gt;"",OR(E17="T",E17="CJ",E17="F",E17="M"))),SUMIFS($L$10:$L$40,$P$10:$P$40,$P17),""))</f>
        <v/>
      </c>
      <c r="O17" s="55" t="str">
        <f t="shared" si="4"/>
        <v/>
      </c>
      <c r="P17" s="56">
        <f t="shared" si="6"/>
        <v>32</v>
      </c>
      <c r="Q17" s="289"/>
      <c r="R17" s="290"/>
      <c r="S17" s="290"/>
      <c r="T17" s="290"/>
      <c r="U17" s="290"/>
      <c r="V17" s="290"/>
      <c r="W17" s="290"/>
      <c r="X17" s="290"/>
      <c r="Y17" s="290"/>
      <c r="Z17" s="290"/>
      <c r="AA17" s="290"/>
      <c r="AB17" s="152" t="str">
        <f t="shared" si="5"/>
        <v/>
      </c>
    </row>
    <row r="18" spans="4:28" ht="15">
      <c r="D18" s="46">
        <f>HLOOKUP($R$2,'CALENDRIER PERPETUEL'!$B$3:$M$34,ROW('CALENDRIER PERPETUEL'!C10),FALSE)</f>
        <v>46974</v>
      </c>
      <c r="E18" s="138" t="str">
        <f t="array" ref="E18">IF($G18&lt;&gt;"",IF(COUNTIF(REPOS_jour,$G18)=1,"REPOS",IF(INDEX(JOURS_FERIE,MATCH($G18,JOURS_FERIE,1))=$G18,F,IF(AND(SUM((Debut_Congés&lt;=$G18)*($G18&lt;=FIN_Congés))=1,TEXT($G18,"jjj")&lt;&gt;"sam",TEXT($G18,"jjj")&lt;&gt;"dim"),CJ,IF(AND(SUM((D.MALADIE&lt;=$G18)*($G18&lt;=F.MALADIE))=1,TEXT($G18,"jjj")&lt;&gt;"sam",TEXT($G18,"jjj")&lt;&gt;"dim"),M,VLOOKUP(TEXT($G18,"jjj"),Jour_QUESTION,3))))),"")</f>
        <v>T</v>
      </c>
      <c r="F18" s="156">
        <f t="shared" si="7"/>
        <v>8</v>
      </c>
      <c r="G18" s="140">
        <f>HLOOKUP($R$2,'CALENDRIER PERPETUEL'!$B$3:$M$34,ROW('CALENDRIER PERPETUEL'!C10),FALSE)</f>
        <v>46974</v>
      </c>
      <c r="H18" s="54"/>
      <c r="I18" s="54" t="str">
        <f t="shared" si="0"/>
        <v>12:00</v>
      </c>
      <c r="J18" s="147" t="str">
        <f t="shared" si="1"/>
        <v>14:00</v>
      </c>
      <c r="K18" s="54"/>
      <c r="L18" s="47" t="str">
        <f t="shared" si="2"/>
        <v/>
      </c>
      <c r="M18" s="143" t="str">
        <f t="shared" ca="1" si="3"/>
        <v/>
      </c>
      <c r="N18" s="162" t="str">
        <f>IF($E18="","",IF(OR((VLOOKUP((TEXT($D18,"jjj")),Données!$A$8:$E$14,5)="v"),AND(G19="",E18&lt;&gt;"",OR(E18="T",E18="CJ",E18="F",E18="M"))),SUMIFS($L$10:$L$40,$P$10:$P$40,$P18),""))</f>
        <v/>
      </c>
      <c r="O18" s="55" t="str">
        <f t="shared" si="4"/>
        <v/>
      </c>
      <c r="P18" s="56">
        <f t="shared" si="6"/>
        <v>32</v>
      </c>
      <c r="Q18" s="289"/>
      <c r="R18" s="290"/>
      <c r="S18" s="290"/>
      <c r="T18" s="290"/>
      <c r="U18" s="290"/>
      <c r="V18" s="290"/>
      <c r="W18" s="290"/>
      <c r="X18" s="290"/>
      <c r="Y18" s="290"/>
      <c r="Z18" s="290"/>
      <c r="AA18" s="290"/>
      <c r="AB18" s="152" t="str">
        <f t="shared" si="5"/>
        <v/>
      </c>
    </row>
    <row r="19" spans="4:28" ht="15">
      <c r="D19" s="46">
        <f>HLOOKUP($R$2,'CALENDRIER PERPETUEL'!$B$3:$M$34,ROW('CALENDRIER PERPETUEL'!C11),FALSE)</f>
        <v>46975</v>
      </c>
      <c r="E19" s="138" t="str">
        <f t="array" ref="E19">IF($G19&lt;&gt;"",IF(COUNTIF(REPOS_jour,$G19)=1,"REPOS",IF(INDEX(JOURS_FERIE,MATCH($G19,JOURS_FERIE,1))=$G19,F,IF(AND(SUM((Debut_Congés&lt;=$G19)*($G19&lt;=FIN_Congés))=1,TEXT($G19,"jjj")&lt;&gt;"sam",TEXT($G19,"jjj")&lt;&gt;"dim"),CJ,IF(AND(SUM((D.MALADIE&lt;=$G19)*($G19&lt;=F.MALADIE))=1,TEXT($G19,"jjj")&lt;&gt;"sam",TEXT($G19,"jjj")&lt;&gt;"dim"),M,VLOOKUP(TEXT($G19,"jjj"),Jour_QUESTION,3))))),"")</f>
        <v>T</v>
      </c>
      <c r="F19" s="156">
        <f t="shared" si="7"/>
        <v>8</v>
      </c>
      <c r="G19" s="140">
        <f>HLOOKUP($R$2,'CALENDRIER PERPETUEL'!$B$3:$M$34,ROW('CALENDRIER PERPETUEL'!C11),FALSE)</f>
        <v>46975</v>
      </c>
      <c r="H19" s="54"/>
      <c r="I19" s="54" t="str">
        <f t="shared" si="0"/>
        <v>12:00</v>
      </c>
      <c r="J19" s="147" t="str">
        <f t="shared" si="1"/>
        <v>14:00</v>
      </c>
      <c r="K19" s="54"/>
      <c r="L19" s="47" t="str">
        <f t="shared" si="2"/>
        <v/>
      </c>
      <c r="M19" s="143" t="str">
        <f t="shared" ca="1" si="3"/>
        <v/>
      </c>
      <c r="N19" s="162" t="str">
        <f>IF($E19="","",IF(OR((VLOOKUP((TEXT($D19,"jjj")),Données!$A$8:$E$14,5)="v"),AND(G20="",E19&lt;&gt;"",OR(E19="T",E19="CJ",E19="F",E19="M"))),SUMIFS($L$10:$L$40,$P$10:$P$40,$P19),""))</f>
        <v/>
      </c>
      <c r="O19" s="55" t="str">
        <f t="shared" ref="O19:O40" si="8">IF(OR($E19&lt;&gt;"T",$L19="",$L19&gt;F19),"",IF(ROUND(M19,3)-F19=0,"",L19-TIME(F19,,)))</f>
        <v/>
      </c>
      <c r="P19" s="56">
        <f t="shared" si="6"/>
        <v>32</v>
      </c>
      <c r="Q19" s="289"/>
      <c r="R19" s="290"/>
      <c r="S19" s="290"/>
      <c r="T19" s="290"/>
      <c r="U19" s="290"/>
      <c r="V19" s="290"/>
      <c r="W19" s="290"/>
      <c r="X19" s="290"/>
      <c r="Y19" s="290"/>
      <c r="Z19" s="290"/>
      <c r="AA19" s="290"/>
      <c r="AB19" s="152" t="str">
        <f t="shared" si="5"/>
        <v/>
      </c>
    </row>
    <row r="20" spans="4:28" ht="15">
      <c r="D20" s="46">
        <f>HLOOKUP($R$2,'CALENDRIER PERPETUEL'!$B$3:$M$34,ROW('CALENDRIER PERPETUEL'!C12),FALSE)</f>
        <v>46976</v>
      </c>
      <c r="E20" s="138" t="str">
        <f t="array" ref="E20">IF($G20&lt;&gt;"",IF(COUNTIF(REPOS_jour,$G20)=1,"REPOS",IF(INDEX(JOURS_FERIE,MATCH($G20,JOURS_FERIE,1))=$G20,F,IF(AND(SUM((Debut_Congés&lt;=$G20)*($G20&lt;=FIN_Congés))=1,TEXT($G20,"jjj")&lt;&gt;"sam",TEXT($G20,"jjj")&lt;&gt;"dim"),CJ,IF(AND(SUM((D.MALADIE&lt;=$G20)*($G20&lt;=F.MALADIE))=1,TEXT($G20,"jjj")&lt;&gt;"sam",TEXT($G20,"jjj")&lt;&gt;"dim"),M,VLOOKUP(TEXT($G20,"jjj"),Jour_QUESTION,3))))),"")</f>
        <v>T</v>
      </c>
      <c r="F20" s="156">
        <f t="shared" si="7"/>
        <v>7</v>
      </c>
      <c r="G20" s="140">
        <f>HLOOKUP($R$2,'CALENDRIER PERPETUEL'!$B$3:$M$34,ROW('CALENDRIER PERPETUEL'!C12),FALSE)</f>
        <v>46976</v>
      </c>
      <c r="H20" s="54"/>
      <c r="I20" s="54" t="str">
        <f t="shared" si="0"/>
        <v>12:00</v>
      </c>
      <c r="J20" s="147" t="str">
        <f t="shared" si="1"/>
        <v>14:00</v>
      </c>
      <c r="K20" s="54"/>
      <c r="L20" s="47" t="str">
        <f t="shared" si="2"/>
        <v/>
      </c>
      <c r="M20" s="143" t="str">
        <f t="shared" ca="1" si="3"/>
        <v/>
      </c>
      <c r="N20" s="162">
        <f>IF($E20="","",IF(OR((VLOOKUP((TEXT($D20,"jjj")),Données!$A$8:$E$14,5)="v"),AND(G21="",E20&lt;&gt;"",OR(E20="T",E20="CJ",E20="F",E20="M"))),SUMIFS($L$10:$L$40,$P$10:$P$40,$P20),""))</f>
        <v>0</v>
      </c>
      <c r="O20" s="55" t="str">
        <f t="shared" si="8"/>
        <v/>
      </c>
      <c r="P20" s="56">
        <f t="shared" si="6"/>
        <v>32</v>
      </c>
      <c r="Q20" s="289"/>
      <c r="R20" s="290"/>
      <c r="S20" s="290"/>
      <c r="T20" s="290"/>
      <c r="U20" s="290"/>
      <c r="V20" s="290"/>
      <c r="W20" s="290"/>
      <c r="X20" s="290"/>
      <c r="Y20" s="290"/>
      <c r="Z20" s="290"/>
      <c r="AA20" s="290"/>
      <c r="AB20" s="152" t="str">
        <f t="shared" si="5"/>
        <v/>
      </c>
    </row>
    <row r="21" spans="4:28" ht="15">
      <c r="D21" s="46">
        <f>HLOOKUP($R$2,'CALENDRIER PERPETUEL'!$B$3:$M$34,ROW('CALENDRIER PERPETUEL'!C13),FALSE)</f>
        <v>46977</v>
      </c>
      <c r="E21" s="138" t="str">
        <f t="array" ref="E21">IF($G21&lt;&gt;"",IF(COUNTIF(REPOS_jour,$G21)=1,"REPOS",IF(INDEX(JOURS_FERIE,MATCH($G21,JOURS_FERIE,1))=$G21,F,IF(AND(SUM((Debut_Congés&lt;=$G21)*($G21&lt;=FIN_Congés))=1,TEXT($G21,"jjj")&lt;&gt;"sam",TEXT($G21,"jjj")&lt;&gt;"dim"),CJ,IF(AND(SUM((D.MALADIE&lt;=$G21)*($G21&lt;=F.MALADIE))=1,TEXT($G21,"jjj")&lt;&gt;"sam",TEXT($G21,"jjj")&lt;&gt;"dim"),M,VLOOKUP(TEXT($G21,"jjj"),Jour_QUESTION,3))))),"")</f>
        <v>W</v>
      </c>
      <c r="F21" s="156" t="str">
        <f t="shared" si="7"/>
        <v/>
      </c>
      <c r="G21" s="140">
        <f>HLOOKUP($R$2,'CALENDRIER PERPETUEL'!$B$3:$M$34,ROW('CALENDRIER PERPETUEL'!C13),FALSE)</f>
        <v>46977</v>
      </c>
      <c r="H21" s="54"/>
      <c r="I21" s="54" t="str">
        <f t="shared" si="0"/>
        <v/>
      </c>
      <c r="J21" s="147" t="str">
        <f t="shared" si="1"/>
        <v/>
      </c>
      <c r="K21" s="54"/>
      <c r="L21" s="47" t="str">
        <f t="shared" si="2"/>
        <v/>
      </c>
      <c r="M21" s="143" t="str">
        <f t="shared" ca="1" si="3"/>
        <v/>
      </c>
      <c r="N21" s="162" t="str">
        <f>IF($E21="","",IF(OR((VLOOKUP((TEXT($D21,"jjj")),Données!$A$8:$E$14,5)="v"),AND(G22="",E21&lt;&gt;"",OR(E21="T",E21="CJ",E21="F",E21="M"))),SUMIFS($L$10:$L$40,$P$10:$P$40,$P21),""))</f>
        <v/>
      </c>
      <c r="O21" s="55" t="str">
        <f t="shared" si="8"/>
        <v/>
      </c>
      <c r="P21" s="56">
        <f t="shared" si="6"/>
        <v>32</v>
      </c>
      <c r="Q21" s="289"/>
      <c r="R21" s="290"/>
      <c r="S21" s="290"/>
      <c r="T21" s="290"/>
      <c r="U21" s="290"/>
      <c r="V21" s="290"/>
      <c r="W21" s="290"/>
      <c r="X21" s="290"/>
      <c r="Y21" s="290"/>
      <c r="Z21" s="290"/>
      <c r="AA21" s="290"/>
      <c r="AB21" s="152" t="str">
        <f t="shared" si="5"/>
        <v/>
      </c>
    </row>
    <row r="22" spans="4:28" ht="15">
      <c r="D22" s="46">
        <f>HLOOKUP($R$2,'CALENDRIER PERPETUEL'!$B$3:$M$34,ROW('CALENDRIER PERPETUEL'!C14),FALSE)</f>
        <v>46978</v>
      </c>
      <c r="E22" s="138" t="str">
        <f t="array" ref="E22">IF($G22&lt;&gt;"",IF(COUNTIF(REPOS_jour,$G22)=1,"REPOS",IF(INDEX(JOURS_FERIE,MATCH($G22,JOURS_FERIE,1))=$G22,F,IF(AND(SUM((Debut_Congés&lt;=$G22)*($G22&lt;=FIN_Congés))=1,TEXT($G22,"jjj")&lt;&gt;"sam",TEXT($G22,"jjj")&lt;&gt;"dim"),CJ,IF(AND(SUM((D.MALADIE&lt;=$G22)*($G22&lt;=F.MALADIE))=1,TEXT($G22,"jjj")&lt;&gt;"sam",TEXT($G22,"jjj")&lt;&gt;"dim"),M,VLOOKUP(TEXT($G22,"jjj"),Jour_QUESTION,3))))),"")</f>
        <v>W</v>
      </c>
      <c r="F22" s="156" t="str">
        <f t="shared" si="7"/>
        <v/>
      </c>
      <c r="G22" s="140">
        <f>HLOOKUP($R$2,'CALENDRIER PERPETUEL'!$B$3:$M$34,ROW('CALENDRIER PERPETUEL'!C14),FALSE)</f>
        <v>46978</v>
      </c>
      <c r="H22" s="54"/>
      <c r="I22" s="54" t="str">
        <f t="shared" si="0"/>
        <v/>
      </c>
      <c r="J22" s="147" t="str">
        <f t="shared" si="1"/>
        <v/>
      </c>
      <c r="K22" s="54"/>
      <c r="L22" s="47" t="str">
        <f t="shared" si="2"/>
        <v/>
      </c>
      <c r="M22" s="143" t="str">
        <f t="shared" ca="1" si="3"/>
        <v/>
      </c>
      <c r="N22" s="162" t="str">
        <f>IF($E22="","",IF(OR((VLOOKUP((TEXT($D22,"jjj")),Données!$A$8:$E$14,5)="v"),AND(G23="",E22&lt;&gt;"",OR(E22="T",E22="CJ",E22="F",E22="M"))),SUMIFS($L$10:$L$40,$P$10:$P$40,$P22),""))</f>
        <v/>
      </c>
      <c r="O22" s="55" t="str">
        <f t="shared" si="8"/>
        <v/>
      </c>
      <c r="P22" s="56">
        <f t="shared" si="6"/>
        <v>32</v>
      </c>
      <c r="Q22" s="289"/>
      <c r="R22" s="290"/>
      <c r="S22" s="290"/>
      <c r="T22" s="290"/>
      <c r="U22" s="290"/>
      <c r="V22" s="290"/>
      <c r="W22" s="290"/>
      <c r="X22" s="290"/>
      <c r="Y22" s="290"/>
      <c r="Z22" s="290"/>
      <c r="AA22" s="290"/>
      <c r="AB22" s="152" t="str">
        <f t="shared" si="5"/>
        <v/>
      </c>
    </row>
    <row r="23" spans="4:28" ht="15">
      <c r="D23" s="46">
        <f>HLOOKUP($R$2,'CALENDRIER PERPETUEL'!$B$3:$M$34,ROW('CALENDRIER PERPETUEL'!C15),FALSE)</f>
        <v>46979</v>
      </c>
      <c r="E23" s="138" t="str">
        <f t="array" ref="E23">IF($G23&lt;&gt;"",IF(COUNTIF(REPOS_jour,$G23)=1,"REPOS",IF(INDEX(JOURS_FERIE,MATCH($G23,JOURS_FERIE,1))=$G23,F,IF(AND(SUM((Debut_Congés&lt;=$G23)*($G23&lt;=FIN_Congés))=1,TEXT($G23,"jjj")&lt;&gt;"sam",TEXT($G23,"jjj")&lt;&gt;"dim"),CJ,IF(AND(SUM((D.MALADIE&lt;=$G23)*($G23&lt;=F.MALADIE))=1,TEXT($G23,"jjj")&lt;&gt;"sam",TEXT($G23,"jjj")&lt;&gt;"dim"),M,VLOOKUP(TEXT($G23,"jjj"),Jour_QUESTION,3))))),"")</f>
        <v>T</v>
      </c>
      <c r="F23" s="156">
        <f t="shared" si="7"/>
        <v>8</v>
      </c>
      <c r="G23" s="140">
        <f>HLOOKUP($R$2,'CALENDRIER PERPETUEL'!$B$3:$M$34,ROW('CALENDRIER PERPETUEL'!C15),FALSE)</f>
        <v>46979</v>
      </c>
      <c r="H23" s="54"/>
      <c r="I23" s="54" t="str">
        <f t="shared" si="0"/>
        <v>12:00</v>
      </c>
      <c r="J23" s="147" t="str">
        <f t="shared" si="1"/>
        <v>14:00</v>
      </c>
      <c r="K23" s="54"/>
      <c r="L23" s="47" t="str">
        <f t="shared" si="2"/>
        <v/>
      </c>
      <c r="M23" s="143" t="str">
        <f t="shared" ca="1" si="3"/>
        <v/>
      </c>
      <c r="N23" s="162" t="str">
        <f>IF($E23="","",IF(OR((VLOOKUP((TEXT($D23,"jjj")),Données!$A$8:$E$14,5)="v"),AND(G24="",E23&lt;&gt;"",OR(E23="T",E23="CJ",E23="F",E23="M"))),SUMIFS($L$10:$L$40,$P$10:$P$40,$P23),""))</f>
        <v/>
      </c>
      <c r="O23" s="55" t="str">
        <f t="shared" si="8"/>
        <v/>
      </c>
      <c r="P23" s="56">
        <f t="shared" si="6"/>
        <v>33</v>
      </c>
      <c r="Q23" s="289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152" t="str">
        <f t="shared" si="5"/>
        <v/>
      </c>
    </row>
    <row r="24" spans="4:28" ht="15">
      <c r="D24" s="46">
        <f>HLOOKUP($R$2,'CALENDRIER PERPETUEL'!$B$3:$M$34,ROW('CALENDRIER PERPETUEL'!C16),FALSE)</f>
        <v>46980</v>
      </c>
      <c r="E24" s="138" t="str">
        <f t="array" ref="E24">IF($G24&lt;&gt;"",IF(COUNTIF(REPOS_jour,$G24)=1,"REPOS",IF(INDEX(JOURS_FERIE,MATCH($G24,JOURS_FERIE,1))=$G24,F,IF(AND(SUM((Debut_Congés&lt;=$G24)*($G24&lt;=FIN_Congés))=1,TEXT($G24,"jjj")&lt;&gt;"sam",TEXT($G24,"jjj")&lt;&gt;"dim"),CJ,IF(AND(SUM((D.MALADIE&lt;=$G24)*($G24&lt;=F.MALADIE))=1,TEXT($G24,"jjj")&lt;&gt;"sam",TEXT($G24,"jjj")&lt;&gt;"dim"),M,VLOOKUP(TEXT($G24,"jjj"),Jour_QUESTION,3))))),"")</f>
        <v>F</v>
      </c>
      <c r="F24" s="156">
        <f t="shared" si="7"/>
        <v>8</v>
      </c>
      <c r="G24" s="140">
        <f>HLOOKUP($R$2,'CALENDRIER PERPETUEL'!$B$3:$M$34,ROW('CALENDRIER PERPETUEL'!C16),FALSE)</f>
        <v>46980</v>
      </c>
      <c r="H24" s="54"/>
      <c r="I24" s="54" t="str">
        <f t="shared" si="0"/>
        <v/>
      </c>
      <c r="J24" s="147" t="str">
        <f t="shared" si="1"/>
        <v/>
      </c>
      <c r="K24" s="54"/>
      <c r="L24" s="47" t="str">
        <f t="shared" si="2"/>
        <v/>
      </c>
      <c r="M24" s="143" t="str">
        <f t="shared" ca="1" si="3"/>
        <v/>
      </c>
      <c r="N24" s="162" t="str">
        <f>IF($E24="","",IF(OR((VLOOKUP((TEXT($D24,"jjj")),Données!$A$8:$E$14,5)="v"),AND(G25="",E24&lt;&gt;"",OR(E24="T",E24="CJ",E24="F",E24="M"))),SUMIFS($L$10:$L$40,$P$10:$P$40,$P24),""))</f>
        <v/>
      </c>
      <c r="O24" s="55" t="str">
        <f t="shared" si="8"/>
        <v/>
      </c>
      <c r="P24" s="56">
        <f t="shared" si="6"/>
        <v>33</v>
      </c>
      <c r="Q24" s="289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152" t="str">
        <f t="shared" si="5"/>
        <v/>
      </c>
    </row>
    <row r="25" spans="4:28" ht="15">
      <c r="D25" s="46">
        <f>HLOOKUP($R$2,'CALENDRIER PERPETUEL'!$B$3:$M$34,ROW('CALENDRIER PERPETUEL'!C17),FALSE)</f>
        <v>46981</v>
      </c>
      <c r="E25" s="138" t="str">
        <f t="array" ref="E25">IF($G25&lt;&gt;"",IF(COUNTIF(REPOS_jour,$G25)=1,"REPOS",IF(INDEX(JOURS_FERIE,MATCH($G25,JOURS_FERIE,1))=$G25,F,IF(AND(SUM((Debut_Congés&lt;=$G25)*($G25&lt;=FIN_Congés))=1,TEXT($G25,"jjj")&lt;&gt;"sam",TEXT($G25,"jjj")&lt;&gt;"dim"),CJ,IF(AND(SUM((D.MALADIE&lt;=$G25)*($G25&lt;=F.MALADIE))=1,TEXT($G25,"jjj")&lt;&gt;"sam",TEXT($G25,"jjj")&lt;&gt;"dim"),M,VLOOKUP(TEXT($G25,"jjj"),Jour_QUESTION,3))))),"")</f>
        <v>T</v>
      </c>
      <c r="F25" s="156">
        <f t="shared" si="7"/>
        <v>8</v>
      </c>
      <c r="G25" s="140">
        <f>HLOOKUP($R$2,'CALENDRIER PERPETUEL'!$B$3:$M$34,ROW('CALENDRIER PERPETUEL'!C17),FALSE)</f>
        <v>46981</v>
      </c>
      <c r="H25" s="54"/>
      <c r="I25" s="54" t="str">
        <f t="shared" si="0"/>
        <v>12:00</v>
      </c>
      <c r="J25" s="147" t="str">
        <f t="shared" si="1"/>
        <v>14:00</v>
      </c>
      <c r="K25" s="54"/>
      <c r="L25" s="47" t="str">
        <f t="shared" si="2"/>
        <v/>
      </c>
      <c r="M25" s="143" t="str">
        <f t="shared" ca="1" si="3"/>
        <v/>
      </c>
      <c r="N25" s="162" t="str">
        <f>IF($E25="","",IF(OR((VLOOKUP((TEXT($D25,"jjj")),Données!$A$8:$E$14,5)="v"),AND(G26="",E25&lt;&gt;"",OR(E25="T",E25="CJ",E25="F",E25="M"))),SUMIFS($L$10:$L$40,$P$10:$P$40,$P25),""))</f>
        <v/>
      </c>
      <c r="O25" s="55" t="str">
        <f t="shared" si="8"/>
        <v/>
      </c>
      <c r="P25" s="56">
        <f t="shared" si="6"/>
        <v>33</v>
      </c>
      <c r="Q25" s="289"/>
      <c r="R25" s="290"/>
      <c r="S25" s="290"/>
      <c r="T25" s="290"/>
      <c r="U25" s="290"/>
      <c r="V25" s="290"/>
      <c r="W25" s="290"/>
      <c r="X25" s="290"/>
      <c r="Y25" s="290"/>
      <c r="Z25" s="290"/>
      <c r="AA25" s="290"/>
      <c r="AB25" s="152" t="str">
        <f t="shared" si="5"/>
        <v/>
      </c>
    </row>
    <row r="26" spans="4:28" ht="15">
      <c r="D26" s="46">
        <f>HLOOKUP($R$2,'CALENDRIER PERPETUEL'!$B$3:$M$34,ROW('CALENDRIER PERPETUEL'!C18),FALSE)</f>
        <v>46982</v>
      </c>
      <c r="E26" s="138" t="str">
        <f t="array" ref="E26">IF($G26&lt;&gt;"",IF(COUNTIF(REPOS_jour,$G26)=1,"REPOS",IF(INDEX(JOURS_FERIE,MATCH($G26,JOURS_FERIE,1))=$G26,F,IF(AND(SUM((Debut_Congés&lt;=$G26)*($G26&lt;=FIN_Congés))=1,TEXT($G26,"jjj")&lt;&gt;"sam",TEXT($G26,"jjj")&lt;&gt;"dim"),CJ,IF(AND(SUM((D.MALADIE&lt;=$G26)*($G26&lt;=F.MALADIE))=1,TEXT($G26,"jjj")&lt;&gt;"sam",TEXT($G26,"jjj")&lt;&gt;"dim"),M,VLOOKUP(TEXT($G26,"jjj"),Jour_QUESTION,3))))),"")</f>
        <v>T</v>
      </c>
      <c r="F26" s="156">
        <f t="shared" si="7"/>
        <v>8</v>
      </c>
      <c r="G26" s="140">
        <f>HLOOKUP($R$2,'CALENDRIER PERPETUEL'!$B$3:$M$34,ROW('CALENDRIER PERPETUEL'!C18),FALSE)</f>
        <v>46982</v>
      </c>
      <c r="H26" s="54"/>
      <c r="I26" s="54" t="str">
        <f t="shared" si="0"/>
        <v>12:00</v>
      </c>
      <c r="J26" s="147" t="str">
        <f t="shared" si="1"/>
        <v>14:00</v>
      </c>
      <c r="K26" s="54"/>
      <c r="L26" s="47" t="str">
        <f t="shared" si="2"/>
        <v/>
      </c>
      <c r="M26" s="143" t="str">
        <f t="shared" ca="1" si="3"/>
        <v/>
      </c>
      <c r="N26" s="162" t="str">
        <f>IF($E26="","",IF(OR((VLOOKUP((TEXT($D26,"jjj")),Données!$A$8:$E$14,5)="v"),AND(G27="",E26&lt;&gt;"",OR(E26="T",E26="CJ",E26="F",E26="M"))),SUMIFS($L$10:$L$40,$P$10:$P$40,$P26),""))</f>
        <v/>
      </c>
      <c r="O26" s="55" t="str">
        <f t="shared" si="8"/>
        <v/>
      </c>
      <c r="P26" s="56">
        <f t="shared" si="6"/>
        <v>33</v>
      </c>
      <c r="Q26" s="289"/>
      <c r="R26" s="290"/>
      <c r="S26" s="290"/>
      <c r="T26" s="290"/>
      <c r="U26" s="290"/>
      <c r="V26" s="290"/>
      <c r="W26" s="290"/>
      <c r="X26" s="290"/>
      <c r="Y26" s="290"/>
      <c r="Z26" s="290"/>
      <c r="AA26" s="290"/>
      <c r="AB26" s="152" t="str">
        <f t="shared" si="5"/>
        <v/>
      </c>
    </row>
    <row r="27" spans="4:28" ht="15">
      <c r="D27" s="46">
        <f>HLOOKUP($R$2,'CALENDRIER PERPETUEL'!$B$3:$M$34,ROW('CALENDRIER PERPETUEL'!C19),FALSE)</f>
        <v>46983</v>
      </c>
      <c r="E27" s="138" t="str">
        <f t="array" ref="E27">IF($G27&lt;&gt;"",IF(COUNTIF(REPOS_jour,$G27)=1,"REPOS",IF(INDEX(JOURS_FERIE,MATCH($G27,JOURS_FERIE,1))=$G27,F,IF(AND(SUM((Debut_Congés&lt;=$G27)*($G27&lt;=FIN_Congés))=1,TEXT($G27,"jjj")&lt;&gt;"sam",TEXT($G27,"jjj")&lt;&gt;"dim"),CJ,IF(AND(SUM((D.MALADIE&lt;=$G27)*($G27&lt;=F.MALADIE))=1,TEXT($G27,"jjj")&lt;&gt;"sam",TEXT($G27,"jjj")&lt;&gt;"dim"),M,VLOOKUP(TEXT($G27,"jjj"),Jour_QUESTION,3))))),"")</f>
        <v>T</v>
      </c>
      <c r="F27" s="156">
        <f t="shared" si="7"/>
        <v>7</v>
      </c>
      <c r="G27" s="140">
        <f>HLOOKUP($R$2,'CALENDRIER PERPETUEL'!$B$3:$M$34,ROW('CALENDRIER PERPETUEL'!C19),FALSE)</f>
        <v>46983</v>
      </c>
      <c r="H27" s="54"/>
      <c r="I27" s="54" t="str">
        <f t="shared" si="0"/>
        <v>12:00</v>
      </c>
      <c r="J27" s="147" t="str">
        <f t="shared" si="1"/>
        <v>14:00</v>
      </c>
      <c r="K27" s="54"/>
      <c r="L27" s="47" t="str">
        <f t="shared" si="2"/>
        <v/>
      </c>
      <c r="M27" s="143" t="str">
        <f t="shared" ca="1" si="3"/>
        <v/>
      </c>
      <c r="N27" s="162">
        <f>IF($E27="","",IF(OR((VLOOKUP((TEXT($D27,"jjj")),Données!$A$8:$E$14,5)="v"),AND(G28="",E27&lt;&gt;"",OR(E27="T",E27="CJ",E27="F",E27="M"))),SUMIFS($L$10:$L$40,$P$10:$P$40,$P27),""))</f>
        <v>0</v>
      </c>
      <c r="O27" s="55" t="str">
        <f t="shared" si="8"/>
        <v/>
      </c>
      <c r="P27" s="56">
        <f t="shared" si="6"/>
        <v>33</v>
      </c>
      <c r="Q27" s="289"/>
      <c r="R27" s="290"/>
      <c r="S27" s="290"/>
      <c r="T27" s="290"/>
      <c r="U27" s="290"/>
      <c r="V27" s="290"/>
      <c r="W27" s="290"/>
      <c r="X27" s="290"/>
      <c r="Y27" s="290"/>
      <c r="Z27" s="290"/>
      <c r="AA27" s="290"/>
      <c r="AB27" s="152" t="str">
        <f t="shared" si="5"/>
        <v/>
      </c>
    </row>
    <row r="28" spans="4:28" ht="15">
      <c r="D28" s="46">
        <f>HLOOKUP($R$2,'CALENDRIER PERPETUEL'!$B$3:$M$34,ROW('CALENDRIER PERPETUEL'!C20),FALSE)</f>
        <v>46984</v>
      </c>
      <c r="E28" s="138" t="str">
        <f t="array" ref="E28">IF($G28&lt;&gt;"",IF(COUNTIF(REPOS_jour,$G28)=1,"REPOS",IF(INDEX(JOURS_FERIE,MATCH($G28,JOURS_FERIE,1))=$G28,F,IF(AND(SUM((Debut_Congés&lt;=$G28)*($G28&lt;=FIN_Congés))=1,TEXT($G28,"jjj")&lt;&gt;"sam",TEXT($G28,"jjj")&lt;&gt;"dim"),CJ,IF(AND(SUM((D.MALADIE&lt;=$G28)*($G28&lt;=F.MALADIE))=1,TEXT($G28,"jjj")&lt;&gt;"sam",TEXT($G28,"jjj")&lt;&gt;"dim"),M,VLOOKUP(TEXT($G28,"jjj"),Jour_QUESTION,3))))),"")</f>
        <v>W</v>
      </c>
      <c r="F28" s="156" t="str">
        <f t="shared" si="7"/>
        <v/>
      </c>
      <c r="G28" s="140">
        <f>HLOOKUP($R$2,'CALENDRIER PERPETUEL'!$B$3:$M$34,ROW('CALENDRIER PERPETUEL'!C20),FALSE)</f>
        <v>46984</v>
      </c>
      <c r="H28" s="54"/>
      <c r="I28" s="54" t="str">
        <f t="shared" si="0"/>
        <v/>
      </c>
      <c r="J28" s="147" t="str">
        <f t="shared" si="1"/>
        <v/>
      </c>
      <c r="K28" s="54"/>
      <c r="L28" s="47" t="str">
        <f t="shared" si="2"/>
        <v/>
      </c>
      <c r="M28" s="143" t="str">
        <f t="shared" ca="1" si="3"/>
        <v/>
      </c>
      <c r="N28" s="162" t="str">
        <f>IF($E28="","",IF(OR((VLOOKUP((TEXT($D28,"jjj")),Données!$A$8:$E$14,5)="v"),AND(G29="",E28&lt;&gt;"",OR(E28="T",E28="CJ",E28="F",E28="M"))),SUMIFS($L$10:$L$40,$P$10:$P$40,$P28),""))</f>
        <v/>
      </c>
      <c r="O28" s="55" t="str">
        <f t="shared" si="8"/>
        <v/>
      </c>
      <c r="P28" s="56">
        <f t="shared" si="6"/>
        <v>33</v>
      </c>
      <c r="Q28" s="289"/>
      <c r="R28" s="290"/>
      <c r="S28" s="290"/>
      <c r="T28" s="290"/>
      <c r="U28" s="290"/>
      <c r="V28" s="290"/>
      <c r="W28" s="290"/>
      <c r="X28" s="290"/>
      <c r="Y28" s="290"/>
      <c r="Z28" s="290"/>
      <c r="AA28" s="290"/>
      <c r="AB28" s="152" t="str">
        <f t="shared" si="5"/>
        <v/>
      </c>
    </row>
    <row r="29" spans="4:28" ht="15">
      <c r="D29" s="46">
        <f>HLOOKUP($R$2,'CALENDRIER PERPETUEL'!$B$3:$M$34,ROW('CALENDRIER PERPETUEL'!C21),FALSE)</f>
        <v>46985</v>
      </c>
      <c r="E29" s="138" t="str">
        <f t="array" ref="E29">IF($G29&lt;&gt;"",IF(COUNTIF(REPOS_jour,$G29)=1,"REPOS",IF(INDEX(JOURS_FERIE,MATCH($G29,JOURS_FERIE,1))=$G29,F,IF(AND(SUM((Debut_Congés&lt;=$G29)*($G29&lt;=FIN_Congés))=1,TEXT($G29,"jjj")&lt;&gt;"sam",TEXT($G29,"jjj")&lt;&gt;"dim"),CJ,IF(AND(SUM((D.MALADIE&lt;=$G29)*($G29&lt;=F.MALADIE))=1,TEXT($G29,"jjj")&lt;&gt;"sam",TEXT($G29,"jjj")&lt;&gt;"dim"),M,VLOOKUP(TEXT($G29,"jjj"),Jour_QUESTION,3))))),"")</f>
        <v>W</v>
      </c>
      <c r="F29" s="156" t="str">
        <f t="shared" si="7"/>
        <v/>
      </c>
      <c r="G29" s="140">
        <f>HLOOKUP($R$2,'CALENDRIER PERPETUEL'!$B$3:$M$34,ROW('CALENDRIER PERPETUEL'!C21),FALSE)</f>
        <v>46985</v>
      </c>
      <c r="H29" s="54"/>
      <c r="I29" s="54" t="str">
        <f t="shared" si="0"/>
        <v/>
      </c>
      <c r="J29" s="147" t="str">
        <f t="shared" si="1"/>
        <v/>
      </c>
      <c r="K29" s="54"/>
      <c r="L29" s="47" t="str">
        <f t="shared" si="2"/>
        <v/>
      </c>
      <c r="M29" s="143" t="str">
        <f t="shared" ca="1" si="3"/>
        <v/>
      </c>
      <c r="N29" s="162" t="str">
        <f>IF($E29="","",IF(OR((VLOOKUP((TEXT($D29,"jjj")),Données!$A$8:$E$14,5)="v"),AND(G30="",E29&lt;&gt;"",OR(E29="T",E29="CJ",E29="F",E29="M"))),SUMIFS($L$10:$L$40,$P$10:$P$40,$P29),""))</f>
        <v/>
      </c>
      <c r="O29" s="55" t="str">
        <f t="shared" si="8"/>
        <v/>
      </c>
      <c r="P29" s="56">
        <f t="shared" si="6"/>
        <v>33</v>
      </c>
      <c r="Q29" s="289"/>
      <c r="R29" s="290"/>
      <c r="S29" s="290"/>
      <c r="T29" s="290"/>
      <c r="U29" s="290"/>
      <c r="V29" s="290"/>
      <c r="W29" s="290"/>
      <c r="X29" s="290"/>
      <c r="Y29" s="290"/>
      <c r="Z29" s="290"/>
      <c r="AA29" s="290"/>
      <c r="AB29" s="152" t="str">
        <f t="shared" si="5"/>
        <v/>
      </c>
    </row>
    <row r="30" spans="4:28" ht="15">
      <c r="D30" s="46">
        <f>HLOOKUP($R$2,'CALENDRIER PERPETUEL'!$B$3:$M$34,ROW('CALENDRIER PERPETUEL'!C22),FALSE)</f>
        <v>46986</v>
      </c>
      <c r="E30" s="138" t="str">
        <f t="array" ref="E30">IF($G30&lt;&gt;"",IF(COUNTIF(REPOS_jour,$G30)=1,"REPOS",IF(INDEX(JOURS_FERIE,MATCH($G30,JOURS_FERIE,1))=$G30,F,IF(AND(SUM((Debut_Congés&lt;=$G30)*($G30&lt;=FIN_Congés))=1,TEXT($G30,"jjj")&lt;&gt;"sam",TEXT($G30,"jjj")&lt;&gt;"dim"),CJ,IF(AND(SUM((D.MALADIE&lt;=$G30)*($G30&lt;=F.MALADIE))=1,TEXT($G30,"jjj")&lt;&gt;"sam",TEXT($G30,"jjj")&lt;&gt;"dim"),M,VLOOKUP(TEXT($G30,"jjj"),Jour_QUESTION,3))))),"")</f>
        <v>T</v>
      </c>
      <c r="F30" s="156">
        <f t="shared" si="7"/>
        <v>8</v>
      </c>
      <c r="G30" s="140">
        <f>HLOOKUP($R$2,'CALENDRIER PERPETUEL'!$B$3:$M$34,ROW('CALENDRIER PERPETUEL'!C22),FALSE)</f>
        <v>46986</v>
      </c>
      <c r="H30" s="54"/>
      <c r="I30" s="54" t="str">
        <f t="shared" si="0"/>
        <v>12:00</v>
      </c>
      <c r="J30" s="147" t="str">
        <f t="shared" si="1"/>
        <v>14:00</v>
      </c>
      <c r="K30" s="54"/>
      <c r="L30" s="47" t="str">
        <f t="shared" si="2"/>
        <v/>
      </c>
      <c r="M30" s="143" t="str">
        <f t="shared" ca="1" si="3"/>
        <v/>
      </c>
      <c r="N30" s="162" t="str">
        <f>IF($E30="","",IF(OR((VLOOKUP((TEXT($D30,"jjj")),Données!$A$8:$E$14,5)="v"),AND(G31="",E30&lt;&gt;"",OR(E30="T",E30="CJ",E30="F",E30="M"))),SUMIFS($L$10:$L$40,$P$10:$P$40,$P30),""))</f>
        <v/>
      </c>
      <c r="O30" s="55" t="str">
        <f t="shared" si="8"/>
        <v/>
      </c>
      <c r="P30" s="56">
        <f t="shared" si="6"/>
        <v>34</v>
      </c>
      <c r="Q30" s="289"/>
      <c r="R30" s="290"/>
      <c r="S30" s="290"/>
      <c r="T30" s="290"/>
      <c r="U30" s="290"/>
      <c r="V30" s="290"/>
      <c r="W30" s="290"/>
      <c r="X30" s="290"/>
      <c r="Y30" s="290"/>
      <c r="Z30" s="290"/>
      <c r="AA30" s="290"/>
      <c r="AB30" s="152" t="str">
        <f t="shared" si="5"/>
        <v/>
      </c>
    </row>
    <row r="31" spans="4:28" ht="15">
      <c r="D31" s="46">
        <f>HLOOKUP($R$2,'CALENDRIER PERPETUEL'!$B$3:$M$34,ROW('CALENDRIER PERPETUEL'!C23),FALSE)</f>
        <v>46987</v>
      </c>
      <c r="E31" s="138" t="str">
        <f t="array" ref="E31">IF($G31&lt;&gt;"",IF(COUNTIF(REPOS_jour,$G31)=1,"REPOS",IF(INDEX(JOURS_FERIE,MATCH($G31,JOURS_FERIE,1))=$G31,F,IF(AND(SUM((Debut_Congés&lt;=$G31)*($G31&lt;=FIN_Congés))=1,TEXT($G31,"jjj")&lt;&gt;"sam",TEXT($G31,"jjj")&lt;&gt;"dim"),CJ,IF(AND(SUM((D.MALADIE&lt;=$G31)*($G31&lt;=F.MALADIE))=1,TEXT($G31,"jjj")&lt;&gt;"sam",TEXT($G31,"jjj")&lt;&gt;"dim"),M,VLOOKUP(TEXT($G31,"jjj"),Jour_QUESTION,3))))),"")</f>
        <v>T</v>
      </c>
      <c r="F31" s="156">
        <f t="shared" si="7"/>
        <v>8</v>
      </c>
      <c r="G31" s="140">
        <f>HLOOKUP($R$2,'CALENDRIER PERPETUEL'!$B$3:$M$34,ROW('CALENDRIER PERPETUEL'!C23),FALSE)</f>
        <v>46987</v>
      </c>
      <c r="H31" s="54"/>
      <c r="I31" s="54" t="str">
        <f t="shared" si="0"/>
        <v>12:00</v>
      </c>
      <c r="J31" s="147" t="str">
        <f t="shared" si="1"/>
        <v>14:00</v>
      </c>
      <c r="K31" s="54"/>
      <c r="L31" s="47" t="str">
        <f t="shared" si="2"/>
        <v/>
      </c>
      <c r="M31" s="143" t="str">
        <f t="shared" ca="1" si="3"/>
        <v/>
      </c>
      <c r="N31" s="162" t="str">
        <f>IF($E31="","",IF(OR((VLOOKUP((TEXT($D31,"jjj")),Données!$A$8:$E$14,5)="v"),AND(G32="",E31&lt;&gt;"",OR(E31="T",E31="CJ",E31="F",E31="M"))),SUMIFS($L$10:$L$40,$P$10:$P$40,$P31),""))</f>
        <v/>
      </c>
      <c r="O31" s="55" t="str">
        <f t="shared" si="8"/>
        <v/>
      </c>
      <c r="P31" s="56">
        <f t="shared" si="6"/>
        <v>34</v>
      </c>
      <c r="Q31" s="289"/>
      <c r="R31" s="290"/>
      <c r="S31" s="290"/>
      <c r="T31" s="290"/>
      <c r="U31" s="290"/>
      <c r="V31" s="290"/>
      <c r="W31" s="290"/>
      <c r="X31" s="290"/>
      <c r="Y31" s="290"/>
      <c r="Z31" s="290"/>
      <c r="AA31" s="290"/>
      <c r="AB31" s="152" t="str">
        <f t="shared" si="5"/>
        <v/>
      </c>
    </row>
    <row r="32" spans="4:28" ht="15">
      <c r="D32" s="46">
        <f>HLOOKUP($R$2,'CALENDRIER PERPETUEL'!$B$3:$M$34,ROW('CALENDRIER PERPETUEL'!C24),FALSE)</f>
        <v>46988</v>
      </c>
      <c r="E32" s="138" t="str">
        <f t="array" ref="E32">IF($G32&lt;&gt;"",IF(COUNTIF(REPOS_jour,$G32)=1,"REPOS",IF(INDEX(JOURS_FERIE,MATCH($G32,JOURS_FERIE,1))=$G32,F,IF(AND(SUM((Debut_Congés&lt;=$G32)*($G32&lt;=FIN_Congés))=1,TEXT($G32,"jjj")&lt;&gt;"sam",TEXT($G32,"jjj")&lt;&gt;"dim"),CJ,IF(AND(SUM((D.MALADIE&lt;=$G32)*($G32&lt;=F.MALADIE))=1,TEXT($G32,"jjj")&lt;&gt;"sam",TEXT($G32,"jjj")&lt;&gt;"dim"),M,VLOOKUP(TEXT($G32,"jjj"),Jour_QUESTION,3))))),"")</f>
        <v>T</v>
      </c>
      <c r="F32" s="156">
        <f t="shared" si="7"/>
        <v>8</v>
      </c>
      <c r="G32" s="140">
        <f>HLOOKUP($R$2,'CALENDRIER PERPETUEL'!$B$3:$M$34,ROW('CALENDRIER PERPETUEL'!C24),FALSE)</f>
        <v>46988</v>
      </c>
      <c r="H32" s="54"/>
      <c r="I32" s="54" t="str">
        <f t="shared" si="0"/>
        <v>12:00</v>
      </c>
      <c r="J32" s="147" t="str">
        <f t="shared" si="1"/>
        <v>14:00</v>
      </c>
      <c r="K32" s="54"/>
      <c r="L32" s="47" t="str">
        <f t="shared" si="2"/>
        <v/>
      </c>
      <c r="M32" s="143" t="str">
        <f t="shared" ca="1" si="3"/>
        <v/>
      </c>
      <c r="N32" s="162" t="str">
        <f>IF($E32="","",IF(OR((VLOOKUP((TEXT($D32,"jjj")),Données!$A$8:$E$14,5)="v"),AND(G33="",E32&lt;&gt;"",OR(E32="T",E32="CJ",E32="F",E32="M"))),SUMIFS($L$10:$L$40,$P$10:$P$40,$P32),""))</f>
        <v/>
      </c>
      <c r="O32" s="55" t="str">
        <f t="shared" si="8"/>
        <v/>
      </c>
      <c r="P32" s="56">
        <f t="shared" si="6"/>
        <v>34</v>
      </c>
      <c r="Q32" s="289"/>
      <c r="R32" s="290"/>
      <c r="S32" s="290"/>
      <c r="T32" s="290"/>
      <c r="U32" s="290"/>
      <c r="V32" s="290"/>
      <c r="W32" s="290"/>
      <c r="X32" s="290"/>
      <c r="Y32" s="290"/>
      <c r="Z32" s="290"/>
      <c r="AA32" s="290"/>
      <c r="AB32" s="152" t="str">
        <f t="shared" si="5"/>
        <v/>
      </c>
    </row>
    <row r="33" spans="4:33" ht="15">
      <c r="D33" s="46">
        <f>HLOOKUP($R$2,'CALENDRIER PERPETUEL'!$B$3:$M$34,ROW('CALENDRIER PERPETUEL'!C25),FALSE)</f>
        <v>46989</v>
      </c>
      <c r="E33" s="138" t="str">
        <f t="array" ref="E33">IF($G33&lt;&gt;"",IF(COUNTIF(REPOS_jour,$G33)=1,"REPOS",IF(INDEX(JOURS_FERIE,MATCH($G33,JOURS_FERIE,1))=$G33,F,IF(AND(SUM((Debut_Congés&lt;=$G33)*($G33&lt;=FIN_Congés))=1,TEXT($G33,"jjj")&lt;&gt;"sam",TEXT($G33,"jjj")&lt;&gt;"dim"),CJ,IF(AND(SUM((D.MALADIE&lt;=$G33)*($G33&lt;=F.MALADIE))=1,TEXT($G33,"jjj")&lt;&gt;"sam",TEXT($G33,"jjj")&lt;&gt;"dim"),M,VLOOKUP(TEXT($G33,"jjj"),Jour_QUESTION,3))))),"")</f>
        <v>T</v>
      </c>
      <c r="F33" s="156">
        <f t="shared" si="7"/>
        <v>8</v>
      </c>
      <c r="G33" s="140">
        <f>HLOOKUP($R$2,'CALENDRIER PERPETUEL'!$B$3:$M$34,ROW('CALENDRIER PERPETUEL'!C25),FALSE)</f>
        <v>46989</v>
      </c>
      <c r="H33" s="54"/>
      <c r="I33" s="54" t="str">
        <f t="shared" si="0"/>
        <v>12:00</v>
      </c>
      <c r="J33" s="147" t="str">
        <f t="shared" si="1"/>
        <v>14:00</v>
      </c>
      <c r="K33" s="54"/>
      <c r="L33" s="47" t="str">
        <f t="shared" si="2"/>
        <v/>
      </c>
      <c r="M33" s="143" t="str">
        <f t="shared" ca="1" si="3"/>
        <v/>
      </c>
      <c r="N33" s="162" t="str">
        <f>IF($E33="","",IF(OR((VLOOKUP((TEXT($D33,"jjj")),Données!$A$8:$E$14,5)="v"),AND(G34="",E33&lt;&gt;"",OR(E33="T",E33="CJ",E33="F",E33="M"))),SUMIFS($L$10:$L$40,$P$10:$P$40,$P33),""))</f>
        <v/>
      </c>
      <c r="O33" s="55" t="str">
        <f t="shared" si="8"/>
        <v/>
      </c>
      <c r="P33" s="56">
        <f t="shared" si="6"/>
        <v>34</v>
      </c>
      <c r="Q33" s="289"/>
      <c r="R33" s="290"/>
      <c r="S33" s="290"/>
      <c r="T33" s="290"/>
      <c r="U33" s="290"/>
      <c r="V33" s="290"/>
      <c r="W33" s="290"/>
      <c r="X33" s="290"/>
      <c r="Y33" s="290"/>
      <c r="Z33" s="290"/>
      <c r="AA33" s="290"/>
      <c r="AB33" s="152" t="str">
        <f t="shared" si="5"/>
        <v/>
      </c>
    </row>
    <row r="34" spans="4:33" ht="15">
      <c r="D34" s="46">
        <f>HLOOKUP($R$2,'CALENDRIER PERPETUEL'!$B$3:$M$34,ROW('CALENDRIER PERPETUEL'!C26),FALSE)</f>
        <v>46990</v>
      </c>
      <c r="E34" s="138" t="str">
        <f t="array" ref="E34">IF($G34&lt;&gt;"",IF(COUNTIF(REPOS_jour,$G34)=1,"REPOS",IF(INDEX(JOURS_FERIE,MATCH($G34,JOURS_FERIE,1))=$G34,F,IF(AND(SUM((Debut_Congés&lt;=$G34)*($G34&lt;=FIN_Congés))=1,TEXT($G34,"jjj")&lt;&gt;"sam",TEXT($G34,"jjj")&lt;&gt;"dim"),CJ,IF(AND(SUM((D.MALADIE&lt;=$G34)*($G34&lt;=F.MALADIE))=1,TEXT($G34,"jjj")&lt;&gt;"sam",TEXT($G34,"jjj")&lt;&gt;"dim"),M,VLOOKUP(TEXT($G34,"jjj"),Jour_QUESTION,3))))),"")</f>
        <v>T</v>
      </c>
      <c r="F34" s="156">
        <f t="shared" si="7"/>
        <v>7</v>
      </c>
      <c r="G34" s="140">
        <f>HLOOKUP($R$2,'CALENDRIER PERPETUEL'!$B$3:$M$34,ROW('CALENDRIER PERPETUEL'!C26),FALSE)</f>
        <v>46990</v>
      </c>
      <c r="H34" s="54"/>
      <c r="I34" s="54" t="str">
        <f t="shared" si="0"/>
        <v>12:00</v>
      </c>
      <c r="J34" s="147" t="str">
        <f t="shared" si="1"/>
        <v>14:00</v>
      </c>
      <c r="K34" s="54"/>
      <c r="L34" s="47" t="str">
        <f t="shared" si="2"/>
        <v/>
      </c>
      <c r="M34" s="143" t="str">
        <f t="shared" ca="1" si="3"/>
        <v/>
      </c>
      <c r="N34" s="162">
        <f>IF($E34="","",IF(OR((VLOOKUP((TEXT($D34,"jjj")),Données!$A$8:$E$14,5)="v"),AND(G35="",E34&lt;&gt;"",OR(E34="T",E34="CJ",E34="F",E34="M"))),SUMIFS($L$10:$L$40,$P$10:$P$40,$P34),""))</f>
        <v>0</v>
      </c>
      <c r="O34" s="55" t="str">
        <f t="shared" si="8"/>
        <v/>
      </c>
      <c r="P34" s="56">
        <f t="shared" si="6"/>
        <v>34</v>
      </c>
      <c r="Q34" s="289"/>
      <c r="R34" s="290"/>
      <c r="S34" s="290"/>
      <c r="T34" s="290"/>
      <c r="U34" s="290"/>
      <c r="V34" s="290"/>
      <c r="W34" s="290"/>
      <c r="X34" s="290"/>
      <c r="Y34" s="290"/>
      <c r="Z34" s="290"/>
      <c r="AA34" s="290"/>
      <c r="AB34" s="152" t="str">
        <f t="shared" si="5"/>
        <v/>
      </c>
    </row>
    <row r="35" spans="4:33" ht="15">
      <c r="D35" s="46">
        <f>HLOOKUP($R$2,'CALENDRIER PERPETUEL'!$B$3:$M$34,ROW('CALENDRIER PERPETUEL'!C27),FALSE)</f>
        <v>46991</v>
      </c>
      <c r="E35" s="138" t="str">
        <f t="array" ref="E35">IF($G35&lt;&gt;"",IF(COUNTIF(REPOS_jour,$G35)=1,"REPOS",IF(INDEX(JOURS_FERIE,MATCH($G35,JOURS_FERIE,1))=$G35,F,IF(AND(SUM((Debut_Congés&lt;=$G35)*($G35&lt;=FIN_Congés))=1,TEXT($G35,"jjj")&lt;&gt;"sam",TEXT($G35,"jjj")&lt;&gt;"dim"),CJ,IF(AND(SUM((D.MALADIE&lt;=$G35)*($G35&lt;=F.MALADIE))=1,TEXT($G35,"jjj")&lt;&gt;"sam",TEXT($G35,"jjj")&lt;&gt;"dim"),M,VLOOKUP(TEXT($G35,"jjj"),Jour_QUESTION,3))))),"")</f>
        <v>W</v>
      </c>
      <c r="F35" s="156" t="str">
        <f t="shared" si="7"/>
        <v/>
      </c>
      <c r="G35" s="140">
        <f>HLOOKUP($R$2,'CALENDRIER PERPETUEL'!$B$3:$M$34,ROW('CALENDRIER PERPETUEL'!C27),FALSE)</f>
        <v>46991</v>
      </c>
      <c r="H35" s="54"/>
      <c r="I35" s="54" t="str">
        <f t="shared" si="0"/>
        <v/>
      </c>
      <c r="J35" s="147" t="str">
        <f t="shared" si="1"/>
        <v/>
      </c>
      <c r="K35" s="54"/>
      <c r="L35" s="47" t="str">
        <f t="shared" si="2"/>
        <v/>
      </c>
      <c r="M35" s="143" t="str">
        <f t="shared" ca="1" si="3"/>
        <v/>
      </c>
      <c r="N35" s="162" t="str">
        <f>IF($E35="","",IF(OR((VLOOKUP((TEXT($D35,"jjj")),Données!$A$8:$E$14,5)="v"),AND(G36="",E35&lt;&gt;"",OR(E35="T",E35="CJ",E35="F",E35="M"))),SUMIFS($L$10:$L$40,$P$10:$P$40,$P35),""))</f>
        <v/>
      </c>
      <c r="O35" s="55" t="str">
        <f t="shared" si="8"/>
        <v/>
      </c>
      <c r="P35" s="56">
        <f t="shared" si="6"/>
        <v>34</v>
      </c>
      <c r="Q35" s="289"/>
      <c r="R35" s="290"/>
      <c r="S35" s="290"/>
      <c r="T35" s="290"/>
      <c r="U35" s="290"/>
      <c r="V35" s="290"/>
      <c r="W35" s="290"/>
      <c r="X35" s="290"/>
      <c r="Y35" s="290"/>
      <c r="Z35" s="290"/>
      <c r="AA35" s="290"/>
      <c r="AB35" s="152" t="str">
        <f t="shared" si="5"/>
        <v/>
      </c>
    </row>
    <row r="36" spans="4:33" ht="15">
      <c r="D36" s="46">
        <f>HLOOKUP($R$2,'CALENDRIER PERPETUEL'!$B$3:$M$34,ROW('CALENDRIER PERPETUEL'!C28),FALSE)</f>
        <v>46992</v>
      </c>
      <c r="E36" s="138" t="str">
        <f t="array" ref="E36">IF($G36&lt;&gt;"",IF(COUNTIF(REPOS_jour,$G36)=1,"REPOS",IF(INDEX(JOURS_FERIE,MATCH($G36,JOURS_FERIE,1))=$G36,F,IF(AND(SUM((Debut_Congés&lt;=$G36)*($G36&lt;=FIN_Congés))=1,TEXT($G36,"jjj")&lt;&gt;"sam",TEXT($G36,"jjj")&lt;&gt;"dim"),CJ,IF(AND(SUM((D.MALADIE&lt;=$G36)*($G36&lt;=F.MALADIE))=1,TEXT($G36,"jjj")&lt;&gt;"sam",TEXT($G36,"jjj")&lt;&gt;"dim"),M,VLOOKUP(TEXT($G36,"jjj"),Jour_QUESTION,3))))),"")</f>
        <v>W</v>
      </c>
      <c r="F36" s="156" t="str">
        <f t="shared" si="7"/>
        <v/>
      </c>
      <c r="G36" s="140">
        <f>HLOOKUP($R$2,'CALENDRIER PERPETUEL'!$B$3:$M$34,ROW('CALENDRIER PERPETUEL'!C28),FALSE)</f>
        <v>46992</v>
      </c>
      <c r="H36" s="54"/>
      <c r="I36" s="54" t="str">
        <f t="shared" si="0"/>
        <v/>
      </c>
      <c r="J36" s="147" t="str">
        <f t="shared" si="1"/>
        <v/>
      </c>
      <c r="K36" s="54"/>
      <c r="L36" s="47" t="str">
        <f t="shared" si="2"/>
        <v/>
      </c>
      <c r="M36" s="143" t="str">
        <f t="shared" ca="1" si="3"/>
        <v/>
      </c>
      <c r="N36" s="162" t="str">
        <f>IF($E36="","",IF(OR((VLOOKUP((TEXT($D36,"jjj")),Données!$A$8:$E$14,5)="v"),AND(G37="",E36&lt;&gt;"",OR(E36="T",E36="CJ",E36="F",E36="M"))),SUMIFS($L$10:$L$40,$P$10:$P$40,$P36),""))</f>
        <v/>
      </c>
      <c r="O36" s="55" t="str">
        <f t="shared" si="8"/>
        <v/>
      </c>
      <c r="P36" s="56">
        <f t="shared" si="6"/>
        <v>34</v>
      </c>
      <c r="Q36" s="289"/>
      <c r="R36" s="290"/>
      <c r="S36" s="290"/>
      <c r="T36" s="290"/>
      <c r="U36" s="290"/>
      <c r="V36" s="290"/>
      <c r="W36" s="290"/>
      <c r="X36" s="290"/>
      <c r="Y36" s="290"/>
      <c r="Z36" s="290"/>
      <c r="AA36" s="290"/>
      <c r="AB36" s="152" t="str">
        <f t="shared" si="5"/>
        <v/>
      </c>
    </row>
    <row r="37" spans="4:33" ht="15">
      <c r="D37" s="46">
        <f>HLOOKUP($R$2,'CALENDRIER PERPETUEL'!$B$3:$M$34,ROW('CALENDRIER PERPETUEL'!C29),FALSE)</f>
        <v>46993</v>
      </c>
      <c r="E37" s="138" t="str">
        <f t="array" ref="E37">IF($G37&lt;&gt;"",IF(COUNTIF(REPOS_jour,$G37)=1,"REPOS",IF(INDEX(JOURS_FERIE,MATCH($G37,JOURS_FERIE,1))=$G37,F,IF(AND(SUM((Debut_Congés&lt;=$G37)*($G37&lt;=FIN_Congés))=1,TEXT($G37,"jjj")&lt;&gt;"sam",TEXT($G37,"jjj")&lt;&gt;"dim"),CJ,IF(AND(SUM((D.MALADIE&lt;=$G37)*($G37&lt;=F.MALADIE))=1,TEXT($G37,"jjj")&lt;&gt;"sam",TEXT($G37,"jjj")&lt;&gt;"dim"),M,VLOOKUP(TEXT($G37,"jjj"),Jour_QUESTION,3))))),"")</f>
        <v>T</v>
      </c>
      <c r="F37" s="156">
        <f t="shared" si="7"/>
        <v>8</v>
      </c>
      <c r="G37" s="140">
        <f>HLOOKUP($R$2,'CALENDRIER PERPETUEL'!$B$3:$M$34,ROW('CALENDRIER PERPETUEL'!C29),FALSE)</f>
        <v>46993</v>
      </c>
      <c r="H37" s="54"/>
      <c r="I37" s="54" t="str">
        <f t="shared" si="0"/>
        <v>12:00</v>
      </c>
      <c r="J37" s="147" t="str">
        <f t="shared" si="1"/>
        <v>14:00</v>
      </c>
      <c r="K37" s="54"/>
      <c r="L37" s="47" t="str">
        <f t="shared" si="2"/>
        <v/>
      </c>
      <c r="M37" s="143" t="str">
        <f t="shared" ca="1" si="3"/>
        <v/>
      </c>
      <c r="N37" s="162" t="str">
        <f>IF($E37="","",IF(OR((VLOOKUP((TEXT($D37,"jjj")),Données!$A$8:$E$14,5)="v"),AND(G38="",E37&lt;&gt;"",OR(E37="T",E37="CJ",E37="F",E37="M"))),SUMIFS($L$10:$L$40,$P$10:$P$40,$P37),""))</f>
        <v/>
      </c>
      <c r="O37" s="55" t="str">
        <f t="shared" si="8"/>
        <v/>
      </c>
      <c r="P37" s="56">
        <f t="shared" si="6"/>
        <v>35</v>
      </c>
      <c r="Q37" s="289"/>
      <c r="R37" s="290"/>
      <c r="S37" s="290"/>
      <c r="T37" s="290"/>
      <c r="U37" s="290"/>
      <c r="V37" s="290"/>
      <c r="W37" s="290"/>
      <c r="X37" s="290"/>
      <c r="Y37" s="290"/>
      <c r="Z37" s="290"/>
      <c r="AA37" s="290"/>
      <c r="AB37" s="152" t="str">
        <f t="shared" si="5"/>
        <v/>
      </c>
    </row>
    <row r="38" spans="4:33" ht="15">
      <c r="D38" s="46">
        <f>HLOOKUP($R$2,'CALENDRIER PERPETUEL'!$B$3:$M$34,ROW('CALENDRIER PERPETUEL'!C30),FALSE)</f>
        <v>46994</v>
      </c>
      <c r="E38" s="138" t="str">
        <f t="array" ref="E38">IF($G38&lt;&gt;"",IF(COUNTIF(REPOS_jour,$G38)=1,"REPOS",IF(INDEX(JOURS_FERIE,MATCH($G38,JOURS_FERIE,1))=$G38,F,IF(AND(SUM((Debut_Congés&lt;=$G38)*($G38&lt;=FIN_Congés))=1,TEXT($G38,"jjj")&lt;&gt;"sam",TEXT($G38,"jjj")&lt;&gt;"dim"),CJ,IF(AND(SUM((D.MALADIE&lt;=$G38)*($G38&lt;=F.MALADIE))=1,TEXT($G38,"jjj")&lt;&gt;"sam",TEXT($G38,"jjj")&lt;&gt;"dim"),M,VLOOKUP(TEXT($G38,"jjj"),Jour_QUESTION,3))))),"")</f>
        <v>T</v>
      </c>
      <c r="F38" s="156">
        <f t="shared" si="7"/>
        <v>8</v>
      </c>
      <c r="G38" s="140">
        <f>HLOOKUP($R$2,'CALENDRIER PERPETUEL'!$B$3:$M$34,ROW('CALENDRIER PERPETUEL'!C30),FALSE)</f>
        <v>46994</v>
      </c>
      <c r="H38" s="54"/>
      <c r="I38" s="54" t="str">
        <f t="shared" si="0"/>
        <v>12:00</v>
      </c>
      <c r="J38" s="147" t="str">
        <f t="shared" si="1"/>
        <v>14:00</v>
      </c>
      <c r="K38" s="54"/>
      <c r="L38" s="47" t="str">
        <f t="shared" si="2"/>
        <v/>
      </c>
      <c r="M38" s="143" t="str">
        <f t="shared" ca="1" si="3"/>
        <v/>
      </c>
      <c r="N38" s="162" t="str">
        <f>IF($E38="","",IF(OR((VLOOKUP((TEXT($D38,"jjj")),Données!$A$8:$E$14,5)="v"),AND(G39="",E38&lt;&gt;"",OR(E38="T",E38="CJ",E38="F",E38="M"))),SUMIFS($L$10:$L$40,$P$10:$P$40,$P38),""))</f>
        <v/>
      </c>
      <c r="O38" s="55" t="str">
        <f t="shared" si="8"/>
        <v/>
      </c>
      <c r="P38" s="56">
        <f t="shared" si="6"/>
        <v>35</v>
      </c>
      <c r="Q38" s="289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152" t="str">
        <f t="shared" si="5"/>
        <v/>
      </c>
    </row>
    <row r="39" spans="4:33" ht="15">
      <c r="D39" s="46">
        <f>HLOOKUP($R$2,'CALENDRIER PERPETUEL'!$B$3:$M$34,ROW('CALENDRIER PERPETUEL'!C31),FALSE)</f>
        <v>46995</v>
      </c>
      <c r="E39" s="138" t="str">
        <f t="array" ref="E39">IF($G39&lt;&gt;"",IF(COUNTIF(REPOS_jour,$G39)=1,"REPOS",IF(INDEX(JOURS_FERIE,MATCH($G39,JOURS_FERIE,1))=$G39,F,IF(AND(SUM((Debut_Congés&lt;=$G39)*($G39&lt;=FIN_Congés))=1,TEXT($G39,"jjj")&lt;&gt;"sam",TEXT($G39,"jjj")&lt;&gt;"dim"),CJ,IF(AND(SUM((D.MALADIE&lt;=$G39)*($G39&lt;=F.MALADIE))=1,TEXT($G39,"jjj")&lt;&gt;"sam",TEXT($G39,"jjj")&lt;&gt;"dim"),M,VLOOKUP(TEXT($G39,"jjj"),Jour_QUESTION,3))))),"")</f>
        <v>T</v>
      </c>
      <c r="F39" s="156">
        <f t="shared" si="7"/>
        <v>8</v>
      </c>
      <c r="G39" s="140">
        <f>HLOOKUP($R$2,'CALENDRIER PERPETUEL'!$B$3:$M$34,ROW('CALENDRIER PERPETUEL'!C31),FALSE)</f>
        <v>46995</v>
      </c>
      <c r="H39" s="54"/>
      <c r="I39" s="54" t="str">
        <f t="shared" si="0"/>
        <v>12:00</v>
      </c>
      <c r="J39" s="147" t="str">
        <f t="shared" si="1"/>
        <v>14:00</v>
      </c>
      <c r="K39" s="54"/>
      <c r="L39" s="47" t="str">
        <f t="shared" si="2"/>
        <v/>
      </c>
      <c r="M39" s="143" t="str">
        <f t="shared" ca="1" si="3"/>
        <v/>
      </c>
      <c r="N39" s="162" t="str">
        <f>IF($E39="","",IF(OR((VLOOKUP((TEXT($D39,"jjj")),Données!$A$8:$E$14,5)="v"),AND(G40="",E39&lt;&gt;"",OR(E39="T",E39="CJ",E39="F",E39="M"))),SUMIFS($L$10:$L$40,$P$10:$P$40,$P39),""))</f>
        <v/>
      </c>
      <c r="O39" s="55" t="str">
        <f t="shared" si="8"/>
        <v/>
      </c>
      <c r="P39" s="56">
        <f t="shared" si="6"/>
        <v>35</v>
      </c>
      <c r="Q39" s="289"/>
      <c r="R39" s="290"/>
      <c r="S39" s="290"/>
      <c r="T39" s="290"/>
      <c r="U39" s="290"/>
      <c r="V39" s="290"/>
      <c r="W39" s="290"/>
      <c r="X39" s="290"/>
      <c r="Y39" s="290"/>
      <c r="Z39" s="290"/>
      <c r="AA39" s="290"/>
      <c r="AB39" s="152" t="str">
        <f t="shared" si="5"/>
        <v/>
      </c>
    </row>
    <row r="40" spans="4:33" ht="15.75" thickBot="1">
      <c r="D40" s="46">
        <f>HLOOKUP($R$2,'CALENDRIER PERPETUEL'!$B$3:$M$34,ROW('CALENDRIER PERPETUEL'!C32),FALSE)</f>
        <v>46996</v>
      </c>
      <c r="E40" s="138" t="str">
        <f t="array" ref="E40">IF($G40&lt;&gt;"",IF(COUNTIF(REPOS_jour,$G40)=1,"REPOS",IF(INDEX(JOURS_FERIE,MATCH($G40,JOURS_FERIE,1))=$G40,F,IF(AND(SUM((Debut_Congés&lt;=$G40)*($G40&lt;=FIN_Congés))=1,TEXT($G40,"jjj")&lt;&gt;"sam",TEXT($G40,"jjj")&lt;&gt;"dim"),CJ,IF(AND(SUM((D.MALADIE&lt;=$G40)*($G40&lt;=F.MALADIE))=1,TEXT($G40,"jjj")&lt;&gt;"sam",TEXT($G40,"jjj")&lt;&gt;"dim"),M,VLOOKUP(TEXT($G40,"jjj"),Jour_QUESTION,3))))),"")</f>
        <v>T</v>
      </c>
      <c r="F40" s="156">
        <f t="shared" si="7"/>
        <v>8</v>
      </c>
      <c r="G40" s="140">
        <f>HLOOKUP($R$2,'CALENDRIER PERPETUEL'!$B$3:$M$34,ROW('CALENDRIER PERPETUEL'!C32),FALSE)</f>
        <v>46996</v>
      </c>
      <c r="H40" s="54"/>
      <c r="I40" s="54" t="str">
        <f t="shared" si="0"/>
        <v>12:00</v>
      </c>
      <c r="J40" s="147" t="str">
        <f t="shared" si="1"/>
        <v>14:00</v>
      </c>
      <c r="K40" s="54"/>
      <c r="L40" s="47" t="str">
        <f t="shared" si="2"/>
        <v/>
      </c>
      <c r="M40" s="143" t="str">
        <f t="shared" ca="1" si="3"/>
        <v/>
      </c>
      <c r="N40" s="162">
        <f>IF($E40="","",IF(OR((VLOOKUP((TEXT($D40,"jjj")),Données!$A$8:$E$14,5)="v"),AND(G41="",E40&lt;&gt;"",OR(E40="T",E40="CJ",E40="F",E40="M"))),SUMIFS($L$10:$L$40,$P$10:$P$40,$P40),""))</f>
        <v>0</v>
      </c>
      <c r="O40" s="55" t="str">
        <f t="shared" si="8"/>
        <v/>
      </c>
      <c r="P40" s="56">
        <f t="shared" si="6"/>
        <v>35</v>
      </c>
      <c r="Q40" s="289"/>
      <c r="R40" s="290"/>
      <c r="S40" s="290"/>
      <c r="T40" s="290"/>
      <c r="U40" s="290"/>
      <c r="V40" s="290"/>
      <c r="W40" s="290"/>
      <c r="X40" s="290"/>
      <c r="Y40" s="290"/>
      <c r="Z40" s="290"/>
      <c r="AA40" s="290"/>
      <c r="AB40" s="152" t="str">
        <f t="shared" si="5"/>
        <v/>
      </c>
    </row>
    <row r="41" spans="4:33" ht="16.5" thickTop="1" thickBot="1">
      <c r="E41" s="272" t="s">
        <v>93</v>
      </c>
      <c r="F41" s="273"/>
      <c r="G41" s="273"/>
      <c r="H41" s="54"/>
      <c r="I41" s="54" t="str">
        <f t="shared" si="0"/>
        <v/>
      </c>
      <c r="J41" s="147" t="str">
        <f t="shared" si="1"/>
        <v/>
      </c>
      <c r="K41" s="54"/>
      <c r="L41" s="144">
        <f>SUMIFS(L10:L40,D$10:D$40,"&lt;&gt;"&amp;TRAVAILPRLESRETRAITEE)</f>
        <v>0</v>
      </c>
      <c r="M41" s="133">
        <f ca="1">SUM(M10:M40)</f>
        <v>0</v>
      </c>
      <c r="N41" s="48">
        <f>SUM(N10:N40)</f>
        <v>0</v>
      </c>
      <c r="O41" s="59">
        <f>SUM(O10:O40)</f>
        <v>0</v>
      </c>
      <c r="P41" s="144"/>
      <c r="S41" s="49"/>
      <c r="T41" s="49"/>
      <c r="U41" s="49"/>
      <c r="V41" s="49"/>
      <c r="W41" s="49"/>
      <c r="X41" s="49"/>
      <c r="AB41" s="153">
        <f>SUM(AB10:AB40)</f>
        <v>0</v>
      </c>
      <c r="AF41" s="65"/>
    </row>
    <row r="42" spans="4:33" ht="16.5" thickTop="1" thickBot="1">
      <c r="E42" s="280" t="s">
        <v>94</v>
      </c>
      <c r="F42" s="281"/>
      <c r="G42" s="281"/>
      <c r="H42" s="57">
        <v>7.041666666666667</v>
      </c>
      <c r="I42" s="246"/>
      <c r="J42" s="296" t="str">
        <f>IF($L$41-$H$42&gt;=0,$L$41-$H$42,"0h00")</f>
        <v>0h00</v>
      </c>
      <c r="K42" s="296"/>
      <c r="L42" s="296"/>
      <c r="M42" s="296"/>
      <c r="N42" s="296"/>
      <c r="O42" s="296"/>
      <c r="P42" s="296"/>
      <c r="Q42" s="296"/>
      <c r="R42" s="296"/>
      <c r="S42" s="58"/>
      <c r="AG42" s="50"/>
    </row>
    <row r="43" spans="4:33" ht="15.75" thickTop="1">
      <c r="E43" s="282"/>
      <c r="F43" s="282"/>
      <c r="G43" s="282"/>
      <c r="AG43" s="50"/>
    </row>
    <row r="44" spans="4:33" ht="15.75" thickBot="1">
      <c r="AG44" s="50"/>
    </row>
    <row r="45" spans="4:33" ht="16.5" thickTop="1" thickBot="1">
      <c r="E45" s="283" t="s">
        <v>95</v>
      </c>
      <c r="F45" s="284"/>
      <c r="G45" s="284"/>
      <c r="H45" s="284"/>
      <c r="I45" s="297">
        <f>SUM(COUNTIF(E10:E40,"T"),COUNTIF(E10:E40,"CJ"),COUNTIF(E10:E40,"M"))</f>
        <v>22</v>
      </c>
      <c r="J45" s="298"/>
      <c r="K45" s="298"/>
      <c r="L45" s="299"/>
      <c r="M45" s="52">
        <f>SUM(F10:F40)</f>
        <v>180</v>
      </c>
      <c r="N45" s="159" t="s">
        <v>124</v>
      </c>
      <c r="O45" s="160"/>
      <c r="P45" s="161"/>
      <c r="AG45" s="50"/>
    </row>
    <row r="46" spans="4:33" ht="15">
      <c r="E46" s="276" t="s">
        <v>96</v>
      </c>
      <c r="F46" s="277"/>
      <c r="G46" s="277"/>
      <c r="H46" s="277"/>
      <c r="I46" s="300">
        <f>COUNTIF(L10:L40,"&gt;0:00")</f>
        <v>0</v>
      </c>
      <c r="J46" s="301"/>
      <c r="K46" s="301"/>
      <c r="L46" s="302"/>
      <c r="M46" s="52" t="str">
        <f ca="1">SUMIFS(F10:F40,M10:M40,"&lt;&gt;0",E10:E40,"&lt;&gt;F")&amp;" /  "&amp;SUMIF(M10:M40,"&lt;&gt;0:00",F10:F40)</f>
        <v>172 /  180</v>
      </c>
      <c r="N46" s="154" t="e">
        <f ca="1">IF(COUNTIF(E10:E40,"M")+COUNTIF(E10:E40,"cj")=0,CEILING(M45-151.5-(ROUND(M41,0)-(AB41*24-((ROUND(M41,0)-M41)-M45)-(SUMIF(E10:F40,"F",F10:F40)+COUNTIF(E10:E40,"F")*0.344660194174757)-N("abs FERIE +pause"))),"0,25"*SIGN(M45-151.5-(ROUND(M41,0)-(AB41*24-((ROUND(M41,0)-M41)-M45)-(SUMIF(E10:F40,"F",F10:F40)+COUNTIF(E10:E40,"F")*0.344660194174757)-N("abs FERIE +pause"))))),IFERROR(CEILING((M45-IFERROR(SUM(INDIRECT(CONCATENATE("$F$"&amp;MATCH("CJ",E10:E40,0)+9,":","$F$"&amp;MAX((E10:E40="CJ")*ROW(E10:E40))))),0)-(SUMIF(E10:F40,"M",F10:F40)+COUNTIF(E10:E40,"M")*0.344660194174757)-N("abs maladie +pause")-M41),(("0,25"*SIGN(((M45-(SUMIF(E10:F40,"M",F10:F40)+COUNTIF(E10:E40,"M")*0.344660194174757)-N("abs maladie +pause")-M41)))))),CEILING(((M45-SUM(INDIRECT(CONCATENATE("$F$"&amp;MATCH("CJ",E10:E40,0)+9,":","$F$"&amp;MAX((E10:E40="CJ")*ROW(E10:E40))))))+N("congé payé")-7.84-N("ferie 1ermai? +pause")-ROUND(M41,0)),(("0,25"*SIGN((((M45-SUM(INDIRECT(CONCATENATE("$F$"&amp;MATCH("CJ",E10:E40,0)+9,":","$F$"&amp;MAX((E10:E40="CJ")*ROW(E10:E40))))))+N("congé payé")-7.84-N("ferie +pause")-ROUND(M41,0)))))))+(AB41*24)+N("heure de nuit *24")))</f>
        <v>#VALUE!</v>
      </c>
      <c r="O46" s="51"/>
      <c r="P46" s="51"/>
      <c r="AG46" s="50"/>
    </row>
    <row r="47" spans="4:33" ht="15">
      <c r="E47" s="276" t="s">
        <v>97</v>
      </c>
      <c r="F47" s="277"/>
      <c r="G47" s="277"/>
      <c r="H47" s="277"/>
      <c r="I47" s="326">
        <f>COUNTIFS(E10:E40,"CJ")</f>
        <v>0</v>
      </c>
      <c r="J47" s="327"/>
      <c r="K47" s="327"/>
      <c r="L47" s="328"/>
      <c r="M47" s="259" t="str">
        <f ca="1">SUMIFS(F10:F40,M10:M40,"&gt;0:00",E10:E40,"&lt;&gt;F")&amp;" /  "&amp;SUMIF(M10:M40,"&gt;0:00",F10:F40)+SUMIF(M10:M40,"f",F10:F40)</f>
        <v>0 /  0</v>
      </c>
      <c r="N47" s="247"/>
      <c r="O47" s="259"/>
      <c r="P47" s="259"/>
      <c r="Q47" s="66"/>
      <c r="AG47" s="50"/>
    </row>
    <row r="48" spans="4:33" ht="15">
      <c r="E48" s="276" t="s">
        <v>98</v>
      </c>
      <c r="F48" s="277"/>
      <c r="G48" s="277"/>
      <c r="H48" s="277"/>
      <c r="I48" s="326">
        <f>COUNTIF(E10:E40,"M")</f>
        <v>0</v>
      </c>
      <c r="J48" s="327"/>
      <c r="K48" s="327"/>
      <c r="L48" s="328"/>
      <c r="M48" s="247"/>
      <c r="N48" s="247"/>
      <c r="O48" s="259"/>
      <c r="P48" s="259"/>
      <c r="AG48" s="50"/>
    </row>
    <row r="49" spans="1:259" ht="15.75" thickBot="1">
      <c r="E49" s="278" t="s">
        <v>117</v>
      </c>
      <c r="F49" s="279"/>
      <c r="G49" s="279"/>
      <c r="H49" s="279"/>
      <c r="I49" s="329">
        <f>COUNTIF(E10:E40,"repos")</f>
        <v>0</v>
      </c>
      <c r="J49" s="330"/>
      <c r="K49" s="330"/>
      <c r="L49" s="331"/>
      <c r="M49" s="287"/>
      <c r="N49" s="257"/>
      <c r="O49" s="287"/>
      <c r="P49" s="287"/>
      <c r="AG49" s="50"/>
    </row>
    <row r="50" spans="1:259" ht="16.5" thickTop="1" thickBot="1">
      <c r="G50" s="332"/>
      <c r="H50" s="332"/>
      <c r="I50" s="332"/>
      <c r="J50" s="332"/>
      <c r="K50" s="332"/>
      <c r="L50" s="332"/>
      <c r="M50" s="288"/>
      <c r="N50" s="288"/>
      <c r="O50" s="288"/>
      <c r="P50" s="288"/>
      <c r="AG50" s="50"/>
    </row>
    <row r="51" spans="1:259" ht="15" customHeight="1">
      <c r="Q51" s="324" t="s">
        <v>99</v>
      </c>
      <c r="R51" s="307"/>
      <c r="AG51" s="50"/>
    </row>
    <row r="52" spans="1:259" ht="15.75" customHeight="1" thickBot="1">
      <c r="Q52" s="325"/>
      <c r="R52" s="308"/>
      <c r="S52" s="309" t="s">
        <v>100</v>
      </c>
      <c r="T52" s="310"/>
      <c r="AG52" s="50"/>
    </row>
    <row r="53" spans="1:259" ht="15" customHeight="1">
      <c r="G53" s="311"/>
      <c r="H53" s="312"/>
      <c r="I53" s="312"/>
      <c r="J53" s="312"/>
      <c r="K53" s="312"/>
      <c r="L53" s="312"/>
      <c r="M53" s="312"/>
      <c r="N53" s="312"/>
      <c r="O53" s="312"/>
      <c r="P53" s="312"/>
      <c r="Q53" s="313"/>
      <c r="R53" s="317" t="str">
        <f>INT(R51)&amp;"h"&amp;INT((R51-INT(R51))*60)</f>
        <v>0h0</v>
      </c>
      <c r="S53" s="319">
        <f>L41</f>
        <v>0</v>
      </c>
      <c r="T53" s="320"/>
      <c r="U53" s="69"/>
      <c r="AG53" s="50"/>
    </row>
    <row r="54" spans="1:259" ht="15" customHeight="1" thickBot="1">
      <c r="G54" s="314"/>
      <c r="H54" s="315"/>
      <c r="I54" s="315"/>
      <c r="J54" s="315"/>
      <c r="K54" s="315"/>
      <c r="L54" s="315"/>
      <c r="M54" s="315"/>
      <c r="N54" s="315"/>
      <c r="O54" s="315"/>
      <c r="P54" s="315"/>
      <c r="Q54" s="316"/>
      <c r="R54" s="318"/>
      <c r="S54" s="321"/>
      <c r="T54" s="322"/>
      <c r="U54" s="69"/>
      <c r="AG54" s="50"/>
    </row>
    <row r="55" spans="1:259" s="67" customFormat="1" ht="24.75" customHeight="1">
      <c r="A55" s="141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68"/>
      <c r="R55" s="323"/>
      <c r="S55" s="323"/>
      <c r="T55" s="134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60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  <c r="IE55" s="141"/>
      <c r="IF55" s="141"/>
      <c r="IG55" s="141"/>
      <c r="IH55" s="141"/>
      <c r="II55" s="141"/>
      <c r="IJ55" s="141"/>
      <c r="IK55" s="141"/>
      <c r="IL55" s="141"/>
      <c r="IM55" s="141"/>
      <c r="IN55" s="141"/>
      <c r="IO55" s="141"/>
      <c r="IP55" s="141"/>
      <c r="IQ55" s="141"/>
      <c r="IR55" s="141"/>
      <c r="IS55" s="141"/>
      <c r="IT55" s="141"/>
      <c r="IU55" s="141"/>
      <c r="IV55" s="141"/>
      <c r="IW55" s="141"/>
      <c r="IX55" s="141"/>
      <c r="IY55" s="141"/>
    </row>
    <row r="56" spans="1:259" ht="34.5" customHeight="1">
      <c r="R56" s="306"/>
      <c r="S56" s="306"/>
      <c r="T56" s="306"/>
      <c r="U56" s="306"/>
      <c r="AG56" s="50"/>
    </row>
    <row r="57" spans="1:259" ht="15" hidden="1">
      <c r="AG57" s="50"/>
    </row>
    <row r="58" spans="1:259" ht="15" hidden="1">
      <c r="AG58" s="50"/>
    </row>
    <row r="59" spans="1:259" ht="15" hidden="1">
      <c r="AG59" s="50"/>
    </row>
    <row r="60" spans="1:259" ht="15" hidden="1">
      <c r="AG60" s="50"/>
    </row>
    <row r="61" spans="1:259" ht="15" hidden="1">
      <c r="AG61" s="50"/>
    </row>
    <row r="62" spans="1:259" ht="15" hidden="1">
      <c r="AG62" s="50" t="e">
        <f>IF(OR($E10="w",$E10="f",$E10=""),"",$L10-Données!$M$9)</f>
        <v>#VALUE!</v>
      </c>
    </row>
    <row r="63" spans="1:259" ht="15" hidden="1">
      <c r="AG63" s="50"/>
    </row>
    <row r="64" spans="1:259" ht="15" hidden="1">
      <c r="AG64" s="50"/>
    </row>
    <row r="65" spans="33:33" ht="15" hidden="1">
      <c r="AG65" s="50"/>
    </row>
    <row r="66" spans="33:33" ht="15" hidden="1">
      <c r="AG66" s="50"/>
    </row>
    <row r="67" spans="33:33" ht="15" hidden="1">
      <c r="AG67" s="50"/>
    </row>
    <row r="68" spans="33:33" ht="15" hidden="1">
      <c r="AG68" s="50"/>
    </row>
    <row r="69" spans="33:33" ht="15" hidden="1">
      <c r="AG69" s="50"/>
    </row>
    <row r="70" spans="33:33" ht="15" hidden="1">
      <c r="AG70" s="50"/>
    </row>
    <row r="71" spans="33:33" ht="15" hidden="1">
      <c r="AG71" s="50"/>
    </row>
    <row r="72" spans="33:33" ht="15" hidden="1">
      <c r="AG72" s="50"/>
    </row>
    <row r="73" spans="33:33" ht="15" hidden="1">
      <c r="AG73" s="50"/>
    </row>
    <row r="74" spans="33:33" ht="15" hidden="1">
      <c r="AG74" s="50"/>
    </row>
    <row r="75" spans="33:33" ht="15" hidden="1">
      <c r="AG75" s="50"/>
    </row>
    <row r="76" spans="33:33" ht="15" hidden="1">
      <c r="AG76" s="50"/>
    </row>
    <row r="77" spans="33:33" ht="15" hidden="1">
      <c r="AG77" s="50"/>
    </row>
    <row r="78" spans="33:33" ht="15" hidden="1">
      <c r="AG78" s="50"/>
    </row>
    <row r="79" spans="33:33" ht="15" hidden="1">
      <c r="AG79" s="50"/>
    </row>
    <row r="80" spans="33:33" ht="15" hidden="1">
      <c r="AG80" s="50"/>
    </row>
    <row r="81" spans="33:33" ht="15" hidden="1">
      <c r="AG81" s="50"/>
    </row>
    <row r="82" spans="33:33" ht="15" hidden="1">
      <c r="AG82" s="50"/>
    </row>
    <row r="83" spans="33:33" ht="15" hidden="1">
      <c r="AG83" s="50"/>
    </row>
    <row r="84" spans="33:33" ht="15" hidden="1">
      <c r="AG84" s="50"/>
    </row>
    <row r="85" spans="33:33" ht="15" hidden="1">
      <c r="AG85" s="50"/>
    </row>
    <row r="86" spans="33:33" ht="15" hidden="1">
      <c r="AG86" s="50"/>
    </row>
    <row r="87" spans="33:33" ht="15" hidden="1">
      <c r="AG87" s="50"/>
    </row>
    <row r="88" spans="33:33" ht="15" hidden="1">
      <c r="AG88" s="50"/>
    </row>
    <row r="89" spans="33:33" ht="15" hidden="1">
      <c r="AG89" s="50"/>
    </row>
  </sheetData>
  <mergeCells count="50">
    <mergeCell ref="R55:S55"/>
    <mergeCell ref="R56:U56"/>
    <mergeCell ref="Q51:Q52"/>
    <mergeCell ref="R51:R52"/>
    <mergeCell ref="S52:T52"/>
    <mergeCell ref="G53:Q54"/>
    <mergeCell ref="R53:R54"/>
    <mergeCell ref="S53:T54"/>
    <mergeCell ref="I45:L45"/>
    <mergeCell ref="I46:L46"/>
    <mergeCell ref="I47:L47"/>
    <mergeCell ref="I48:L48"/>
    <mergeCell ref="I49:L49"/>
    <mergeCell ref="G50:L50"/>
    <mergeCell ref="Q36:AA36"/>
    <mergeCell ref="Q37:AA37"/>
    <mergeCell ref="Q38:AA38"/>
    <mergeCell ref="Q39:AA39"/>
    <mergeCell ref="Q40:AA40"/>
    <mergeCell ref="J42:R42"/>
    <mergeCell ref="Q30:AA30"/>
    <mergeCell ref="Q31:AA31"/>
    <mergeCell ref="Q32:AA32"/>
    <mergeCell ref="Q33:AA33"/>
    <mergeCell ref="Q34:AA34"/>
    <mergeCell ref="Q35:AA35"/>
    <mergeCell ref="Q24:AA24"/>
    <mergeCell ref="Q25:AA25"/>
    <mergeCell ref="Q26:AA26"/>
    <mergeCell ref="Q27:AA27"/>
    <mergeCell ref="Q28:AA28"/>
    <mergeCell ref="Q29:AA29"/>
    <mergeCell ref="Q18:AA18"/>
    <mergeCell ref="Q19:AA19"/>
    <mergeCell ref="Q20:AA20"/>
    <mergeCell ref="Q21:AA21"/>
    <mergeCell ref="Q22:AA22"/>
    <mergeCell ref="Q23:AA23"/>
    <mergeCell ref="Q12:AA12"/>
    <mergeCell ref="Q13:AA13"/>
    <mergeCell ref="Q14:AA14"/>
    <mergeCell ref="Q15:AA15"/>
    <mergeCell ref="Q16:AA16"/>
    <mergeCell ref="Q17:AA17"/>
    <mergeCell ref="H7:P7"/>
    <mergeCell ref="H8:I8"/>
    <mergeCell ref="J8:K8"/>
    <mergeCell ref="Q9:AA9"/>
    <mergeCell ref="Q10:AA10"/>
    <mergeCell ref="Q11:AA11"/>
  </mergeCells>
  <conditionalFormatting sqref="D10:G40 H10:L41 M10:AA40">
    <cfRule type="expression" dxfId="30" priority="28">
      <formula>IF(INDEX(planning_decoupe_abattage2,MATCH($G10,planning_decoupe_abattage2,1))=$G10,"vrai")</formula>
    </cfRule>
    <cfRule type="expression" dxfId="29" priority="29">
      <formula>$E10="REPOS"</formula>
    </cfRule>
    <cfRule type="expression" dxfId="28" priority="30">
      <formula>$E10="M"</formula>
    </cfRule>
    <cfRule type="expression" dxfId="27" priority="31" stopIfTrue="1">
      <formula>$G10=TODAY()</formula>
    </cfRule>
  </conditionalFormatting>
  <conditionalFormatting sqref="L10:L41">
    <cfRule type="expression" priority="26" stopIfTrue="1">
      <formula>$L10=""</formula>
    </cfRule>
    <cfRule type="expression" dxfId="26" priority="27" stopIfTrue="1">
      <formula>$L10&gt;="10:00"*1</formula>
    </cfRule>
  </conditionalFormatting>
  <conditionalFormatting sqref="N10:N40">
    <cfRule type="expression" dxfId="25" priority="25" stopIfTrue="1">
      <formula>$N10&lt;&gt;""</formula>
    </cfRule>
  </conditionalFormatting>
  <conditionalFormatting sqref="L10:L41">
    <cfRule type="expression" dxfId="24" priority="21" stopIfTrue="1">
      <formula>$E10="REPOS"</formula>
    </cfRule>
    <cfRule type="expression" dxfId="23" priority="22" stopIfTrue="1">
      <formula>$E10="M"</formula>
    </cfRule>
    <cfRule type="expression" dxfId="22" priority="24" stopIfTrue="1">
      <formula>$E10="CJ"</formula>
    </cfRule>
  </conditionalFormatting>
  <conditionalFormatting sqref="L10:O40">
    <cfRule type="expression" dxfId="21" priority="15">
      <formula>$E10="REPOS"</formula>
    </cfRule>
    <cfRule type="expression" dxfId="20" priority="16">
      <formula>$E10="M"</formula>
    </cfRule>
    <cfRule type="expression" dxfId="19" priority="18" stopIfTrue="1">
      <formula>$E10="CJ"</formula>
    </cfRule>
  </conditionalFormatting>
  <conditionalFormatting sqref="L10:O40">
    <cfRule type="expression" dxfId="18" priority="14">
      <formula>IF(INDEX(planning_decoupe_abattage2,MATCH($G10,planning_decoupe_abattage2,1))=$G10,"vrai")</formula>
    </cfRule>
  </conditionalFormatting>
  <conditionalFormatting sqref="N10:N40">
    <cfRule type="expression" dxfId="17" priority="13">
      <formula>$N10&lt;&gt;""</formula>
    </cfRule>
  </conditionalFormatting>
  <conditionalFormatting sqref="L10:L40">
    <cfRule type="expression" dxfId="16" priority="7" stopIfTrue="1">
      <formula>IF(INDEX(planning_decoupe_abattage2,MATCH($G10,planning_decoupe_abattage2,1))=$G10,"vrai")</formula>
    </cfRule>
    <cfRule type="expression" dxfId="15" priority="8" stopIfTrue="1">
      <formula>$E10="REPOS"</formula>
    </cfRule>
    <cfRule type="expression" dxfId="14" priority="9" stopIfTrue="1">
      <formula>$E10="w"</formula>
    </cfRule>
    <cfRule type="expression" dxfId="13" priority="10" stopIfTrue="1">
      <formula>$E10="F"</formula>
    </cfRule>
    <cfRule type="expression" dxfId="12" priority="11" stopIfTrue="1">
      <formula>$G10=TODAY()</formula>
    </cfRule>
    <cfRule type="expression" dxfId="11" priority="12" stopIfTrue="1">
      <formula>$E10="CJ"</formula>
    </cfRule>
  </conditionalFormatting>
  <conditionalFormatting sqref="D10:AB41">
    <cfRule type="expression" dxfId="10" priority="2">
      <formula>$E10="M"</formula>
    </cfRule>
    <cfRule type="expression" dxfId="9" priority="6">
      <formula>IF(INDEX(planning_decoupe_abattage2,MATCH($G10,planning_decoupe_abattage2,1))=$G10,"vrai")</formula>
    </cfRule>
    <cfRule type="expression" dxfId="8" priority="17" stopIfTrue="1">
      <formula>$G10=TODAY()</formula>
    </cfRule>
    <cfRule type="expression" dxfId="7" priority="19" stopIfTrue="1">
      <formula>$E10="w"</formula>
    </cfRule>
    <cfRule type="expression" dxfId="6" priority="20">
      <formula>IF(INDEX(planning_decoupe_abattage2,MATCH($G10,planning_decoupe_abattage2,1))=$G10,"vrai")</formula>
    </cfRule>
    <cfRule type="expression" dxfId="5" priority="23" stopIfTrue="1">
      <formula>$E10="F"</formula>
    </cfRule>
  </conditionalFormatting>
  <conditionalFormatting sqref="K10:K41">
    <cfRule type="expression" dxfId="4" priority="5" stopIfTrue="1">
      <formula>$E10="F"</formula>
    </cfRule>
  </conditionalFormatting>
  <conditionalFormatting sqref="D10:L41">
    <cfRule type="expression" dxfId="3" priority="1">
      <formula>$E10="REPOS"</formula>
    </cfRule>
    <cfRule type="expression" dxfId="2" priority="3" stopIfTrue="1">
      <formula>$E10="CJ"</formula>
    </cfRule>
    <cfRule type="expression" dxfId="1" priority="4" stopIfTrue="1">
      <formula>$E10="w"</formula>
    </cfRule>
    <cfRule type="expression" dxfId="0" priority="32" stopIfTrue="1">
      <formula>$E10="CJ"</formula>
    </cfRule>
  </conditionalFormatting>
  <dataValidations count="1">
    <dataValidation type="list" allowBlank="1" showInputMessage="1" showErrorMessage="1" sqref="H10:K41" xr:uid="{B35B851E-AB23-4428-A7B1-0606470982B0}">
      <formula1>IF(OR($E10="w",$E10="M",AND($E10="f",$G10&lt;&gt;TRAVAILPRLESRETRAITEE),$G10="",$E10="cj",$E10="repos" ),"",HEURES)</formula1>
    </dataValidation>
  </dataValidations>
  <pageMargins left="0.69056423611111151" right="0.69056423611111151" top="0.74062499999999998" bottom="0.74062499999999998" header="0.29624999999999996" footer="0.29624999999999996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25</vt:i4>
      </vt:variant>
    </vt:vector>
  </HeadingPairs>
  <TitlesOfParts>
    <vt:vector size="40" baseType="lpstr">
      <vt:lpstr>VIERGE</vt:lpstr>
      <vt:lpstr>Données</vt:lpstr>
      <vt:lpstr>CALENDRIER PERPETUEL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CJ</vt:lpstr>
      <vt:lpstr>D.MALADIE</vt:lpstr>
      <vt:lpstr>Debut_Congés</vt:lpstr>
      <vt:lpstr>DVac</vt:lpstr>
      <vt:lpstr>F</vt:lpstr>
      <vt:lpstr>F.MALADIE</vt:lpstr>
      <vt:lpstr>FIN_Congés</vt:lpstr>
      <vt:lpstr>HEURE_valeur</vt:lpstr>
      <vt:lpstr>heurejournéedetravail</vt:lpstr>
      <vt:lpstr>HEURES</vt:lpstr>
      <vt:lpstr>Jour_QUESTION</vt:lpstr>
      <vt:lpstr>JOURS_FERIE</vt:lpstr>
      <vt:lpstr>l_Année</vt:lpstr>
      <vt:lpstr>M</vt:lpstr>
      <vt:lpstr>MOIS</vt:lpstr>
      <vt:lpstr>pause_choix</vt:lpstr>
      <vt:lpstr>PAUSE_HEURE</vt:lpstr>
      <vt:lpstr>PAUSE_ONET</vt:lpstr>
      <vt:lpstr>PAUSE_ONET2</vt:lpstr>
      <vt:lpstr>pause_vide</vt:lpstr>
      <vt:lpstr>REPOS</vt:lpstr>
      <vt:lpstr>REPOS_jour</vt:lpstr>
      <vt:lpstr>TRAVAILPRLESRETRAITEE</vt:lpstr>
      <vt:lpstr>Var_an</vt:lpstr>
      <vt:lpstr>W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François</cp:lastModifiedBy>
  <cp:revision>1</cp:revision>
  <dcterms:created xsi:type="dcterms:W3CDTF">2017-06-13T08:47:00Z</dcterms:created>
  <dcterms:modified xsi:type="dcterms:W3CDTF">2026-02-03T05:43:20Z</dcterms:modified>
</cp:coreProperties>
</file>