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tables/table1.xml" ContentType="application/vnd.openxmlformats-officedocument.spreadsheetml.table+xml"/>
  <Override PartName="/xl/comments3.xml" ContentType="application/vnd.openxmlformats-officedocument.spreadsheetml.comment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5"/>
  <workbookPr showInkAnnotation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AC69EC08-7D01-4202-A726-51EB58754FF1}" xr6:coauthVersionLast="36" xr6:coauthVersionMax="47" xr10:uidLastSave="{00000000-0000-0000-0000-000000000000}"/>
  <bookViews>
    <workbookView xWindow="28680" yWindow="-120" windowWidth="29040" windowHeight="15720" firstSheet="4" activeTab="4" xr2:uid="{00000000-000D-0000-FFFF-FFFF00000000}"/>
  </bookViews>
  <sheets>
    <sheet name="Positionnement" sheetId="46" state="hidden" r:id="rId1"/>
    <sheet name="Coûts salariaux actuels (ok)" sheetId="34" state="hidden" r:id="rId2"/>
    <sheet name="Coûts salariaux" sheetId="15" state="hidden" r:id="rId3"/>
    <sheet name="économie" sheetId="57" state="hidden" r:id="rId4"/>
    <sheet name="Payroll" sheetId="47" r:id="rId5"/>
    <sheet name="Bulletins" sheetId="70" r:id="rId6"/>
  </sheets>
  <externalReferences>
    <externalReference r:id="rId7"/>
    <externalReference r:id="rId8"/>
    <externalReference r:id="rId9"/>
    <externalReference r:id="rId10"/>
    <externalReference r:id="rId11"/>
    <externalReference r:id="rId12"/>
  </externalReferences>
  <definedNames>
    <definedName name="_13m">'[1]indem expat'!$C$15</definedName>
    <definedName name="Animatlog" localSheetId="1">#REF!</definedName>
    <definedName name="Animatlog" localSheetId="4">#REF!</definedName>
    <definedName name="Animatlog">#REF!</definedName>
    <definedName name="annee" localSheetId="2">#REF!</definedName>
    <definedName name="annee" localSheetId="1">#REF!</definedName>
    <definedName name="annee" localSheetId="4">#REF!</definedName>
    <definedName name="annee">#REF!</definedName>
    <definedName name="bud" localSheetId="2">#REF!</definedName>
    <definedName name="bud" localSheetId="1">#REF!</definedName>
    <definedName name="bud" localSheetId="4">#REF!</definedName>
    <definedName name="bud">#REF!</definedName>
    <definedName name="cong">'[1]indem expat'!$C$17</definedName>
    <definedName name="coût_standard" localSheetId="2">#REF!</definedName>
    <definedName name="coût_standard" localSheetId="1">#REF!</definedName>
    <definedName name="coût_standard" localSheetId="4">#REF!</definedName>
    <definedName name="coût_standard">#REF!</definedName>
    <definedName name="coût_total" localSheetId="2">#REF!</definedName>
    <definedName name="coût_total" localSheetId="1">#REF!</definedName>
    <definedName name="coût_total" localSheetId="4">#REF!</definedName>
    <definedName name="coût_total">#REF!</definedName>
    <definedName name="coûts_directs" localSheetId="2">#REF!</definedName>
    <definedName name="coûts_directs" localSheetId="1">#REF!</definedName>
    <definedName name="coûts_directs" localSheetId="4">#REF!</definedName>
    <definedName name="coûts_directs">#REF!</definedName>
    <definedName name="coûts_suivi" localSheetId="2">#REF!</definedName>
    <definedName name="coûts_suivi" localSheetId="1">#REF!</definedName>
    <definedName name="coûts_suivi" localSheetId="4">#REF!</definedName>
    <definedName name="coûts_suivi">#REF!</definedName>
    <definedName name="cpte" localSheetId="2">#REF!</definedName>
    <definedName name="cpte" localSheetId="1">#REF!</definedName>
    <definedName name="cpte" localSheetId="4">#REF!</definedName>
    <definedName name="cpte">#REF!</definedName>
    <definedName name="critera" localSheetId="2">#REF!</definedName>
    <definedName name="critera" localSheetId="1">#REF!</definedName>
    <definedName name="critera" localSheetId="4">#REF!</definedName>
    <definedName name="critera">#REF!</definedName>
    <definedName name="dd" localSheetId="1">#REF!</definedName>
    <definedName name="dd" localSheetId="4">#REF!</definedName>
    <definedName name="dd">#REF!</definedName>
    <definedName name="dev" localSheetId="2">#REF!</definedName>
    <definedName name="dev" localSheetId="1">#REF!</definedName>
    <definedName name="dev" localSheetId="4">#REF!</definedName>
    <definedName name="dev">#REF!</definedName>
    <definedName name="fincont">'[1]indem expat'!$C$16</definedName>
    <definedName name="_xlnm.Recorder" localSheetId="2">#REF!</definedName>
    <definedName name="_xlnm.Recorder" localSheetId="1">#REF!</definedName>
    <definedName name="_xlnm.Recorder" localSheetId="4">#REF!</definedName>
    <definedName name="_xlnm.Recorder">#REF!</definedName>
    <definedName name="GRC">'[1]Grille de référence'!$C$6:$E$12</definedName>
    <definedName name="GRNC">'[1]Grille de référence'!$I$6:$K$9</definedName>
    <definedName name="joursex">'[2]prix de revient'!$AC$2</definedName>
    <definedName name="joursiege">'[2]prix de revient'!$AC$1</definedName>
    <definedName name="LST_PAYROLL_NOMS">T_PAYROLL[Noms et prénoms]</definedName>
    <definedName name="matFS" localSheetId="2">#REF!</definedName>
    <definedName name="matFS" localSheetId="1">#REF!</definedName>
    <definedName name="matFS" localSheetId="4">#REF!</definedName>
    <definedName name="matFS">#REF!</definedName>
    <definedName name="matFS1" localSheetId="2">#REF!</definedName>
    <definedName name="matFS1" localSheetId="1">#REF!</definedName>
    <definedName name="matFS1" localSheetId="4">#REF!</definedName>
    <definedName name="matFS1">#REF!</definedName>
    <definedName name="mois" localSheetId="2">#REF!</definedName>
    <definedName name="mois" localSheetId="1">#REF!</definedName>
    <definedName name="mois" localSheetId="4">#REF!</definedName>
    <definedName name="mois">#REF!</definedName>
    <definedName name="nbpoint">'[1]indem expat'!$C$10</definedName>
    <definedName name="point">[3]Taux!$C$3</definedName>
    <definedName name="PROJET">[4]Param!$C$36:$C$45</definedName>
    <definedName name="quantité" localSheetId="2">#REF!</definedName>
    <definedName name="quantité" localSheetId="1">#REF!</definedName>
    <definedName name="quantité" localSheetId="4">#REF!</definedName>
    <definedName name="quantité">#REF!</definedName>
    <definedName name="salairebase">'[1]indem expat'!$D$13</definedName>
    <definedName name="sold" localSheetId="2">#REF!</definedName>
    <definedName name="sold" localSheetId="1">#REF!</definedName>
    <definedName name="sold" localSheetId="4">#REF!</definedName>
    <definedName name="sold">#REF!</definedName>
    <definedName name="soldD" localSheetId="2">#REF!</definedName>
    <definedName name="soldD" localSheetId="1">#REF!</definedName>
    <definedName name="soldD" localSheetId="4">#REF!</definedName>
    <definedName name="soldD">#REF!</definedName>
    <definedName name="solde" localSheetId="2">#REF!</definedName>
    <definedName name="solde" localSheetId="1">#REF!</definedName>
    <definedName name="solde" localSheetId="4">#REF!</definedName>
    <definedName name="solde">#REF!</definedName>
    <definedName name="sstot11" localSheetId="2">#REF!</definedName>
    <definedName name="sstot11" localSheetId="1">#REF!</definedName>
    <definedName name="sstot11" localSheetId="4">#REF!</definedName>
    <definedName name="sstot11">#REF!</definedName>
    <definedName name="sstot12" localSheetId="2">#REF!</definedName>
    <definedName name="sstot12" localSheetId="1">#REF!</definedName>
    <definedName name="sstot12" localSheetId="4">#REF!</definedName>
    <definedName name="sstot12">#REF!</definedName>
    <definedName name="sstot21" localSheetId="2">#REF!</definedName>
    <definedName name="sstot21" localSheetId="1">#REF!</definedName>
    <definedName name="sstot21" localSheetId="4">#REF!</definedName>
    <definedName name="sstot21">#REF!</definedName>
    <definedName name="sstot22" localSheetId="2">#REF!</definedName>
    <definedName name="sstot22" localSheetId="1">#REF!</definedName>
    <definedName name="sstot22" localSheetId="4">#REF!</definedName>
    <definedName name="sstot22">#REF!</definedName>
    <definedName name="TABC">[1]TABC!$B$5:$H$46</definedName>
    <definedName name="TABNC">[1]TABNC!$B$5:$H$46</definedName>
    <definedName name="tot_synt" localSheetId="2">#REF!</definedName>
    <definedName name="tot_synt" localSheetId="1">#REF!</definedName>
    <definedName name="tot_synt" localSheetId="4">#REF!</definedName>
    <definedName name="tot_synt">#REF!</definedName>
    <definedName name="V_LIG_PAYROLL">Bulletins!$M$6</definedName>
    <definedName name="VALPT">'[1]Grille de référence'!$C$1</definedName>
  </definedNames>
  <calcPr calcId="191029"/>
</workbook>
</file>

<file path=xl/calcChain.xml><?xml version="1.0" encoding="utf-8"?>
<calcChain xmlns="http://schemas.openxmlformats.org/spreadsheetml/2006/main">
  <c r="M6" i="47" l="1"/>
  <c r="M7" i="47"/>
  <c r="M8" i="47"/>
  <c r="M9" i="47"/>
  <c r="M10" i="47"/>
  <c r="M11" i="47"/>
  <c r="M12" i="47"/>
  <c r="M13" i="47"/>
  <c r="M14" i="47"/>
  <c r="M5" i="47"/>
  <c r="W5" i="47" l="1"/>
  <c r="W7" i="47" l="1"/>
  <c r="W12" i="47"/>
  <c r="W9" i="47"/>
  <c r="W11" i="47"/>
  <c r="W13" i="47"/>
  <c r="W14" i="47"/>
  <c r="W8" i="47"/>
  <c r="W10" i="47"/>
  <c r="W6" i="47"/>
  <c r="D19" i="70"/>
  <c r="S5" i="47" l="1"/>
  <c r="D15" i="70"/>
  <c r="D16" i="70"/>
  <c r="D54" i="70"/>
  <c r="D53" i="70"/>
  <c r="BU15" i="47"/>
  <c r="BT15" i="47"/>
  <c r="D14" i="70"/>
  <c r="G13" i="70"/>
  <c r="D13" i="70"/>
  <c r="A5" i="47"/>
  <c r="S6" i="47" l="1"/>
  <c r="S7" i="47"/>
  <c r="S8" i="47"/>
  <c r="S9" i="47"/>
  <c r="S10" i="47"/>
  <c r="S11" i="47"/>
  <c r="S12" i="47"/>
  <c r="S13" i="47"/>
  <c r="S14" i="47"/>
  <c r="CA5" i="47"/>
  <c r="CA12" i="47"/>
  <c r="CA6" i="47"/>
  <c r="CA10" i="47"/>
  <c r="CA14" i="47"/>
  <c r="CA11" i="47"/>
  <c r="CA13" i="47"/>
  <c r="CA7" i="47"/>
  <c r="CA9" i="47"/>
  <c r="CA8" i="47"/>
  <c r="D28" i="70"/>
  <c r="D29" i="70"/>
  <c r="D27" i="70"/>
  <c r="D26" i="70"/>
  <c r="BV15" i="47"/>
  <c r="BO15" i="47"/>
  <c r="BP15" i="47"/>
  <c r="BQ15" i="47"/>
  <c r="BR15" i="47"/>
  <c r="BN15" i="47"/>
  <c r="S15" i="47" l="1"/>
  <c r="D41" i="70"/>
  <c r="D52" i="70" l="1"/>
  <c r="D49" i="70"/>
  <c r="D46" i="70"/>
  <c r="D48" i="70"/>
  <c r="D47" i="70"/>
  <c r="D40" i="70"/>
  <c r="D20" i="70"/>
  <c r="D6" i="70"/>
  <c r="M6" i="70" l="1"/>
  <c r="A12" i="47"/>
  <c r="A6" i="47"/>
  <c r="A10" i="47"/>
  <c r="A14" i="47"/>
  <c r="A11" i="47"/>
  <c r="A13" i="47"/>
  <c r="A7" i="47"/>
  <c r="A9" i="47"/>
  <c r="A8" i="47"/>
  <c r="H16" i="70" l="1"/>
  <c r="H19" i="70"/>
  <c r="I54" i="70"/>
  <c r="I52" i="70"/>
  <c r="I55" i="70" s="1"/>
  <c r="I53" i="70"/>
  <c r="E14" i="70"/>
  <c r="H13" i="70"/>
  <c r="E13" i="70"/>
  <c r="H28" i="70"/>
  <c r="H29" i="70"/>
  <c r="H27" i="70"/>
  <c r="H26" i="70"/>
  <c r="I41" i="70"/>
  <c r="G49" i="70"/>
  <c r="G48" i="70"/>
  <c r="G47" i="70"/>
  <c r="G46" i="70"/>
  <c r="I40" i="70"/>
  <c r="H25" i="70"/>
  <c r="H23" i="70"/>
  <c r="H24" i="70"/>
  <c r="H21" i="70"/>
  <c r="H20" i="70"/>
  <c r="H18" i="70"/>
  <c r="H8" i="70"/>
  <c r="H10" i="70"/>
  <c r="H15" i="70"/>
  <c r="H9" i="70"/>
  <c r="H12" i="70"/>
  <c r="H11" i="70"/>
  <c r="E11" i="70"/>
  <c r="H17" i="70"/>
  <c r="H22" i="70"/>
  <c r="E10" i="70"/>
  <c r="E12" i="70"/>
  <c r="E9" i="70"/>
  <c r="BL15" i="47"/>
  <c r="BF15" i="47"/>
  <c r="AY15" i="47"/>
  <c r="AL15" i="47"/>
  <c r="AK15" i="47"/>
  <c r="AJ15" i="47"/>
  <c r="AI15" i="47"/>
  <c r="AH15" i="47"/>
  <c r="AG15" i="47"/>
  <c r="AC15" i="47"/>
  <c r="AB15" i="47"/>
  <c r="AA15" i="47"/>
  <c r="Z15" i="47"/>
  <c r="Y15" i="47"/>
  <c r="X15" i="47"/>
  <c r="V15" i="47"/>
  <c r="U15" i="47"/>
  <c r="R15" i="47"/>
  <c r="H30" i="70" l="1"/>
  <c r="G32" i="70" s="1"/>
  <c r="G15" i="70"/>
  <c r="G50" i="70" l="1"/>
  <c r="CF8" i="47" l="1"/>
  <c r="CG8" i="47" s="1"/>
  <c r="CF9" i="47"/>
  <c r="CG9" i="47" s="1"/>
  <c r="CF7" i="47"/>
  <c r="CG7" i="47" s="1"/>
  <c r="CF13" i="47"/>
  <c r="CG13" i="47" s="1"/>
  <c r="CF11" i="47"/>
  <c r="CG11" i="47" s="1"/>
  <c r="CF14" i="47"/>
  <c r="CG14" i="47" s="1"/>
  <c r="CF10" i="47"/>
  <c r="CG10" i="47" s="1"/>
  <c r="CF6" i="47"/>
  <c r="CG6" i="47" s="1"/>
  <c r="CF12" i="47"/>
  <c r="CG12" i="47" s="1"/>
  <c r="CF5" i="47"/>
  <c r="CG5" i="47" s="1"/>
  <c r="AN5" i="47" l="1"/>
  <c r="AN12" i="47"/>
  <c r="AN10" i="47"/>
  <c r="AN6" i="47"/>
  <c r="AN11" i="47"/>
  <c r="AN13" i="47"/>
  <c r="AN8" i="47"/>
  <c r="AN14" i="47"/>
  <c r="AN7" i="47"/>
  <c r="AN9" i="47"/>
  <c r="AF15" i="47"/>
  <c r="AD15" i="47"/>
  <c r="D25" i="70"/>
  <c r="D24" i="70"/>
  <c r="D23" i="70"/>
  <c r="D22" i="70"/>
  <c r="D21" i="70"/>
  <c r="D18" i="70"/>
  <c r="D17" i="70"/>
  <c r="J44" i="70"/>
  <c r="AT18" i="47"/>
  <c r="BN2" i="47"/>
  <c r="BD41" i="47"/>
  <c r="M11" i="57"/>
  <c r="L11" i="57"/>
  <c r="H11" i="57" s="1"/>
  <c r="E11" i="57"/>
  <c r="F11" i="57" s="1"/>
  <c r="D11" i="57"/>
  <c r="M10" i="57"/>
  <c r="L10" i="57"/>
  <c r="E10" i="57"/>
  <c r="F10" i="57" s="1"/>
  <c r="D10" i="57"/>
  <c r="M9" i="57"/>
  <c r="L9" i="57"/>
  <c r="H9" i="57" s="1"/>
  <c r="E9" i="57"/>
  <c r="F9" i="57" s="1"/>
  <c r="D9" i="57"/>
  <c r="M8" i="57"/>
  <c r="L8" i="57"/>
  <c r="H8" i="57" s="1"/>
  <c r="D8" i="57"/>
  <c r="M7" i="57"/>
  <c r="L7" i="57"/>
  <c r="D7" i="57"/>
  <c r="M6" i="57"/>
  <c r="L6" i="57"/>
  <c r="F6" i="57"/>
  <c r="D6" i="57"/>
  <c r="O6" i="57" s="1"/>
  <c r="M5" i="57"/>
  <c r="L5" i="57"/>
  <c r="K5" i="57"/>
  <c r="D5" i="57"/>
  <c r="AG28" i="15"/>
  <c r="AE28" i="15"/>
  <c r="AC28" i="15"/>
  <c r="AB28" i="15"/>
  <c r="X28" i="15"/>
  <c r="W28" i="15"/>
  <c r="R28" i="15"/>
  <c r="L28" i="15"/>
  <c r="K28" i="15"/>
  <c r="J28" i="15"/>
  <c r="I28" i="15"/>
  <c r="H28" i="15"/>
  <c r="G28" i="15"/>
  <c r="AI27" i="15"/>
  <c r="AH27" i="15"/>
  <c r="C27" i="15"/>
  <c r="D27" i="15" s="1"/>
  <c r="M27" i="15" s="1"/>
  <c r="N27" i="15" s="1"/>
  <c r="AI26" i="15"/>
  <c r="AH26" i="15"/>
  <c r="C26" i="15"/>
  <c r="Q26" i="15" s="1"/>
  <c r="AJ25" i="15"/>
  <c r="C25" i="15"/>
  <c r="E25" i="15" s="1"/>
  <c r="AJ24" i="15"/>
  <c r="C24" i="15"/>
  <c r="D24" i="15" s="1"/>
  <c r="F24" i="15" s="1"/>
  <c r="AI23" i="15"/>
  <c r="AH23" i="15"/>
  <c r="C23" i="15"/>
  <c r="Q23" i="15" s="1"/>
  <c r="AI22" i="15"/>
  <c r="AH22" i="15"/>
  <c r="AJ22" i="15" s="1"/>
  <c r="C22" i="15"/>
  <c r="Q22" i="15" s="1"/>
  <c r="AJ21" i="15"/>
  <c r="C21" i="15"/>
  <c r="D21" i="15" s="1"/>
  <c r="F21" i="15" s="1"/>
  <c r="AJ20" i="15"/>
  <c r="C20" i="15"/>
  <c r="AJ19" i="15"/>
  <c r="C19" i="15"/>
  <c r="D19" i="15" s="1"/>
  <c r="F19" i="15" s="1"/>
  <c r="AJ18" i="15"/>
  <c r="C18" i="15"/>
  <c r="E18" i="15" s="1"/>
  <c r="AI17" i="15"/>
  <c r="AH17" i="15"/>
  <c r="C17" i="15"/>
  <c r="Q17" i="15" s="1"/>
  <c r="AI16" i="15"/>
  <c r="AH16" i="15"/>
  <c r="C16" i="15"/>
  <c r="E16" i="15" s="1"/>
  <c r="AI15" i="15"/>
  <c r="AJ15" i="15" s="1"/>
  <c r="AH15" i="15"/>
  <c r="Q15" i="15"/>
  <c r="E15" i="15"/>
  <c r="D15" i="15"/>
  <c r="F15" i="15" s="1"/>
  <c r="Y15" i="15" s="1"/>
  <c r="Z15" i="15" s="1"/>
  <c r="AJ14" i="15"/>
  <c r="C14" i="15"/>
  <c r="D14" i="15" s="1"/>
  <c r="AJ13" i="15"/>
  <c r="C13" i="15"/>
  <c r="D13" i="15" s="1"/>
  <c r="M13" i="15" s="1"/>
  <c r="O13" i="15" s="1"/>
  <c r="P13" i="15" s="1"/>
  <c r="AJ12" i="15"/>
  <c r="C12" i="15"/>
  <c r="AJ11" i="15"/>
  <c r="C11" i="15"/>
  <c r="E11" i="15" s="1"/>
  <c r="AJ10" i="15"/>
  <c r="C10" i="15"/>
  <c r="AI9" i="15"/>
  <c r="AH9" i="15"/>
  <c r="C9" i="15"/>
  <c r="AI8" i="15"/>
  <c r="AH8" i="15"/>
  <c r="C8" i="15"/>
  <c r="AI7" i="15"/>
  <c r="AI28" i="15" s="1"/>
  <c r="AH7" i="15"/>
  <c r="C7" i="15"/>
  <c r="E7" i="15" s="1"/>
  <c r="AI6" i="15"/>
  <c r="AH6" i="15"/>
  <c r="AH28" i="15" s="1"/>
  <c r="C6" i="15"/>
  <c r="E6" i="15" s="1"/>
  <c r="BD28" i="34"/>
  <c r="BA28" i="34"/>
  <c r="BB28" i="34" s="1"/>
  <c r="Z28" i="34"/>
  <c r="O28" i="34"/>
  <c r="X28" i="34" s="1"/>
  <c r="E28" i="34"/>
  <c r="B28" i="34"/>
  <c r="AL24" i="34"/>
  <c r="AK24" i="34"/>
  <c r="AJ24" i="34"/>
  <c r="Z24" i="34"/>
  <c r="T24" i="34"/>
  <c r="AE24" i="34" s="1"/>
  <c r="AQ24" i="34" s="1"/>
  <c r="AR24" i="34" s="1"/>
  <c r="L24" i="34"/>
  <c r="D24" i="34"/>
  <c r="B24" i="34"/>
  <c r="AL23" i="34"/>
  <c r="AK23" i="34"/>
  <c r="AJ23" i="34"/>
  <c r="Z23" i="34"/>
  <c r="T23" i="34"/>
  <c r="D23" i="34"/>
  <c r="B23" i="34"/>
  <c r="AL22" i="34"/>
  <c r="AK22" i="34"/>
  <c r="AJ22" i="34"/>
  <c r="Z22" i="34"/>
  <c r="T22" i="34"/>
  <c r="D22" i="34"/>
  <c r="BA22" i="34" s="1"/>
  <c r="BB22" i="34" s="1"/>
  <c r="B22" i="34"/>
  <c r="AL21" i="34"/>
  <c r="AK21" i="34"/>
  <c r="AJ21" i="34"/>
  <c r="Z21" i="34"/>
  <c r="T21" i="34"/>
  <c r="D21" i="34"/>
  <c r="O21" i="34" s="1"/>
  <c r="B21" i="34"/>
  <c r="BG20" i="34"/>
  <c r="BH20" i="34" s="1"/>
  <c r="BA20" i="34"/>
  <c r="BB20" i="34"/>
  <c r="AB20" i="34"/>
  <c r="Z20" i="34"/>
  <c r="T20" i="34"/>
  <c r="O20" i="34"/>
  <c r="AA20" i="34" s="1"/>
  <c r="E20" i="34"/>
  <c r="BG19" i="34"/>
  <c r="BH19" i="34"/>
  <c r="BA19" i="34"/>
  <c r="BB19" i="34" s="1"/>
  <c r="AB19" i="34"/>
  <c r="Z19" i="34"/>
  <c r="BJ19" i="34" s="1"/>
  <c r="T19" i="34"/>
  <c r="O19" i="34"/>
  <c r="E19" i="34"/>
  <c r="BG18" i="34"/>
  <c r="BH18" i="34" s="1"/>
  <c r="BA18" i="34"/>
  <c r="BB18" i="34" s="1"/>
  <c r="AJ18" i="34"/>
  <c r="BJ18" i="34" s="1"/>
  <c r="BK18" i="34" s="1"/>
  <c r="Z18" i="34"/>
  <c r="T18" i="34"/>
  <c r="O18" i="34"/>
  <c r="W18" i="34"/>
  <c r="E18" i="34"/>
  <c r="B18" i="34"/>
  <c r="AJ17" i="34"/>
  <c r="Z17" i="34"/>
  <c r="T17" i="34"/>
  <c r="D17" i="34"/>
  <c r="E17" i="34" s="1"/>
  <c r="B17" i="34"/>
  <c r="AK16" i="34"/>
  <c r="Z16" i="34"/>
  <c r="T16" i="34"/>
  <c r="D16" i="34"/>
  <c r="BA16" i="34" s="1"/>
  <c r="BB16" i="34" s="1"/>
  <c r="B16" i="34"/>
  <c r="AK15" i="34"/>
  <c r="Z15" i="34"/>
  <c r="T15" i="34"/>
  <c r="D15" i="34"/>
  <c r="O15" i="34" s="1"/>
  <c r="B15" i="34"/>
  <c r="BG14" i="34"/>
  <c r="BH14" i="34"/>
  <c r="BA14" i="34"/>
  <c r="BB14" i="34" s="1"/>
  <c r="Z14" i="34"/>
  <c r="T14" i="34"/>
  <c r="AE14" i="34" s="1"/>
  <c r="AQ14" i="34" s="1"/>
  <c r="AR14" i="34" s="1"/>
  <c r="O14" i="34"/>
  <c r="Y14" i="34" s="1"/>
  <c r="E14" i="34"/>
  <c r="B14" i="34"/>
  <c r="BG13" i="34"/>
  <c r="BH13" i="34" s="1"/>
  <c r="BA13" i="34"/>
  <c r="BB13" i="34" s="1"/>
  <c r="AK13" i="34"/>
  <c r="Z13" i="34"/>
  <c r="T13" i="34"/>
  <c r="O13" i="34"/>
  <c r="Y13" i="34"/>
  <c r="E13" i="34"/>
  <c r="B13" i="34"/>
  <c r="AK12" i="34"/>
  <c r="Z12" i="34"/>
  <c r="T12" i="34"/>
  <c r="D12" i="34"/>
  <c r="O12" i="34" s="1"/>
  <c r="B12" i="34"/>
  <c r="AK11" i="34"/>
  <c r="Z11" i="34"/>
  <c r="T11" i="34"/>
  <c r="D11" i="34"/>
  <c r="BA11" i="34"/>
  <c r="BB11" i="34" s="1"/>
  <c r="B11" i="34"/>
  <c r="BG10" i="34"/>
  <c r="BH10" i="34"/>
  <c r="BA10" i="34"/>
  <c r="BB10" i="34" s="1"/>
  <c r="Z10" i="34"/>
  <c r="T10" i="34"/>
  <c r="AE10" i="34" s="1"/>
  <c r="AQ10" i="34" s="1"/>
  <c r="AR10" i="34" s="1"/>
  <c r="O10" i="34"/>
  <c r="Y10" i="34" s="1"/>
  <c r="E10" i="34"/>
  <c r="B10" i="34"/>
  <c r="AK9" i="34"/>
  <c r="Z9" i="34"/>
  <c r="T9" i="34"/>
  <c r="D9" i="34"/>
  <c r="E9" i="34" s="1"/>
  <c r="B9" i="34"/>
  <c r="Z8" i="34"/>
  <c r="T8" i="34"/>
  <c r="AE8" i="34" s="1"/>
  <c r="AQ8" i="34" s="1"/>
  <c r="AR8" i="34" s="1"/>
  <c r="D8" i="34"/>
  <c r="BG8" i="34" s="1"/>
  <c r="BH8" i="34" s="1"/>
  <c r="B8" i="34"/>
  <c r="AJ27" i="15"/>
  <c r="D6" i="15"/>
  <c r="AJ23" i="15"/>
  <c r="Q6" i="15"/>
  <c r="Q28" i="15"/>
  <c r="AJ26" i="15"/>
  <c r="R13" i="34"/>
  <c r="AT13" i="34" s="1"/>
  <c r="Y20" i="34"/>
  <c r="E21" i="34"/>
  <c r="X20" i="34"/>
  <c r="E22" i="34"/>
  <c r="O8" i="34"/>
  <c r="BJ8" i="34" s="1"/>
  <c r="AA10" i="34"/>
  <c r="X13" i="34"/>
  <c r="BD13" i="34"/>
  <c r="BE13" i="34"/>
  <c r="BG21" i="34"/>
  <c r="BH21" i="34" s="1"/>
  <c r="H10" i="57"/>
  <c r="P13" i="34"/>
  <c r="W13" i="34"/>
  <c r="AA13" i="34"/>
  <c r="AA28" i="34"/>
  <c r="AJ8" i="15"/>
  <c r="H5" i="57"/>
  <c r="H6" i="57"/>
  <c r="N6" i="57" s="1"/>
  <c r="W28" i="34"/>
  <c r="C28" i="15"/>
  <c r="W10" i="34"/>
  <c r="M6" i="15"/>
  <c r="O6" i="15" s="1"/>
  <c r="AJ16" i="15"/>
  <c r="AJ17" i="15"/>
  <c r="BD14" i="34"/>
  <c r="BE14" i="34" s="1"/>
  <c r="AA14" i="34"/>
  <c r="P14" i="34"/>
  <c r="W14" i="34"/>
  <c r="R14" i="34"/>
  <c r="X19" i="34"/>
  <c r="R19" i="34"/>
  <c r="S19" i="34" s="1"/>
  <c r="AF19" i="34" s="1"/>
  <c r="AA19" i="34"/>
  <c r="BD19" i="34"/>
  <c r="BE19" i="34" s="1"/>
  <c r="Y19" i="34"/>
  <c r="P19" i="34"/>
  <c r="O11" i="34"/>
  <c r="BG11" i="34"/>
  <c r="BH11" i="34" s="1"/>
  <c r="E11" i="34"/>
  <c r="BD18" i="34"/>
  <c r="BE18" i="34"/>
  <c r="X18" i="34"/>
  <c r="R18" i="34"/>
  <c r="S18" i="34" s="1"/>
  <c r="AF18" i="34" s="1"/>
  <c r="Y18" i="34"/>
  <c r="P18" i="34"/>
  <c r="AA18" i="34"/>
  <c r="W19" i="34"/>
  <c r="S15" i="15"/>
  <c r="BA8" i="34"/>
  <c r="BB8" i="34" s="1"/>
  <c r="R10" i="34"/>
  <c r="X10" i="34"/>
  <c r="BA21" i="34"/>
  <c r="BB21" i="34" s="1"/>
  <c r="E23" i="34"/>
  <c r="BA23" i="34"/>
  <c r="BB23" i="34" s="1"/>
  <c r="O23" i="34"/>
  <c r="BG23" i="34"/>
  <c r="BH23" i="34" s="1"/>
  <c r="O24" i="34"/>
  <c r="E24" i="34"/>
  <c r="D28" i="15"/>
  <c r="F6" i="15"/>
  <c r="F28" i="15" s="1"/>
  <c r="BD10" i="34"/>
  <c r="BE10" i="34"/>
  <c r="AJ9" i="15"/>
  <c r="H7" i="57"/>
  <c r="E15" i="34"/>
  <c r="BA15" i="34"/>
  <c r="BB15" i="34" s="1"/>
  <c r="BG15" i="34"/>
  <c r="BH15" i="34" s="1"/>
  <c r="BG17" i="34"/>
  <c r="BH17" i="34" s="1"/>
  <c r="N6" i="15"/>
  <c r="N28" i="15"/>
  <c r="Y8" i="34"/>
  <c r="X8" i="34"/>
  <c r="M28" i="15"/>
  <c r="AE19" i="34"/>
  <c r="AQ19" i="34"/>
  <c r="AR19" i="34"/>
  <c r="AT14" i="34"/>
  <c r="BJ14" i="34" s="1"/>
  <c r="R8" i="34"/>
  <c r="S8" i="34"/>
  <c r="AF8" i="34" s="1"/>
  <c r="W8" i="34"/>
  <c r="AT19" i="34"/>
  <c r="AU19" i="34" s="1"/>
  <c r="BJ23" i="34"/>
  <c r="BD23" i="34"/>
  <c r="BE23" i="34" s="1"/>
  <c r="Y23" i="34"/>
  <c r="W23" i="34"/>
  <c r="R23" i="34"/>
  <c r="AE23" i="34" s="1"/>
  <c r="AQ23" i="34" s="1"/>
  <c r="AR23" i="34" s="1"/>
  <c r="X23" i="34"/>
  <c r="P23" i="34"/>
  <c r="AA23" i="34"/>
  <c r="U15" i="15"/>
  <c r="V15" i="15"/>
  <c r="T15" i="15"/>
  <c r="BJ11" i="34"/>
  <c r="BK11" i="34" s="1"/>
  <c r="X11" i="34"/>
  <c r="R11" i="34"/>
  <c r="AE11" i="34" s="1"/>
  <c r="W11" i="34"/>
  <c r="AA11" i="34"/>
  <c r="Y11" i="34"/>
  <c r="P11" i="34"/>
  <c r="BD11" i="34"/>
  <c r="BE11" i="34" s="1"/>
  <c r="BJ24" i="34"/>
  <c r="BM24" i="34" s="1"/>
  <c r="BN24" i="34" s="1"/>
  <c r="AA24" i="34"/>
  <c r="W24" i="34"/>
  <c r="P24" i="34"/>
  <c r="Y24" i="34"/>
  <c r="R24" i="34"/>
  <c r="AT24" i="34" s="1"/>
  <c r="BD24" i="34"/>
  <c r="BE24" i="34"/>
  <c r="X24" i="34"/>
  <c r="AT10" i="34"/>
  <c r="AE18" i="34"/>
  <c r="AT18" i="34"/>
  <c r="AU18" i="34"/>
  <c r="AV19" i="34"/>
  <c r="AW19" i="34" s="1"/>
  <c r="AT8" i="34"/>
  <c r="E8" i="57"/>
  <c r="F8" i="57" s="1"/>
  <c r="BK24" i="34"/>
  <c r="BM23" i="34"/>
  <c r="BN23" i="34" s="1"/>
  <c r="BK23" i="34"/>
  <c r="AV10" i="34"/>
  <c r="AW10" i="34" s="1"/>
  <c r="AU10" i="34"/>
  <c r="BJ10" i="34"/>
  <c r="AV14" i="34"/>
  <c r="AW14" i="34" s="1"/>
  <c r="AU8" i="34"/>
  <c r="E5" i="57"/>
  <c r="F5" i="57" s="1"/>
  <c r="BM10" i="34"/>
  <c r="BN10" i="34" s="1"/>
  <c r="BK10" i="34"/>
  <c r="E7" i="57"/>
  <c r="F7" i="57" s="1"/>
  <c r="N7" i="57" s="1"/>
  <c r="Q27" i="15" l="1"/>
  <c r="Q11" i="15"/>
  <c r="AQ18" i="34"/>
  <c r="AR18" i="34" s="1"/>
  <c r="D11" i="15"/>
  <c r="F11" i="15" s="1"/>
  <c r="Y11" i="15" s="1"/>
  <c r="Z11" i="15" s="1"/>
  <c r="S11" i="15"/>
  <c r="T11" i="15" s="1"/>
  <c r="AW14" i="47"/>
  <c r="AW9" i="47"/>
  <c r="AW8" i="47"/>
  <c r="AW11" i="47"/>
  <c r="AW12" i="47"/>
  <c r="AW5" i="47"/>
  <c r="AW6" i="47"/>
  <c r="AW7" i="47"/>
  <c r="AW13" i="47"/>
  <c r="AW10" i="47"/>
  <c r="AV9" i="47"/>
  <c r="AV8" i="47"/>
  <c r="AV11" i="47"/>
  <c r="AV12" i="47"/>
  <c r="AV5" i="47"/>
  <c r="AV6" i="47"/>
  <c r="AV14" i="47"/>
  <c r="AV7" i="47"/>
  <c r="AV13" i="47"/>
  <c r="AV10" i="47"/>
  <c r="BM11" i="34"/>
  <c r="BN11" i="34" s="1"/>
  <c r="AT11" i="34"/>
  <c r="AU11" i="34" s="1"/>
  <c r="Q7" i="15"/>
  <c r="S7" i="15" s="1"/>
  <c r="W21" i="34"/>
  <c r="R21" i="34"/>
  <c r="AE21" i="34" s="1"/>
  <c r="AQ21" i="34" s="1"/>
  <c r="AR21" i="34" s="1"/>
  <c r="S21" i="34"/>
  <c r="AF21" i="34" s="1"/>
  <c r="BJ21" i="34"/>
  <c r="P21" i="34"/>
  <c r="AT21" i="34"/>
  <c r="Y21" i="34"/>
  <c r="AA21" i="34"/>
  <c r="X21" i="34"/>
  <c r="BD21" i="34"/>
  <c r="BE21" i="34" s="1"/>
  <c r="BK14" i="34"/>
  <c r="BM14" i="34"/>
  <c r="BN14" i="34" s="1"/>
  <c r="P6" i="15"/>
  <c r="P28" i="15" s="1"/>
  <c r="O28" i="15"/>
  <c r="AV8" i="34"/>
  <c r="AW8" i="34" s="1"/>
  <c r="BK8" i="34"/>
  <c r="BK30" i="34" s="1"/>
  <c r="BJ30" i="34"/>
  <c r="BM8" i="34"/>
  <c r="BM19" i="34"/>
  <c r="BN19" i="34" s="1"/>
  <c r="BK19" i="34"/>
  <c r="S6" i="15"/>
  <c r="E28" i="15"/>
  <c r="AU24" i="34"/>
  <c r="AV24" i="34"/>
  <c r="AV18" i="34"/>
  <c r="AW18" i="34" s="1"/>
  <c r="AA15" i="15"/>
  <c r="AU13" i="34"/>
  <c r="BJ13" i="34"/>
  <c r="BK13" i="34" s="1"/>
  <c r="AQ11" i="34"/>
  <c r="AR11" i="34" s="1"/>
  <c r="N5" i="57"/>
  <c r="O5" i="57" s="1"/>
  <c r="AF15" i="15"/>
  <c r="S24" i="34"/>
  <c r="AF24" i="34" s="1"/>
  <c r="N8" i="57"/>
  <c r="O8" i="57" s="1"/>
  <c r="S11" i="34"/>
  <c r="AF11" i="34" s="1"/>
  <c r="AT23" i="34"/>
  <c r="S13" i="34"/>
  <c r="AF13" i="34" s="1"/>
  <c r="AE13" i="34"/>
  <c r="AQ13" i="34" s="1"/>
  <c r="AV13" i="34" s="1"/>
  <c r="AW13" i="34" s="1"/>
  <c r="E27" i="15"/>
  <c r="S27" i="15" s="1"/>
  <c r="T27" i="15" s="1"/>
  <c r="S10" i="34"/>
  <c r="AF10" i="34" s="1"/>
  <c r="S14" i="34"/>
  <c r="AF14" i="34" s="1"/>
  <c r="X14" i="34"/>
  <c r="P8" i="34"/>
  <c r="AE28" i="34"/>
  <c r="P10" i="34"/>
  <c r="O22" i="34"/>
  <c r="P20" i="34"/>
  <c r="BG9" i="34"/>
  <c r="BH9" i="34" s="1"/>
  <c r="AJ6" i="15"/>
  <c r="O17" i="34"/>
  <c r="AA17" i="34" s="1"/>
  <c r="CF15" i="47"/>
  <c r="O7" i="57"/>
  <c r="S23" i="34"/>
  <c r="AF23" i="34" s="1"/>
  <c r="AU14" i="34"/>
  <c r="P28" i="34"/>
  <c r="BD8" i="34"/>
  <c r="AA8" i="34"/>
  <c r="R28" i="34"/>
  <c r="E8" i="34"/>
  <c r="R20" i="34"/>
  <c r="AE20" i="34" s="1"/>
  <c r="AQ20" i="34" s="1"/>
  <c r="AR20" i="34" s="1"/>
  <c r="BA9" i="34"/>
  <c r="BB9" i="34" s="1"/>
  <c r="M15" i="15"/>
  <c r="Y28" i="34"/>
  <c r="AJ7" i="15"/>
  <c r="W20" i="34"/>
  <c r="BD20" i="34"/>
  <c r="BE20" i="34" s="1"/>
  <c r="BG22" i="34"/>
  <c r="BH22" i="34" s="1"/>
  <c r="O9" i="34"/>
  <c r="N9" i="57"/>
  <c r="O9" i="57" s="1"/>
  <c r="N10" i="57"/>
  <c r="O10" i="57" s="1"/>
  <c r="N11" i="57"/>
  <c r="O11" i="57" s="1"/>
  <c r="P15" i="34"/>
  <c r="X15" i="34"/>
  <c r="W15" i="34"/>
  <c r="BM18" i="34"/>
  <c r="BN18" i="34" s="1"/>
  <c r="E23" i="15"/>
  <c r="S23" i="15" s="1"/>
  <c r="D23" i="15"/>
  <c r="F23" i="15" s="1"/>
  <c r="Y23" i="15" s="1"/>
  <c r="Z23" i="15" s="1"/>
  <c r="D7" i="15"/>
  <c r="F7" i="15" s="1"/>
  <c r="M21" i="15"/>
  <c r="M19" i="15"/>
  <c r="N19" i="15" s="1"/>
  <c r="Q21" i="15"/>
  <c r="F27" i="15"/>
  <c r="Y27" i="15" s="1"/>
  <c r="Z27" i="15" s="1"/>
  <c r="Q13" i="15"/>
  <c r="D22" i="15"/>
  <c r="F22" i="15" s="1"/>
  <c r="Y22" i="15" s="1"/>
  <c r="Z22" i="15" s="1"/>
  <c r="E26" i="15"/>
  <c r="S26" i="15" s="1"/>
  <c r="M11" i="15"/>
  <c r="O11" i="15" s="1"/>
  <c r="P11" i="15" s="1"/>
  <c r="E22" i="15"/>
  <c r="S22" i="15" s="1"/>
  <c r="E13" i="15"/>
  <c r="E19" i="15"/>
  <c r="E24" i="15"/>
  <c r="M24" i="15"/>
  <c r="E21" i="15"/>
  <c r="Q19" i="15"/>
  <c r="Q24" i="15"/>
  <c r="D26" i="15"/>
  <c r="F26" i="15" s="1"/>
  <c r="Y26" i="15" s="1"/>
  <c r="Z26" i="15" s="1"/>
  <c r="BA17" i="34"/>
  <c r="BB17" i="34" s="1"/>
  <c r="Q25" i="15"/>
  <c r="S25" i="15" s="1"/>
  <c r="U25" i="15" s="1"/>
  <c r="V25" i="15" s="1"/>
  <c r="AF25" i="15" s="1"/>
  <c r="E14" i="57"/>
  <c r="CI6" i="47"/>
  <c r="CJ6" i="47" s="1"/>
  <c r="AS12" i="47"/>
  <c r="AT10" i="47"/>
  <c r="AQ11" i="47"/>
  <c r="BK11" i="47" s="1"/>
  <c r="CI14" i="47"/>
  <c r="CJ14" i="47" s="1"/>
  <c r="CI9" i="47"/>
  <c r="CJ9" i="47" s="1"/>
  <c r="Y12" i="34"/>
  <c r="R12" i="34"/>
  <c r="S12" i="34" s="1"/>
  <c r="AF12" i="34" s="1"/>
  <c r="BD12" i="34"/>
  <c r="BE12" i="34" s="1"/>
  <c r="W12" i="34"/>
  <c r="X12" i="34"/>
  <c r="AA12" i="34"/>
  <c r="P12" i="34"/>
  <c r="X17" i="34"/>
  <c r="BD17" i="34"/>
  <c r="BE17" i="34" s="1"/>
  <c r="W17" i="34"/>
  <c r="Q8" i="15"/>
  <c r="Q12" i="15"/>
  <c r="E12" i="15"/>
  <c r="D12" i="15"/>
  <c r="F12" i="15" s="1"/>
  <c r="Y12" i="15" s="1"/>
  <c r="Z12" i="15" s="1"/>
  <c r="R15" i="34"/>
  <c r="S15" i="34" s="1"/>
  <c r="AF15" i="34" s="1"/>
  <c r="AA15" i="34"/>
  <c r="Y15" i="34"/>
  <c r="F13" i="15"/>
  <c r="Y13" i="15" s="1"/>
  <c r="Z13" i="15" s="1"/>
  <c r="O27" i="15"/>
  <c r="P27" i="15" s="1"/>
  <c r="E8" i="15"/>
  <c r="Q16" i="15"/>
  <c r="S16" i="15" s="1"/>
  <c r="D16" i="15"/>
  <c r="M16" i="15" s="1"/>
  <c r="BG12" i="34"/>
  <c r="BH12" i="34" s="1"/>
  <c r="BA12" i="34"/>
  <c r="BB12" i="34" s="1"/>
  <c r="D10" i="15"/>
  <c r="M10" i="15" s="1"/>
  <c r="E10" i="15"/>
  <c r="Q14" i="15"/>
  <c r="E14" i="15"/>
  <c r="M14" i="15"/>
  <c r="Q18" i="15"/>
  <c r="S18" i="15" s="1"/>
  <c r="D18" i="15"/>
  <c r="M18" i="15" s="1"/>
  <c r="E9" i="15"/>
  <c r="E12" i="34"/>
  <c r="D17" i="15"/>
  <c r="M17" i="15" s="1"/>
  <c r="E17" i="15"/>
  <c r="S17" i="15" s="1"/>
  <c r="D20" i="15"/>
  <c r="M20" i="15" s="1"/>
  <c r="E20" i="15"/>
  <c r="D25" i="15"/>
  <c r="M25" i="15" s="1"/>
  <c r="N13" i="15"/>
  <c r="D8" i="15"/>
  <c r="M8" i="15" s="1"/>
  <c r="BD15" i="34"/>
  <c r="BE15" i="34" s="1"/>
  <c r="Q20" i="15"/>
  <c r="F14" i="15"/>
  <c r="Y14" i="15" s="1"/>
  <c r="Z14" i="15" s="1"/>
  <c r="D9" i="15"/>
  <c r="F9" i="15" s="1"/>
  <c r="Y9" i="15" s="1"/>
  <c r="O16" i="34"/>
  <c r="BG16" i="34"/>
  <c r="BH16" i="34" s="1"/>
  <c r="E16" i="34"/>
  <c r="Q9" i="15"/>
  <c r="Q10" i="15"/>
  <c r="AS8" i="47"/>
  <c r="AO9" i="47"/>
  <c r="AT8" i="47"/>
  <c r="AQ8" i="47"/>
  <c r="BC8" i="47" s="1"/>
  <c r="AX8" i="47"/>
  <c r="CI8" i="47"/>
  <c r="CJ8" i="47" s="1"/>
  <c r="AS11" i="47"/>
  <c r="AU8" i="47"/>
  <c r="AT11" i="47"/>
  <c r="CB8" i="47"/>
  <c r="AO8" i="47"/>
  <c r="AU9" i="47"/>
  <c r="CB13" i="47"/>
  <c r="AS13" i="47"/>
  <c r="AO13" i="47"/>
  <c r="AQ9" i="47"/>
  <c r="BH9" i="47" s="1"/>
  <c r="BI9" i="47" s="1"/>
  <c r="BJ9" i="47" s="1"/>
  <c r="AT9" i="47"/>
  <c r="AX13" i="47"/>
  <c r="AU13" i="47"/>
  <c r="AO14" i="47"/>
  <c r="AT13" i="47"/>
  <c r="AQ13" i="47"/>
  <c r="BC13" i="47" s="1"/>
  <c r="AS9" i="47"/>
  <c r="AX9" i="47"/>
  <c r="CB9" i="47"/>
  <c r="AU14" i="47"/>
  <c r="AS14" i="47"/>
  <c r="AX11" i="47"/>
  <c r="AX14" i="47"/>
  <c r="CB14" i="47"/>
  <c r="AT14" i="47"/>
  <c r="AQ14" i="47"/>
  <c r="BK14" i="47" s="1"/>
  <c r="CB11" i="47"/>
  <c r="AO11" i="47"/>
  <c r="AU11" i="47"/>
  <c r="CI13" i="47"/>
  <c r="CJ13" i="47" s="1"/>
  <c r="AU7" i="47"/>
  <c r="AO7" i="47"/>
  <c r="AX7" i="47"/>
  <c r="AT7" i="47"/>
  <c r="CI7" i="47"/>
  <c r="CJ7" i="47" s="1"/>
  <c r="AS7" i="47"/>
  <c r="AQ7" i="47"/>
  <c r="BK7" i="47" s="1"/>
  <c r="CI11" i="47"/>
  <c r="CJ11" i="47" s="1"/>
  <c r="AU6" i="47"/>
  <c r="AS6" i="47"/>
  <c r="AQ6" i="47"/>
  <c r="BH6" i="47" s="1"/>
  <c r="BD6" i="47" s="1"/>
  <c r="AT6" i="47"/>
  <c r="AO6" i="47"/>
  <c r="CI10" i="47"/>
  <c r="CJ10" i="47" s="1"/>
  <c r="CB6" i="47"/>
  <c r="AX6" i="47"/>
  <c r="CB12" i="47"/>
  <c r="CI12" i="47"/>
  <c r="CJ12" i="47" s="1"/>
  <c r="CB10" i="47"/>
  <c r="AQ12" i="47"/>
  <c r="BK12" i="47" s="1"/>
  <c r="AT12" i="47"/>
  <c r="AQ10" i="47"/>
  <c r="BC10" i="47" s="1"/>
  <c r="AO12" i="47"/>
  <c r="AU12" i="47"/>
  <c r="AX12" i="47"/>
  <c r="AO10" i="47"/>
  <c r="AX10" i="47"/>
  <c r="AU10" i="47"/>
  <c r="AS10" i="47"/>
  <c r="AU5" i="47"/>
  <c r="AO5" i="47"/>
  <c r="AX5" i="47"/>
  <c r="AT5" i="47"/>
  <c r="AQ5" i="47"/>
  <c r="BK5" i="47" s="1"/>
  <c r="AS5" i="47"/>
  <c r="CI5" i="47"/>
  <c r="CJ5" i="47" s="1"/>
  <c r="AC20" i="47"/>
  <c r="P17" i="34" l="1"/>
  <c r="U11" i="15"/>
  <c r="V11" i="15" s="1"/>
  <c r="AA11" i="15" s="1"/>
  <c r="M22" i="15"/>
  <c r="O22" i="15" s="1"/>
  <c r="P22" i="15" s="1"/>
  <c r="BM13" i="34"/>
  <c r="BN13" i="34" s="1"/>
  <c r="BK6" i="47"/>
  <c r="BK10" i="47"/>
  <c r="BK13" i="47"/>
  <c r="BK8" i="47"/>
  <c r="BK9" i="47"/>
  <c r="BH5" i="47"/>
  <c r="BI5" i="47" s="1"/>
  <c r="BJ5" i="47" s="1"/>
  <c r="BH7" i="47"/>
  <c r="BI7" i="47" s="1"/>
  <c r="BJ7" i="47" s="1"/>
  <c r="BC14" i="47"/>
  <c r="U27" i="15"/>
  <c r="V27" i="15" s="1"/>
  <c r="AA27" i="15" s="1"/>
  <c r="R17" i="34"/>
  <c r="S17" i="34" s="1"/>
  <c r="AF17" i="34" s="1"/>
  <c r="Y17" i="34"/>
  <c r="AR13" i="34"/>
  <c r="J32" i="70"/>
  <c r="G36" i="70"/>
  <c r="BJ9" i="34"/>
  <c r="R9" i="34"/>
  <c r="Y9" i="34"/>
  <c r="P9" i="34"/>
  <c r="AA9" i="34"/>
  <c r="AT9" i="34"/>
  <c r="AE9" i="34"/>
  <c r="AQ9" i="34" s="1"/>
  <c r="AR9" i="34" s="1"/>
  <c r="S9" i="34"/>
  <c r="AF9" i="34" s="1"/>
  <c r="X9" i="34"/>
  <c r="W9" i="34"/>
  <c r="BD9" i="34"/>
  <c r="BE9" i="34" s="1"/>
  <c r="BD25" i="34"/>
  <c r="BE25" i="34" s="1"/>
  <c r="BE8" i="34"/>
  <c r="BN8" i="34"/>
  <c r="BN30" i="34" s="1"/>
  <c r="BM30" i="34"/>
  <c r="AV21" i="34"/>
  <c r="AW21" i="34" s="1"/>
  <c r="AU21" i="34"/>
  <c r="M9" i="15"/>
  <c r="N9" i="15" s="1"/>
  <c r="AQ28" i="34"/>
  <c r="AF28" i="34"/>
  <c r="S20" i="34"/>
  <c r="AF20" i="34" s="1"/>
  <c r="S28" i="15"/>
  <c r="U6" i="15"/>
  <c r="T6" i="15"/>
  <c r="T28" i="15" s="1"/>
  <c r="S12" i="15"/>
  <c r="T12" i="15" s="1"/>
  <c r="T25" i="15"/>
  <c r="O15" i="15"/>
  <c r="P15" i="15" s="1"/>
  <c r="N15" i="15"/>
  <c r="AT20" i="34"/>
  <c r="AU23" i="34"/>
  <c r="AV23" i="34"/>
  <c r="AW23" i="34" s="1"/>
  <c r="BA24" i="34"/>
  <c r="AW24" i="34"/>
  <c r="AE15" i="47"/>
  <c r="S10" i="15"/>
  <c r="U10" i="15" s="1"/>
  <c r="V10" i="15" s="1"/>
  <c r="N11" i="15"/>
  <c r="AV11" i="34"/>
  <c r="AW11" i="34" s="1"/>
  <c r="AJ28" i="15"/>
  <c r="BD22" i="34"/>
  <c r="BE22" i="34" s="1"/>
  <c r="X22" i="34"/>
  <c r="P22" i="34"/>
  <c r="BJ22" i="34"/>
  <c r="R22" i="34"/>
  <c r="AE22" i="34" s="1"/>
  <c r="AQ22" i="34" s="1"/>
  <c r="AR22" i="34" s="1"/>
  <c r="AA22" i="34"/>
  <c r="W22" i="34"/>
  <c r="Y22" i="34"/>
  <c r="BK21" i="34"/>
  <c r="BM21" i="34"/>
  <c r="BN21" i="34" s="1"/>
  <c r="T23" i="15"/>
  <c r="U23" i="15"/>
  <c r="V23" i="15" s="1"/>
  <c r="U22" i="15"/>
  <c r="V22" i="15" s="1"/>
  <c r="AA22" i="15" s="1"/>
  <c r="T22" i="15"/>
  <c r="N22" i="15"/>
  <c r="O19" i="15"/>
  <c r="P19" i="15" s="1"/>
  <c r="M7" i="15"/>
  <c r="S13" i="15"/>
  <c r="U13" i="15" s="1"/>
  <c r="V13" i="15" s="1"/>
  <c r="AA13" i="15" s="1"/>
  <c r="S20" i="15"/>
  <c r="T20" i="15" s="1"/>
  <c r="AE15" i="34"/>
  <c r="AQ15" i="34" s="1"/>
  <c r="AR15" i="34" s="1"/>
  <c r="M23" i="15"/>
  <c r="O23" i="15" s="1"/>
  <c r="F25" i="15"/>
  <c r="CG15" i="47"/>
  <c r="T13" i="15"/>
  <c r="S21" i="15"/>
  <c r="O24" i="15"/>
  <c r="P24" i="15" s="1"/>
  <c r="N24" i="15"/>
  <c r="F16" i="15"/>
  <c r="Y16" i="15" s="1"/>
  <c r="Z16" i="15" s="1"/>
  <c r="O21" i="15"/>
  <c r="P21" i="15" s="1"/>
  <c r="N21" i="15"/>
  <c r="AE12" i="34"/>
  <c r="AQ12" i="34" s="1"/>
  <c r="AR12" i="34" s="1"/>
  <c r="T26" i="15"/>
  <c r="U26" i="15"/>
  <c r="V26" i="15" s="1"/>
  <c r="F20" i="15"/>
  <c r="S14" i="15"/>
  <c r="U14" i="15" s="1"/>
  <c r="V14" i="15" s="1"/>
  <c r="AA14" i="15" s="1"/>
  <c r="M12" i="15"/>
  <c r="N12" i="15" s="1"/>
  <c r="S24" i="15"/>
  <c r="M26" i="15"/>
  <c r="F17" i="15"/>
  <c r="Y17" i="15" s="1"/>
  <c r="Z17" i="15" s="1"/>
  <c r="S19" i="15"/>
  <c r="BH11" i="47"/>
  <c r="BD11" i="47" s="1"/>
  <c r="BC11" i="47"/>
  <c r="O18" i="15"/>
  <c r="P18" i="15" s="1"/>
  <c r="N18" i="15"/>
  <c r="N8" i="15"/>
  <c r="O8" i="15"/>
  <c r="P8" i="15" s="1"/>
  <c r="N10" i="15"/>
  <c r="O10" i="15"/>
  <c r="P10" i="15" s="1"/>
  <c r="O20" i="15"/>
  <c r="P20" i="15" s="1"/>
  <c r="N20" i="15"/>
  <c r="U20" i="15"/>
  <c r="V20" i="15" s="1"/>
  <c r="AF20" i="15" s="1"/>
  <c r="U7" i="15"/>
  <c r="V7" i="15" s="1"/>
  <c r="AD7" i="15" s="1"/>
  <c r="T7" i="15"/>
  <c r="F8" i="15"/>
  <c r="T10" i="15"/>
  <c r="X16" i="34"/>
  <c r="Y16" i="34"/>
  <c r="R16" i="34"/>
  <c r="AT16" i="34" s="1"/>
  <c r="BD16" i="34"/>
  <c r="BE16" i="34" s="1"/>
  <c r="W16" i="34"/>
  <c r="AA16" i="34"/>
  <c r="P16" i="34"/>
  <c r="T18" i="15"/>
  <c r="U18" i="15"/>
  <c r="V18" i="15" s="1"/>
  <c r="AF18" i="15" s="1"/>
  <c r="S9" i="15"/>
  <c r="N25" i="15"/>
  <c r="O25" i="15"/>
  <c r="P25" i="15" s="1"/>
  <c r="T17" i="15"/>
  <c r="U17" i="15"/>
  <c r="V17" i="15" s="1"/>
  <c r="O14" i="15"/>
  <c r="P14" i="15" s="1"/>
  <c r="N14" i="15"/>
  <c r="F10" i="15"/>
  <c r="Y10" i="15" s="1"/>
  <c r="Z10" i="15" s="1"/>
  <c r="O16" i="15"/>
  <c r="P16" i="15" s="1"/>
  <c r="N16" i="15"/>
  <c r="S8" i="15"/>
  <c r="AT12" i="34"/>
  <c r="O17" i="15"/>
  <c r="P17" i="15" s="1"/>
  <c r="N17" i="15"/>
  <c r="Z9" i="15"/>
  <c r="F18" i="15"/>
  <c r="U16" i="15"/>
  <c r="V16" i="15" s="1"/>
  <c r="T16" i="15"/>
  <c r="AT15" i="34"/>
  <c r="BH14" i="47"/>
  <c r="BI14" i="47" s="1"/>
  <c r="BJ14" i="47" s="1"/>
  <c r="BH8" i="47"/>
  <c r="BI8" i="47" s="1"/>
  <c r="BJ8" i="47" s="1"/>
  <c r="BX8" i="47" s="1"/>
  <c r="BC9" i="47"/>
  <c r="BX9" i="47" s="1"/>
  <c r="BA8" i="47"/>
  <c r="CL8" i="47" s="1"/>
  <c r="CO8" i="47" s="1"/>
  <c r="CP8" i="47" s="1"/>
  <c r="BA9" i="47"/>
  <c r="CL9" i="47" s="1"/>
  <c r="CM9" i="47" s="1"/>
  <c r="BD9" i="47"/>
  <c r="BA13" i="47"/>
  <c r="CL13" i="47" s="1"/>
  <c r="CO13" i="47" s="1"/>
  <c r="CP13" i="47" s="1"/>
  <c r="BH13" i="47"/>
  <c r="BD13" i="47" s="1"/>
  <c r="BA11" i="47"/>
  <c r="CL11" i="47" s="1"/>
  <c r="CO11" i="47" s="1"/>
  <c r="CP11" i="47" s="1"/>
  <c r="BA14" i="47"/>
  <c r="CL14" i="47" s="1"/>
  <c r="CO14" i="47" s="1"/>
  <c r="CP14" i="47" s="1"/>
  <c r="BH10" i="47"/>
  <c r="BI10" i="47" s="1"/>
  <c r="BJ10" i="47" s="1"/>
  <c r="BX10" i="47" s="1"/>
  <c r="BA7" i="47"/>
  <c r="CL7" i="47" s="1"/>
  <c r="CB7" i="47"/>
  <c r="BC7" i="47"/>
  <c r="BI6" i="47"/>
  <c r="BJ6" i="47" s="1"/>
  <c r="BA6" i="47"/>
  <c r="CL6" i="47" s="1"/>
  <c r="CM6" i="47" s="1"/>
  <c r="BC6" i="47"/>
  <c r="BA10" i="47"/>
  <c r="CL10" i="47" s="1"/>
  <c r="CO10" i="47" s="1"/>
  <c r="CP10" i="47" s="1"/>
  <c r="BA12" i="47"/>
  <c r="CL12" i="47" s="1"/>
  <c r="CM12" i="47" s="1"/>
  <c r="BH12" i="47"/>
  <c r="BC12" i="47"/>
  <c r="BA5" i="47"/>
  <c r="CL5" i="47" s="1"/>
  <c r="BC5" i="47"/>
  <c r="CB5" i="47"/>
  <c r="G33" i="70"/>
  <c r="G34" i="70"/>
  <c r="G35" i="70"/>
  <c r="J35" i="70" s="1"/>
  <c r="BX14" i="47" l="1"/>
  <c r="BX7" i="47"/>
  <c r="U12" i="15"/>
  <c r="V12" i="15" s="1"/>
  <c r="AA12" i="15" s="1"/>
  <c r="AT17" i="34"/>
  <c r="BJ17" i="34" s="1"/>
  <c r="BM17" i="34" s="1"/>
  <c r="BN17" i="34" s="1"/>
  <c r="BX6" i="47"/>
  <c r="CO5" i="47"/>
  <c r="CP5" i="47" s="1"/>
  <c r="BX5" i="47"/>
  <c r="H57" i="70" s="1"/>
  <c r="AF27" i="15"/>
  <c r="AF22" i="15"/>
  <c r="BD7" i="47"/>
  <c r="BD5" i="47"/>
  <c r="AE17" i="34"/>
  <c r="AQ17" i="34" s="1"/>
  <c r="AR17" i="34" s="1"/>
  <c r="AV15" i="47"/>
  <c r="AW15" i="47"/>
  <c r="O9" i="15"/>
  <c r="P9" i="15" s="1"/>
  <c r="N23" i="15"/>
  <c r="AT22" i="34"/>
  <c r="BM22" i="34"/>
  <c r="BN22" i="34" s="1"/>
  <c r="BK22" i="34"/>
  <c r="T14" i="15"/>
  <c r="S22" i="34"/>
  <c r="AF22" i="34" s="1"/>
  <c r="AU20" i="34"/>
  <c r="AV20" i="34"/>
  <c r="AW20" i="34" s="1"/>
  <c r="BJ20" i="34"/>
  <c r="AU9" i="34"/>
  <c r="AV9" i="34"/>
  <c r="AW9" i="34" s="1"/>
  <c r="V6" i="15"/>
  <c r="U28" i="15"/>
  <c r="AT28" i="34"/>
  <c r="AR28" i="34"/>
  <c r="BM9" i="34"/>
  <c r="BN9" i="34" s="1"/>
  <c r="BK9" i="34"/>
  <c r="N7" i="15"/>
  <c r="O7" i="15"/>
  <c r="P7" i="15" s="1"/>
  <c r="AA23" i="15"/>
  <c r="AF23" i="15"/>
  <c r="U19" i="15"/>
  <c r="V19" i="15" s="1"/>
  <c r="AF19" i="15" s="1"/>
  <c r="T19" i="15"/>
  <c r="O26" i="15"/>
  <c r="P26" i="15" s="1"/>
  <c r="N26" i="15"/>
  <c r="T24" i="15"/>
  <c r="U24" i="15"/>
  <c r="V24" i="15" s="1"/>
  <c r="AF24" i="15" s="1"/>
  <c r="U21" i="15"/>
  <c r="V21" i="15" s="1"/>
  <c r="AF21" i="15" s="1"/>
  <c r="T21" i="15"/>
  <c r="S16" i="34"/>
  <c r="AF16" i="34" s="1"/>
  <c r="O12" i="15"/>
  <c r="P12" i="15" s="1"/>
  <c r="AE16" i="34"/>
  <c r="AQ16" i="34" s="1"/>
  <c r="AR16" i="34" s="1"/>
  <c r="AA26" i="15"/>
  <c r="AF26" i="15"/>
  <c r="O30" i="15"/>
  <c r="P23" i="15"/>
  <c r="BI11" i="47"/>
  <c r="BJ11" i="47" s="1"/>
  <c r="AU16" i="34"/>
  <c r="BJ16" i="34"/>
  <c r="T8" i="15"/>
  <c r="U8" i="15"/>
  <c r="V8" i="15" s="1"/>
  <c r="AF8" i="15" s="1"/>
  <c r="AA10" i="15"/>
  <c r="AF16" i="15"/>
  <c r="AA16" i="15"/>
  <c r="Y28" i="15"/>
  <c r="AV12" i="34"/>
  <c r="AW12" i="34" s="1"/>
  <c r="AU12" i="34"/>
  <c r="BJ12" i="34"/>
  <c r="AU15" i="34"/>
  <c r="AV15" i="34"/>
  <c r="AW15" i="34" s="1"/>
  <c r="BJ15" i="34"/>
  <c r="Z28" i="15"/>
  <c r="AF17" i="15"/>
  <c r="AA17" i="15"/>
  <c r="T9" i="15"/>
  <c r="U9" i="15"/>
  <c r="V9" i="15" s="1"/>
  <c r="AA9" i="15" s="1"/>
  <c r="CO9" i="47"/>
  <c r="CP9" i="47" s="1"/>
  <c r="CM13" i="47"/>
  <c r="BD14" i="47"/>
  <c r="BI13" i="47"/>
  <c r="BJ13" i="47" s="1"/>
  <c r="BX13" i="47" s="1"/>
  <c r="CM11" i="47"/>
  <c r="BD8" i="47"/>
  <c r="CM8" i="47"/>
  <c r="CO12" i="47"/>
  <c r="CP12" i="47" s="1"/>
  <c r="BD10" i="47"/>
  <c r="CM14" i="47"/>
  <c r="CM10" i="47"/>
  <c r="CO6" i="47"/>
  <c r="CP6" i="47" s="1"/>
  <c r="CO7" i="47"/>
  <c r="CP7" i="47" s="1"/>
  <c r="CM7" i="47"/>
  <c r="CM5" i="47"/>
  <c r="BD12" i="47"/>
  <c r="BI12" i="47"/>
  <c r="BJ12" i="47" s="1"/>
  <c r="BX12" i="47" s="1"/>
  <c r="BK17" i="34" l="1"/>
  <c r="AU17" i="34"/>
  <c r="AV17" i="34"/>
  <c r="AW17" i="34" s="1"/>
  <c r="BY5" i="47"/>
  <c r="BX11" i="47"/>
  <c r="AV28" i="34"/>
  <c r="AW28" i="34" s="1"/>
  <c r="AU28" i="34"/>
  <c r="BJ28" i="34"/>
  <c r="BK20" i="34"/>
  <c r="BM20" i="34"/>
  <c r="BN20" i="34" s="1"/>
  <c r="AF6" i="15"/>
  <c r="AF28" i="15" s="1"/>
  <c r="V28" i="15"/>
  <c r="AU22" i="34"/>
  <c r="AV22" i="34"/>
  <c r="AW22" i="34" s="1"/>
  <c r="AV16" i="34"/>
  <c r="AW16" i="34" s="1"/>
  <c r="AA28" i="15"/>
  <c r="AD9" i="15"/>
  <c r="AD28" i="15" s="1"/>
  <c r="BM12" i="34"/>
  <c r="BN12" i="34" s="1"/>
  <c r="BK12" i="34"/>
  <c r="BK16" i="34"/>
  <c r="BM16" i="34"/>
  <c r="BN16" i="34" s="1"/>
  <c r="BM15" i="34"/>
  <c r="BN15" i="34" s="1"/>
  <c r="BK15" i="34"/>
  <c r="BM28" i="34" l="1"/>
  <c r="BN28" i="34" s="1"/>
  <c r="BK28" i="34"/>
  <c r="AN15" i="47" l="1"/>
  <c r="AO15" i="47" l="1"/>
  <c r="CI15" i="47"/>
  <c r="AU15" i="47"/>
  <c r="CA15" i="47"/>
  <c r="AT15" i="47"/>
  <c r="AX15" i="47"/>
  <c r="AS15" i="47" l="1"/>
  <c r="J33" i="70"/>
  <c r="J34" i="70"/>
  <c r="AQ15" i="47"/>
  <c r="I36" i="70"/>
  <c r="CJ15" i="47"/>
  <c r="CB15" i="47"/>
  <c r="BA15" i="47"/>
  <c r="BC15" i="47" l="1"/>
  <c r="BK15" i="47"/>
  <c r="I38" i="70"/>
  <c r="H37" i="70"/>
  <c r="J38" i="70"/>
  <c r="J42" i="70" s="1"/>
  <c r="J58" i="70" s="1"/>
  <c r="BH15" i="47"/>
  <c r="G39" i="70"/>
  <c r="BI15" i="47"/>
  <c r="BD15" i="47"/>
  <c r="CL15" i="47" l="1"/>
  <c r="CO15" i="47"/>
  <c r="BX15" i="47"/>
  <c r="CM15" i="47"/>
  <c r="I39" i="70" l="1"/>
  <c r="I42" i="70" s="1"/>
  <c r="H43" i="70" s="1"/>
  <c r="H51" i="70" s="1"/>
  <c r="BJ15" i="47"/>
  <c r="CP15" i="47"/>
  <c r="H56" i="70" l="1"/>
  <c r="CC5" i="47" l="1"/>
  <c r="CD5" i="47" s="1"/>
  <c r="BY11" i="47"/>
  <c r="CC11" i="47"/>
  <c r="CD11" i="47" s="1"/>
  <c r="CC13" i="47"/>
  <c r="CD13" i="47" s="1"/>
  <c r="BY13" i="47"/>
  <c r="CC12" i="47"/>
  <c r="CD12" i="47" s="1"/>
  <c r="BY12" i="47"/>
  <c r="CC10" i="47"/>
  <c r="CD10" i="47" s="1"/>
  <c r="BY10" i="47"/>
  <c r="BY9" i="47"/>
  <c r="CC9" i="47"/>
  <c r="CD9" i="47" s="1"/>
  <c r="CC8" i="47"/>
  <c r="CD8" i="47" s="1"/>
  <c r="BY8" i="47"/>
  <c r="CC6" i="47"/>
  <c r="CD6" i="47" s="1"/>
  <c r="BY6" i="47"/>
  <c r="CC14" i="47"/>
  <c r="CD14" i="47" s="1"/>
  <c r="BY14" i="47"/>
  <c r="CC7" i="47"/>
  <c r="CD7" i="47" s="1"/>
  <c r="BY7" i="47"/>
  <c r="BY15" i="47" l="1"/>
  <c r="CD15" i="47"/>
  <c r="CC15" i="47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Reiye Gandzounou</author>
  </authors>
  <commentList>
    <comment ref="D3" authorId="0" shapeId="0" xr:uid="{00000000-0006-0000-0300-000001000000}">
      <text>
        <r>
          <rPr>
            <b/>
            <sz val="9"/>
            <color indexed="81"/>
            <rFont val="Tahoma"/>
            <family val="2"/>
          </rPr>
          <t>Reiye Gandzounou:</t>
        </r>
        <r>
          <rPr>
            <sz val="9"/>
            <color indexed="81"/>
            <rFont val="Tahoma"/>
            <family val="2"/>
          </rPr>
          <t xml:space="preserve">
C'est le salaire négocié et validé à l'embauche sur la base des compétences, des qualifications et du niveau initial du salarié</t>
        </r>
      </text>
    </comment>
    <comment ref="O3" authorId="0" shapeId="0" xr:uid="{00000000-0006-0000-0300-000002000000}">
      <text>
        <r>
          <rPr>
            <b/>
            <sz val="9"/>
            <color indexed="81"/>
            <rFont val="Tahoma"/>
            <family val="2"/>
          </rPr>
          <t>Reiye Gandzounou:</t>
        </r>
        <r>
          <rPr>
            <sz val="9"/>
            <color indexed="81"/>
            <rFont val="Tahoma"/>
            <family val="2"/>
          </rPr>
          <t xml:space="preserve">
formule de calcul</t>
        </r>
      </text>
    </comment>
    <comment ref="BA3" authorId="0" shapeId="0" xr:uid="{00000000-0006-0000-0300-000003000000}">
      <text>
        <r>
          <rPr>
            <b/>
            <sz val="9"/>
            <color indexed="81"/>
            <rFont val="Tahoma"/>
            <family val="2"/>
          </rPr>
          <t>Reiye Gandzounou:</t>
        </r>
        <r>
          <rPr>
            <sz val="9"/>
            <color indexed="81"/>
            <rFont val="Tahoma"/>
            <family val="2"/>
          </rPr>
          <t xml:space="preserve">
ou prime de précarité</t>
        </r>
      </text>
    </comment>
    <comment ref="BJ3" authorId="0" shapeId="0" xr:uid="{00000000-0006-0000-0300-000004000000}">
      <text>
        <r>
          <rPr>
            <b/>
            <sz val="9"/>
            <color indexed="81"/>
            <rFont val="Tahoma"/>
            <family val="2"/>
          </rPr>
          <t>Reiye Gandzounou:</t>
        </r>
        <r>
          <rPr>
            <sz val="9"/>
            <color indexed="81"/>
            <rFont val="Tahoma"/>
            <family val="2"/>
          </rPr>
          <t xml:space="preserve">
revoir le calcul des coûts salariaux globaux </t>
        </r>
      </text>
    </comment>
    <comment ref="BM3" authorId="0" shapeId="0" xr:uid="{00000000-0006-0000-0300-000005000000}">
      <text>
        <r>
          <rPr>
            <b/>
            <sz val="9"/>
            <color indexed="81"/>
            <rFont val="Tahoma"/>
            <family val="2"/>
          </rPr>
          <t>Reiye Gandzounou:</t>
        </r>
        <r>
          <rPr>
            <sz val="9"/>
            <color indexed="81"/>
            <rFont val="Tahoma"/>
            <family val="2"/>
          </rPr>
          <t xml:space="preserve">
revoir le calcul des coûts salariaux globaux </t>
        </r>
      </text>
    </comment>
    <comment ref="R4" authorId="0" shapeId="0" xr:uid="{00000000-0006-0000-0300-000006000000}">
      <text>
        <r>
          <rPr>
            <b/>
            <sz val="9"/>
            <color indexed="81"/>
            <rFont val="Tahoma"/>
            <family val="2"/>
          </rPr>
          <t>Reiye Gandzounou:</t>
        </r>
        <r>
          <rPr>
            <sz val="9"/>
            <color indexed="81"/>
            <rFont val="Tahoma"/>
            <family val="2"/>
          </rPr>
          <t xml:space="preserve">
formule de calcul</t>
        </r>
      </text>
    </comment>
    <comment ref="W4" authorId="0" shapeId="0" xr:uid="{00000000-0006-0000-0300-000007000000}">
      <text>
        <r>
          <rPr>
            <b/>
            <sz val="9"/>
            <color indexed="81"/>
            <rFont val="Tahoma"/>
            <family val="2"/>
          </rPr>
          <t>Reiye Gandzounou:</t>
        </r>
        <r>
          <rPr>
            <sz val="9"/>
            <color indexed="81"/>
            <rFont val="Tahoma"/>
            <family val="2"/>
          </rPr>
          <t xml:space="preserve">
PIVD = Prélèvement d'invadité, de viellesse et de départ
mode de calcul : 
- salaire (employé) = salaire brut x 4,00% 
- salaire (employeur) = salaire brut x 8,00</t>
        </r>
      </text>
    </comment>
    <comment ref="X4" authorId="0" shapeId="0" xr:uid="{00000000-0006-0000-0300-000008000000}">
      <text>
        <r>
          <rPr>
            <b/>
            <sz val="9"/>
            <color indexed="81"/>
            <rFont val="Tahoma"/>
            <family val="2"/>
          </rPr>
          <t>Reiye Gandzounou:</t>
        </r>
        <r>
          <rPr>
            <sz val="9"/>
            <color indexed="81"/>
            <rFont val="Tahoma"/>
            <family val="2"/>
          </rPr>
          <t xml:space="preserve">
AF = Allocation familliale
- mode de callcul = salaire brut plafonné 600 000 x 10,03% </t>
        </r>
      </text>
    </comment>
    <comment ref="Y4" authorId="0" shapeId="0" xr:uid="{00000000-0006-0000-0300-000009000000}">
      <text>
        <r>
          <rPr>
            <b/>
            <sz val="9"/>
            <color indexed="81"/>
            <rFont val="Tahoma"/>
            <family val="2"/>
          </rPr>
          <t>Reiye Gandzounou:</t>
        </r>
        <r>
          <rPr>
            <sz val="9"/>
            <color indexed="81"/>
            <rFont val="Tahoma"/>
            <family val="2"/>
          </rPr>
          <t xml:space="preserve">
AT = Accident du travail 
MP = Maladie professionnelle 
Mode de calcul = salaire brut plafonné 600 000 x 2,25% (pourcentage non variable)</t>
        </r>
      </text>
    </comment>
    <comment ref="AB4" authorId="0" shapeId="0" xr:uid="{00000000-0006-0000-0300-00000A000000}">
      <text>
        <r>
          <rPr>
            <b/>
            <sz val="9"/>
            <color indexed="81"/>
            <rFont val="Tahoma"/>
            <family val="2"/>
          </rPr>
          <t>Reiye Gandzounou:</t>
        </r>
        <r>
          <rPr>
            <sz val="9"/>
            <color indexed="81"/>
            <rFont val="Tahoma"/>
            <family val="2"/>
          </rPr>
          <t xml:space="preserve">
Contrat d'assurance globale dommage (Rep : incendie + sécurité locaux) : 483 558/an
Assurance gardiens : 169 964 /2  / an</t>
        </r>
      </text>
    </comment>
    <comment ref="A9" authorId="0" shapeId="0" xr:uid="{00000000-0006-0000-0300-00000B000000}">
      <text>
        <r>
          <rPr>
            <b/>
            <sz val="9"/>
            <color indexed="81"/>
            <rFont val="Tahoma"/>
            <family val="2"/>
          </rPr>
          <t>Reiye Gandzounou:</t>
        </r>
        <r>
          <rPr>
            <sz val="9"/>
            <color indexed="81"/>
            <rFont val="Tahoma"/>
            <family val="2"/>
          </rPr>
          <t xml:space="preserve">
prendre en compte le plafonnement à 600 000 F Cfa</t>
        </r>
      </text>
    </comment>
    <comment ref="BB9" authorId="0" shapeId="0" xr:uid="{00000000-0006-0000-0300-00000C000000}">
      <text>
        <r>
          <rPr>
            <b/>
            <sz val="9"/>
            <color indexed="81"/>
            <rFont val="Tahoma"/>
            <family val="2"/>
          </rPr>
          <t>Reiye Gandzounou:</t>
        </r>
        <r>
          <rPr>
            <sz val="9"/>
            <color indexed="81"/>
            <rFont val="Tahoma"/>
            <family val="2"/>
          </rPr>
          <t xml:space="preserve">
Calculer les primes de fin de contrat</t>
        </r>
      </text>
    </comment>
    <comment ref="AT14" authorId="0" shapeId="0" xr:uid="{00000000-0006-0000-0300-00000D000000}">
      <text>
        <r>
          <rPr>
            <b/>
            <sz val="9"/>
            <color indexed="81"/>
            <rFont val="Tahoma"/>
            <family val="2"/>
          </rPr>
          <t>Reiye Gandzounou:</t>
        </r>
        <r>
          <rPr>
            <sz val="9"/>
            <color indexed="81"/>
            <rFont val="Tahoma"/>
            <family val="2"/>
          </rPr>
          <t xml:space="preserve">
Pb avec le 13e mois</t>
        </r>
      </text>
    </comment>
    <comment ref="AT15" authorId="0" shapeId="0" xr:uid="{00000000-0006-0000-0300-00000E000000}">
      <text>
        <r>
          <rPr>
            <b/>
            <sz val="9"/>
            <color indexed="81"/>
            <rFont val="Tahoma"/>
            <family val="2"/>
          </rPr>
          <t>Reiye Gandzounou:</t>
        </r>
        <r>
          <rPr>
            <sz val="9"/>
            <color indexed="81"/>
            <rFont val="Tahoma"/>
            <family val="2"/>
          </rPr>
          <t xml:space="preserve">
calcul de l'Irpp ?</t>
        </r>
      </text>
    </comment>
    <comment ref="A28" authorId="0" shapeId="0" xr:uid="{00000000-0006-0000-0300-00000F000000}">
      <text>
        <r>
          <rPr>
            <b/>
            <sz val="9"/>
            <color indexed="81"/>
            <rFont val="Tahoma"/>
            <family val="2"/>
          </rPr>
          <t>Reiye Gandzounou:</t>
        </r>
        <r>
          <rPr>
            <sz val="9"/>
            <color indexed="81"/>
            <rFont val="Tahoma"/>
            <family val="2"/>
          </rPr>
          <t xml:space="preserve">
prendre en compte abattement 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Pascal MILANDOU</author>
  </authors>
  <commentList>
    <comment ref="B4" authorId="0" shapeId="0" xr:uid="{00000000-0006-0000-0600-000001000000}">
      <text>
        <r>
          <rPr>
            <b/>
            <sz val="9"/>
            <color indexed="81"/>
            <rFont val="Tahoma"/>
            <family val="2"/>
          </rPr>
          <t>Pascal MILANDOU:</t>
        </r>
        <r>
          <rPr>
            <sz val="9"/>
            <color indexed="81"/>
            <rFont val="Tahoma"/>
            <family val="2"/>
          </rPr>
          <t xml:space="preserve">
Hervé fera la mise à jour après saisie des salaires du dernier trimestre 2016</t>
        </r>
      </text>
    </comment>
    <comment ref="K4" authorId="0" shapeId="0" xr:uid="{00000000-0006-0000-0600-000002000000}">
      <text>
        <r>
          <rPr>
            <b/>
            <sz val="9"/>
            <color indexed="81"/>
            <rFont val="Tahoma"/>
            <family val="2"/>
          </rPr>
          <t>Pascal MILANDOU:</t>
        </r>
        <r>
          <rPr>
            <sz val="9"/>
            <color indexed="81"/>
            <rFont val="Tahoma"/>
            <family val="2"/>
          </rPr>
          <t xml:space="preserve">
3 ans et 9 mois</t>
        </r>
      </text>
    </comment>
    <comment ref="I5" authorId="0" shapeId="0" xr:uid="{00000000-0006-0000-0600-000003000000}">
      <text>
        <r>
          <rPr>
            <b/>
            <sz val="9"/>
            <color indexed="81"/>
            <rFont val="Tahoma"/>
            <family val="2"/>
          </rPr>
          <t>Pascal MILANDOU:</t>
        </r>
        <r>
          <rPr>
            <sz val="9"/>
            <color indexed="81"/>
            <rFont val="Tahoma"/>
            <family val="2"/>
          </rPr>
          <t xml:space="preserve">
brut mensuel x 12 mois + brut du 13è mois divisé par 12.</t>
        </r>
      </text>
    </comment>
    <comment ref="G6" authorId="0" shapeId="0" xr:uid="{00000000-0006-0000-0600-000004000000}">
      <text>
        <r>
          <rPr>
            <b/>
            <sz val="9"/>
            <color indexed="81"/>
            <rFont val="Tahoma"/>
            <family val="2"/>
          </rPr>
          <t>Pascal MILANDOU:</t>
        </r>
        <r>
          <rPr>
            <sz val="9"/>
            <color indexed="81"/>
            <rFont val="Tahoma"/>
            <family val="2"/>
          </rPr>
          <t xml:space="preserve">
2017 seulement</t>
        </r>
      </text>
    </comment>
    <comment ref="D8" authorId="0" shapeId="0" xr:uid="{00000000-0006-0000-0600-000005000000}">
      <text>
        <r>
          <rPr>
            <b/>
            <sz val="9"/>
            <color indexed="81"/>
            <rFont val="Tahoma"/>
            <family val="2"/>
          </rPr>
          <t>Pascal MILANDOU:</t>
        </r>
        <r>
          <rPr>
            <sz val="9"/>
            <color indexed="81"/>
            <rFont val="Tahoma"/>
            <family val="2"/>
          </rPr>
          <t xml:space="preserve">
Il sied de préciser le vrai montant sur cette ligne sachant qu'elle avait été affichée à mi temps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Reiye Gandzounou</author>
  </authors>
  <commentList>
    <comment ref="AN3" authorId="0" shapeId="0" xr:uid="{00000000-0006-0000-0500-000001000000}">
      <text>
        <r>
          <rPr>
            <b/>
            <sz val="9"/>
            <color indexed="81"/>
            <rFont val="Tahoma"/>
            <family val="2"/>
          </rPr>
          <t>Reiye Gandzounou:</t>
        </r>
        <r>
          <rPr>
            <sz val="9"/>
            <color indexed="81"/>
            <rFont val="Tahoma"/>
            <family val="2"/>
          </rPr>
          <t xml:space="preserve">
formule de calcul</t>
        </r>
      </text>
    </comment>
    <comment ref="AQ4" authorId="0" shapeId="0" xr:uid="{00000000-0006-0000-0500-000004000000}">
      <text>
        <r>
          <rPr>
            <b/>
            <sz val="9"/>
            <color indexed="81"/>
            <rFont val="Tahoma"/>
            <family val="2"/>
          </rPr>
          <t xml:space="preserve">Daria: </t>
        </r>
        <r>
          <rPr>
            <sz val="9"/>
            <color indexed="81"/>
            <rFont val="Tahoma"/>
            <family val="2"/>
          </rPr>
          <t xml:space="preserve">part employé = 4% du salaire brut
</t>
        </r>
      </text>
    </comment>
    <comment ref="AS4" authorId="0" shapeId="0" xr:uid="{00000000-0006-0000-0500-000005000000}">
      <text>
        <r>
          <rPr>
            <b/>
            <sz val="9"/>
            <color indexed="81"/>
            <rFont val="Tahoma"/>
            <family val="2"/>
          </rPr>
          <t>Daria:</t>
        </r>
        <r>
          <rPr>
            <sz val="9"/>
            <color indexed="81"/>
            <rFont val="Tahoma"/>
            <family val="2"/>
          </rPr>
          <t xml:space="preserve">
PIVD = Prélèvement d'invadité, de vieillesse et de départ
mode de calcul : 
- salaire (employeur) = salaire brut x 8,00</t>
        </r>
      </text>
    </comment>
    <comment ref="AT4" authorId="0" shapeId="0" xr:uid="{00000000-0006-0000-0500-000006000000}">
      <text>
        <r>
          <rPr>
            <b/>
            <sz val="9"/>
            <color indexed="81"/>
            <rFont val="Tahoma"/>
            <family val="2"/>
          </rPr>
          <t>Daria:</t>
        </r>
        <r>
          <rPr>
            <sz val="9"/>
            <color indexed="81"/>
            <rFont val="Tahoma"/>
            <family val="2"/>
          </rPr>
          <t xml:space="preserve">
AF = Allocation familiale
- mode de calcul = salaire brut plafonné 600 000 x 10,03% </t>
        </r>
      </text>
    </comment>
    <comment ref="AU4" authorId="0" shapeId="0" xr:uid="{00000000-0006-0000-0500-000007000000}">
      <text>
        <r>
          <rPr>
            <b/>
            <sz val="9"/>
            <color indexed="81"/>
            <rFont val="Tahoma"/>
            <family val="2"/>
          </rPr>
          <t>Daria
:</t>
        </r>
        <r>
          <rPr>
            <sz val="9"/>
            <color indexed="81"/>
            <rFont val="Tahoma"/>
            <family val="2"/>
          </rPr>
          <t xml:space="preserve">
AT = Accident du travail 
MP = Maladie professionnelle 
Mode de calcul = salaire brut plafonné 600 000 x 2,25% (pourcentage non variable)</t>
        </r>
      </text>
    </comment>
  </commentList>
</comments>
</file>

<file path=xl/sharedStrings.xml><?xml version="1.0" encoding="utf-8"?>
<sst xmlns="http://schemas.openxmlformats.org/spreadsheetml/2006/main" count="477" uniqueCount="339">
  <si>
    <t>Responsable opérationnel</t>
  </si>
  <si>
    <t>Employé</t>
  </si>
  <si>
    <t>4 - 4,5</t>
  </si>
  <si>
    <t>5 - 5,5</t>
  </si>
  <si>
    <t>Fonction</t>
  </si>
  <si>
    <t>CDI</t>
  </si>
  <si>
    <t>CDD</t>
  </si>
  <si>
    <t>Coûts salariaux Gret CG</t>
  </si>
  <si>
    <t>Prise en charge sur projets</t>
  </si>
  <si>
    <t>Noms et Prénoms</t>
  </si>
  <si>
    <t xml:space="preserve">Classification </t>
  </si>
  <si>
    <t>Salaire brut</t>
  </si>
  <si>
    <t>Retenue  CNSS</t>
  </si>
  <si>
    <t>Base</t>
  </si>
  <si>
    <t>Retenue</t>
  </si>
  <si>
    <t>nb de parts</t>
  </si>
  <si>
    <t>Primes</t>
  </si>
  <si>
    <t>Net à payer mensuel</t>
  </si>
  <si>
    <t>Net à payer mensuel en euros</t>
  </si>
  <si>
    <t>Net à payer avec 13e</t>
  </si>
  <si>
    <t>Employeur</t>
  </si>
  <si>
    <t>Visite médicale (coût annuel)</t>
  </si>
  <si>
    <t xml:space="preserve">Charge totale </t>
  </si>
  <si>
    <t>Charge totale par mois 13e mois inclus</t>
  </si>
  <si>
    <t>type de contrat</t>
  </si>
  <si>
    <t xml:space="preserve">durée (mois) </t>
  </si>
  <si>
    <t>Prime de fin de contrat</t>
  </si>
  <si>
    <t>Charge totale (€) par mois 13e mois inclus et prime de fin de contrat</t>
  </si>
  <si>
    <t>Promaiss</t>
  </si>
  <si>
    <t>Micab II</t>
  </si>
  <si>
    <t>Budget total sur durée initiale du projet</t>
  </si>
  <si>
    <t>Budget total sur durée du contrat de travail</t>
  </si>
  <si>
    <t xml:space="preserve">solde 
(= marge d'évolution) </t>
  </si>
  <si>
    <t xml:space="preserve">Commentaires </t>
  </si>
  <si>
    <t>Imposable</t>
  </si>
  <si>
    <t>IRPP</t>
  </si>
  <si>
    <t>Transport</t>
  </si>
  <si>
    <t>Pharmacie</t>
  </si>
  <si>
    <t>Panier</t>
  </si>
  <si>
    <t>Représentation</t>
  </si>
  <si>
    <t xml:space="preserve">F Cfa </t>
  </si>
  <si>
    <t>€</t>
  </si>
  <si>
    <t>TUS</t>
  </si>
  <si>
    <t>(F Cfa)</t>
  </si>
  <si>
    <t>(€)</t>
  </si>
  <si>
    <t>F CFA</t>
  </si>
  <si>
    <t>en Euros</t>
  </si>
  <si>
    <t xml:space="preserve">budget </t>
  </si>
  <si>
    <t>solde</t>
  </si>
  <si>
    <t>GANDZOUNOU M. Reiye</t>
  </si>
  <si>
    <t xml:space="preserve">Cadre supérieur </t>
  </si>
  <si>
    <t xml:space="preserve">MANTE Mylla Elyte </t>
  </si>
  <si>
    <t xml:space="preserve">Agent d'encadrement </t>
  </si>
  <si>
    <t xml:space="preserve">MILANDOU Pascal </t>
  </si>
  <si>
    <t xml:space="preserve">Agent de maîtrise </t>
  </si>
  <si>
    <t>SOLO Guy Bertin</t>
  </si>
  <si>
    <t xml:space="preserve">Agent technique </t>
  </si>
  <si>
    <t>Employé mini</t>
  </si>
  <si>
    <t>Agent d'exécution</t>
  </si>
  <si>
    <t>Employé maxi</t>
  </si>
  <si>
    <t>Représentant (mini)</t>
  </si>
  <si>
    <t>Chef de projet (mini)</t>
  </si>
  <si>
    <t xml:space="preserve">Resposnable opérationnel </t>
  </si>
  <si>
    <t>Chef de projet (maxi)</t>
  </si>
  <si>
    <t>KOUBEMBA Eddy Séraphin</t>
  </si>
  <si>
    <t>Responsable de volet (mini)</t>
  </si>
  <si>
    <t>Responsable de volet (maxi)</t>
  </si>
  <si>
    <t>Comptable (mini)</t>
  </si>
  <si>
    <t xml:space="preserve">Assistant administratif </t>
  </si>
  <si>
    <t>Comptable (maxi)</t>
  </si>
  <si>
    <t>Raf (mini)</t>
  </si>
  <si>
    <t xml:space="preserve">Responsable administratif </t>
  </si>
  <si>
    <t>Raf (maxi)</t>
  </si>
  <si>
    <t>Animateur (mini)</t>
  </si>
  <si>
    <t>Animateur (maxi)</t>
  </si>
  <si>
    <t>Secrétaire (mini)</t>
  </si>
  <si>
    <t>Secrétaire (maxi)</t>
  </si>
  <si>
    <t>Logisticien (mini)</t>
  </si>
  <si>
    <t>Lgisticien (maxi)</t>
  </si>
  <si>
    <t>TOTAL GENERAL</t>
  </si>
  <si>
    <t>GANDZOUNOU MAKANY Presley</t>
  </si>
  <si>
    <t>MILANDOU Pascal</t>
  </si>
  <si>
    <t>GANDZOUNOU MATOMBOU Reiye</t>
  </si>
  <si>
    <t>KOUAKOUA KEDJOUANI Armel</t>
  </si>
  <si>
    <t>NKIE Armel</t>
  </si>
  <si>
    <t>Rep</t>
  </si>
  <si>
    <t>DAKE Muthis Arries</t>
  </si>
  <si>
    <t>Coûts salariaux GRET CG</t>
  </si>
  <si>
    <t>Noms et prénoms</t>
  </si>
  <si>
    <t>Charges sociales employé</t>
  </si>
  <si>
    <t>c. Salaire net</t>
  </si>
  <si>
    <t>nb parts</t>
  </si>
  <si>
    <t>d. Salaire net à payer</t>
  </si>
  <si>
    <t>13e mois</t>
  </si>
  <si>
    <t>Salaire net 13e mois inclus</t>
  </si>
  <si>
    <t>Indemnité de fin de contrat</t>
  </si>
  <si>
    <t>F Cfa</t>
  </si>
  <si>
    <t>(Dé) localisation</t>
  </si>
  <si>
    <t>Frais pro et assimilés</t>
  </si>
  <si>
    <t>Assiduité</t>
  </si>
  <si>
    <t>Heures sup. except.</t>
  </si>
  <si>
    <t>Logement</t>
  </si>
  <si>
    <t>XAF</t>
  </si>
  <si>
    <t>Visites médicales</t>
  </si>
  <si>
    <t>Assurance expatriation</t>
  </si>
  <si>
    <t xml:space="preserve">Santé </t>
  </si>
  <si>
    <t>Expatriation</t>
  </si>
  <si>
    <t>Supplément famille</t>
  </si>
  <si>
    <t>I. Personnel local</t>
  </si>
  <si>
    <t xml:space="preserve">KONDO MOUHINGOU Aldyss Jarland </t>
  </si>
  <si>
    <t xml:space="preserve">KOUTOUMA NSONA Raïssa Edwige </t>
  </si>
  <si>
    <t xml:space="preserve">II. Personnel expatrié </t>
  </si>
  <si>
    <t>AIHOU Roger</t>
  </si>
  <si>
    <t xml:space="preserve">Cnss Pvid </t>
  </si>
  <si>
    <t>Cnss AF</t>
  </si>
  <si>
    <t>Cnss AT/MP</t>
  </si>
  <si>
    <t>Cnss employé</t>
  </si>
  <si>
    <t>IRPP employé</t>
  </si>
  <si>
    <t xml:space="preserve">MOUKENDI MAWEJA Stève </t>
  </si>
  <si>
    <t xml:space="preserve">MAYIMA Hervé </t>
  </si>
  <si>
    <t>MANTE Elite Mylla</t>
  </si>
  <si>
    <t xml:space="preserve">NSEMBO Arnaud Valère </t>
  </si>
  <si>
    <t xml:space="preserve">Employé </t>
  </si>
  <si>
    <t>SAMBA Tedy Arly</t>
  </si>
  <si>
    <t xml:space="preserve">durée (année) </t>
  </si>
  <si>
    <t>f. Coût salarial global mensuel</t>
  </si>
  <si>
    <t>f. Coût salarial global annuel</t>
  </si>
  <si>
    <t>BOUKAKA Jordan Vénal</t>
  </si>
  <si>
    <t>BIKOUYA Giglah Helburge</t>
  </si>
  <si>
    <t>Prime de salissure</t>
  </si>
  <si>
    <t>Charges de l'employeur</t>
  </si>
  <si>
    <t>a. Salaire de base</t>
  </si>
  <si>
    <t>b. Salaire brut</t>
  </si>
  <si>
    <t>base Irpp</t>
  </si>
  <si>
    <t>Primes et indemnités fiscalisées</t>
  </si>
  <si>
    <t>Responsabilité</t>
  </si>
  <si>
    <t xml:space="preserve">Avantages </t>
  </si>
  <si>
    <t>Taxe régionale</t>
  </si>
  <si>
    <t xml:space="preserve">Total masse salariale mensuelle  </t>
  </si>
  <si>
    <t xml:space="preserve"> MALEKA BADINGA Amour Ferande</t>
  </si>
  <si>
    <t>OUBOUKOULOU - LEHOT Carmella Guevelle</t>
  </si>
  <si>
    <t>Assurance globale annuelle</t>
  </si>
  <si>
    <t>Marges d'augmentation</t>
  </si>
  <si>
    <t>Provision formation (2%)</t>
  </si>
  <si>
    <t>Date d'entrée</t>
  </si>
  <si>
    <t>Total charge employeur</t>
  </si>
  <si>
    <t>Temps de travail</t>
  </si>
  <si>
    <t>date de fin</t>
  </si>
  <si>
    <t>CHARGES</t>
  </si>
  <si>
    <t>Patronales</t>
  </si>
  <si>
    <t>Salaire de base</t>
  </si>
  <si>
    <t>Salaire Brut</t>
  </si>
  <si>
    <t>CNSS A.F</t>
  </si>
  <si>
    <t xml:space="preserve"> </t>
  </si>
  <si>
    <t>Total à Ajouter</t>
  </si>
  <si>
    <t>Total à Retenir</t>
  </si>
  <si>
    <t>Salaire Total après Déductions</t>
  </si>
  <si>
    <t>Signature de l'employeur</t>
  </si>
  <si>
    <t>Signature de l'employé</t>
  </si>
  <si>
    <t>Matricule</t>
  </si>
  <si>
    <t>Salaire NET</t>
  </si>
  <si>
    <t>Net à Payer</t>
  </si>
  <si>
    <t>Avantages</t>
  </si>
  <si>
    <t>Total charges sociale</t>
  </si>
  <si>
    <t>Total retenue</t>
  </si>
  <si>
    <t>Taux</t>
  </si>
  <si>
    <t>Cout total mensuel</t>
  </si>
  <si>
    <t>Charges sociales</t>
  </si>
  <si>
    <t>Situation matrimoniale</t>
  </si>
  <si>
    <t>TATY Huguette Franche</t>
  </si>
  <si>
    <t>NSAKALA Serge Alain</t>
  </si>
  <si>
    <t>LIBA NZAOU Georges</t>
  </si>
  <si>
    <t>MBOUNGOU Edwige</t>
  </si>
  <si>
    <t>AMOUSSA S. Nadirathou A.</t>
  </si>
  <si>
    <t>BINGOUA Marise</t>
  </si>
  <si>
    <t>NZILA Otave</t>
  </si>
  <si>
    <t>TOL</t>
  </si>
  <si>
    <t>coût mensuel</t>
  </si>
  <si>
    <t>échéance</t>
  </si>
  <si>
    <t>solde au 31Decembre 2016</t>
  </si>
  <si>
    <t>COMPENSATION</t>
  </si>
  <si>
    <t>Total</t>
  </si>
  <si>
    <t>solde au 30 sept16</t>
  </si>
  <si>
    <t>complément  rémunération suite aux augmentations</t>
  </si>
  <si>
    <t>solde ligne après régularisation</t>
  </si>
  <si>
    <t>nouveau coût mensuel</t>
  </si>
  <si>
    <t>Coûts à terminaison du projet</t>
  </si>
  <si>
    <t>13è mois 2017&amp;2018</t>
  </si>
  <si>
    <t>ind fin conrat ttc</t>
  </si>
  <si>
    <t>sal moyen</t>
  </si>
  <si>
    <t>durée</t>
  </si>
  <si>
    <t>cnss employeur</t>
  </si>
  <si>
    <t>tus</t>
  </si>
  <si>
    <t>coût clôture projet</t>
  </si>
  <si>
    <t>écart</t>
  </si>
  <si>
    <t>Charges soc. Employé</t>
  </si>
  <si>
    <t>NET après impôt</t>
  </si>
  <si>
    <t>Total impôts</t>
  </si>
  <si>
    <r>
      <t>Situation Matrimo.</t>
    </r>
    <r>
      <rPr>
        <sz val="11"/>
        <rFont val="Arial Narrow"/>
        <family val="2"/>
      </rPr>
      <t xml:space="preserve"> :</t>
    </r>
  </si>
  <si>
    <r>
      <t>Nombre d'enfants</t>
    </r>
    <r>
      <rPr>
        <sz val="11"/>
        <rFont val="Arial Narrow"/>
        <family val="2"/>
      </rPr>
      <t xml:space="preserve"> :    </t>
    </r>
  </si>
  <si>
    <r>
      <t>Nombre de parts</t>
    </r>
    <r>
      <rPr>
        <sz val="11"/>
        <rFont val="Arial Narrow"/>
        <family val="2"/>
      </rPr>
      <t xml:space="preserve"> :       </t>
    </r>
  </si>
  <si>
    <t>TUS impôt</t>
  </si>
  <si>
    <t>Impôts</t>
  </si>
  <si>
    <t>base IRPP</t>
  </si>
  <si>
    <t>C.N.S.S  employeur</t>
  </si>
  <si>
    <t>C.N.S.S employé</t>
  </si>
  <si>
    <t xml:space="preserve">TUS CNSS </t>
  </si>
  <si>
    <t>Cat/Ech</t>
  </si>
  <si>
    <t>COL1</t>
  </si>
  <si>
    <t>COL2</t>
  </si>
  <si>
    <t>COL3</t>
  </si>
  <si>
    <t>COL4</t>
  </si>
  <si>
    <t>COL5</t>
  </si>
  <si>
    <t>COL6</t>
  </si>
  <si>
    <t>COL7</t>
  </si>
  <si>
    <t>COL8</t>
  </si>
  <si>
    <t>COL9</t>
  </si>
  <si>
    <t>COL10</t>
  </si>
  <si>
    <t>COL11</t>
  </si>
  <si>
    <t>COL12</t>
  </si>
  <si>
    <t>COL13</t>
  </si>
  <si>
    <t>COL14</t>
  </si>
  <si>
    <t>COL15</t>
  </si>
  <si>
    <t>SB XAF</t>
  </si>
  <si>
    <t>SB €</t>
  </si>
  <si>
    <t>Charges Sal. Cnss employé 4%</t>
  </si>
  <si>
    <t>Charges Emp. Cnss 8%</t>
  </si>
  <si>
    <t>Charges Emp. Cnss 12,28%</t>
  </si>
  <si>
    <t>Charges Emp. Cnss AT/MP 2,25%</t>
  </si>
  <si>
    <t>Charges Emp. RAS 10%</t>
  </si>
  <si>
    <t>Charges Emp. Assurance expatriation</t>
  </si>
  <si>
    <t>Charges Emp. Taxe régionale</t>
  </si>
  <si>
    <t>SN XAF</t>
  </si>
  <si>
    <t>SN €</t>
  </si>
  <si>
    <t xml:space="preserve">IRPP Quotion familial </t>
  </si>
  <si>
    <t>Avant. Prix FCFA</t>
  </si>
  <si>
    <t>Avant. Reponsabilité</t>
  </si>
  <si>
    <t>13ème mois XAF</t>
  </si>
  <si>
    <t>13ème mois €</t>
  </si>
  <si>
    <t>SN13 XAF</t>
  </si>
  <si>
    <t>SN13€</t>
  </si>
  <si>
    <t>IFC F CFA</t>
  </si>
  <si>
    <t>IFC €</t>
  </si>
  <si>
    <t xml:space="preserve">Prov. Form.F CFA </t>
  </si>
  <si>
    <t>Prov. Form. €</t>
  </si>
  <si>
    <t>CSGM (F CFA)</t>
  </si>
  <si>
    <t>CSGM (€)</t>
  </si>
  <si>
    <t>CSGA (F CFA)</t>
  </si>
  <si>
    <t>CSGA (€)</t>
  </si>
  <si>
    <t>N°</t>
  </si>
  <si>
    <t>N° de ligne du tableau T_PAYROLL</t>
  </si>
  <si>
    <t>SB €2</t>
  </si>
  <si>
    <t>Type de contrat</t>
  </si>
  <si>
    <t>Nbr enfants</t>
  </si>
  <si>
    <t>Categorie/Echelon</t>
  </si>
  <si>
    <t>SB FCFA</t>
  </si>
  <si>
    <t xml:space="preserve"> Prime de responsabilité</t>
  </si>
  <si>
    <t xml:space="preserve"> Prime individuelle</t>
  </si>
  <si>
    <t xml:space="preserve"> Prime Risque</t>
  </si>
  <si>
    <t xml:space="preserve">HS
6 premières heures
10% </t>
  </si>
  <si>
    <t xml:space="preserve"> HS
à partir de la 7ème heure
25% </t>
  </si>
  <si>
    <t xml:space="preserve"> HS  de nuit et h supp sur tps de repos et h sur jour férié
50% </t>
  </si>
  <si>
    <t xml:space="preserve"> STC</t>
  </si>
  <si>
    <t>Prime de chantier</t>
  </si>
  <si>
    <t>Regularisation</t>
  </si>
  <si>
    <t xml:space="preserve"> Prime astreinte</t>
  </si>
  <si>
    <t>Net a Payer XAF</t>
  </si>
  <si>
    <t>Net a Payer  €</t>
  </si>
  <si>
    <t>Célibataire</t>
  </si>
  <si>
    <t>Column1</t>
  </si>
  <si>
    <t>Ancienneté</t>
  </si>
  <si>
    <t xml:space="preserve"> CAMU0,5%</t>
  </si>
  <si>
    <t>Charges Emp. TUS IMPOT 4,125%</t>
  </si>
  <si>
    <t>Charges Emp. TUS CNSS 3,375%</t>
  </si>
  <si>
    <t>Cat1.1</t>
  </si>
  <si>
    <t>Cat4.1</t>
  </si>
  <si>
    <t>Cat2.1</t>
  </si>
  <si>
    <t>Fait à Pointe-noire , le 31janvier 2025</t>
  </si>
  <si>
    <t xml:space="preserve">  NET A PAYER</t>
  </si>
  <si>
    <t>HR001</t>
  </si>
  <si>
    <t>HR002</t>
  </si>
  <si>
    <t>HR003</t>
  </si>
  <si>
    <t>HR004</t>
  </si>
  <si>
    <t>HR005</t>
  </si>
  <si>
    <t>HR006</t>
  </si>
  <si>
    <t>HR007</t>
  </si>
  <si>
    <t>HR008</t>
  </si>
  <si>
    <t>HR009</t>
  </si>
  <si>
    <t>HR010</t>
  </si>
  <si>
    <t>Période: du 01/01 au 31/01/2025</t>
  </si>
  <si>
    <t>Directeur</t>
  </si>
  <si>
    <t>Ressoures Humaines</t>
  </si>
  <si>
    <t>Chef de Réception</t>
  </si>
  <si>
    <t>Achetteuse</t>
  </si>
  <si>
    <t>Agent commercial</t>
  </si>
  <si>
    <t>Chauffeur</t>
  </si>
  <si>
    <t>Maitre d'hôtel</t>
  </si>
  <si>
    <t xml:space="preserve">Controleur </t>
  </si>
  <si>
    <t>Caissière</t>
  </si>
  <si>
    <t>Plongeur</t>
  </si>
  <si>
    <t>LIKBI Michel</t>
  </si>
  <si>
    <t>NIONGO NGOYI Aude</t>
  </si>
  <si>
    <t>Mme OLASSA Flora</t>
  </si>
  <si>
    <t>NGOMBE Félicité</t>
  </si>
  <si>
    <t>DIAMONEKENE Oscar</t>
  </si>
  <si>
    <t>NGOMA Amour</t>
  </si>
  <si>
    <t>NKOUKA Dénis</t>
  </si>
  <si>
    <t>BAKADILA Carine</t>
  </si>
  <si>
    <t>POUABOU Clénie</t>
  </si>
  <si>
    <t>NGAMIYE Emerson</t>
  </si>
  <si>
    <t>N° Cpte Bancaire</t>
  </si>
  <si>
    <t>N°CNSS</t>
  </si>
  <si>
    <t>Adresse</t>
  </si>
  <si>
    <t xml:space="preserve"> E-mail: contact@hotelleruisseau.cg</t>
  </si>
  <si>
    <t>BULLETIN DE PAIE</t>
  </si>
  <si>
    <t>Section</t>
  </si>
  <si>
    <t>Section:</t>
  </si>
  <si>
    <t>Direction</t>
  </si>
  <si>
    <t>Mode de paiement:</t>
  </si>
  <si>
    <t>Virement</t>
  </si>
  <si>
    <t>Prime de rendement</t>
  </si>
  <si>
    <t>Prime Diplôme</t>
  </si>
  <si>
    <t xml:space="preserve">  Prime de Caisse</t>
  </si>
  <si>
    <t>Indemnité. Transport</t>
  </si>
  <si>
    <t>Indemnité. Panier</t>
  </si>
  <si>
    <t>Indemnité. Salissure</t>
  </si>
  <si>
    <t>Retenue Prêt Pharmacie</t>
  </si>
  <si>
    <t xml:space="preserve">Retenue Prêt </t>
  </si>
  <si>
    <t>Avance quinzaine</t>
  </si>
  <si>
    <t>Code</t>
  </si>
  <si>
    <t>Prime d encouragement</t>
  </si>
  <si>
    <r>
      <t xml:space="preserve">Date d'embauche </t>
    </r>
    <r>
      <rPr>
        <sz val="11"/>
        <rFont val="Arial Narrow"/>
        <family val="2"/>
      </rPr>
      <t xml:space="preserve"> :</t>
    </r>
  </si>
  <si>
    <t xml:space="preserve">Matricule:   </t>
  </si>
  <si>
    <t>Conv. Collective    :</t>
  </si>
  <si>
    <r>
      <t xml:space="preserve">Nom &amp; Prénom     </t>
    </r>
    <r>
      <rPr>
        <sz val="11"/>
        <rFont val="Arial Narrow"/>
        <family val="2"/>
      </rPr>
      <t xml:space="preserve"> : </t>
    </r>
  </si>
  <si>
    <t>Sursalaire</t>
  </si>
  <si>
    <t>Prime Ancienneté</t>
  </si>
  <si>
    <r>
      <t>Fonction</t>
    </r>
    <r>
      <rPr>
        <sz val="11"/>
        <rFont val="Arial Narrow"/>
        <family val="2"/>
      </rPr>
      <t xml:space="preserve">: </t>
    </r>
  </si>
  <si>
    <t xml:space="preserve"> Forfait HS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</si>
</sst>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3" formatCode="_-* #,##0.00\ _€_-;\-* #,##0.00\ _€_-;_-* &quot;-&quot;??\ _€_-;_-@_-"/>
    <numFmt numFmtId="164" formatCode="_-* #,##0.00\ _F_-;\-* #,##0.00\ _F_-;_-* &quot;-&quot;??\ _F_-;_-@_-"/>
    <numFmt numFmtId="165" formatCode="_-* #,##0\ _€_-;\-* #,##0\ _€_-;_-* &quot;-&quot;??\ _€_-;_-@_-"/>
    <numFmt numFmtId="166" formatCode="#,##0.0"/>
    <numFmt numFmtId="167" formatCode="_-* #,##0.0\ _€_-;\-* #,##0.0\ _€_-;_-* &quot;-&quot;??\ _€_-;_-@_-"/>
    <numFmt numFmtId="168" formatCode="0.0%"/>
    <numFmt numFmtId="169" formatCode="_-* #,##0\ _F_-;\-* #,##0\ _F_-;_-* &quot;-&quot;??\ _F_-;_-@_-"/>
    <numFmt numFmtId="170" formatCode="[$-40C]d\-mmm\-yy;@"/>
    <numFmt numFmtId="171" formatCode="_-* #,##0_-;\-* #,##0_-;_-* &quot;-&quot;??_-;_-@_-"/>
    <numFmt numFmtId="172" formatCode="0.000%"/>
  </numFmts>
  <fonts count="9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  <font>
      <sz val="10"/>
      <color indexed="8"/>
      <name val="MS Sans Serif"/>
      <family val="2"/>
    </font>
    <font>
      <b/>
      <sz val="14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theme="1"/>
      <name val="Arial Narrow"/>
      <family val="2"/>
    </font>
    <font>
      <b/>
      <sz val="9"/>
      <color theme="1"/>
      <name val="Arial Narrow"/>
      <family val="2"/>
    </font>
    <font>
      <b/>
      <sz val="9"/>
      <name val="Arial Narrow"/>
      <family val="2"/>
    </font>
    <font>
      <sz val="9"/>
      <name val="Arial Narrow"/>
      <family val="2"/>
    </font>
    <font>
      <b/>
      <i/>
      <sz val="9"/>
      <color rgb="FF00B050"/>
      <name val="Arial Narrow"/>
      <family val="2"/>
    </font>
    <font>
      <sz val="9"/>
      <color rgb="FFFF0000"/>
      <name val="Arial Narrow"/>
      <family val="2"/>
    </font>
    <font>
      <sz val="9"/>
      <color rgb="FF0070C0"/>
      <name val="Arial Narrow"/>
      <family val="2"/>
    </font>
    <font>
      <sz val="9"/>
      <color theme="3"/>
      <name val="Arial Narrow"/>
      <family val="2"/>
    </font>
    <font>
      <sz val="9"/>
      <color theme="5"/>
      <name val="Arial Narrow"/>
      <family val="2"/>
    </font>
    <font>
      <b/>
      <i/>
      <sz val="9"/>
      <color theme="3"/>
      <name val="Arial Narrow"/>
      <family val="2"/>
    </font>
    <font>
      <b/>
      <i/>
      <sz val="9"/>
      <color theme="1"/>
      <name val="Arial Narrow"/>
      <family val="2"/>
    </font>
    <font>
      <b/>
      <i/>
      <sz val="9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4"/>
      <color theme="1"/>
      <name val="Cambria"/>
      <family val="1"/>
      <scheme val="major"/>
    </font>
    <font>
      <sz val="11"/>
      <color theme="1"/>
      <name val="Cambria"/>
      <family val="1"/>
      <scheme val="major"/>
    </font>
    <font>
      <sz val="10"/>
      <color theme="1"/>
      <name val="Cambria"/>
      <family val="1"/>
      <scheme val="major"/>
    </font>
    <font>
      <sz val="9"/>
      <color theme="1"/>
      <name val="Cambria"/>
      <family val="1"/>
      <scheme val="major"/>
    </font>
    <font>
      <b/>
      <sz val="9"/>
      <color theme="1"/>
      <name val="Cambria"/>
      <family val="1"/>
      <scheme val="major"/>
    </font>
    <font>
      <b/>
      <sz val="11"/>
      <color theme="1"/>
      <name val="Cambria"/>
      <family val="1"/>
      <scheme val="major"/>
    </font>
    <font>
      <b/>
      <sz val="9"/>
      <name val="Cambria"/>
      <family val="1"/>
      <scheme val="major"/>
    </font>
    <font>
      <sz val="9"/>
      <color theme="9" tint="-0.499984740745262"/>
      <name val="Cambria"/>
      <family val="1"/>
      <scheme val="major"/>
    </font>
    <font>
      <sz val="9"/>
      <color theme="3" tint="-0.499984740745262"/>
      <name val="Cambria"/>
      <family val="1"/>
      <scheme val="major"/>
    </font>
    <font>
      <sz val="9"/>
      <color theme="8" tint="-0.499984740745262"/>
      <name val="Cambria"/>
      <family val="1"/>
      <scheme val="major"/>
    </font>
    <font>
      <b/>
      <i/>
      <sz val="9"/>
      <color theme="1"/>
      <name val="Cambria"/>
      <family val="1"/>
      <scheme val="major"/>
    </font>
    <font>
      <i/>
      <sz val="11"/>
      <color theme="1"/>
      <name val="Cambria"/>
      <family val="1"/>
      <scheme val="major"/>
    </font>
    <font>
      <b/>
      <sz val="9"/>
      <color theme="9" tint="-0.499984740745262"/>
      <name val="Cambria"/>
      <family val="1"/>
      <scheme val="major"/>
    </font>
    <font>
      <b/>
      <sz val="9"/>
      <color theme="8" tint="-0.499984740745262"/>
      <name val="Cambria"/>
      <family val="1"/>
      <scheme val="major"/>
    </font>
    <font>
      <i/>
      <sz val="8.5"/>
      <name val="Cambria"/>
      <family val="1"/>
      <scheme val="major"/>
    </font>
    <font>
      <b/>
      <sz val="8.5"/>
      <color theme="1"/>
      <name val="Cambria"/>
      <family val="1"/>
      <scheme val="major"/>
    </font>
    <font>
      <sz val="8.5"/>
      <color theme="1"/>
      <name val="Cambria"/>
      <family val="1"/>
      <scheme val="major"/>
    </font>
    <font>
      <sz val="8.5"/>
      <name val="Cambria"/>
      <family val="1"/>
      <scheme val="major"/>
    </font>
    <font>
      <sz val="8.5"/>
      <color theme="9" tint="-0.499984740745262"/>
      <name val="Cambria"/>
      <family val="1"/>
      <scheme val="major"/>
    </font>
    <font>
      <sz val="8.5"/>
      <color theme="3" tint="-0.499984740745262"/>
      <name val="Cambria"/>
      <family val="1"/>
      <scheme val="major"/>
    </font>
    <font>
      <sz val="8.5"/>
      <color theme="8" tint="-0.499984740745262"/>
      <name val="Cambria"/>
      <family val="1"/>
      <scheme val="major"/>
    </font>
    <font>
      <b/>
      <i/>
      <sz val="8.5"/>
      <color theme="1"/>
      <name val="Cambria"/>
      <family val="1"/>
      <scheme val="major"/>
    </font>
    <font>
      <i/>
      <sz val="8.5"/>
      <color theme="1"/>
      <name val="Cambria"/>
      <family val="1"/>
      <scheme val="major"/>
    </font>
    <font>
      <sz val="8.5"/>
      <color rgb="FFFF0000"/>
      <name val="Cambria"/>
      <family val="1"/>
      <scheme val="major"/>
    </font>
    <font>
      <i/>
      <sz val="9"/>
      <name val="Cambria"/>
      <family val="1"/>
      <scheme val="major"/>
    </font>
    <font>
      <i/>
      <sz val="9"/>
      <color theme="1"/>
      <name val="Cambria"/>
      <family val="1"/>
      <scheme val="major"/>
    </font>
    <font>
      <b/>
      <sz val="8.5"/>
      <name val="Cambria"/>
      <family val="1"/>
      <scheme val="major"/>
    </font>
    <font>
      <b/>
      <i/>
      <sz val="8.5"/>
      <name val="Cambria"/>
      <family val="1"/>
      <scheme val="major"/>
    </font>
    <font>
      <b/>
      <sz val="10"/>
      <color theme="9" tint="-0.499984740745262"/>
      <name val="Cambria"/>
      <family val="1"/>
      <scheme val="major"/>
    </font>
    <font>
      <b/>
      <sz val="11"/>
      <name val="Calibri"/>
      <family val="2"/>
      <scheme val="minor"/>
    </font>
    <font>
      <sz val="9"/>
      <name val="Calibri"/>
      <family val="2"/>
      <scheme val="minor"/>
    </font>
    <font>
      <i/>
      <u/>
      <sz val="10"/>
      <name val="Arial"/>
      <family val="2"/>
    </font>
    <font>
      <i/>
      <u/>
      <sz val="9"/>
      <name val="Arial"/>
      <family val="2"/>
    </font>
    <font>
      <b/>
      <sz val="10"/>
      <color theme="1"/>
      <name val="Arial Narrow"/>
      <family val="2"/>
    </font>
    <font>
      <b/>
      <sz val="11"/>
      <name val="Arial Narrow"/>
      <family val="2"/>
    </font>
    <font>
      <b/>
      <sz val="9"/>
      <name val="Calibri"/>
      <family val="2"/>
      <scheme val="minor"/>
    </font>
    <font>
      <sz val="10"/>
      <name val="Calibri"/>
      <family val="2"/>
      <scheme val="minor"/>
    </font>
    <font>
      <sz val="11"/>
      <name val="Arial Narrow"/>
      <family val="2"/>
    </font>
    <font>
      <b/>
      <sz val="12"/>
      <name val="Arial Narrow"/>
      <family val="2"/>
    </font>
    <font>
      <sz val="12"/>
      <name val="Arial Narrow"/>
      <family val="2"/>
    </font>
    <font>
      <b/>
      <sz val="14"/>
      <name val="Calibri"/>
      <family val="2"/>
      <scheme val="minor"/>
    </font>
    <font>
      <b/>
      <u val="singleAccounting"/>
      <sz val="11"/>
      <name val="Calibri"/>
      <family val="2"/>
      <scheme val="minor"/>
    </font>
    <font>
      <b/>
      <i/>
      <u val="singleAccounting"/>
      <sz val="9"/>
      <name val="Arial"/>
      <family val="2"/>
    </font>
    <font>
      <sz val="8.5"/>
      <name val="Calibri"/>
      <family val="2"/>
      <scheme val="minor"/>
    </font>
    <font>
      <b/>
      <sz val="8.5"/>
      <name val="Calibri"/>
      <family val="2"/>
      <scheme val="minor"/>
    </font>
    <font>
      <sz val="12"/>
      <color theme="1"/>
      <name val="Arial Narrow"/>
      <family val="2"/>
    </font>
    <font>
      <sz val="11"/>
      <color theme="1"/>
      <name val="Arial Narrow"/>
      <family val="2"/>
    </font>
    <font>
      <sz val="14"/>
      <name val="Arial Narrow"/>
      <family val="2"/>
    </font>
    <font>
      <sz val="14"/>
      <color theme="1"/>
      <name val="Arial Narrow"/>
      <family val="2"/>
    </font>
    <font>
      <b/>
      <sz val="14"/>
      <name val="Arial Narrow"/>
      <family val="2"/>
    </font>
    <font>
      <b/>
      <u val="singleAccounting"/>
      <sz val="11"/>
      <name val="Arial Narrow"/>
      <family val="2"/>
    </font>
    <font>
      <b/>
      <u val="singleAccounting"/>
      <sz val="9"/>
      <name val="Arial Narrow"/>
      <family val="2"/>
    </font>
    <font>
      <b/>
      <sz val="10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i/>
      <sz val="8"/>
      <color theme="1"/>
      <name val="Times New Roman"/>
      <family val="1"/>
    </font>
    <font>
      <sz val="8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14"/>
      <color rgb="FFFF0000"/>
      <name val="Calibri"/>
      <family val="2"/>
      <scheme val="minor"/>
    </font>
    <font>
      <sz val="9"/>
      <color rgb="FFFF0000"/>
      <name val="Calibri"/>
      <family val="2"/>
      <scheme val="minor"/>
    </font>
    <font>
      <sz val="8.5"/>
      <color rgb="FFFF0000"/>
      <name val="Calibri"/>
      <family val="2"/>
      <scheme val="minor"/>
    </font>
    <font>
      <b/>
      <sz val="10"/>
      <color theme="0"/>
      <name val="Arial Black"/>
      <family val="2"/>
    </font>
    <font>
      <b/>
      <sz val="10"/>
      <name val="Arial Black"/>
      <family val="2"/>
    </font>
    <font>
      <b/>
      <sz val="14"/>
      <color theme="4" tint="-0.499984740745262"/>
      <name val="Calibri"/>
      <family val="2"/>
      <scheme val="minor"/>
    </font>
    <font>
      <sz val="11"/>
      <color theme="4" tint="-0.499984740745262"/>
      <name val="Calibri"/>
      <family val="2"/>
      <scheme val="minor"/>
    </font>
    <font>
      <sz val="11"/>
      <color theme="4" tint="-0.499984740745262"/>
      <name val="Arial Narrow"/>
      <family val="2"/>
    </font>
    <font>
      <b/>
      <sz val="11"/>
      <color theme="1"/>
      <name val="Arial Narrow"/>
      <family val="2"/>
    </font>
    <font>
      <b/>
      <sz val="9"/>
      <color rgb="FFFF0000"/>
      <name val="Arial Narrow"/>
      <family val="2"/>
    </font>
    <font>
      <sz val="8"/>
      <color rgb="FFFF0000"/>
      <name val="Courier New"/>
      <family val="3"/>
    </font>
  </fonts>
  <fills count="2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gray0625">
        <bgColor theme="3" tint="0.59999389629810485"/>
      </patternFill>
    </fill>
    <fill>
      <patternFill patternType="solid">
        <fgColor theme="3" tint="0.39997558519241921"/>
        <bgColor indexed="64"/>
      </patternFill>
    </fill>
  </fills>
  <borders count="8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DashDot">
        <color indexed="64"/>
      </bottom>
      <diagonal/>
    </border>
    <border>
      <left/>
      <right/>
      <top style="thin">
        <color indexed="64"/>
      </top>
      <bottom style="mediumDashDot">
        <color indexed="64"/>
      </bottom>
      <diagonal/>
    </border>
    <border>
      <left/>
      <right style="thin">
        <color indexed="64"/>
      </right>
      <top style="thin">
        <color indexed="64"/>
      </top>
      <bottom style="mediumDashDot">
        <color indexed="64"/>
      </bottom>
      <diagonal/>
    </border>
    <border>
      <left/>
      <right/>
      <top style="mediumDashDot">
        <color indexed="64"/>
      </top>
      <bottom style="thin">
        <color indexed="64"/>
      </bottom>
      <diagonal/>
    </border>
    <border>
      <left/>
      <right style="mediumDashed">
        <color indexed="64"/>
      </right>
      <top style="mediumDashDot">
        <color indexed="64"/>
      </top>
      <bottom style="thin">
        <color indexed="64"/>
      </bottom>
      <diagonal/>
    </border>
    <border>
      <left style="mediumDashed">
        <color indexed="64"/>
      </left>
      <right style="mediumDashed">
        <color indexed="64"/>
      </right>
      <top style="thin">
        <color indexed="64"/>
      </top>
      <bottom/>
      <diagonal/>
    </border>
    <border>
      <left style="mediumDashDot">
        <color indexed="64"/>
      </left>
      <right/>
      <top/>
      <bottom style="thin">
        <color indexed="64"/>
      </bottom>
      <diagonal/>
    </border>
    <border>
      <left/>
      <right style="mediumDashDot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Dashed">
        <color indexed="64"/>
      </right>
      <top style="thin">
        <color indexed="64"/>
      </top>
      <bottom/>
      <diagonal/>
    </border>
    <border>
      <left style="mediumDashed">
        <color indexed="64"/>
      </left>
      <right style="mediumDashed">
        <color indexed="64"/>
      </right>
      <top/>
      <bottom style="thin">
        <color indexed="64"/>
      </bottom>
      <diagonal/>
    </border>
    <border>
      <left style="mediumDashDot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DashDot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Dashed">
        <color indexed="64"/>
      </right>
      <top/>
      <bottom/>
      <diagonal/>
    </border>
    <border>
      <left style="mediumDashed">
        <color indexed="64"/>
      </left>
      <right style="mediumDashed">
        <color indexed="64"/>
      </right>
      <top/>
      <bottom/>
      <diagonal/>
    </border>
    <border>
      <left style="mediumDashDot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DashDot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Dashed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5">
    <xf numFmtId="0" fontId="0" fillId="0" borderId="0"/>
    <xf numFmtId="9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5" fillId="0" borderId="0"/>
    <xf numFmtId="0" fontId="6" fillId="0" borderId="0"/>
    <xf numFmtId="0" fontId="2" fillId="0" borderId="0"/>
    <xf numFmtId="9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</cellStyleXfs>
  <cellXfs count="898">
    <xf numFmtId="0" fontId="0" fillId="0" borderId="0" xfId="0"/>
    <xf numFmtId="0" fontId="1" fillId="0" borderId="0" xfId="0" applyFont="1"/>
    <xf numFmtId="165" fontId="0" fillId="0" borderId="0" xfId="8" applyNumberFormat="1" applyFont="1"/>
    <xf numFmtId="165" fontId="0" fillId="0" borderId="0" xfId="0" applyNumberFormat="1"/>
    <xf numFmtId="0" fontId="7" fillId="0" borderId="0" xfId="0" applyFont="1"/>
    <xf numFmtId="0" fontId="8" fillId="0" borderId="0" xfId="0" applyFont="1"/>
    <xf numFmtId="0" fontId="9" fillId="0" borderId="0" xfId="0" applyFont="1"/>
    <xf numFmtId="165" fontId="10" fillId="0" borderId="0" xfId="0" applyNumberFormat="1" applyFont="1"/>
    <xf numFmtId="0" fontId="10" fillId="0" borderId="0" xfId="0" applyFont="1"/>
    <xf numFmtId="43" fontId="10" fillId="0" borderId="0" xfId="8" applyFont="1"/>
    <xf numFmtId="0" fontId="11" fillId="0" borderId="0" xfId="0" applyFont="1"/>
    <xf numFmtId="0" fontId="11" fillId="3" borderId="1" xfId="0" applyFont="1" applyFill="1" applyBorder="1" applyAlignment="1">
      <alignment horizontal="center" vertical="center"/>
    </xf>
    <xf numFmtId="0" fontId="11" fillId="3" borderId="10" xfId="0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0" fillId="0" borderId="0" xfId="0" applyAlignment="1">
      <alignment vertical="center"/>
    </xf>
    <xf numFmtId="0" fontId="10" fillId="3" borderId="1" xfId="0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/>
    </xf>
    <xf numFmtId="0" fontId="11" fillId="3" borderId="4" xfId="0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2" fillId="3" borderId="4" xfId="0" applyFont="1" applyFill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0" borderId="34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1" fillId="0" borderId="36" xfId="0" applyFont="1" applyBorder="1" applyAlignment="1">
      <alignment horizontal="center" vertical="center" wrapText="1"/>
    </xf>
    <xf numFmtId="0" fontId="11" fillId="0" borderId="37" xfId="0" applyFont="1" applyBorder="1" applyAlignment="1">
      <alignment horizontal="center" vertical="center" wrapText="1"/>
    </xf>
    <xf numFmtId="0" fontId="13" fillId="0" borderId="1" xfId="0" applyFont="1" applyBorder="1"/>
    <xf numFmtId="3" fontId="13" fillId="0" borderId="1" xfId="0" applyNumberFormat="1" applyFont="1" applyBorder="1"/>
    <xf numFmtId="3" fontId="10" fillId="0" borderId="1" xfId="0" applyNumberFormat="1" applyFont="1" applyBorder="1"/>
    <xf numFmtId="166" fontId="10" fillId="0" borderId="1" xfId="0" applyNumberFormat="1" applyFont="1" applyBorder="1"/>
    <xf numFmtId="3" fontId="10" fillId="4" borderId="1" xfId="0" applyNumberFormat="1" applyFont="1" applyFill="1" applyBorder="1"/>
    <xf numFmtId="165" fontId="10" fillId="4" borderId="1" xfId="8" applyNumberFormat="1" applyFont="1" applyFill="1" applyBorder="1"/>
    <xf numFmtId="3" fontId="14" fillId="0" borderId="1" xfId="0" applyNumberFormat="1" applyFont="1" applyBorder="1"/>
    <xf numFmtId="165" fontId="10" fillId="0" borderId="1" xfId="8" applyNumberFormat="1" applyFont="1" applyBorder="1"/>
    <xf numFmtId="165" fontId="11" fillId="0" borderId="1" xfId="8" applyNumberFormat="1" applyFont="1" applyFill="1" applyBorder="1"/>
    <xf numFmtId="165" fontId="10" fillId="0" borderId="1" xfId="0" applyNumberFormat="1" applyFont="1" applyBorder="1"/>
    <xf numFmtId="165" fontId="13" fillId="0" borderId="1" xfId="0" applyNumberFormat="1" applyFont="1" applyBorder="1"/>
    <xf numFmtId="167" fontId="10" fillId="0" borderId="0" xfId="0" applyNumberFormat="1" applyFont="1"/>
    <xf numFmtId="165" fontId="10" fillId="0" borderId="2" xfId="0" applyNumberFormat="1" applyFont="1" applyBorder="1"/>
    <xf numFmtId="0" fontId="10" fillId="0" borderId="40" xfId="0" applyFont="1" applyBorder="1"/>
    <xf numFmtId="165" fontId="10" fillId="0" borderId="41" xfId="8" applyNumberFormat="1" applyFont="1" applyFill="1" applyBorder="1"/>
    <xf numFmtId="165" fontId="10" fillId="0" borderId="0" xfId="8" applyNumberFormat="1" applyFont="1" applyFill="1" applyBorder="1"/>
    <xf numFmtId="165" fontId="10" fillId="0" borderId="42" xfId="0" applyNumberFormat="1" applyFont="1" applyBorder="1"/>
    <xf numFmtId="165" fontId="15" fillId="0" borderId="43" xfId="0" applyNumberFormat="1" applyFont="1" applyBorder="1"/>
    <xf numFmtId="165" fontId="10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0" fillId="0" borderId="44" xfId="0" applyBorder="1"/>
    <xf numFmtId="166" fontId="13" fillId="0" borderId="1" xfId="0" applyNumberFormat="1" applyFont="1" applyBorder="1"/>
    <xf numFmtId="165" fontId="10" fillId="0" borderId="3" xfId="0" applyNumberFormat="1" applyFont="1" applyBorder="1"/>
    <xf numFmtId="0" fontId="0" fillId="0" borderId="45" xfId="0" applyBorder="1"/>
    <xf numFmtId="1" fontId="10" fillId="0" borderId="40" xfId="0" applyNumberFormat="1" applyFont="1" applyBorder="1"/>
    <xf numFmtId="165" fontId="16" fillId="0" borderId="43" xfId="0" applyNumberFormat="1" applyFont="1" applyBorder="1"/>
    <xf numFmtId="0" fontId="13" fillId="5" borderId="1" xfId="0" applyFont="1" applyFill="1" applyBorder="1"/>
    <xf numFmtId="166" fontId="17" fillId="0" borderId="1" xfId="0" applyNumberFormat="1" applyFont="1" applyBorder="1"/>
    <xf numFmtId="0" fontId="10" fillId="0" borderId="41" xfId="8" applyNumberFormat="1" applyFont="1" applyFill="1" applyBorder="1"/>
    <xf numFmtId="3" fontId="17" fillId="0" borderId="1" xfId="0" applyNumberFormat="1" applyFont="1" applyBorder="1"/>
    <xf numFmtId="3" fontId="18" fillId="0" borderId="1" xfId="0" applyNumberFormat="1" applyFont="1" applyBorder="1"/>
    <xf numFmtId="3" fontId="17" fillId="4" borderId="1" xfId="0" applyNumberFormat="1" applyFont="1" applyFill="1" applyBorder="1"/>
    <xf numFmtId="165" fontId="17" fillId="4" borderId="1" xfId="8" applyNumberFormat="1" applyFont="1" applyFill="1" applyBorder="1"/>
    <xf numFmtId="3" fontId="19" fillId="0" borderId="1" xfId="0" applyNumberFormat="1" applyFont="1" applyBorder="1"/>
    <xf numFmtId="165" fontId="17" fillId="0" borderId="1" xfId="0" applyNumberFormat="1" applyFont="1" applyBorder="1"/>
    <xf numFmtId="165" fontId="10" fillId="0" borderId="0" xfId="8" applyNumberFormat="1" applyFont="1" applyBorder="1"/>
    <xf numFmtId="166" fontId="15" fillId="0" borderId="1" xfId="0" applyNumberFormat="1" applyFont="1" applyBorder="1"/>
    <xf numFmtId="165" fontId="16" fillId="0" borderId="41" xfId="8" applyNumberFormat="1" applyFont="1" applyFill="1" applyBorder="1"/>
    <xf numFmtId="165" fontId="16" fillId="0" borderId="0" xfId="8" applyNumberFormat="1" applyFont="1" applyFill="1" applyBorder="1"/>
    <xf numFmtId="165" fontId="16" fillId="0" borderId="42" xfId="0" applyNumberFormat="1" applyFont="1" applyBorder="1"/>
    <xf numFmtId="165" fontId="10" fillId="0" borderId="4" xfId="0" applyNumberFormat="1" applyFont="1" applyBorder="1"/>
    <xf numFmtId="165" fontId="10" fillId="0" borderId="9" xfId="8" applyNumberFormat="1" applyFont="1" applyBorder="1"/>
    <xf numFmtId="1" fontId="10" fillId="0" borderId="46" xfId="0" applyNumberFormat="1" applyFont="1" applyBorder="1"/>
    <xf numFmtId="3" fontId="11" fillId="6" borderId="1" xfId="0" applyNumberFormat="1" applyFont="1" applyFill="1" applyBorder="1"/>
    <xf numFmtId="0" fontId="1" fillId="0" borderId="47" xfId="0" applyFont="1" applyBorder="1"/>
    <xf numFmtId="165" fontId="9" fillId="0" borderId="0" xfId="8" applyNumberFormat="1" applyFont="1"/>
    <xf numFmtId="165" fontId="9" fillId="0" borderId="0" xfId="0" applyNumberFormat="1" applyFont="1"/>
    <xf numFmtId="0" fontId="9" fillId="2" borderId="0" xfId="0" applyFont="1" applyFill="1"/>
    <xf numFmtId="3" fontId="9" fillId="0" borderId="0" xfId="0" applyNumberFormat="1" applyFont="1"/>
    <xf numFmtId="0" fontId="10" fillId="2" borderId="0" xfId="0" applyFont="1" applyFill="1"/>
    <xf numFmtId="0" fontId="20" fillId="2" borderId="0" xfId="0" applyFont="1" applyFill="1" applyAlignment="1">
      <alignment horizontal="center"/>
    </xf>
    <xf numFmtId="0" fontId="21" fillId="0" borderId="0" xfId="0" applyFont="1" applyAlignment="1">
      <alignment horizontal="center"/>
    </xf>
    <xf numFmtId="3" fontId="10" fillId="2" borderId="0" xfId="0" applyNumberFormat="1" applyFont="1" applyFill="1"/>
    <xf numFmtId="0" fontId="11" fillId="2" borderId="0" xfId="0" applyFont="1" applyFill="1"/>
    <xf numFmtId="3" fontId="11" fillId="2" borderId="0" xfId="0" applyNumberFormat="1" applyFont="1" applyFill="1"/>
    <xf numFmtId="3" fontId="8" fillId="0" borderId="0" xfId="0" applyNumberFormat="1" applyFont="1"/>
    <xf numFmtId="0" fontId="0" fillId="2" borderId="0" xfId="0" applyFill="1"/>
    <xf numFmtId="0" fontId="25" fillId="0" borderId="0" xfId="0" applyFont="1"/>
    <xf numFmtId="165" fontId="25" fillId="0" borderId="0" xfId="8" applyNumberFormat="1" applyFont="1"/>
    <xf numFmtId="165" fontId="25" fillId="0" borderId="0" xfId="0" applyNumberFormat="1" applyFont="1"/>
    <xf numFmtId="0" fontId="27" fillId="0" borderId="0" xfId="0" applyFont="1"/>
    <xf numFmtId="0" fontId="25" fillId="8" borderId="0" xfId="0" applyFont="1" applyFill="1"/>
    <xf numFmtId="0" fontId="27" fillId="8" borderId="0" xfId="0" applyFont="1" applyFill="1"/>
    <xf numFmtId="0" fontId="27" fillId="0" borderId="0" xfId="0" applyFont="1" applyAlignment="1">
      <alignment vertical="center"/>
    </xf>
    <xf numFmtId="0" fontId="35" fillId="0" borderId="0" xfId="0" applyFont="1" applyAlignment="1">
      <alignment vertical="center" wrapText="1"/>
    </xf>
    <xf numFmtId="165" fontId="35" fillId="0" borderId="0" xfId="8" applyNumberFormat="1" applyFont="1" applyFill="1" applyAlignment="1">
      <alignment vertical="center" wrapText="1"/>
    </xf>
    <xf numFmtId="0" fontId="31" fillId="0" borderId="0" xfId="0" applyFont="1" applyAlignment="1">
      <alignment vertical="center"/>
    </xf>
    <xf numFmtId="0" fontId="27" fillId="0" borderId="0" xfId="0" applyFont="1" applyAlignment="1">
      <alignment vertical="center" wrapText="1"/>
    </xf>
    <xf numFmtId="0" fontId="28" fillId="0" borderId="0" xfId="0" applyFont="1" applyAlignment="1">
      <alignment horizontal="right" vertical="center"/>
    </xf>
    <xf numFmtId="0" fontId="32" fillId="0" borderId="0" xfId="0" applyFont="1" applyAlignment="1">
      <alignment horizontal="center" vertical="center"/>
    </xf>
    <xf numFmtId="0" fontId="33" fillId="0" borderId="0" xfId="0" applyFont="1" applyAlignment="1">
      <alignment vertical="center"/>
    </xf>
    <xf numFmtId="165" fontId="33" fillId="0" borderId="0" xfId="0" applyNumberFormat="1" applyFont="1" applyAlignment="1">
      <alignment vertical="center"/>
    </xf>
    <xf numFmtId="0" fontId="28" fillId="0" borderId="0" xfId="0" applyFont="1" applyAlignment="1">
      <alignment horizontal="right"/>
    </xf>
    <xf numFmtId="0" fontId="28" fillId="0" borderId="0" xfId="0" applyFont="1" applyAlignment="1">
      <alignment horizontal="center" vertical="center"/>
    </xf>
    <xf numFmtId="0" fontId="27" fillId="0" borderId="0" xfId="0" applyFont="1" applyAlignment="1">
      <alignment horizontal="right"/>
    </xf>
    <xf numFmtId="0" fontId="35" fillId="0" borderId="0" xfId="0" applyFont="1"/>
    <xf numFmtId="0" fontId="27" fillId="0" borderId="0" xfId="0" applyFont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7" fillId="8" borderId="0" xfId="0" applyFont="1" applyFill="1" applyAlignment="1">
      <alignment horizontal="center" vertical="center"/>
    </xf>
    <xf numFmtId="165" fontId="28" fillId="0" borderId="0" xfId="12" applyNumberFormat="1" applyFont="1" applyAlignment="1">
      <alignment horizontal="right" vertical="center"/>
    </xf>
    <xf numFmtId="0" fontId="24" fillId="3" borderId="0" xfId="0" applyFont="1" applyFill="1" applyAlignment="1">
      <alignment horizontal="center" vertical="center"/>
    </xf>
    <xf numFmtId="0" fontId="28" fillId="2" borderId="0" xfId="0" applyFont="1" applyFill="1" applyAlignment="1">
      <alignment horizontal="center" vertical="center" wrapText="1"/>
    </xf>
    <xf numFmtId="0" fontId="28" fillId="0" borderId="0" xfId="0" applyFont="1" applyAlignment="1">
      <alignment horizontal="center" vertical="center" wrapText="1"/>
    </xf>
    <xf numFmtId="0" fontId="28" fillId="0" borderId="52" xfId="0" applyFont="1" applyBorder="1" applyAlignment="1">
      <alignment horizontal="center" vertical="center" wrapText="1"/>
    </xf>
    <xf numFmtId="0" fontId="28" fillId="0" borderId="5" xfId="0" applyFont="1" applyBorder="1" applyAlignment="1">
      <alignment horizontal="center" vertical="center"/>
    </xf>
    <xf numFmtId="0" fontId="28" fillId="10" borderId="50" xfId="0" applyFont="1" applyFill="1" applyBorder="1" applyAlignment="1">
      <alignment horizontal="center" vertical="center" wrapText="1"/>
    </xf>
    <xf numFmtId="0" fontId="28" fillId="0" borderId="49" xfId="0" applyFont="1" applyBorder="1" applyAlignment="1">
      <alignment horizontal="center" vertical="center" wrapText="1"/>
    </xf>
    <xf numFmtId="0" fontId="28" fillId="3" borderId="38" xfId="0" applyFont="1" applyFill="1" applyBorder="1" applyAlignment="1">
      <alignment horizontal="center" vertical="center" wrapText="1"/>
    </xf>
    <xf numFmtId="0" fontId="28" fillId="3" borderId="15" xfId="0" applyFont="1" applyFill="1" applyBorder="1" applyAlignment="1">
      <alignment horizontal="center" vertical="center" wrapText="1"/>
    </xf>
    <xf numFmtId="0" fontId="28" fillId="9" borderId="53" xfId="0" applyFont="1" applyFill="1" applyBorder="1" applyAlignment="1">
      <alignment horizontal="center" vertical="center" wrapText="1"/>
    </xf>
    <xf numFmtId="0" fontId="28" fillId="9" borderId="62" xfId="0" applyFont="1" applyFill="1" applyBorder="1" applyAlignment="1">
      <alignment horizontal="center" vertical="center" wrapText="1"/>
    </xf>
    <xf numFmtId="0" fontId="28" fillId="9" borderId="20" xfId="0" applyFont="1" applyFill="1" applyBorder="1" applyAlignment="1">
      <alignment horizontal="center" vertical="center" wrapText="1"/>
    </xf>
    <xf numFmtId="0" fontId="28" fillId="9" borderId="23" xfId="0" applyFont="1" applyFill="1" applyBorder="1" applyAlignment="1">
      <alignment horizontal="center" vertical="center" wrapText="1"/>
    </xf>
    <xf numFmtId="0" fontId="28" fillId="3" borderId="53" xfId="0" applyFont="1" applyFill="1" applyBorder="1" applyAlignment="1">
      <alignment horizontal="center" vertical="center" wrapText="1"/>
    </xf>
    <xf numFmtId="0" fontId="28" fillId="3" borderId="54" xfId="0" applyFont="1" applyFill="1" applyBorder="1" applyAlignment="1">
      <alignment horizontal="center" vertical="center" wrapText="1"/>
    </xf>
    <xf numFmtId="0" fontId="28" fillId="9" borderId="38" xfId="0" applyFont="1" applyFill="1" applyBorder="1" applyAlignment="1">
      <alignment horizontal="center" vertical="center" wrapText="1"/>
    </xf>
    <xf numFmtId="0" fontId="28" fillId="9" borderId="15" xfId="0" applyFont="1" applyFill="1" applyBorder="1" applyAlignment="1">
      <alignment horizontal="center" vertical="center" wrapText="1"/>
    </xf>
    <xf numFmtId="0" fontId="28" fillId="7" borderId="22" xfId="0" applyFont="1" applyFill="1" applyBorder="1" applyAlignment="1">
      <alignment horizontal="center" vertical="center" wrapText="1"/>
    </xf>
    <xf numFmtId="0" fontId="28" fillId="7" borderId="14" xfId="0" applyFont="1" applyFill="1" applyBorder="1" applyAlignment="1">
      <alignment horizontal="center" vertical="center" wrapText="1"/>
    </xf>
    <xf numFmtId="0" fontId="28" fillId="7" borderId="15" xfId="0" applyFont="1" applyFill="1" applyBorder="1" applyAlignment="1">
      <alignment horizontal="center" vertical="center" wrapText="1"/>
    </xf>
    <xf numFmtId="0" fontId="36" fillId="0" borderId="0" xfId="0" applyFont="1" applyAlignment="1">
      <alignment horizontal="center" vertical="center" wrapText="1"/>
    </xf>
    <xf numFmtId="0" fontId="30" fillId="3" borderId="38" xfId="0" applyFont="1" applyFill="1" applyBorder="1" applyAlignment="1">
      <alignment horizontal="center" vertical="center"/>
    </xf>
    <xf numFmtId="0" fontId="30" fillId="3" borderId="15" xfId="0" applyFont="1" applyFill="1" applyBorder="1" applyAlignment="1">
      <alignment horizontal="center" vertical="center"/>
    </xf>
    <xf numFmtId="0" fontId="36" fillId="0" borderId="5" xfId="0" applyFont="1" applyBorder="1" applyAlignment="1">
      <alignment horizontal="center" vertical="center"/>
    </xf>
    <xf numFmtId="0" fontId="28" fillId="10" borderId="20" xfId="0" applyFont="1" applyFill="1" applyBorder="1" applyAlignment="1">
      <alignment horizontal="center" vertical="center" wrapText="1"/>
    </xf>
    <xf numFmtId="0" fontId="28" fillId="0" borderId="53" xfId="0" applyFont="1" applyBorder="1" applyAlignment="1">
      <alignment horizontal="center" vertical="center"/>
    </xf>
    <xf numFmtId="0" fontId="28" fillId="0" borderId="20" xfId="0" applyFont="1" applyBorder="1" applyAlignment="1">
      <alignment horizontal="center" vertical="center"/>
    </xf>
    <xf numFmtId="0" fontId="28" fillId="0" borderId="63" xfId="0" applyFont="1" applyBorder="1" applyAlignment="1">
      <alignment horizontal="center" vertical="center" wrapText="1"/>
    </xf>
    <xf numFmtId="0" fontId="28" fillId="0" borderId="23" xfId="0" applyFont="1" applyBorder="1" applyAlignment="1">
      <alignment horizontal="center" vertical="center"/>
    </xf>
    <xf numFmtId="0" fontId="37" fillId="0" borderId="0" xfId="0" applyFont="1" applyAlignment="1">
      <alignment horizontal="center" vertical="center"/>
    </xf>
    <xf numFmtId="0" fontId="28" fillId="11" borderId="53" xfId="0" applyFont="1" applyFill="1" applyBorder="1" applyAlignment="1">
      <alignment horizontal="center" vertical="center" wrapText="1"/>
    </xf>
    <xf numFmtId="0" fontId="28" fillId="11" borderId="23" xfId="0" applyFont="1" applyFill="1" applyBorder="1" applyAlignment="1">
      <alignment horizontal="center" vertical="center" wrapText="1"/>
    </xf>
    <xf numFmtId="0" fontId="28" fillId="0" borderId="4" xfId="0" applyFont="1" applyBorder="1" applyAlignment="1">
      <alignment horizontal="center" vertical="center" wrapText="1"/>
    </xf>
    <xf numFmtId="0" fontId="28" fillId="0" borderId="58" xfId="0" applyFont="1" applyBorder="1" applyAlignment="1">
      <alignment horizontal="center" vertical="center" wrapText="1"/>
    </xf>
    <xf numFmtId="0" fontId="28" fillId="12" borderId="53" xfId="0" applyFont="1" applyFill="1" applyBorder="1" applyAlignment="1">
      <alignment horizontal="center" vertical="center" wrapText="1"/>
    </xf>
    <xf numFmtId="0" fontId="28" fillId="12" borderId="23" xfId="0" applyFont="1" applyFill="1" applyBorder="1" applyAlignment="1">
      <alignment horizontal="center" vertical="center" wrapText="1"/>
    </xf>
    <xf numFmtId="0" fontId="28" fillId="13" borderId="38" xfId="0" applyFont="1" applyFill="1" applyBorder="1" applyAlignment="1">
      <alignment horizontal="center" vertical="center" wrapText="1"/>
    </xf>
    <xf numFmtId="0" fontId="28" fillId="13" borderId="15" xfId="0" applyFont="1" applyFill="1" applyBorder="1" applyAlignment="1">
      <alignment horizontal="center" vertical="center" wrapText="1"/>
    </xf>
    <xf numFmtId="0" fontId="28" fillId="14" borderId="38" xfId="0" applyFont="1" applyFill="1" applyBorder="1" applyAlignment="1">
      <alignment horizontal="center" vertical="center" wrapText="1"/>
    </xf>
    <xf numFmtId="0" fontId="28" fillId="14" borderId="23" xfId="0" applyFont="1" applyFill="1" applyBorder="1" applyAlignment="1">
      <alignment horizontal="center" vertical="center" wrapText="1"/>
    </xf>
    <xf numFmtId="0" fontId="28" fillId="9" borderId="63" xfId="0" applyFont="1" applyFill="1" applyBorder="1" applyAlignment="1">
      <alignment horizontal="center" vertical="center" wrapText="1"/>
    </xf>
    <xf numFmtId="0" fontId="28" fillId="3" borderId="0" xfId="0" applyFont="1" applyFill="1" applyAlignment="1">
      <alignment horizontal="center" vertical="center"/>
    </xf>
    <xf numFmtId="0" fontId="34" fillId="0" borderId="59" xfId="0" applyFont="1" applyBorder="1" applyAlignment="1">
      <alignment horizontal="center" vertical="center" wrapText="1"/>
    </xf>
    <xf numFmtId="0" fontId="35" fillId="8" borderId="0" xfId="0" applyFont="1" applyFill="1"/>
    <xf numFmtId="3" fontId="38" fillId="0" borderId="3" xfId="0" applyNumberFormat="1" applyFont="1" applyBorder="1" applyAlignment="1">
      <alignment vertical="center" wrapText="1"/>
    </xf>
    <xf numFmtId="165" fontId="38" fillId="3" borderId="1" xfId="8" applyNumberFormat="1" applyFont="1" applyFill="1" applyBorder="1" applyAlignment="1">
      <alignment vertical="center" wrapText="1"/>
    </xf>
    <xf numFmtId="165" fontId="38" fillId="2" borderId="3" xfId="8" applyNumberFormat="1" applyFont="1" applyFill="1" applyBorder="1" applyAlignment="1">
      <alignment vertical="center" wrapText="1"/>
    </xf>
    <xf numFmtId="165" fontId="38" fillId="9" borderId="1" xfId="8" applyNumberFormat="1" applyFont="1" applyFill="1" applyBorder="1" applyAlignment="1">
      <alignment vertical="center" wrapText="1"/>
    </xf>
    <xf numFmtId="165" fontId="38" fillId="0" borderId="3" xfId="8" applyNumberFormat="1" applyFont="1" applyFill="1" applyBorder="1" applyAlignment="1">
      <alignment vertical="center" wrapText="1"/>
    </xf>
    <xf numFmtId="165" fontId="39" fillId="3" borderId="1" xfId="8" applyNumberFormat="1" applyFont="1" applyFill="1" applyBorder="1" applyAlignment="1">
      <alignment horizontal="right" vertical="center" indent="1"/>
    </xf>
    <xf numFmtId="165" fontId="39" fillId="0" borderId="3" xfId="8" applyNumberFormat="1" applyFont="1" applyBorder="1" applyAlignment="1">
      <alignment horizontal="right" vertical="center" indent="1"/>
    </xf>
    <xf numFmtId="3" fontId="40" fillId="9" borderId="1" xfId="0" applyNumberFormat="1" applyFont="1" applyFill="1" applyBorder="1" applyAlignment="1">
      <alignment vertical="center"/>
    </xf>
    <xf numFmtId="3" fontId="38" fillId="0" borderId="10" xfId="0" applyNumberFormat="1" applyFont="1" applyBorder="1" applyAlignment="1">
      <alignment vertical="center"/>
    </xf>
    <xf numFmtId="3" fontId="41" fillId="9" borderId="1" xfId="0" applyNumberFormat="1" applyFont="1" applyFill="1" applyBorder="1" applyAlignment="1">
      <alignment vertical="center"/>
    </xf>
    <xf numFmtId="3" fontId="40" fillId="0" borderId="3" xfId="0" applyNumberFormat="1" applyFont="1" applyBorder="1" applyAlignment="1">
      <alignment vertical="center"/>
    </xf>
    <xf numFmtId="3" fontId="40" fillId="7" borderId="1" xfId="0" applyNumberFormat="1" applyFont="1" applyFill="1" applyBorder="1" applyAlignment="1">
      <alignment vertical="center"/>
    </xf>
    <xf numFmtId="165" fontId="40" fillId="7" borderId="1" xfId="8" applyNumberFormat="1" applyFont="1" applyFill="1" applyBorder="1" applyAlignment="1">
      <alignment vertical="center"/>
    </xf>
    <xf numFmtId="3" fontId="42" fillId="0" borderId="3" xfId="0" applyNumberFormat="1" applyFont="1" applyBorder="1" applyAlignment="1">
      <alignment vertical="center"/>
    </xf>
    <xf numFmtId="165" fontId="40" fillId="0" borderId="1" xfId="0" applyNumberFormat="1" applyFont="1" applyBorder="1" applyAlignment="1">
      <alignment vertical="center"/>
    </xf>
    <xf numFmtId="0" fontId="40" fillId="0" borderId="0" xfId="0" applyFont="1"/>
    <xf numFmtId="166" fontId="43" fillId="10" borderId="1" xfId="0" applyNumberFormat="1" applyFont="1" applyFill="1" applyBorder="1" applyAlignment="1">
      <alignment horizontal="center" vertical="center"/>
    </xf>
    <xf numFmtId="166" fontId="43" fillId="0" borderId="3" xfId="0" applyNumberFormat="1" applyFont="1" applyBorder="1" applyAlignment="1">
      <alignment horizontal="center" vertical="center"/>
    </xf>
    <xf numFmtId="165" fontId="44" fillId="0" borderId="1" xfId="8" applyNumberFormat="1" applyFont="1" applyBorder="1" applyAlignment="1">
      <alignment vertical="center"/>
    </xf>
    <xf numFmtId="165" fontId="44" fillId="0" borderId="1" xfId="8" applyNumberFormat="1" applyFont="1" applyFill="1" applyBorder="1"/>
    <xf numFmtId="165" fontId="44" fillId="0" borderId="3" xfId="8" applyNumberFormat="1" applyFont="1" applyFill="1" applyBorder="1"/>
    <xf numFmtId="3" fontId="45" fillId="11" borderId="1" xfId="0" applyNumberFormat="1" applyFont="1" applyFill="1" applyBorder="1" applyAlignment="1">
      <alignment vertical="center"/>
    </xf>
    <xf numFmtId="3" fontId="45" fillId="0" borderId="3" xfId="0" applyNumberFormat="1" applyFont="1" applyBorder="1" applyAlignment="1">
      <alignment vertical="center"/>
    </xf>
    <xf numFmtId="3" fontId="46" fillId="0" borderId="1" xfId="0" applyNumberFormat="1" applyFont="1" applyBorder="1" applyAlignment="1">
      <alignment vertical="center"/>
    </xf>
    <xf numFmtId="3" fontId="45" fillId="12" borderId="1" xfId="0" applyNumberFormat="1" applyFont="1" applyFill="1" applyBorder="1" applyAlignment="1">
      <alignment vertical="center"/>
    </xf>
    <xf numFmtId="165" fontId="40" fillId="0" borderId="0" xfId="0" applyNumberFormat="1" applyFont="1"/>
    <xf numFmtId="0" fontId="40" fillId="0" borderId="1" xfId="0" applyFont="1" applyBorder="1" applyAlignment="1">
      <alignment horizontal="center" vertical="center"/>
    </xf>
    <xf numFmtId="1" fontId="40" fillId="0" borderId="0" xfId="0" applyNumberFormat="1" applyFont="1" applyAlignment="1">
      <alignment vertical="center"/>
    </xf>
    <xf numFmtId="165" fontId="40" fillId="13" borderId="13" xfId="8" applyNumberFormat="1" applyFont="1" applyFill="1" applyBorder="1" applyAlignment="1">
      <alignment vertical="center"/>
    </xf>
    <xf numFmtId="165" fontId="40" fillId="14" borderId="13" xfId="0" applyNumberFormat="1" applyFont="1" applyFill="1" applyBorder="1" applyAlignment="1">
      <alignment vertical="center"/>
    </xf>
    <xf numFmtId="0" fontId="40" fillId="0" borderId="0" xfId="0" applyFont="1" applyAlignment="1">
      <alignment vertical="center"/>
    </xf>
    <xf numFmtId="3" fontId="46" fillId="0" borderId="3" xfId="0" applyNumberFormat="1" applyFont="1" applyBorder="1" applyAlignment="1">
      <alignment vertical="center" wrapText="1"/>
    </xf>
    <xf numFmtId="165" fontId="46" fillId="3" borderId="1" xfId="8" applyNumberFormat="1" applyFont="1" applyFill="1" applyBorder="1" applyAlignment="1">
      <alignment vertical="center" wrapText="1"/>
    </xf>
    <xf numFmtId="165" fontId="46" fillId="2" borderId="3" xfId="8" applyNumberFormat="1" applyFont="1" applyFill="1" applyBorder="1" applyAlignment="1">
      <alignment vertical="center" wrapText="1"/>
    </xf>
    <xf numFmtId="165" fontId="46" fillId="9" borderId="1" xfId="8" applyNumberFormat="1" applyFont="1" applyFill="1" applyBorder="1" applyAlignment="1">
      <alignment vertical="center" wrapText="1"/>
    </xf>
    <xf numFmtId="165" fontId="46" fillId="0" borderId="3" xfId="8" applyNumberFormat="1" applyFont="1" applyFill="1" applyBorder="1" applyAlignment="1">
      <alignment vertical="center" wrapText="1"/>
    </xf>
    <xf numFmtId="0" fontId="43" fillId="10" borderId="1" xfId="0" applyFont="1" applyFill="1" applyBorder="1" applyAlignment="1">
      <alignment horizontal="center" vertical="center"/>
    </xf>
    <xf numFmtId="0" fontId="43" fillId="0" borderId="3" xfId="0" applyFont="1" applyBorder="1" applyAlignment="1">
      <alignment horizontal="center" vertical="center"/>
    </xf>
    <xf numFmtId="165" fontId="47" fillId="0" borderId="1" xfId="8" applyNumberFormat="1" applyFont="1" applyBorder="1" applyAlignment="1">
      <alignment vertical="center"/>
    </xf>
    <xf numFmtId="165" fontId="44" fillId="0" borderId="3" xfId="8" applyNumberFormat="1" applyFont="1" applyBorder="1" applyAlignment="1">
      <alignment vertical="center"/>
    </xf>
    <xf numFmtId="1" fontId="47" fillId="0" borderId="0" xfId="0" applyNumberFormat="1" applyFont="1" applyAlignment="1">
      <alignment vertical="center"/>
    </xf>
    <xf numFmtId="165" fontId="40" fillId="13" borderId="55" xfId="8" applyNumberFormat="1" applyFont="1" applyFill="1" applyBorder="1" applyAlignment="1">
      <alignment horizontal="right" vertical="center"/>
    </xf>
    <xf numFmtId="165" fontId="40" fillId="13" borderId="21" xfId="8" applyNumberFormat="1" applyFont="1" applyFill="1" applyBorder="1" applyAlignment="1">
      <alignment vertical="center"/>
    </xf>
    <xf numFmtId="165" fontId="40" fillId="14" borderId="21" xfId="0" applyNumberFormat="1" applyFont="1" applyFill="1" applyBorder="1" applyAlignment="1">
      <alignment vertical="center"/>
    </xf>
    <xf numFmtId="0" fontId="39" fillId="0" borderId="1" xfId="0" applyFont="1" applyBorder="1" applyAlignment="1">
      <alignment vertical="center" wrapText="1"/>
    </xf>
    <xf numFmtId="3" fontId="41" fillId="0" borderId="3" xfId="0" applyNumberFormat="1" applyFont="1" applyBorder="1" applyAlignment="1">
      <alignment vertical="center"/>
    </xf>
    <xf numFmtId="165" fontId="41" fillId="7" borderId="1" xfId="8" applyNumberFormat="1" applyFont="1" applyFill="1" applyBorder="1" applyAlignment="1">
      <alignment vertical="center"/>
    </xf>
    <xf numFmtId="1" fontId="41" fillId="0" borderId="1" xfId="0" applyNumberFormat="1" applyFont="1" applyBorder="1" applyAlignment="1">
      <alignment vertical="center"/>
    </xf>
    <xf numFmtId="165" fontId="40" fillId="0" borderId="0" xfId="8" applyNumberFormat="1" applyFont="1" applyFill="1" applyBorder="1" applyAlignment="1">
      <alignment vertical="center"/>
    </xf>
    <xf numFmtId="165" fontId="40" fillId="0" borderId="0" xfId="0" applyNumberFormat="1" applyFont="1" applyAlignment="1">
      <alignment vertical="center"/>
    </xf>
    <xf numFmtId="3" fontId="46" fillId="0" borderId="1" xfId="0" applyNumberFormat="1" applyFont="1" applyBorder="1" applyAlignment="1">
      <alignment vertical="center" wrapText="1"/>
    </xf>
    <xf numFmtId="165" fontId="44" fillId="0" borderId="1" xfId="8" applyNumberFormat="1" applyFont="1" applyFill="1" applyBorder="1" applyAlignment="1">
      <alignment vertical="center"/>
    </xf>
    <xf numFmtId="165" fontId="44" fillId="0" borderId="3" xfId="8" applyNumberFormat="1" applyFont="1" applyFill="1" applyBorder="1" applyAlignment="1">
      <alignment vertical="center"/>
    </xf>
    <xf numFmtId="165" fontId="40" fillId="14" borderId="58" xfId="0" applyNumberFormat="1" applyFont="1" applyFill="1" applyBorder="1" applyAlignment="1">
      <alignment vertical="center"/>
    </xf>
    <xf numFmtId="3" fontId="45" fillId="11" borderId="1" xfId="0" applyNumberFormat="1" applyFont="1" applyFill="1" applyBorder="1" applyAlignment="1">
      <alignment horizontal="center" vertical="center"/>
    </xf>
    <xf numFmtId="3" fontId="46" fillId="0" borderId="0" xfId="0" applyNumberFormat="1" applyFont="1" applyAlignment="1">
      <alignment vertical="center" wrapText="1"/>
    </xf>
    <xf numFmtId="165" fontId="46" fillId="2" borderId="0" xfId="8" applyNumberFormat="1" applyFont="1" applyFill="1" applyBorder="1" applyAlignment="1">
      <alignment vertical="center" wrapText="1"/>
    </xf>
    <xf numFmtId="3" fontId="45" fillId="11" borderId="1" xfId="0" applyNumberFormat="1" applyFont="1" applyFill="1" applyBorder="1" applyAlignment="1">
      <alignment horizontal="right" vertical="center"/>
    </xf>
    <xf numFmtId="0" fontId="39" fillId="0" borderId="0" xfId="0" applyFont="1" applyAlignment="1">
      <alignment vertical="center" wrapText="1"/>
    </xf>
    <xf numFmtId="165" fontId="46" fillId="0" borderId="0" xfId="8" applyNumberFormat="1" applyFont="1" applyFill="1" applyBorder="1" applyAlignment="1">
      <alignment vertical="center" wrapText="1"/>
    </xf>
    <xf numFmtId="165" fontId="38" fillId="0" borderId="0" xfId="8" applyNumberFormat="1" applyFont="1" applyFill="1" applyBorder="1" applyAlignment="1">
      <alignment vertical="center" wrapText="1"/>
    </xf>
    <xf numFmtId="165" fontId="39" fillId="0" borderId="0" xfId="8" applyNumberFormat="1" applyFont="1" applyFill="1" applyBorder="1" applyAlignment="1">
      <alignment horizontal="right" vertical="center" indent="1"/>
    </xf>
    <xf numFmtId="3" fontId="41" fillId="0" borderId="0" xfId="0" applyNumberFormat="1" applyFont="1" applyAlignment="1">
      <alignment vertical="center"/>
    </xf>
    <xf numFmtId="165" fontId="41" fillId="0" borderId="0" xfId="8" applyNumberFormat="1" applyFont="1" applyFill="1" applyBorder="1" applyAlignment="1">
      <alignment vertical="center"/>
    </xf>
    <xf numFmtId="3" fontId="42" fillId="0" borderId="0" xfId="0" applyNumberFormat="1" applyFont="1" applyAlignment="1">
      <alignment vertical="center"/>
    </xf>
    <xf numFmtId="1" fontId="41" fillId="0" borderId="0" xfId="0" applyNumberFormat="1" applyFont="1" applyAlignment="1">
      <alignment vertical="center"/>
    </xf>
    <xf numFmtId="166" fontId="43" fillId="0" borderId="0" xfId="0" applyNumberFormat="1" applyFont="1" applyAlignment="1">
      <alignment horizontal="center" vertical="center"/>
    </xf>
    <xf numFmtId="165" fontId="44" fillId="0" borderId="0" xfId="8" applyNumberFormat="1" applyFont="1" applyFill="1" applyBorder="1" applyAlignment="1">
      <alignment vertical="center"/>
    </xf>
    <xf numFmtId="3" fontId="45" fillId="0" borderId="0" xfId="0" applyNumberFormat="1" applyFont="1" applyAlignment="1">
      <alignment vertical="center"/>
    </xf>
    <xf numFmtId="3" fontId="45" fillId="0" borderId="0" xfId="0" applyNumberFormat="1" applyFont="1" applyAlignment="1">
      <alignment horizontal="right" vertical="center"/>
    </xf>
    <xf numFmtId="3" fontId="46" fillId="0" borderId="0" xfId="0" applyNumberFormat="1" applyFont="1" applyAlignment="1">
      <alignment vertical="center"/>
    </xf>
    <xf numFmtId="0" fontId="40" fillId="0" borderId="0" xfId="0" applyFont="1" applyAlignment="1">
      <alignment horizontal="center" vertical="center"/>
    </xf>
    <xf numFmtId="165" fontId="40" fillId="0" borderId="0" xfId="8" applyNumberFormat="1" applyFont="1" applyFill="1" applyBorder="1" applyAlignment="1">
      <alignment horizontal="right" vertical="center"/>
    </xf>
    <xf numFmtId="0" fontId="46" fillId="0" borderId="0" xfId="0" applyFont="1" applyAlignment="1">
      <alignment vertical="center" wrapText="1"/>
    </xf>
    <xf numFmtId="165" fontId="46" fillId="0" borderId="0" xfId="8" applyNumberFormat="1" applyFont="1" applyFill="1" applyAlignment="1">
      <alignment vertical="center" wrapText="1"/>
    </xf>
    <xf numFmtId="165" fontId="39" fillId="0" borderId="1" xfId="8" applyNumberFormat="1" applyFont="1" applyBorder="1" applyAlignment="1">
      <alignment horizontal="right" vertical="center" indent="1"/>
    </xf>
    <xf numFmtId="3" fontId="41" fillId="7" borderId="1" xfId="0" applyNumberFormat="1" applyFont="1" applyFill="1" applyBorder="1" applyAlignment="1">
      <alignment vertical="center"/>
    </xf>
    <xf numFmtId="0" fontId="42" fillId="0" borderId="0" xfId="0" applyFont="1" applyAlignment="1">
      <alignment vertical="center"/>
    </xf>
    <xf numFmtId="3" fontId="41" fillId="0" borderId="10" xfId="0" applyNumberFormat="1" applyFont="1" applyBorder="1" applyAlignment="1">
      <alignment vertical="center"/>
    </xf>
    <xf numFmtId="3" fontId="47" fillId="9" borderId="1" xfId="0" applyNumberFormat="1" applyFont="1" applyFill="1" applyBorder="1" applyAlignment="1">
      <alignment vertical="center"/>
    </xf>
    <xf numFmtId="3" fontId="27" fillId="0" borderId="0" xfId="0" applyNumberFormat="1" applyFont="1"/>
    <xf numFmtId="0" fontId="34" fillId="0" borderId="1" xfId="0" applyFont="1" applyBorder="1" applyAlignment="1">
      <alignment horizontal="center" vertical="center" wrapText="1"/>
    </xf>
    <xf numFmtId="165" fontId="25" fillId="0" borderId="0" xfId="8" applyNumberFormat="1" applyFont="1" applyAlignment="1"/>
    <xf numFmtId="165" fontId="25" fillId="0" borderId="0" xfId="8" applyNumberFormat="1" applyFont="1" applyFill="1" applyAlignment="1"/>
    <xf numFmtId="168" fontId="25" fillId="0" borderId="0" xfId="12" applyNumberFormat="1" applyFont="1" applyAlignment="1"/>
    <xf numFmtId="165" fontId="40" fillId="3" borderId="21" xfId="0" applyNumberFormat="1" applyFont="1" applyFill="1" applyBorder="1" applyAlignment="1">
      <alignment vertical="center"/>
    </xf>
    <xf numFmtId="165" fontId="40" fillId="3" borderId="13" xfId="0" applyNumberFormat="1" applyFont="1" applyFill="1" applyBorder="1" applyAlignment="1">
      <alignment vertical="center"/>
    </xf>
    <xf numFmtId="165" fontId="40" fillId="3" borderId="58" xfId="0" applyNumberFormat="1" applyFont="1" applyFill="1" applyBorder="1" applyAlignment="1">
      <alignment vertical="center"/>
    </xf>
    <xf numFmtId="0" fontId="28" fillId="3" borderId="23" xfId="0" applyFont="1" applyFill="1" applyBorder="1" applyAlignment="1">
      <alignment horizontal="center" vertical="center" wrapText="1"/>
    </xf>
    <xf numFmtId="165" fontId="26" fillId="0" borderId="0" xfId="8" applyNumberFormat="1" applyFont="1" applyAlignment="1">
      <alignment vertical="center"/>
    </xf>
    <xf numFmtId="165" fontId="40" fillId="14" borderId="11" xfId="8" applyNumberFormat="1" applyFont="1" applyFill="1" applyBorder="1" applyAlignment="1">
      <alignment vertical="center"/>
    </xf>
    <xf numFmtId="165" fontId="40" fillId="14" borderId="55" xfId="8" applyNumberFormat="1" applyFont="1" applyFill="1" applyBorder="1" applyAlignment="1">
      <alignment vertical="center"/>
    </xf>
    <xf numFmtId="165" fontId="40" fillId="14" borderId="57" xfId="8" applyNumberFormat="1" applyFont="1" applyFill="1" applyBorder="1" applyAlignment="1">
      <alignment vertical="center"/>
    </xf>
    <xf numFmtId="165" fontId="40" fillId="3" borderId="11" xfId="8" applyNumberFormat="1" applyFont="1" applyFill="1" applyBorder="1" applyAlignment="1">
      <alignment vertical="center"/>
    </xf>
    <xf numFmtId="165" fontId="40" fillId="3" borderId="55" xfId="8" applyNumberFormat="1" applyFont="1" applyFill="1" applyBorder="1" applyAlignment="1">
      <alignment vertical="center"/>
    </xf>
    <xf numFmtId="165" fontId="40" fillId="3" borderId="57" xfId="8" applyNumberFormat="1" applyFont="1" applyFill="1" applyBorder="1" applyAlignment="1">
      <alignment vertical="center"/>
    </xf>
    <xf numFmtId="0" fontId="40" fillId="15" borderId="0" xfId="0" applyFont="1" applyFill="1"/>
    <xf numFmtId="1" fontId="40" fillId="15" borderId="0" xfId="0" applyNumberFormat="1" applyFont="1" applyFill="1" applyAlignment="1">
      <alignment vertical="center"/>
    </xf>
    <xf numFmtId="0" fontId="40" fillId="15" borderId="0" xfId="0" applyFont="1" applyFill="1" applyAlignment="1">
      <alignment horizontal="center" vertical="center"/>
    </xf>
    <xf numFmtId="165" fontId="40" fillId="15" borderId="0" xfId="0" applyNumberFormat="1" applyFont="1" applyFill="1" applyAlignment="1">
      <alignment horizontal="center" vertical="center"/>
    </xf>
    <xf numFmtId="0" fontId="24" fillId="8" borderId="0" xfId="0" applyFont="1" applyFill="1"/>
    <xf numFmtId="0" fontId="24" fillId="15" borderId="0" xfId="0" applyFont="1" applyFill="1"/>
    <xf numFmtId="0" fontId="28" fillId="0" borderId="1" xfId="0" applyFont="1" applyBorder="1" applyAlignment="1">
      <alignment vertical="center" wrapText="1"/>
    </xf>
    <xf numFmtId="3" fontId="48" fillId="0" borderId="1" xfId="0" applyNumberFormat="1" applyFont="1" applyBorder="1" applyAlignment="1">
      <alignment vertical="center" wrapText="1"/>
    </xf>
    <xf numFmtId="3" fontId="49" fillId="0" borderId="1" xfId="0" applyNumberFormat="1" applyFont="1" applyBorder="1" applyAlignment="1">
      <alignment vertical="center" wrapText="1"/>
    </xf>
    <xf numFmtId="166" fontId="41" fillId="10" borderId="1" xfId="0" applyNumberFormat="1" applyFont="1" applyFill="1" applyBorder="1" applyAlignment="1">
      <alignment horizontal="center" vertical="center"/>
    </xf>
    <xf numFmtId="3" fontId="38" fillId="0" borderId="0" xfId="0" applyNumberFormat="1" applyFont="1" applyAlignment="1">
      <alignment vertical="center" wrapText="1"/>
    </xf>
    <xf numFmtId="165" fontId="38" fillId="2" borderId="0" xfId="8" applyNumberFormat="1" applyFont="1" applyFill="1" applyBorder="1" applyAlignment="1">
      <alignment vertical="center" wrapText="1"/>
    </xf>
    <xf numFmtId="165" fontId="50" fillId="3" borderId="1" xfId="8" applyNumberFormat="1" applyFont="1" applyFill="1" applyBorder="1" applyAlignment="1">
      <alignment horizontal="right" vertical="center" indent="1"/>
    </xf>
    <xf numFmtId="165" fontId="50" fillId="0" borderId="3" xfId="8" applyNumberFormat="1" applyFont="1" applyBorder="1" applyAlignment="1">
      <alignment horizontal="right" vertical="center" indent="1"/>
    </xf>
    <xf numFmtId="0" fontId="41" fillId="0" borderId="0" xfId="0" applyFont="1"/>
    <xf numFmtId="166" fontId="41" fillId="0" borderId="3" xfId="0" applyNumberFormat="1" applyFont="1" applyBorder="1" applyAlignment="1">
      <alignment horizontal="center" vertical="center"/>
    </xf>
    <xf numFmtId="165" fontId="41" fillId="0" borderId="1" xfId="8" applyNumberFormat="1" applyFont="1" applyFill="1" applyBorder="1" applyAlignment="1">
      <alignment vertical="center"/>
    </xf>
    <xf numFmtId="165" fontId="41" fillId="0" borderId="3" xfId="8" applyNumberFormat="1" applyFont="1" applyFill="1" applyBorder="1" applyAlignment="1">
      <alignment vertical="center"/>
    </xf>
    <xf numFmtId="3" fontId="51" fillId="11" borderId="1" xfId="0" applyNumberFormat="1" applyFont="1" applyFill="1" applyBorder="1" applyAlignment="1">
      <alignment vertical="center"/>
    </xf>
    <xf numFmtId="3" fontId="51" fillId="11" borderId="1" xfId="0" applyNumberFormat="1" applyFont="1" applyFill="1" applyBorder="1" applyAlignment="1">
      <alignment horizontal="right" vertical="center"/>
    </xf>
    <xf numFmtId="3" fontId="51" fillId="0" borderId="3" xfId="0" applyNumberFormat="1" applyFont="1" applyBorder="1" applyAlignment="1">
      <alignment vertical="center"/>
    </xf>
    <xf numFmtId="3" fontId="38" fillId="0" borderId="1" xfId="0" applyNumberFormat="1" applyFont="1" applyBorder="1" applyAlignment="1">
      <alignment vertical="center"/>
    </xf>
    <xf numFmtId="3" fontId="51" fillId="12" borderId="1" xfId="0" applyNumberFormat="1" applyFont="1" applyFill="1" applyBorder="1" applyAlignment="1">
      <alignment vertical="center"/>
    </xf>
    <xf numFmtId="0" fontId="41" fillId="0" borderId="1" xfId="0" applyFont="1" applyBorder="1" applyAlignment="1">
      <alignment horizontal="center" vertical="center"/>
    </xf>
    <xf numFmtId="165" fontId="41" fillId="13" borderId="21" xfId="8" applyNumberFormat="1" applyFont="1" applyFill="1" applyBorder="1" applyAlignment="1">
      <alignment vertical="center"/>
    </xf>
    <xf numFmtId="0" fontId="41" fillId="0" borderId="0" xfId="0" applyFont="1" applyAlignment="1">
      <alignment vertical="center"/>
    </xf>
    <xf numFmtId="165" fontId="41" fillId="14" borderId="55" xfId="8" applyNumberFormat="1" applyFont="1" applyFill="1" applyBorder="1" applyAlignment="1">
      <alignment vertical="center"/>
    </xf>
    <xf numFmtId="165" fontId="41" fillId="14" borderId="21" xfId="0" applyNumberFormat="1" applyFont="1" applyFill="1" applyBorder="1" applyAlignment="1">
      <alignment vertical="center"/>
    </xf>
    <xf numFmtId="0" fontId="28" fillId="7" borderId="66" xfId="0" applyFont="1" applyFill="1" applyBorder="1" applyAlignment="1">
      <alignment horizontal="center" vertical="center" wrapText="1"/>
    </xf>
    <xf numFmtId="165" fontId="40" fillId="15" borderId="0" xfId="0" applyNumberFormat="1" applyFont="1" applyFill="1"/>
    <xf numFmtId="165" fontId="40" fillId="15" borderId="0" xfId="8" applyNumberFormat="1" applyFont="1" applyFill="1" applyAlignment="1">
      <alignment vertical="center"/>
    </xf>
    <xf numFmtId="0" fontId="52" fillId="0" borderId="1" xfId="0" applyFont="1" applyBorder="1" applyAlignment="1">
      <alignment horizontal="right" vertical="center" wrapText="1"/>
    </xf>
    <xf numFmtId="165" fontId="26" fillId="13" borderId="67" xfId="8" applyNumberFormat="1" applyFont="1" applyFill="1" applyBorder="1" applyAlignment="1">
      <alignment vertical="center"/>
    </xf>
    <xf numFmtId="165" fontId="29" fillId="13" borderId="68" xfId="0" applyNumberFormat="1" applyFont="1" applyFill="1" applyBorder="1" applyAlignment="1">
      <alignment vertical="center"/>
    </xf>
    <xf numFmtId="0" fontId="25" fillId="13" borderId="67" xfId="0" applyFont="1" applyFill="1" applyBorder="1" applyAlignment="1">
      <alignment vertical="center"/>
    </xf>
    <xf numFmtId="0" fontId="28" fillId="10" borderId="15" xfId="0" applyFont="1" applyFill="1" applyBorder="1" applyAlignment="1">
      <alignment horizontal="center" vertical="center" wrapText="1"/>
    </xf>
    <xf numFmtId="0" fontId="28" fillId="15" borderId="22" xfId="0" applyFont="1" applyFill="1" applyBorder="1" applyAlignment="1">
      <alignment horizontal="center" vertical="center" wrapText="1"/>
    </xf>
    <xf numFmtId="0" fontId="28" fillId="15" borderId="15" xfId="0" applyFont="1" applyFill="1" applyBorder="1" applyAlignment="1">
      <alignment horizontal="center" vertical="center" wrapText="1"/>
    </xf>
    <xf numFmtId="165" fontId="40" fillId="15" borderId="1" xfId="8" applyNumberFormat="1" applyFont="1" applyFill="1" applyBorder="1" applyAlignment="1">
      <alignment vertical="center"/>
    </xf>
    <xf numFmtId="1" fontId="40" fillId="15" borderId="1" xfId="0" applyNumberFormat="1" applyFont="1" applyFill="1" applyBorder="1" applyAlignment="1">
      <alignment vertical="center"/>
    </xf>
    <xf numFmtId="0" fontId="28" fillId="10" borderId="38" xfId="0" applyFont="1" applyFill="1" applyBorder="1" applyAlignment="1">
      <alignment horizontal="center" vertical="center" wrapText="1"/>
    </xf>
    <xf numFmtId="165" fontId="40" fillId="10" borderId="55" xfId="8" applyNumberFormat="1" applyFont="1" applyFill="1" applyBorder="1" applyAlignment="1">
      <alignment horizontal="right" vertical="center"/>
    </xf>
    <xf numFmtId="165" fontId="40" fillId="10" borderId="13" xfId="8" applyNumberFormat="1" applyFont="1" applyFill="1" applyBorder="1" applyAlignment="1">
      <alignment vertical="center"/>
    </xf>
    <xf numFmtId="165" fontId="40" fillId="10" borderId="21" xfId="8" applyNumberFormat="1" applyFont="1" applyFill="1" applyBorder="1" applyAlignment="1">
      <alignment vertical="center"/>
    </xf>
    <xf numFmtId="165" fontId="41" fillId="10" borderId="21" xfId="8" applyNumberFormat="1" applyFont="1" applyFill="1" applyBorder="1" applyAlignment="1">
      <alignment vertical="center"/>
    </xf>
    <xf numFmtId="165" fontId="40" fillId="13" borderId="58" xfId="8" applyNumberFormat="1" applyFont="1" applyFill="1" applyBorder="1" applyAlignment="1">
      <alignment vertical="center"/>
    </xf>
    <xf numFmtId="165" fontId="40" fillId="13" borderId="11" xfId="8" applyNumberFormat="1" applyFont="1" applyFill="1" applyBorder="1" applyAlignment="1">
      <alignment horizontal="right" vertical="center"/>
    </xf>
    <xf numFmtId="165" fontId="40" fillId="13" borderId="15" xfId="8" applyNumberFormat="1" applyFont="1" applyFill="1" applyBorder="1" applyAlignment="1">
      <alignment vertical="center"/>
    </xf>
    <xf numFmtId="0" fontId="40" fillId="0" borderId="10" xfId="0" applyFont="1" applyBorder="1" applyAlignment="1">
      <alignment horizontal="center" vertical="center"/>
    </xf>
    <xf numFmtId="0" fontId="41" fillId="0" borderId="10" xfId="0" applyFont="1" applyBorder="1" applyAlignment="1">
      <alignment horizontal="center" vertical="center"/>
    </xf>
    <xf numFmtId="165" fontId="40" fillId="7" borderId="4" xfId="8" applyNumberFormat="1" applyFont="1" applyFill="1" applyBorder="1" applyAlignment="1">
      <alignment vertical="center"/>
    </xf>
    <xf numFmtId="1" fontId="40" fillId="7" borderId="4" xfId="0" applyNumberFormat="1" applyFont="1" applyFill="1" applyBorder="1" applyAlignment="1">
      <alignment vertical="center"/>
    </xf>
    <xf numFmtId="165" fontId="40" fillId="15" borderId="11" xfId="8" applyNumberFormat="1" applyFont="1" applyFill="1" applyBorder="1" applyAlignment="1">
      <alignment vertical="center"/>
    </xf>
    <xf numFmtId="1" fontId="47" fillId="15" borderId="13" xfId="0" applyNumberFormat="1" applyFont="1" applyFill="1" applyBorder="1" applyAlignment="1">
      <alignment vertical="center"/>
    </xf>
    <xf numFmtId="165" fontId="40" fillId="15" borderId="55" xfId="8" applyNumberFormat="1" applyFont="1" applyFill="1" applyBorder="1" applyAlignment="1">
      <alignment vertical="center"/>
    </xf>
    <xf numFmtId="1" fontId="47" fillId="15" borderId="21" xfId="0" applyNumberFormat="1" applyFont="1" applyFill="1" applyBorder="1" applyAlignment="1">
      <alignment vertical="center"/>
    </xf>
    <xf numFmtId="165" fontId="40" fillId="15" borderId="38" xfId="8" applyNumberFormat="1" applyFont="1" applyFill="1" applyBorder="1" applyAlignment="1">
      <alignment vertical="center"/>
    </xf>
    <xf numFmtId="1" fontId="47" fillId="15" borderId="15" xfId="0" applyNumberFormat="1" applyFont="1" applyFill="1" applyBorder="1" applyAlignment="1">
      <alignment vertical="center"/>
    </xf>
    <xf numFmtId="165" fontId="40" fillId="10" borderId="11" xfId="8" applyNumberFormat="1" applyFont="1" applyFill="1" applyBorder="1" applyAlignment="1">
      <alignment horizontal="right" vertical="center"/>
    </xf>
    <xf numFmtId="165" fontId="40" fillId="10" borderId="38" xfId="8" applyNumberFormat="1" applyFont="1" applyFill="1" applyBorder="1" applyAlignment="1">
      <alignment horizontal="right" vertical="center"/>
    </xf>
    <xf numFmtId="165" fontId="40" fillId="10" borderId="15" xfId="8" applyNumberFormat="1" applyFont="1" applyFill="1" applyBorder="1" applyAlignment="1">
      <alignment vertical="center"/>
    </xf>
    <xf numFmtId="10" fontId="27" fillId="8" borderId="0" xfId="0" applyNumberFormat="1" applyFont="1" applyFill="1"/>
    <xf numFmtId="0" fontId="27" fillId="0" borderId="0" xfId="0" applyFont="1" applyAlignment="1">
      <alignment horizontal="center" vertical="center" wrapText="1"/>
    </xf>
    <xf numFmtId="0" fontId="52" fillId="0" borderId="1" xfId="0" applyFont="1" applyBorder="1" applyAlignment="1">
      <alignment horizontal="left" vertical="center" wrapText="1"/>
    </xf>
    <xf numFmtId="0" fontId="57" fillId="0" borderId="0" xfId="0" applyFont="1" applyAlignment="1">
      <alignment horizontal="center"/>
    </xf>
    <xf numFmtId="165" fontId="0" fillId="0" borderId="1" xfId="8" applyNumberFormat="1" applyFont="1" applyBorder="1"/>
    <xf numFmtId="0" fontId="0" fillId="0" borderId="1" xfId="0" applyBorder="1"/>
    <xf numFmtId="165" fontId="0" fillId="0" borderId="1" xfId="0" applyNumberFormat="1" applyBorder="1"/>
    <xf numFmtId="0" fontId="52" fillId="0" borderId="4" xfId="0" applyFont="1" applyBorder="1" applyAlignment="1">
      <alignment horizontal="left" vertical="center" wrapText="1"/>
    </xf>
    <xf numFmtId="165" fontId="0" fillId="0" borderId="4" xfId="8" applyNumberFormat="1" applyFont="1" applyBorder="1"/>
    <xf numFmtId="0" fontId="0" fillId="0" borderId="4" xfId="0" applyBorder="1"/>
    <xf numFmtId="165" fontId="0" fillId="0" borderId="4" xfId="0" applyNumberFormat="1" applyBorder="1"/>
    <xf numFmtId="0" fontId="0" fillId="0" borderId="64" xfId="0" applyBorder="1" applyAlignment="1">
      <alignment vertical="center"/>
    </xf>
    <xf numFmtId="0" fontId="57" fillId="0" borderId="65" xfId="0" applyFont="1" applyBorder="1" applyAlignment="1">
      <alignment horizontal="center" vertical="center" wrapText="1"/>
    </xf>
    <xf numFmtId="165" fontId="0" fillId="0" borderId="65" xfId="8" applyNumberFormat="1" applyFont="1" applyBorder="1" applyAlignment="1">
      <alignment horizontal="center" vertical="center"/>
    </xf>
    <xf numFmtId="0" fontId="57" fillId="0" borderId="65" xfId="0" applyFont="1" applyBorder="1" applyAlignment="1">
      <alignment horizontal="center" vertical="center"/>
    </xf>
    <xf numFmtId="165" fontId="0" fillId="6" borderId="4" xfId="8" applyNumberFormat="1" applyFont="1" applyFill="1" applyBorder="1"/>
    <xf numFmtId="165" fontId="0" fillId="6" borderId="1" xfId="8" applyNumberFormat="1" applyFont="1" applyFill="1" applyBorder="1"/>
    <xf numFmtId="165" fontId="1" fillId="0" borderId="0" xfId="0" applyNumberFormat="1" applyFont="1"/>
    <xf numFmtId="0" fontId="0" fillId="0" borderId="69" xfId="0" applyBorder="1" applyAlignment="1">
      <alignment horizontal="center" vertical="center" wrapText="1"/>
    </xf>
    <xf numFmtId="0" fontId="0" fillId="0" borderId="70" xfId="0" applyBorder="1" applyAlignment="1">
      <alignment horizontal="center" vertical="center"/>
    </xf>
    <xf numFmtId="165" fontId="0" fillId="4" borderId="1" xfId="8" applyNumberFormat="1" applyFont="1" applyFill="1" applyBorder="1"/>
    <xf numFmtId="0" fontId="4" fillId="0" borderId="0" xfId="0" applyFont="1"/>
    <xf numFmtId="0" fontId="64" fillId="3" borderId="0" xfId="0" applyFont="1" applyFill="1" applyAlignment="1">
      <alignment horizontal="center" vertical="center"/>
    </xf>
    <xf numFmtId="165" fontId="59" fillId="3" borderId="0" xfId="0" applyNumberFormat="1" applyFont="1" applyFill="1" applyAlignment="1">
      <alignment horizontal="center" vertical="center"/>
    </xf>
    <xf numFmtId="0" fontId="54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59" fillId="0" borderId="0" xfId="0" applyFont="1" applyAlignment="1">
      <alignment horizontal="center" vertical="center"/>
    </xf>
    <xf numFmtId="0" fontId="59" fillId="2" borderId="0" xfId="0" applyFont="1" applyFill="1" applyAlignment="1">
      <alignment horizontal="center" vertical="center" wrapText="1"/>
    </xf>
    <xf numFmtId="0" fontId="59" fillId="0" borderId="0" xfId="0" applyFont="1" applyAlignment="1">
      <alignment horizontal="center" vertical="center" wrapText="1"/>
    </xf>
    <xf numFmtId="0" fontId="59" fillId="0" borderId="52" xfId="0" applyFont="1" applyBorder="1" applyAlignment="1">
      <alignment horizontal="center" vertical="center" wrapText="1"/>
    </xf>
    <xf numFmtId="0" fontId="59" fillId="0" borderId="5" xfId="0" applyFont="1" applyBorder="1" applyAlignment="1">
      <alignment horizontal="center" vertical="center"/>
    </xf>
    <xf numFmtId="0" fontId="54" fillId="0" borderId="0" xfId="0" applyFont="1" applyAlignment="1">
      <alignment horizontal="center" vertical="center"/>
    </xf>
    <xf numFmtId="0" fontId="54" fillId="0" borderId="0" xfId="0" applyFont="1" applyAlignment="1">
      <alignment vertical="center"/>
    </xf>
    <xf numFmtId="165" fontId="4" fillId="0" borderId="0" xfId="0" applyNumberFormat="1" applyFont="1"/>
    <xf numFmtId="0" fontId="67" fillId="0" borderId="0" xfId="0" applyFont="1"/>
    <xf numFmtId="165" fontId="67" fillId="0" borderId="1" xfId="8" applyNumberFormat="1" applyFont="1" applyBorder="1" applyAlignment="1">
      <alignment vertical="center"/>
    </xf>
    <xf numFmtId="0" fontId="59" fillId="0" borderId="0" xfId="0" applyFont="1" applyAlignment="1">
      <alignment horizontal="right" vertical="center"/>
    </xf>
    <xf numFmtId="165" fontId="54" fillId="0" borderId="0" xfId="0" applyNumberFormat="1" applyFont="1" applyAlignment="1">
      <alignment vertical="center"/>
    </xf>
    <xf numFmtId="165" fontId="53" fillId="13" borderId="68" xfId="0" applyNumberFormat="1" applyFont="1" applyFill="1" applyBorder="1" applyAlignment="1">
      <alignment vertical="center"/>
    </xf>
    <xf numFmtId="0" fontId="4" fillId="13" borderId="67" xfId="0" applyFont="1" applyFill="1" applyBorder="1" applyAlignment="1">
      <alignment vertical="center"/>
    </xf>
    <xf numFmtId="0" fontId="4" fillId="13" borderId="67" xfId="0" applyFont="1" applyFill="1" applyBorder="1" applyAlignment="1">
      <alignment horizontal="center" vertical="center"/>
    </xf>
    <xf numFmtId="165" fontId="60" fillId="13" borderId="67" xfId="8" applyNumberFormat="1" applyFont="1" applyFill="1" applyBorder="1" applyAlignment="1">
      <alignment vertical="center"/>
    </xf>
    <xf numFmtId="165" fontId="60" fillId="0" borderId="0" xfId="8" applyNumberFormat="1" applyFont="1" applyAlignment="1">
      <alignment vertical="center"/>
    </xf>
    <xf numFmtId="165" fontId="59" fillId="0" borderId="0" xfId="12" applyNumberFormat="1" applyFont="1" applyAlignment="1">
      <alignment horizontal="right" vertical="center"/>
    </xf>
    <xf numFmtId="165" fontId="4" fillId="0" borderId="0" xfId="8" applyNumberFormat="1" applyFont="1" applyAlignment="1"/>
    <xf numFmtId="165" fontId="4" fillId="0" borderId="0" xfId="8" applyNumberFormat="1" applyFont="1" applyFill="1" applyAlignment="1"/>
    <xf numFmtId="168" fontId="4" fillId="0" borderId="0" xfId="12" applyNumberFormat="1" applyFont="1" applyAlignment="1"/>
    <xf numFmtId="0" fontId="59" fillId="0" borderId="0" xfId="0" applyFont="1" applyAlignment="1">
      <alignment horizontal="right"/>
    </xf>
    <xf numFmtId="165" fontId="4" fillId="0" borderId="0" xfId="8" applyNumberFormat="1" applyFont="1" applyFill="1" applyAlignment="1">
      <alignment vertical="center" wrapText="1"/>
    </xf>
    <xf numFmtId="0" fontId="4" fillId="0" borderId="0" xfId="0" applyFont="1" applyAlignment="1">
      <alignment vertical="center" wrapText="1"/>
    </xf>
    <xf numFmtId="0" fontId="70" fillId="0" borderId="0" xfId="0" applyFont="1"/>
    <xf numFmtId="0" fontId="69" fillId="0" borderId="0" xfId="0" applyFont="1"/>
    <xf numFmtId="0" fontId="72" fillId="0" borderId="0" xfId="0" applyFont="1"/>
    <xf numFmtId="165" fontId="4" fillId="0" borderId="0" xfId="8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165" fontId="54" fillId="0" borderId="0" xfId="8" applyNumberFormat="1" applyFont="1" applyAlignment="1">
      <alignment horizontal="center" vertical="center"/>
    </xf>
    <xf numFmtId="165" fontId="59" fillId="0" borderId="0" xfId="8" applyNumberFormat="1" applyFont="1" applyAlignment="1">
      <alignment horizontal="right" vertical="center"/>
    </xf>
    <xf numFmtId="165" fontId="54" fillId="0" borderId="0" xfId="8" applyNumberFormat="1" applyFont="1" applyAlignment="1">
      <alignment vertical="center"/>
    </xf>
    <xf numFmtId="165" fontId="54" fillId="0" borderId="0" xfId="8" applyNumberFormat="1" applyFont="1" applyBorder="1" applyAlignment="1">
      <alignment horizontal="center" vertical="center"/>
    </xf>
    <xf numFmtId="165" fontId="54" fillId="0" borderId="0" xfId="8" applyNumberFormat="1" applyFont="1" applyFill="1" applyAlignment="1">
      <alignment vertical="center"/>
    </xf>
    <xf numFmtId="0" fontId="68" fillId="0" borderId="0" xfId="0" applyFont="1"/>
    <xf numFmtId="0" fontId="68" fillId="0" borderId="0" xfId="0" applyFont="1" applyAlignment="1">
      <alignment vertical="center"/>
    </xf>
    <xf numFmtId="3" fontId="68" fillId="0" borderId="0" xfId="0" applyNumberFormat="1" applyFont="1" applyAlignment="1">
      <alignment vertical="center"/>
    </xf>
    <xf numFmtId="1" fontId="68" fillId="0" borderId="0" xfId="0" applyNumberFormat="1" applyFont="1" applyAlignment="1">
      <alignment vertical="center"/>
    </xf>
    <xf numFmtId="165" fontId="54" fillId="0" borderId="0" xfId="0" applyNumberFormat="1" applyFont="1"/>
    <xf numFmtId="0" fontId="53" fillId="0" borderId="0" xfId="0" applyFont="1"/>
    <xf numFmtId="0" fontId="4" fillId="2" borderId="52" xfId="0" applyFont="1" applyFill="1" applyBorder="1"/>
    <xf numFmtId="169" fontId="4" fillId="2" borderId="0" xfId="8" applyNumberFormat="1" applyFont="1" applyFill="1" applyBorder="1"/>
    <xf numFmtId="0" fontId="58" fillId="2" borderId="52" xfId="0" applyFont="1" applyFill="1" applyBorder="1"/>
    <xf numFmtId="169" fontId="58" fillId="2" borderId="0" xfId="8" applyNumberFormat="1" applyFont="1" applyFill="1" applyBorder="1" applyAlignment="1"/>
    <xf numFmtId="169" fontId="58" fillId="2" borderId="72" xfId="8" applyNumberFormat="1" applyFont="1" applyFill="1" applyBorder="1" applyAlignment="1"/>
    <xf numFmtId="0" fontId="61" fillId="2" borderId="24" xfId="0" applyFont="1" applyFill="1" applyBorder="1"/>
    <xf numFmtId="0" fontId="61" fillId="2" borderId="69" xfId="0" applyFont="1" applyFill="1" applyBorder="1"/>
    <xf numFmtId="0" fontId="61" fillId="2" borderId="52" xfId="0" applyFont="1" applyFill="1" applyBorder="1"/>
    <xf numFmtId="167" fontId="61" fillId="2" borderId="0" xfId="8" applyNumberFormat="1" applyFont="1" applyFill="1" applyBorder="1"/>
    <xf numFmtId="2" fontId="61" fillId="2" borderId="56" xfId="0" applyNumberFormat="1" applyFont="1" applyFill="1" applyBorder="1"/>
    <xf numFmtId="165" fontId="61" fillId="2" borderId="45" xfId="8" applyNumberFormat="1" applyFont="1" applyFill="1" applyBorder="1"/>
    <xf numFmtId="0" fontId="62" fillId="2" borderId="52" xfId="0" applyFont="1" applyFill="1" applyBorder="1"/>
    <xf numFmtId="169" fontId="62" fillId="2" borderId="33" xfId="8" applyNumberFormat="1" applyFont="1" applyFill="1" applyBorder="1"/>
    <xf numFmtId="169" fontId="63" fillId="2" borderId="45" xfId="8" applyNumberFormat="1" applyFont="1" applyFill="1" applyBorder="1"/>
    <xf numFmtId="0" fontId="63" fillId="2" borderId="45" xfId="0" applyFont="1" applyFill="1" applyBorder="1"/>
    <xf numFmtId="169" fontId="61" fillId="2" borderId="56" xfId="8" applyNumberFormat="1" applyFont="1" applyFill="1" applyBorder="1"/>
    <xf numFmtId="169" fontId="61" fillId="2" borderId="45" xfId="8" applyNumberFormat="1" applyFont="1" applyFill="1" applyBorder="1"/>
    <xf numFmtId="0" fontId="61" fillId="2" borderId="45" xfId="0" applyFont="1" applyFill="1" applyBorder="1"/>
    <xf numFmtId="0" fontId="70" fillId="2" borderId="52" xfId="0" applyFont="1" applyFill="1" applyBorder="1"/>
    <xf numFmtId="169" fontId="58" fillId="2" borderId="45" xfId="8" applyNumberFormat="1" applyFont="1" applyFill="1" applyBorder="1"/>
    <xf numFmtId="0" fontId="61" fillId="2" borderId="64" xfId="0" applyFont="1" applyFill="1" applyBorder="1"/>
    <xf numFmtId="169" fontId="61" fillId="2" borderId="73" xfId="8" applyNumberFormat="1" applyFont="1" applyFill="1" applyBorder="1"/>
    <xf numFmtId="169" fontId="61" fillId="2" borderId="16" xfId="8" applyNumberFormat="1" applyFont="1" applyFill="1" applyBorder="1"/>
    <xf numFmtId="165" fontId="58" fillId="2" borderId="16" xfId="0" applyNumberFormat="1" applyFont="1" applyFill="1" applyBorder="1"/>
    <xf numFmtId="169" fontId="61" fillId="2" borderId="0" xfId="8" applyNumberFormat="1" applyFont="1" applyFill="1" applyBorder="1"/>
    <xf numFmtId="165" fontId="58" fillId="2" borderId="16" xfId="8" applyNumberFormat="1" applyFont="1" applyFill="1" applyBorder="1"/>
    <xf numFmtId="169" fontId="63" fillId="2" borderId="56" xfId="8" applyNumberFormat="1" applyFont="1" applyFill="1" applyBorder="1"/>
    <xf numFmtId="169" fontId="62" fillId="2" borderId="45" xfId="8" applyNumberFormat="1" applyFont="1" applyFill="1" applyBorder="1"/>
    <xf numFmtId="165" fontId="63" fillId="2" borderId="45" xfId="8" applyNumberFormat="1" applyFont="1" applyFill="1" applyBorder="1"/>
    <xf numFmtId="169" fontId="58" fillId="2" borderId="16" xfId="8" applyNumberFormat="1" applyFont="1" applyFill="1" applyBorder="1"/>
    <xf numFmtId="0" fontId="62" fillId="2" borderId="71" xfId="0" applyFont="1" applyFill="1" applyBorder="1"/>
    <xf numFmtId="0" fontId="62" fillId="2" borderId="72" xfId="0" applyFont="1" applyFill="1" applyBorder="1"/>
    <xf numFmtId="169" fontId="63" fillId="2" borderId="54" xfId="8" applyNumberFormat="1" applyFont="1" applyFill="1" applyBorder="1"/>
    <xf numFmtId="169" fontId="62" fillId="2" borderId="16" xfId="8" applyNumberFormat="1" applyFont="1" applyFill="1" applyBorder="1"/>
    <xf numFmtId="169" fontId="71" fillId="2" borderId="39" xfId="8" applyNumberFormat="1" applyFont="1" applyFill="1" applyBorder="1"/>
    <xf numFmtId="0" fontId="71" fillId="2" borderId="39" xfId="0" applyFont="1" applyFill="1" applyBorder="1"/>
    <xf numFmtId="0" fontId="58" fillId="2" borderId="69" xfId="0" applyFont="1" applyFill="1" applyBorder="1"/>
    <xf numFmtId="169" fontId="74" fillId="2" borderId="69" xfId="8" applyNumberFormat="1" applyFont="1" applyFill="1" applyBorder="1"/>
    <xf numFmtId="169" fontId="75" fillId="2" borderId="69" xfId="8" applyNumberFormat="1" applyFont="1" applyFill="1" applyBorder="1"/>
    <xf numFmtId="169" fontId="74" fillId="2" borderId="70" xfId="8" applyNumberFormat="1" applyFont="1" applyFill="1" applyBorder="1"/>
    <xf numFmtId="169" fontId="58" fillId="2" borderId="33" xfId="0" applyNumberFormat="1" applyFont="1" applyFill="1" applyBorder="1"/>
    <xf numFmtId="169" fontId="56" fillId="2" borderId="0" xfId="8" applyNumberFormat="1" applyFont="1" applyFill="1" applyBorder="1"/>
    <xf numFmtId="0" fontId="0" fillId="2" borderId="52" xfId="0" applyFill="1" applyBorder="1"/>
    <xf numFmtId="171" fontId="4" fillId="0" borderId="65" xfId="8" applyNumberFormat="1" applyFont="1" applyFill="1" applyBorder="1" applyAlignment="1">
      <alignment horizontal="center" vertical="center"/>
    </xf>
    <xf numFmtId="171" fontId="4" fillId="7" borderId="1" xfId="8" applyNumberFormat="1" applyFont="1" applyFill="1" applyBorder="1" applyAlignment="1">
      <alignment horizontal="center" vertical="center"/>
    </xf>
    <xf numFmtId="0" fontId="68" fillId="0" borderId="1" xfId="0" applyFont="1" applyBorder="1" applyAlignment="1">
      <alignment horizontal="center" vertical="center"/>
    </xf>
    <xf numFmtId="14" fontId="68" fillId="10" borderId="10" xfId="0" applyNumberFormat="1" applyFont="1" applyFill="1" applyBorder="1" applyAlignment="1">
      <alignment horizontal="center" vertical="center"/>
    </xf>
    <xf numFmtId="3" fontId="68" fillId="0" borderId="0" xfId="0" applyNumberFormat="1" applyFont="1" applyAlignment="1">
      <alignment vertical="center" wrapText="1"/>
    </xf>
    <xf numFmtId="165" fontId="68" fillId="3" borderId="1" xfId="8" applyNumberFormat="1" applyFont="1" applyFill="1" applyBorder="1" applyAlignment="1">
      <alignment vertical="center" wrapText="1"/>
    </xf>
    <xf numFmtId="165" fontId="68" fillId="2" borderId="0" xfId="8" applyNumberFormat="1" applyFont="1" applyFill="1" applyBorder="1" applyAlignment="1">
      <alignment vertical="center" wrapText="1"/>
    </xf>
    <xf numFmtId="165" fontId="68" fillId="9" borderId="1" xfId="8" applyNumberFormat="1" applyFont="1" applyFill="1" applyBorder="1" applyAlignment="1">
      <alignment vertical="center" wrapText="1"/>
    </xf>
    <xf numFmtId="165" fontId="68" fillId="0" borderId="0" xfId="8" applyNumberFormat="1" applyFont="1" applyFill="1" applyBorder="1" applyAlignment="1">
      <alignment vertical="center" wrapText="1"/>
    </xf>
    <xf numFmtId="165" fontId="68" fillId="18" borderId="1" xfId="8" applyNumberFormat="1" applyFont="1" applyFill="1" applyBorder="1" applyAlignment="1">
      <alignment horizontal="right" vertical="center" indent="1"/>
    </xf>
    <xf numFmtId="165" fontId="68" fillId="3" borderId="1" xfId="8" applyNumberFormat="1" applyFont="1" applyFill="1" applyBorder="1" applyAlignment="1">
      <alignment horizontal="right" vertical="center" indent="1"/>
    </xf>
    <xf numFmtId="165" fontId="68" fillId="0" borderId="3" xfId="8" applyNumberFormat="1" applyFont="1" applyBorder="1" applyAlignment="1">
      <alignment horizontal="right" vertical="center" indent="1"/>
    </xf>
    <xf numFmtId="165" fontId="68" fillId="0" borderId="1" xfId="8" applyNumberFormat="1" applyFont="1" applyBorder="1" applyAlignment="1">
      <alignment vertical="center"/>
    </xf>
    <xf numFmtId="3" fontId="68" fillId="12" borderId="1" xfId="0" applyNumberFormat="1" applyFont="1" applyFill="1" applyBorder="1" applyAlignment="1">
      <alignment horizontal="center" vertical="center"/>
    </xf>
    <xf numFmtId="3" fontId="68" fillId="0" borderId="1" xfId="0" applyNumberFormat="1" applyFont="1" applyBorder="1" applyAlignment="1">
      <alignment horizontal="center" vertical="center"/>
    </xf>
    <xf numFmtId="165" fontId="68" fillId="15" borderId="1" xfId="8" applyNumberFormat="1" applyFont="1" applyFill="1" applyBorder="1" applyAlignment="1">
      <alignment horizontal="center" vertical="center"/>
    </xf>
    <xf numFmtId="1" fontId="68" fillId="15" borderId="1" xfId="0" applyNumberFormat="1" applyFont="1" applyFill="1" applyBorder="1" applyAlignment="1">
      <alignment horizontal="center" vertical="center"/>
    </xf>
    <xf numFmtId="165" fontId="68" fillId="13" borderId="1" xfId="8" applyNumberFormat="1" applyFont="1" applyFill="1" applyBorder="1" applyAlignment="1">
      <alignment horizontal="right" vertical="center"/>
    </xf>
    <xf numFmtId="165" fontId="68" fillId="13" borderId="1" xfId="8" applyNumberFormat="1" applyFont="1" applyFill="1" applyBorder="1" applyAlignment="1">
      <alignment vertical="center"/>
    </xf>
    <xf numFmtId="165" fontId="68" fillId="3" borderId="1" xfId="8" applyNumberFormat="1" applyFont="1" applyFill="1" applyBorder="1" applyAlignment="1">
      <alignment vertical="center"/>
    </xf>
    <xf numFmtId="165" fontId="68" fillId="3" borderId="1" xfId="0" applyNumberFormat="1" applyFont="1" applyFill="1" applyBorder="1" applyAlignment="1">
      <alignment vertical="center"/>
    </xf>
    <xf numFmtId="165" fontId="68" fillId="14" borderId="1" xfId="8" applyNumberFormat="1" applyFont="1" applyFill="1" applyBorder="1" applyAlignment="1">
      <alignment vertical="center"/>
    </xf>
    <xf numFmtId="165" fontId="68" fillId="14" borderId="1" xfId="0" applyNumberFormat="1" applyFont="1" applyFill="1" applyBorder="1" applyAlignment="1">
      <alignment vertical="center"/>
    </xf>
    <xf numFmtId="14" fontId="67" fillId="10" borderId="10" xfId="0" applyNumberFormat="1" applyFont="1" applyFill="1" applyBorder="1" applyAlignment="1">
      <alignment horizontal="center" vertical="center"/>
    </xf>
    <xf numFmtId="9" fontId="67" fillId="0" borderId="1" xfId="0" applyNumberFormat="1" applyFont="1" applyBorder="1" applyAlignment="1">
      <alignment horizontal="center" vertical="center"/>
    </xf>
    <xf numFmtId="3" fontId="67" fillId="0" borderId="0" xfId="0" applyNumberFormat="1" applyFont="1" applyAlignment="1">
      <alignment vertical="center" wrapText="1"/>
    </xf>
    <xf numFmtId="165" fontId="67" fillId="3" borderId="1" xfId="8" applyNumberFormat="1" applyFont="1" applyFill="1" applyBorder="1" applyAlignment="1">
      <alignment vertical="center" wrapText="1"/>
    </xf>
    <xf numFmtId="165" fontId="67" fillId="2" borderId="0" xfId="8" applyNumberFormat="1" applyFont="1" applyFill="1" applyBorder="1" applyAlignment="1">
      <alignment vertical="center" wrapText="1"/>
    </xf>
    <xf numFmtId="165" fontId="67" fillId="9" borderId="1" xfId="8" applyNumberFormat="1" applyFont="1" applyFill="1" applyBorder="1" applyAlignment="1">
      <alignment vertical="center" wrapText="1"/>
    </xf>
    <xf numFmtId="165" fontId="67" fillId="0" borderId="0" xfId="8" applyNumberFormat="1" applyFont="1" applyFill="1" applyBorder="1" applyAlignment="1">
      <alignment vertical="center" wrapText="1"/>
    </xf>
    <xf numFmtId="165" fontId="67" fillId="18" borderId="1" xfId="8" applyNumberFormat="1" applyFont="1" applyFill="1" applyBorder="1" applyAlignment="1">
      <alignment horizontal="right" vertical="center" indent="1"/>
    </xf>
    <xf numFmtId="165" fontId="67" fillId="3" borderId="1" xfId="8" applyNumberFormat="1" applyFont="1" applyFill="1" applyBorder="1" applyAlignment="1">
      <alignment horizontal="right" vertical="center" indent="1"/>
    </xf>
    <xf numFmtId="165" fontId="67" fillId="0" borderId="3" xfId="8" applyNumberFormat="1" applyFont="1" applyBorder="1" applyAlignment="1">
      <alignment horizontal="right" vertical="center" indent="1"/>
    </xf>
    <xf numFmtId="3" fontId="67" fillId="0" borderId="49" xfId="0" applyNumberFormat="1" applyFont="1" applyBorder="1" applyAlignment="1">
      <alignment vertical="center"/>
    </xf>
    <xf numFmtId="3" fontId="67" fillId="0" borderId="0" xfId="0" applyNumberFormat="1" applyFont="1" applyAlignment="1">
      <alignment vertical="center"/>
    </xf>
    <xf numFmtId="166" fontId="67" fillId="0" borderId="0" xfId="0" applyNumberFormat="1" applyFont="1" applyAlignment="1">
      <alignment horizontal="center" vertical="center"/>
    </xf>
    <xf numFmtId="165" fontId="67" fillId="0" borderId="1" xfId="8" applyNumberFormat="1" applyFont="1" applyFill="1" applyBorder="1" applyAlignment="1">
      <alignment vertical="center"/>
    </xf>
    <xf numFmtId="165" fontId="67" fillId="0" borderId="0" xfId="8" applyNumberFormat="1" applyFont="1" applyBorder="1" applyAlignment="1">
      <alignment vertical="center"/>
    </xf>
    <xf numFmtId="3" fontId="67" fillId="0" borderId="1" xfId="0" applyNumberFormat="1" applyFont="1" applyBorder="1" applyAlignment="1">
      <alignment horizontal="center" vertical="center"/>
    </xf>
    <xf numFmtId="3" fontId="67" fillId="12" borderId="1" xfId="0" applyNumberFormat="1" applyFont="1" applyFill="1" applyBorder="1" applyAlignment="1">
      <alignment horizontal="center" vertical="center"/>
    </xf>
    <xf numFmtId="165" fontId="67" fillId="15" borderId="1" xfId="8" applyNumberFormat="1" applyFont="1" applyFill="1" applyBorder="1" applyAlignment="1">
      <alignment horizontal="center" vertical="center"/>
    </xf>
    <xf numFmtId="1" fontId="67" fillId="15" borderId="1" xfId="0" applyNumberFormat="1" applyFont="1" applyFill="1" applyBorder="1" applyAlignment="1">
      <alignment horizontal="center" vertical="center"/>
    </xf>
    <xf numFmtId="1" fontId="67" fillId="0" borderId="0" xfId="0" applyNumberFormat="1" applyFont="1" applyAlignment="1">
      <alignment vertical="center"/>
    </xf>
    <xf numFmtId="165" fontId="67" fillId="13" borderId="1" xfId="8" applyNumberFormat="1" applyFont="1" applyFill="1" applyBorder="1" applyAlignment="1">
      <alignment horizontal="right" vertical="center"/>
    </xf>
    <xf numFmtId="165" fontId="67" fillId="13" borderId="1" xfId="8" applyNumberFormat="1" applyFont="1" applyFill="1" applyBorder="1" applyAlignment="1">
      <alignment vertical="center"/>
    </xf>
    <xf numFmtId="165" fontId="67" fillId="3" borderId="1" xfId="8" applyNumberFormat="1" applyFont="1" applyFill="1" applyBorder="1" applyAlignment="1">
      <alignment vertical="center"/>
    </xf>
    <xf numFmtId="165" fontId="67" fillId="3" borderId="1" xfId="0" applyNumberFormat="1" applyFont="1" applyFill="1" applyBorder="1" applyAlignment="1">
      <alignment vertical="center"/>
    </xf>
    <xf numFmtId="0" fontId="67" fillId="0" borderId="0" xfId="0" applyFont="1" applyAlignment="1">
      <alignment vertical="center"/>
    </xf>
    <xf numFmtId="165" fontId="67" fillId="14" borderId="1" xfId="8" applyNumberFormat="1" applyFont="1" applyFill="1" applyBorder="1" applyAlignment="1">
      <alignment vertical="center"/>
    </xf>
    <xf numFmtId="165" fontId="67" fillId="14" borderId="1" xfId="0" applyNumberFormat="1" applyFont="1" applyFill="1" applyBorder="1" applyAlignment="1">
      <alignment vertical="center"/>
    </xf>
    <xf numFmtId="171" fontId="4" fillId="0" borderId="1" xfId="8" applyNumberFormat="1" applyFont="1" applyFill="1" applyBorder="1" applyAlignment="1">
      <alignment vertical="center"/>
    </xf>
    <xf numFmtId="3" fontId="68" fillId="0" borderId="3" xfId="0" applyNumberFormat="1" applyFont="1" applyBorder="1" applyAlignment="1">
      <alignment vertical="center"/>
    </xf>
    <xf numFmtId="166" fontId="68" fillId="0" borderId="0" xfId="0" applyNumberFormat="1" applyFont="1" applyAlignment="1">
      <alignment horizontal="center" vertical="center"/>
    </xf>
    <xf numFmtId="171" fontId="4" fillId="0" borderId="11" xfId="8" applyNumberFormat="1" applyFont="1" applyFill="1" applyBorder="1" applyAlignment="1">
      <alignment vertical="center"/>
    </xf>
    <xf numFmtId="171" fontId="4" fillId="0" borderId="12" xfId="8" applyNumberFormat="1" applyFont="1" applyFill="1" applyBorder="1" applyAlignment="1">
      <alignment vertical="center"/>
    </xf>
    <xf numFmtId="171" fontId="4" fillId="7" borderId="12" xfId="8" applyNumberFormat="1" applyFont="1" applyFill="1" applyBorder="1" applyAlignment="1">
      <alignment horizontal="center" vertical="center"/>
    </xf>
    <xf numFmtId="3" fontId="67" fillId="9" borderId="13" xfId="0" applyNumberFormat="1" applyFont="1" applyFill="1" applyBorder="1" applyAlignment="1">
      <alignment vertical="center"/>
    </xf>
    <xf numFmtId="171" fontId="4" fillId="0" borderId="55" xfId="8" applyNumberFormat="1" applyFont="1" applyFill="1" applyBorder="1" applyAlignment="1">
      <alignment vertical="center"/>
    </xf>
    <xf numFmtId="171" fontId="4" fillId="0" borderId="38" xfId="8" applyNumberFormat="1" applyFont="1" applyFill="1" applyBorder="1" applyAlignment="1">
      <alignment vertical="center"/>
    </xf>
    <xf numFmtId="171" fontId="4" fillId="0" borderId="14" xfId="8" applyNumberFormat="1" applyFont="1" applyFill="1" applyBorder="1" applyAlignment="1">
      <alignment vertical="center"/>
    </xf>
    <xf numFmtId="171" fontId="4" fillId="7" borderId="14" xfId="8" applyNumberFormat="1" applyFont="1" applyFill="1" applyBorder="1" applyAlignment="1">
      <alignment horizontal="center" vertical="center"/>
    </xf>
    <xf numFmtId="0" fontId="59" fillId="0" borderId="0" xfId="0" applyFont="1"/>
    <xf numFmtId="165" fontId="53" fillId="0" borderId="0" xfId="8" applyNumberFormat="1" applyFont="1"/>
    <xf numFmtId="171" fontId="4" fillId="7" borderId="77" xfId="8" applyNumberFormat="1" applyFont="1" applyFill="1" applyBorder="1" applyAlignment="1">
      <alignment horizontal="center" vertical="center"/>
    </xf>
    <xf numFmtId="0" fontId="4" fillId="13" borderId="8" xfId="0" applyFont="1" applyFill="1" applyBorder="1" applyAlignment="1">
      <alignment vertical="center"/>
    </xf>
    <xf numFmtId="0" fontId="58" fillId="2" borderId="71" xfId="0" applyFont="1" applyFill="1" applyBorder="1"/>
    <xf numFmtId="0" fontId="58" fillId="2" borderId="72" xfId="0" applyFont="1" applyFill="1" applyBorder="1"/>
    <xf numFmtId="0" fontId="58" fillId="2" borderId="72" xfId="0" applyFont="1" applyFill="1" applyBorder="1" applyAlignment="1">
      <alignment horizontal="center"/>
    </xf>
    <xf numFmtId="0" fontId="53" fillId="0" borderId="0" xfId="0" applyFont="1" applyAlignment="1">
      <alignment horizontal="center"/>
    </xf>
    <xf numFmtId="0" fontId="53" fillId="13" borderId="67" xfId="0" applyFont="1" applyFill="1" applyBorder="1" applyAlignment="1">
      <alignment horizontal="center" vertical="center"/>
    </xf>
    <xf numFmtId="165" fontId="59" fillId="0" borderId="0" xfId="8" applyNumberFormat="1" applyFont="1" applyAlignment="1">
      <alignment vertical="center" wrapText="1"/>
    </xf>
    <xf numFmtId="0" fontId="59" fillId="0" borderId="0" xfId="0" applyFont="1" applyAlignment="1">
      <alignment vertical="center" wrapText="1"/>
    </xf>
    <xf numFmtId="165" fontId="59" fillId="0" borderId="0" xfId="8" applyNumberFormat="1" applyFont="1" applyAlignment="1">
      <alignment horizontal="center" vertical="center"/>
    </xf>
    <xf numFmtId="0" fontId="59" fillId="0" borderId="0" xfId="0" applyFont="1" applyAlignment="1">
      <alignment vertical="center"/>
    </xf>
    <xf numFmtId="0" fontId="70" fillId="6" borderId="0" xfId="0" applyFont="1" applyFill="1"/>
    <xf numFmtId="43" fontId="61" fillId="2" borderId="56" xfId="8" applyFont="1" applyFill="1" applyBorder="1" applyAlignment="1">
      <alignment horizontal="center"/>
    </xf>
    <xf numFmtId="169" fontId="61" fillId="2" borderId="49" xfId="8" applyNumberFormat="1" applyFont="1" applyFill="1" applyBorder="1"/>
    <xf numFmtId="169" fontId="62" fillId="2" borderId="56" xfId="8" applyNumberFormat="1" applyFont="1" applyFill="1" applyBorder="1"/>
    <xf numFmtId="169" fontId="63" fillId="2" borderId="79" xfId="8" applyNumberFormat="1" applyFont="1" applyFill="1" applyBorder="1"/>
    <xf numFmtId="165" fontId="61" fillId="2" borderId="0" xfId="8" applyNumberFormat="1" applyFont="1" applyFill="1" applyBorder="1"/>
    <xf numFmtId="165" fontId="61" fillId="2" borderId="56" xfId="0" applyNumberFormat="1" applyFont="1" applyFill="1" applyBorder="1"/>
    <xf numFmtId="165" fontId="61" fillId="2" borderId="5" xfId="8" applyNumberFormat="1" applyFont="1" applyFill="1" applyBorder="1"/>
    <xf numFmtId="0" fontId="61" fillId="2" borderId="45" xfId="0" applyFont="1" applyFill="1" applyBorder="1" applyAlignment="1">
      <alignment horizontal="center"/>
    </xf>
    <xf numFmtId="0" fontId="61" fillId="2" borderId="47" xfId="0" applyFont="1" applyFill="1" applyBorder="1" applyAlignment="1">
      <alignment horizontal="center"/>
    </xf>
    <xf numFmtId="0" fontId="59" fillId="9" borderId="24" xfId="0" applyFont="1" applyFill="1" applyBorder="1" applyAlignment="1">
      <alignment horizontal="center" vertical="center" wrapText="1"/>
    </xf>
    <xf numFmtId="0" fontId="68" fillId="17" borderId="4" xfId="0" applyFont="1" applyFill="1" applyBorder="1" applyAlignment="1">
      <alignment horizontal="center" vertical="center"/>
    </xf>
    <xf numFmtId="9" fontId="67" fillId="0" borderId="4" xfId="0" applyNumberFormat="1" applyFont="1" applyBorder="1" applyAlignment="1">
      <alignment horizontal="center" vertical="center"/>
    </xf>
    <xf numFmtId="165" fontId="67" fillId="3" borderId="4" xfId="8" applyNumberFormat="1" applyFont="1" applyFill="1" applyBorder="1" applyAlignment="1">
      <alignment vertical="center" wrapText="1"/>
    </xf>
    <xf numFmtId="165" fontId="68" fillId="9" borderId="4" xfId="8" applyNumberFormat="1" applyFont="1" applyFill="1" applyBorder="1" applyAlignment="1">
      <alignment vertical="center" wrapText="1"/>
    </xf>
    <xf numFmtId="171" fontId="4" fillId="7" borderId="4" xfId="8" applyNumberFormat="1" applyFont="1" applyFill="1" applyBorder="1" applyAlignment="1">
      <alignment horizontal="center" vertical="center"/>
    </xf>
    <xf numFmtId="3" fontId="4" fillId="0" borderId="0" xfId="0" applyNumberFormat="1" applyFont="1" applyAlignment="1">
      <alignment horizontal="center"/>
    </xf>
    <xf numFmtId="3" fontId="67" fillId="7" borderId="7" xfId="0" applyNumberFormat="1" applyFont="1" applyFill="1" applyBorder="1" applyAlignment="1">
      <alignment horizontal="center" vertical="center"/>
    </xf>
    <xf numFmtId="3" fontId="67" fillId="7" borderId="1" xfId="0" applyNumberFormat="1" applyFont="1" applyFill="1" applyBorder="1" applyAlignment="1">
      <alignment horizontal="center" vertical="center"/>
    </xf>
    <xf numFmtId="165" fontId="67" fillId="7" borderId="1" xfId="8" applyNumberFormat="1" applyFont="1" applyFill="1" applyBorder="1" applyAlignment="1">
      <alignment horizontal="center" vertical="center"/>
    </xf>
    <xf numFmtId="165" fontId="68" fillId="7" borderId="1" xfId="8" applyNumberFormat="1" applyFont="1" applyFill="1" applyBorder="1" applyAlignment="1">
      <alignment horizontal="center" vertical="center"/>
    </xf>
    <xf numFmtId="43" fontId="68" fillId="0" borderId="10" xfId="8" applyFont="1" applyFill="1" applyBorder="1" applyAlignment="1">
      <alignment horizontal="center" vertical="center"/>
    </xf>
    <xf numFmtId="165" fontId="4" fillId="13" borderId="67" xfId="0" applyNumberFormat="1" applyFont="1" applyFill="1" applyBorder="1" applyAlignment="1">
      <alignment horizontal="center" vertical="center"/>
    </xf>
    <xf numFmtId="165" fontId="54" fillId="0" borderId="0" xfId="0" applyNumberFormat="1" applyFont="1" applyAlignment="1">
      <alignment horizontal="center" vertical="center"/>
    </xf>
    <xf numFmtId="0" fontId="59" fillId="0" borderId="1" xfId="0" applyFont="1" applyBorder="1" applyAlignment="1">
      <alignment horizontal="center" vertical="center"/>
    </xf>
    <xf numFmtId="3" fontId="67" fillId="0" borderId="3" xfId="0" applyNumberFormat="1" applyFont="1" applyBorder="1" applyAlignment="1">
      <alignment vertical="center"/>
    </xf>
    <xf numFmtId="43" fontId="67" fillId="0" borderId="10" xfId="8" applyFont="1" applyFill="1" applyBorder="1" applyAlignment="1">
      <alignment horizontal="center" vertical="center"/>
    </xf>
    <xf numFmtId="0" fontId="59" fillId="0" borderId="1" xfId="0" applyFont="1" applyBorder="1" applyAlignment="1">
      <alignment horizontal="center"/>
    </xf>
    <xf numFmtId="0" fontId="59" fillId="2" borderId="0" xfId="0" applyFont="1" applyFill="1" applyAlignment="1">
      <alignment vertical="center" wrapText="1"/>
    </xf>
    <xf numFmtId="0" fontId="59" fillId="0" borderId="6" xfId="0" applyFont="1" applyBorder="1" applyAlignment="1">
      <alignment vertical="center"/>
    </xf>
    <xf numFmtId="165" fontId="59" fillId="15" borderId="1" xfId="0" applyNumberFormat="1" applyFont="1" applyFill="1" applyBorder="1" applyAlignment="1">
      <alignment horizontal="center" vertical="center"/>
    </xf>
    <xf numFmtId="1" fontId="59" fillId="15" borderId="1" xfId="0" applyNumberFormat="1" applyFont="1" applyFill="1" applyBorder="1" applyAlignment="1">
      <alignment horizontal="center" vertical="center"/>
    </xf>
    <xf numFmtId="165" fontId="59" fillId="13" borderId="3" xfId="0" applyNumberFormat="1" applyFont="1" applyFill="1" applyBorder="1" applyAlignment="1">
      <alignment horizontal="right" vertical="center"/>
    </xf>
    <xf numFmtId="165" fontId="59" fillId="13" borderId="3" xfId="0" applyNumberFormat="1" applyFont="1" applyFill="1" applyBorder="1" applyAlignment="1">
      <alignment vertical="center"/>
    </xf>
    <xf numFmtId="165" fontId="59" fillId="3" borderId="1" xfId="0" applyNumberFormat="1" applyFont="1" applyFill="1" applyBorder="1" applyAlignment="1">
      <alignment vertical="center"/>
    </xf>
    <xf numFmtId="165" fontId="59" fillId="14" borderId="1" xfId="0" applyNumberFormat="1" applyFont="1" applyFill="1" applyBorder="1" applyAlignment="1">
      <alignment vertical="center"/>
    </xf>
    <xf numFmtId="3" fontId="59" fillId="2" borderId="0" xfId="0" applyNumberFormat="1" applyFont="1" applyFill="1" applyAlignment="1">
      <alignment horizontal="center" vertical="center"/>
    </xf>
    <xf numFmtId="165" fontId="67" fillId="9" borderId="4" xfId="8" applyNumberFormat="1" applyFont="1" applyFill="1" applyBorder="1" applyAlignment="1">
      <alignment vertical="center" wrapText="1"/>
    </xf>
    <xf numFmtId="0" fontId="58" fillId="2" borderId="45" xfId="0" applyFont="1" applyFill="1" applyBorder="1" applyAlignment="1">
      <alignment horizontal="center"/>
    </xf>
    <xf numFmtId="0" fontId="58" fillId="2" borderId="47" xfId="0" applyFont="1" applyFill="1" applyBorder="1" applyAlignment="1">
      <alignment horizontal="center"/>
    </xf>
    <xf numFmtId="165" fontId="59" fillId="20" borderId="1" xfId="0" applyNumberFormat="1" applyFont="1" applyFill="1" applyBorder="1" applyAlignment="1">
      <alignment vertical="center" wrapText="1"/>
    </xf>
    <xf numFmtId="3" fontId="67" fillId="0" borderId="4" xfId="0" applyNumberFormat="1" applyFont="1" applyBorder="1" applyAlignment="1">
      <alignment horizontal="center" vertical="center"/>
    </xf>
    <xf numFmtId="3" fontId="67" fillId="12" borderId="4" xfId="0" applyNumberFormat="1" applyFont="1" applyFill="1" applyBorder="1" applyAlignment="1">
      <alignment horizontal="center" vertical="center"/>
    </xf>
    <xf numFmtId="0" fontId="61" fillId="0" borderId="0" xfId="0" applyFont="1"/>
    <xf numFmtId="166" fontId="67" fillId="0" borderId="5" xfId="0" applyNumberFormat="1" applyFont="1" applyBorder="1" applyAlignment="1">
      <alignment horizontal="center" vertical="center"/>
    </xf>
    <xf numFmtId="165" fontId="67" fillId="0" borderId="3" xfId="8" applyNumberFormat="1" applyFont="1" applyBorder="1" applyAlignment="1">
      <alignment vertical="center"/>
    </xf>
    <xf numFmtId="165" fontId="67" fillId="0" borderId="49" xfId="8" applyNumberFormat="1" applyFont="1" applyBorder="1" applyAlignment="1">
      <alignment vertical="center"/>
    </xf>
    <xf numFmtId="3" fontId="67" fillId="0" borderId="5" xfId="0" applyNumberFormat="1" applyFont="1" applyBorder="1" applyAlignment="1">
      <alignment vertical="center"/>
    </xf>
    <xf numFmtId="3" fontId="67" fillId="7" borderId="4" xfId="0" applyNumberFormat="1" applyFont="1" applyFill="1" applyBorder="1" applyAlignment="1">
      <alignment horizontal="center" vertical="center"/>
    </xf>
    <xf numFmtId="165" fontId="67" fillId="7" borderId="4" xfId="8" applyNumberFormat="1" applyFont="1" applyFill="1" applyBorder="1" applyAlignment="1">
      <alignment horizontal="center" vertical="center"/>
    </xf>
    <xf numFmtId="14" fontId="67" fillId="10" borderId="78" xfId="0" applyNumberFormat="1" applyFont="1" applyFill="1" applyBorder="1" applyAlignment="1">
      <alignment horizontal="center" vertical="center"/>
    </xf>
    <xf numFmtId="43" fontId="67" fillId="0" borderId="78" xfId="8" applyFont="1" applyFill="1" applyBorder="1" applyAlignment="1">
      <alignment horizontal="center" vertical="center"/>
    </xf>
    <xf numFmtId="165" fontId="68" fillId="0" borderId="0" xfId="8" applyNumberFormat="1" applyFont="1" applyBorder="1" applyAlignment="1">
      <alignment vertical="center"/>
    </xf>
    <xf numFmtId="165" fontId="67" fillId="16" borderId="4" xfId="8" applyNumberFormat="1" applyFont="1" applyFill="1" applyBorder="1" applyAlignment="1">
      <alignment horizontal="center" vertical="center"/>
    </xf>
    <xf numFmtId="0" fontId="67" fillId="0" borderId="4" xfId="0" applyFont="1" applyBorder="1" applyAlignment="1">
      <alignment horizontal="center" vertical="center"/>
    </xf>
    <xf numFmtId="12" fontId="77" fillId="3" borderId="51" xfId="0" applyNumberFormat="1" applyFont="1" applyFill="1" applyBorder="1" applyAlignment="1">
      <alignment horizontal="center" vertical="center" wrapText="1"/>
    </xf>
    <xf numFmtId="0" fontId="77" fillId="3" borderId="16" xfId="0" applyFont="1" applyFill="1" applyBorder="1" applyAlignment="1">
      <alignment horizontal="center" vertical="center" wrapText="1"/>
    </xf>
    <xf numFmtId="0" fontId="77" fillId="3" borderId="74" xfId="0" applyFont="1" applyFill="1" applyBorder="1" applyAlignment="1">
      <alignment horizontal="center" vertical="center" wrapText="1"/>
    </xf>
    <xf numFmtId="0" fontId="77" fillId="3" borderId="75" xfId="0" applyFont="1" applyFill="1" applyBorder="1" applyAlignment="1">
      <alignment horizontal="center" vertical="center" wrapText="1"/>
    </xf>
    <xf numFmtId="0" fontId="77" fillId="17" borderId="74" xfId="0" applyFont="1" applyFill="1" applyBorder="1" applyAlignment="1">
      <alignment horizontal="center" vertical="center" wrapText="1"/>
    </xf>
    <xf numFmtId="0" fontId="77" fillId="10" borderId="80" xfId="0" applyFont="1" applyFill="1" applyBorder="1" applyAlignment="1">
      <alignment horizontal="center" vertical="center" wrapText="1"/>
    </xf>
    <xf numFmtId="0" fontId="77" fillId="0" borderId="75" xfId="0" applyFont="1" applyBorder="1" applyAlignment="1">
      <alignment horizontal="center" vertical="center" wrapText="1"/>
    </xf>
    <xf numFmtId="0" fontId="77" fillId="0" borderId="65" xfId="0" applyFont="1" applyBorder="1" applyAlignment="1">
      <alignment horizontal="center" vertical="center" wrapText="1"/>
    </xf>
    <xf numFmtId="0" fontId="77" fillId="3" borderId="76" xfId="0" applyFont="1" applyFill="1" applyBorder="1" applyAlignment="1">
      <alignment horizontal="center" vertical="center" wrapText="1"/>
    </xf>
    <xf numFmtId="0" fontId="77" fillId="2" borderId="65" xfId="0" applyFont="1" applyFill="1" applyBorder="1" applyAlignment="1">
      <alignment horizontal="center" vertical="center" wrapText="1"/>
    </xf>
    <xf numFmtId="0" fontId="77" fillId="9" borderId="74" xfId="0" applyFont="1" applyFill="1" applyBorder="1" applyAlignment="1">
      <alignment horizontal="center" vertical="center" wrapText="1"/>
    </xf>
    <xf numFmtId="0" fontId="77" fillId="9" borderId="81" xfId="0" applyFont="1" applyFill="1" applyBorder="1" applyAlignment="1">
      <alignment horizontal="center" vertical="center" wrapText="1"/>
    </xf>
    <xf numFmtId="0" fontId="77" fillId="9" borderId="75" xfId="0" applyFont="1" applyFill="1" applyBorder="1" applyAlignment="1">
      <alignment horizontal="center" vertical="center" wrapText="1"/>
    </xf>
    <xf numFmtId="0" fontId="77" fillId="9" borderId="80" xfId="0" applyFont="1" applyFill="1" applyBorder="1" applyAlignment="1">
      <alignment horizontal="center" vertical="center" wrapText="1"/>
    </xf>
    <xf numFmtId="0" fontId="77" fillId="9" borderId="76" xfId="0" applyFont="1" applyFill="1" applyBorder="1" applyAlignment="1">
      <alignment horizontal="center" vertical="center" wrapText="1"/>
    </xf>
    <xf numFmtId="0" fontId="77" fillId="0" borderId="0" xfId="0" applyFont="1" applyAlignment="1">
      <alignment horizontal="center" vertical="center" wrapText="1"/>
    </xf>
    <xf numFmtId="0" fontId="77" fillId="3" borderId="73" xfId="0" applyFont="1" applyFill="1" applyBorder="1" applyAlignment="1">
      <alignment horizontal="center" vertical="center" wrapText="1"/>
    </xf>
    <xf numFmtId="0" fontId="77" fillId="9" borderId="16" xfId="0" applyFont="1" applyFill="1" applyBorder="1" applyAlignment="1">
      <alignment horizontal="center" vertical="center" wrapText="1"/>
    </xf>
    <xf numFmtId="0" fontId="77" fillId="0" borderId="52" xfId="0" applyFont="1" applyBorder="1" applyAlignment="1">
      <alignment horizontal="center" vertical="center" wrapText="1"/>
    </xf>
    <xf numFmtId="0" fontId="77" fillId="7" borderId="64" xfId="0" applyFont="1" applyFill="1" applyBorder="1" applyAlignment="1">
      <alignment horizontal="center" vertical="center" wrapText="1"/>
    </xf>
    <xf numFmtId="0" fontId="77" fillId="7" borderId="75" xfId="0" applyFont="1" applyFill="1" applyBorder="1" applyAlignment="1">
      <alignment horizontal="center" vertical="center" wrapText="1"/>
    </xf>
    <xf numFmtId="0" fontId="77" fillId="7" borderId="80" xfId="0" applyFont="1" applyFill="1" applyBorder="1" applyAlignment="1">
      <alignment horizontal="center" vertical="center" wrapText="1"/>
    </xf>
    <xf numFmtId="0" fontId="77" fillId="7" borderId="76" xfId="0" applyFont="1" applyFill="1" applyBorder="1" applyAlignment="1">
      <alignment horizontal="center" vertical="center" wrapText="1"/>
    </xf>
    <xf numFmtId="0" fontId="77" fillId="0" borderId="16" xfId="0" applyFont="1" applyBorder="1" applyAlignment="1">
      <alignment horizontal="center" vertical="center" wrapText="1"/>
    </xf>
    <xf numFmtId="0" fontId="77" fillId="7" borderId="16" xfId="0" applyFont="1" applyFill="1" applyBorder="1" applyAlignment="1">
      <alignment horizontal="center" vertical="center" wrapText="1"/>
    </xf>
    <xf numFmtId="0" fontId="77" fillId="10" borderId="16" xfId="0" applyFont="1" applyFill="1" applyBorder="1" applyAlignment="1">
      <alignment horizontal="center" vertical="center" wrapText="1"/>
    </xf>
    <xf numFmtId="0" fontId="77" fillId="0" borderId="71" xfId="0" applyFont="1" applyBorder="1" applyAlignment="1">
      <alignment horizontal="center" vertical="center" wrapText="1"/>
    </xf>
    <xf numFmtId="0" fontId="77" fillId="0" borderId="47" xfId="0" applyFont="1" applyBorder="1" applyAlignment="1">
      <alignment horizontal="center" vertical="center" wrapText="1"/>
    </xf>
    <xf numFmtId="0" fontId="77" fillId="9" borderId="62" xfId="0" applyFont="1" applyFill="1" applyBorder="1" applyAlignment="1">
      <alignment horizontal="center" vertical="center" wrapText="1"/>
    </xf>
    <xf numFmtId="0" fontId="77" fillId="9" borderId="54" xfId="0" applyFont="1" applyFill="1" applyBorder="1" applyAlignment="1">
      <alignment horizontal="center" vertical="center" wrapText="1"/>
    </xf>
    <xf numFmtId="0" fontId="77" fillId="0" borderId="74" xfId="0" applyFont="1" applyBorder="1" applyAlignment="1">
      <alignment horizontal="center" vertical="center" wrapText="1"/>
    </xf>
    <xf numFmtId="0" fontId="77" fillId="0" borderId="80" xfId="0" applyFont="1" applyBorder="1" applyAlignment="1">
      <alignment horizontal="center" vertical="center" wrapText="1"/>
    </xf>
    <xf numFmtId="0" fontId="77" fillId="0" borderId="76" xfId="0" applyFont="1" applyBorder="1" applyAlignment="1">
      <alignment horizontal="center" vertical="center" wrapText="1"/>
    </xf>
    <xf numFmtId="0" fontId="77" fillId="16" borderId="16" xfId="0" applyFont="1" applyFill="1" applyBorder="1" applyAlignment="1">
      <alignment horizontal="center" vertical="center" wrapText="1"/>
    </xf>
    <xf numFmtId="0" fontId="77" fillId="12" borderId="74" xfId="0" applyFont="1" applyFill="1" applyBorder="1" applyAlignment="1">
      <alignment horizontal="center" vertical="center" wrapText="1"/>
    </xf>
    <xf numFmtId="0" fontId="77" fillId="12" borderId="76" xfId="0" applyFont="1" applyFill="1" applyBorder="1" applyAlignment="1">
      <alignment horizontal="center" vertical="center" wrapText="1"/>
    </xf>
    <xf numFmtId="0" fontId="77" fillId="0" borderId="5" xfId="0" applyFont="1" applyBorder="1" applyAlignment="1">
      <alignment horizontal="center" vertical="center" wrapText="1"/>
    </xf>
    <xf numFmtId="0" fontId="77" fillId="15" borderId="64" xfId="0" applyFont="1" applyFill="1" applyBorder="1" applyAlignment="1">
      <alignment horizontal="center" vertical="center" wrapText="1"/>
    </xf>
    <xf numFmtId="0" fontId="77" fillId="15" borderId="76" xfId="0" applyFont="1" applyFill="1" applyBorder="1" applyAlignment="1">
      <alignment horizontal="center" vertical="center" wrapText="1"/>
    </xf>
    <xf numFmtId="0" fontId="77" fillId="13" borderId="74" xfId="0" applyFont="1" applyFill="1" applyBorder="1" applyAlignment="1">
      <alignment horizontal="center" vertical="center" wrapText="1"/>
    </xf>
    <xf numFmtId="0" fontId="77" fillId="13" borderId="76" xfId="0" applyFont="1" applyFill="1" applyBorder="1" applyAlignment="1">
      <alignment horizontal="center" vertical="center" wrapText="1"/>
    </xf>
    <xf numFmtId="0" fontId="77" fillId="14" borderId="74" xfId="0" applyFont="1" applyFill="1" applyBorder="1" applyAlignment="1">
      <alignment horizontal="center" vertical="center" wrapText="1"/>
    </xf>
    <xf numFmtId="0" fontId="77" fillId="14" borderId="76" xfId="0" applyFont="1" applyFill="1" applyBorder="1" applyAlignment="1">
      <alignment horizontal="center" vertical="center" wrapText="1"/>
    </xf>
    <xf numFmtId="0" fontId="77" fillId="19" borderId="60" xfId="0" applyFont="1" applyFill="1" applyBorder="1" applyAlignment="1">
      <alignment horizontal="center" vertical="center" wrapText="1"/>
    </xf>
    <xf numFmtId="0" fontId="77" fillId="19" borderId="51" xfId="0" applyFont="1" applyFill="1" applyBorder="1" applyAlignment="1">
      <alignment horizontal="center" vertical="center" wrapText="1"/>
    </xf>
    <xf numFmtId="3" fontId="59" fillId="20" borderId="73" xfId="0" applyNumberFormat="1" applyFont="1" applyFill="1" applyBorder="1" applyAlignment="1">
      <alignment horizontal="center" vertical="center"/>
    </xf>
    <xf numFmtId="0" fontId="61" fillId="2" borderId="52" xfId="0" applyFont="1" applyFill="1" applyBorder="1" applyAlignment="1">
      <alignment horizontal="left"/>
    </xf>
    <xf numFmtId="0" fontId="76" fillId="0" borderId="4" xfId="0" applyFont="1" applyBorder="1" applyAlignment="1">
      <alignment horizontal="left" vertical="center" wrapText="1"/>
    </xf>
    <xf numFmtId="0" fontId="81" fillId="3" borderId="0" xfId="0" applyFont="1" applyFill="1" applyAlignment="1">
      <alignment horizontal="center" vertical="center"/>
    </xf>
    <xf numFmtId="0" fontId="77" fillId="0" borderId="0" xfId="0" applyFont="1"/>
    <xf numFmtId="0" fontId="77" fillId="0" borderId="0" xfId="0" applyFont="1" applyAlignment="1">
      <alignment vertical="center"/>
    </xf>
    <xf numFmtId="2" fontId="84" fillId="0" borderId="4" xfId="0" applyNumberFormat="1" applyFont="1" applyBorder="1" applyAlignment="1">
      <alignment horizontal="center" vertical="center" wrapText="1"/>
    </xf>
    <xf numFmtId="165" fontId="77" fillId="0" borderId="0" xfId="8" applyNumberFormat="1" applyFont="1" applyAlignment="1">
      <alignment vertical="center" wrapText="1"/>
    </xf>
    <xf numFmtId="165" fontId="82" fillId="13" borderId="67" xfId="0" applyNumberFormat="1" applyFont="1" applyFill="1" applyBorder="1" applyAlignment="1">
      <alignment vertical="center"/>
    </xf>
    <xf numFmtId="0" fontId="77" fillId="0" borderId="0" xfId="0" applyFont="1" applyAlignment="1">
      <alignment vertical="center" wrapText="1"/>
    </xf>
    <xf numFmtId="43" fontId="77" fillId="0" borderId="0" xfId="8" applyFont="1" applyAlignment="1">
      <alignment horizontal="right"/>
    </xf>
    <xf numFmtId="165" fontId="77" fillId="0" borderId="0" xfId="8" applyNumberFormat="1" applyFont="1" applyAlignment="1">
      <alignment horizontal="right"/>
    </xf>
    <xf numFmtId="0" fontId="85" fillId="3" borderId="0" xfId="0" applyFont="1" applyFill="1" applyAlignment="1">
      <alignment horizontal="center" vertical="center"/>
    </xf>
    <xf numFmtId="0" fontId="80" fillId="0" borderId="0" xfId="0" applyFont="1" applyAlignment="1">
      <alignment horizontal="center"/>
    </xf>
    <xf numFmtId="0" fontId="80" fillId="13" borderId="67" xfId="0" applyFont="1" applyFill="1" applyBorder="1" applyAlignment="1">
      <alignment horizontal="center" vertical="center"/>
    </xf>
    <xf numFmtId="0" fontId="80" fillId="0" borderId="0" xfId="0" applyFont="1"/>
    <xf numFmtId="0" fontId="86" fillId="0" borderId="4" xfId="0" applyFont="1" applyBorder="1" applyAlignment="1">
      <alignment horizontal="center" vertical="center" wrapText="1"/>
    </xf>
    <xf numFmtId="165" fontId="80" fillId="0" borderId="0" xfId="8" applyNumberFormat="1" applyFont="1" applyFill="1" applyAlignment="1">
      <alignment vertical="center" wrapText="1"/>
    </xf>
    <xf numFmtId="0" fontId="80" fillId="13" borderId="67" xfId="0" applyFont="1" applyFill="1" applyBorder="1" applyAlignment="1">
      <alignment vertical="center"/>
    </xf>
    <xf numFmtId="0" fontId="80" fillId="0" borderId="0" xfId="0" applyFont="1" applyAlignment="1">
      <alignment vertical="center" wrapText="1"/>
    </xf>
    <xf numFmtId="0" fontId="86" fillId="0" borderId="0" xfId="0" applyFont="1" applyAlignment="1">
      <alignment horizontal="right"/>
    </xf>
    <xf numFmtId="0" fontId="86" fillId="0" borderId="1" xfId="0" applyFont="1" applyBorder="1" applyAlignment="1">
      <alignment horizontal="center" vertical="center" wrapText="1"/>
    </xf>
    <xf numFmtId="0" fontId="77" fillId="0" borderId="0" xfId="0" applyFont="1" applyAlignment="1">
      <alignment horizontal="right"/>
    </xf>
    <xf numFmtId="0" fontId="77" fillId="0" borderId="72" xfId="0" applyFont="1" applyBorder="1" applyAlignment="1">
      <alignment horizontal="center" vertical="center" wrapText="1"/>
    </xf>
    <xf numFmtId="166" fontId="87" fillId="10" borderId="4" xfId="0" applyNumberFormat="1" applyFont="1" applyFill="1" applyBorder="1" applyAlignment="1">
      <alignment horizontal="center" vertical="center"/>
    </xf>
    <xf numFmtId="165" fontId="86" fillId="0" borderId="0" xfId="8" applyNumberFormat="1" applyFont="1" applyAlignment="1">
      <alignment horizontal="center" vertical="center"/>
    </xf>
    <xf numFmtId="0" fontId="86" fillId="0" borderId="0" xfId="0" applyFont="1" applyAlignment="1">
      <alignment horizontal="center" vertical="center"/>
    </xf>
    <xf numFmtId="0" fontId="59" fillId="3" borderId="74" xfId="0" applyFont="1" applyFill="1" applyBorder="1" applyAlignment="1">
      <alignment horizontal="center" vertical="center" wrapText="1"/>
    </xf>
    <xf numFmtId="0" fontId="58" fillId="2" borderId="0" xfId="0" applyFont="1" applyFill="1" applyBorder="1"/>
    <xf numFmtId="0" fontId="58" fillId="2" borderId="0" xfId="0" applyFont="1" applyFill="1" applyBorder="1" applyAlignment="1">
      <alignment horizontal="center"/>
    </xf>
    <xf numFmtId="0" fontId="61" fillId="2" borderId="0" xfId="0" applyFont="1" applyFill="1" applyBorder="1"/>
    <xf numFmtId="3" fontId="61" fillId="2" borderId="0" xfId="0" applyNumberFormat="1" applyFont="1" applyFill="1" applyBorder="1"/>
    <xf numFmtId="170" fontId="61" fillId="2" borderId="0" xfId="0" applyNumberFormat="1" applyFont="1" applyFill="1" applyBorder="1"/>
    <xf numFmtId="0" fontId="89" fillId="0" borderId="0" xfId="0" applyFont="1" applyFill="1" applyAlignment="1">
      <alignment vertical="center"/>
    </xf>
    <xf numFmtId="0" fontId="89" fillId="0" borderId="56" xfId="0" applyFont="1" applyFill="1" applyBorder="1" applyAlignment="1">
      <alignment vertical="center"/>
    </xf>
    <xf numFmtId="0" fontId="82" fillId="0" borderId="4" xfId="0" applyFont="1" applyBorder="1" applyAlignment="1">
      <alignment horizontal="center" wrapText="1"/>
    </xf>
    <xf numFmtId="170" fontId="61" fillId="2" borderId="0" xfId="0" applyNumberFormat="1" applyFont="1" applyFill="1" applyBorder="1" applyAlignment="1">
      <alignment horizontal="left"/>
    </xf>
    <xf numFmtId="0" fontId="61" fillId="2" borderId="0" xfId="0" applyFont="1" applyFill="1" applyBorder="1" applyAlignment="1">
      <alignment horizontal="left"/>
    </xf>
    <xf numFmtId="0" fontId="61" fillId="2" borderId="72" xfId="0" applyFont="1" applyFill="1" applyBorder="1" applyAlignment="1">
      <alignment horizontal="left"/>
    </xf>
    <xf numFmtId="0" fontId="7" fillId="0" borderId="24" xfId="0" applyFont="1" applyBorder="1" applyAlignment="1"/>
    <xf numFmtId="0" fontId="90" fillId="0" borderId="69" xfId="0" applyFont="1" applyBorder="1" applyAlignment="1">
      <alignment horizontal="center" vertical="center"/>
    </xf>
    <xf numFmtId="0" fontId="7" fillId="0" borderId="69" xfId="0" applyFont="1" applyBorder="1" applyAlignment="1"/>
    <xf numFmtId="0" fontId="7" fillId="0" borderId="70" xfId="0" applyFont="1" applyBorder="1" applyAlignment="1"/>
    <xf numFmtId="0" fontId="0" fillId="0" borderId="52" xfId="0" applyBorder="1"/>
    <xf numFmtId="0" fontId="91" fillId="0" borderId="0" xfId="0" applyFont="1" applyBorder="1" applyAlignment="1">
      <alignment horizontal="center"/>
    </xf>
    <xf numFmtId="0" fontId="0" fillId="0" borderId="0" xfId="0" applyBorder="1"/>
    <xf numFmtId="0" fontId="0" fillId="0" borderId="56" xfId="0" applyBorder="1"/>
    <xf numFmtId="0" fontId="59" fillId="0" borderId="10" xfId="0" applyFont="1" applyBorder="1" applyAlignment="1">
      <alignment horizontal="left" vertical="center" wrapText="1"/>
    </xf>
    <xf numFmtId="0" fontId="77" fillId="14" borderId="75" xfId="0" applyFont="1" applyFill="1" applyBorder="1" applyAlignment="1">
      <alignment horizontal="center" vertical="center" wrapText="1"/>
    </xf>
    <xf numFmtId="0" fontId="86" fillId="14" borderId="75" xfId="0" applyFont="1" applyFill="1" applyBorder="1" applyAlignment="1">
      <alignment horizontal="center" vertical="center" wrapText="1"/>
    </xf>
    <xf numFmtId="0" fontId="59" fillId="14" borderId="75" xfId="0" applyFont="1" applyFill="1" applyBorder="1" applyAlignment="1">
      <alignment horizontal="center" vertical="center"/>
    </xf>
    <xf numFmtId="0" fontId="59" fillId="14" borderId="80" xfId="0" applyFont="1" applyFill="1" applyBorder="1" applyAlignment="1">
      <alignment horizontal="center" vertical="center"/>
    </xf>
    <xf numFmtId="0" fontId="59" fillId="14" borderId="76" xfId="0" applyFont="1" applyFill="1" applyBorder="1" applyAlignment="1">
      <alignment horizontal="center" vertical="center"/>
    </xf>
    <xf numFmtId="171" fontId="59" fillId="0" borderId="16" xfId="0" applyNumberFormat="1" applyFont="1" applyBorder="1" applyAlignment="1">
      <alignment horizontal="center" vertical="center"/>
    </xf>
    <xf numFmtId="165" fontId="59" fillId="9" borderId="74" xfId="0" applyNumberFormat="1" applyFont="1" applyFill="1" applyBorder="1" applyAlignment="1">
      <alignment vertical="center" wrapText="1"/>
    </xf>
    <xf numFmtId="165" fontId="59" fillId="9" borderId="75" xfId="0" applyNumberFormat="1" applyFont="1" applyFill="1" applyBorder="1" applyAlignment="1">
      <alignment vertical="center" wrapText="1"/>
    </xf>
    <xf numFmtId="165" fontId="59" fillId="9" borderId="76" xfId="0" applyNumberFormat="1" applyFont="1" applyFill="1" applyBorder="1" applyAlignment="1">
      <alignment vertical="center" wrapText="1"/>
    </xf>
    <xf numFmtId="165" fontId="59" fillId="18" borderId="74" xfId="0" applyNumberFormat="1" applyFont="1" applyFill="1" applyBorder="1" applyAlignment="1">
      <alignment horizontal="right" vertical="center" indent="1"/>
    </xf>
    <xf numFmtId="165" fontId="59" fillId="3" borderId="76" xfId="0" applyNumberFormat="1" applyFont="1" applyFill="1" applyBorder="1" applyAlignment="1">
      <alignment horizontal="right" vertical="center" indent="1"/>
    </xf>
    <xf numFmtId="0" fontId="59" fillId="0" borderId="0" xfId="0" applyFont="1" applyBorder="1" applyAlignment="1">
      <alignment horizontal="right" vertical="center" indent="1"/>
    </xf>
    <xf numFmtId="0" fontId="59" fillId="0" borderId="0" xfId="0" applyFont="1" applyBorder="1" applyAlignment="1">
      <alignment vertical="center"/>
    </xf>
    <xf numFmtId="171" fontId="59" fillId="7" borderId="74" xfId="0" applyNumberFormat="1" applyFont="1" applyFill="1" applyBorder="1" applyAlignment="1">
      <alignment horizontal="center" vertical="center"/>
    </xf>
    <xf numFmtId="3" fontId="59" fillId="7" borderId="81" xfId="0" applyNumberFormat="1" applyFont="1" applyFill="1" applyBorder="1" applyAlignment="1">
      <alignment horizontal="center" vertical="center"/>
    </xf>
    <xf numFmtId="3" fontId="59" fillId="7" borderId="75" xfId="0" applyNumberFormat="1" applyFont="1" applyFill="1" applyBorder="1" applyAlignment="1">
      <alignment horizontal="center" vertical="center"/>
    </xf>
    <xf numFmtId="165" fontId="59" fillId="7" borderId="75" xfId="0" applyNumberFormat="1" applyFont="1" applyFill="1" applyBorder="1" applyAlignment="1">
      <alignment horizontal="center" vertical="center"/>
    </xf>
    <xf numFmtId="0" fontId="59" fillId="0" borderId="80" xfId="0" applyFont="1" applyBorder="1" applyAlignment="1">
      <alignment horizontal="center" vertical="center"/>
    </xf>
    <xf numFmtId="165" fontId="59" fillId="7" borderId="76" xfId="0" applyNumberFormat="1" applyFont="1" applyFill="1" applyBorder="1" applyAlignment="1">
      <alignment horizontal="center" vertical="center"/>
    </xf>
    <xf numFmtId="165" fontId="59" fillId="3" borderId="74" xfId="0" applyNumberFormat="1" applyFont="1" applyFill="1" applyBorder="1" applyAlignment="1">
      <alignment horizontal="right" vertical="center" indent="1"/>
    </xf>
    <xf numFmtId="166" fontId="77" fillId="10" borderId="16" xfId="0" applyNumberFormat="1" applyFont="1" applyFill="1" applyBorder="1" applyAlignment="1">
      <alignment horizontal="center" vertical="center"/>
    </xf>
    <xf numFmtId="171" fontId="59" fillId="7" borderId="75" xfId="0" applyNumberFormat="1" applyFont="1" applyFill="1" applyBorder="1" applyAlignment="1">
      <alignment horizontal="center" vertical="center"/>
    </xf>
    <xf numFmtId="171" fontId="59" fillId="7" borderId="80" xfId="0" applyNumberFormat="1" applyFont="1" applyFill="1" applyBorder="1" applyAlignment="1">
      <alignment horizontal="center" vertical="center"/>
    </xf>
    <xf numFmtId="171" fontId="59" fillId="0" borderId="74" xfId="0" applyNumberFormat="1" applyFont="1" applyBorder="1" applyAlignment="1">
      <alignment horizontal="center" vertical="center"/>
    </xf>
    <xf numFmtId="171" fontId="59" fillId="0" borderId="75" xfId="0" applyNumberFormat="1" applyFont="1" applyBorder="1" applyAlignment="1">
      <alignment horizontal="center" vertical="center"/>
    </xf>
    <xf numFmtId="3" fontId="59" fillId="9" borderId="76" xfId="0" applyNumberFormat="1" applyFont="1" applyFill="1" applyBorder="1" applyAlignment="1">
      <alignment horizontal="center" vertical="center"/>
    </xf>
    <xf numFmtId="165" fontId="59" fillId="7" borderId="74" xfId="0" applyNumberFormat="1" applyFont="1" applyFill="1" applyBorder="1" applyAlignment="1">
      <alignment vertical="center"/>
    </xf>
    <xf numFmtId="165" fontId="59" fillId="7" borderId="75" xfId="0" applyNumberFormat="1" applyFont="1" applyFill="1" applyBorder="1" applyAlignment="1">
      <alignment vertical="center"/>
    </xf>
    <xf numFmtId="165" fontId="59" fillId="7" borderId="76" xfId="0" applyNumberFormat="1" applyFont="1" applyFill="1" applyBorder="1" applyAlignment="1">
      <alignment vertical="center"/>
    </xf>
    <xf numFmtId="165" fontId="59" fillId="16" borderId="16" xfId="0" applyNumberFormat="1" applyFont="1" applyFill="1" applyBorder="1" applyAlignment="1">
      <alignment horizontal="center" vertical="center"/>
    </xf>
    <xf numFmtId="3" fontId="59" fillId="0" borderId="74" xfId="0" applyNumberFormat="1" applyFont="1" applyBorder="1" applyAlignment="1">
      <alignment horizontal="center" vertical="center"/>
    </xf>
    <xf numFmtId="3" fontId="59" fillId="0" borderId="75" xfId="0" applyNumberFormat="1" applyFont="1" applyBorder="1" applyAlignment="1">
      <alignment horizontal="center" vertical="center"/>
    </xf>
    <xf numFmtId="3" fontId="59" fillId="12" borderId="75" xfId="0" applyNumberFormat="1" applyFont="1" applyFill="1" applyBorder="1" applyAlignment="1">
      <alignment horizontal="center" vertical="center"/>
    </xf>
    <xf numFmtId="3" fontId="59" fillId="12" borderId="76" xfId="0" applyNumberFormat="1" applyFont="1" applyFill="1" applyBorder="1" applyAlignment="1">
      <alignment horizontal="center" vertical="center"/>
    </xf>
    <xf numFmtId="3" fontId="59" fillId="20" borderId="47" xfId="0" applyNumberFormat="1" applyFont="1" applyFill="1" applyBorder="1" applyAlignment="1">
      <alignment horizontal="center" vertical="center"/>
    </xf>
    <xf numFmtId="3" fontId="67" fillId="20" borderId="48" xfId="0" applyNumberFormat="1" applyFont="1" applyFill="1" applyBorder="1" applyAlignment="1">
      <alignment horizontal="center" vertical="center"/>
    </xf>
    <xf numFmtId="3" fontId="68" fillId="20" borderId="61" xfId="0" applyNumberFormat="1" applyFont="1" applyFill="1" applyBorder="1" applyAlignment="1">
      <alignment horizontal="center" vertical="center"/>
    </xf>
    <xf numFmtId="3" fontId="68" fillId="20" borderId="83" xfId="0" applyNumberFormat="1" applyFont="1" applyFill="1" applyBorder="1" applyAlignment="1">
      <alignment horizontal="center" vertical="center"/>
    </xf>
    <xf numFmtId="3" fontId="68" fillId="20" borderId="82" xfId="0" applyNumberFormat="1" applyFont="1" applyFill="1" applyBorder="1" applyAlignment="1">
      <alignment horizontal="center" vertical="center"/>
    </xf>
    <xf numFmtId="165" fontId="58" fillId="2" borderId="53" xfId="8" applyNumberFormat="1" applyFont="1" applyFill="1" applyBorder="1" applyAlignment="1">
      <alignment horizontal="center"/>
    </xf>
    <xf numFmtId="169" fontId="58" fillId="2" borderId="23" xfId="8" applyNumberFormat="1" applyFont="1" applyFill="1" applyBorder="1" applyAlignment="1">
      <alignment horizontal="center"/>
    </xf>
    <xf numFmtId="0" fontId="63" fillId="2" borderId="64" xfId="0" applyFont="1" applyFill="1" applyBorder="1"/>
    <xf numFmtId="169" fontId="63" fillId="2" borderId="73" xfId="8" applyNumberFormat="1" applyFont="1" applyFill="1" applyBorder="1"/>
    <xf numFmtId="0" fontId="0" fillId="2" borderId="24" xfId="0" applyFill="1" applyBorder="1"/>
    <xf numFmtId="2" fontId="61" fillId="2" borderId="0" xfId="0" applyNumberFormat="1" applyFont="1" applyFill="1" applyBorder="1"/>
    <xf numFmtId="0" fontId="69" fillId="2" borderId="52" xfId="0" applyFont="1" applyFill="1" applyBorder="1"/>
    <xf numFmtId="0" fontId="63" fillId="2" borderId="0" xfId="0" applyFont="1" applyFill="1" applyBorder="1"/>
    <xf numFmtId="172" fontId="70" fillId="2" borderId="0" xfId="0" applyNumberFormat="1" applyFont="1" applyFill="1" applyBorder="1"/>
    <xf numFmtId="9" fontId="61" fillId="2" borderId="0" xfId="0" applyNumberFormat="1" applyFont="1" applyFill="1" applyBorder="1"/>
    <xf numFmtId="10" fontId="61" fillId="2" borderId="0" xfId="0" applyNumberFormat="1" applyFont="1" applyFill="1" applyBorder="1"/>
    <xf numFmtId="0" fontId="62" fillId="2" borderId="0" xfId="0" applyFont="1" applyFill="1" applyBorder="1"/>
    <xf numFmtId="0" fontId="4" fillId="2" borderId="0" xfId="0" applyFont="1" applyFill="1" applyBorder="1"/>
    <xf numFmtId="0" fontId="63" fillId="2" borderId="47" xfId="0" applyFont="1" applyFill="1" applyBorder="1"/>
    <xf numFmtId="0" fontId="0" fillId="2" borderId="0" xfId="0" applyFill="1" applyAlignment="1">
      <alignment horizontal="center"/>
    </xf>
    <xf numFmtId="0" fontId="70" fillId="2" borderId="52" xfId="0" applyFont="1" applyFill="1" applyBorder="1" applyAlignment="1">
      <alignment horizontal="center"/>
    </xf>
    <xf numFmtId="0" fontId="69" fillId="2" borderId="52" xfId="0" applyFont="1" applyFill="1" applyBorder="1" applyAlignment="1">
      <alignment horizontal="center"/>
    </xf>
    <xf numFmtId="0" fontId="69" fillId="2" borderId="71" xfId="0" applyFont="1" applyFill="1" applyBorder="1" applyAlignment="1">
      <alignment horizontal="center"/>
    </xf>
    <xf numFmtId="0" fontId="0" fillId="2" borderId="69" xfId="0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72" fillId="2" borderId="52" xfId="0" applyFont="1" applyFill="1" applyBorder="1"/>
    <xf numFmtId="0" fontId="72" fillId="2" borderId="0" xfId="0" applyFont="1" applyFill="1" applyBorder="1" applyAlignment="1">
      <alignment horizontal="center"/>
    </xf>
    <xf numFmtId="0" fontId="70" fillId="2" borderId="0" xfId="0" applyFont="1" applyFill="1" applyBorder="1" applyAlignment="1">
      <alignment horizontal="center"/>
    </xf>
    <xf numFmtId="0" fontId="55" fillId="2" borderId="0" xfId="0" applyFont="1" applyFill="1" applyBorder="1"/>
    <xf numFmtId="0" fontId="0" fillId="2" borderId="71" xfId="0" applyFill="1" applyBorder="1"/>
    <xf numFmtId="0" fontId="0" fillId="2" borderId="72" xfId="0" applyFill="1" applyBorder="1" applyAlignment="1">
      <alignment horizontal="center"/>
    </xf>
    <xf numFmtId="0" fontId="78" fillId="2" borderId="71" xfId="0" applyFont="1" applyFill="1" applyBorder="1" applyAlignment="1">
      <alignment vertical="center" wrapText="1"/>
    </xf>
    <xf numFmtId="0" fontId="78" fillId="2" borderId="72" xfId="0" applyFont="1" applyFill="1" applyBorder="1" applyAlignment="1">
      <alignment vertical="center" wrapText="1"/>
    </xf>
    <xf numFmtId="0" fontId="78" fillId="2" borderId="54" xfId="0" applyFont="1" applyFill="1" applyBorder="1" applyAlignment="1">
      <alignment vertical="center" wrapText="1"/>
    </xf>
    <xf numFmtId="0" fontId="61" fillId="2" borderId="52" xfId="0" applyFont="1" applyFill="1" applyBorder="1" applyAlignment="1"/>
    <xf numFmtId="0" fontId="61" fillId="2" borderId="0" xfId="0" applyFont="1" applyFill="1" applyBorder="1" applyAlignment="1"/>
    <xf numFmtId="0" fontId="61" fillId="2" borderId="24" xfId="0" applyFont="1" applyFill="1" applyBorder="1" applyAlignment="1"/>
    <xf numFmtId="0" fontId="61" fillId="2" borderId="69" xfId="0" applyFont="1" applyFill="1" applyBorder="1" applyAlignment="1"/>
    <xf numFmtId="0" fontId="61" fillId="2" borderId="70" xfId="0" applyFont="1" applyFill="1" applyBorder="1" applyAlignment="1"/>
    <xf numFmtId="0" fontId="61" fillId="2" borderId="56" xfId="0" applyFont="1" applyFill="1" applyBorder="1" applyAlignment="1"/>
    <xf numFmtId="0" fontId="70" fillId="0" borderId="0" xfId="0" applyFont="1" applyBorder="1"/>
    <xf numFmtId="169" fontId="65" fillId="2" borderId="0" xfId="8" applyNumberFormat="1" applyFont="1" applyFill="1" applyBorder="1"/>
    <xf numFmtId="169" fontId="66" fillId="2" borderId="0" xfId="8" applyNumberFormat="1" applyFont="1" applyFill="1" applyBorder="1"/>
    <xf numFmtId="0" fontId="69" fillId="0" borderId="0" xfId="0" applyFont="1" applyBorder="1"/>
    <xf numFmtId="0" fontId="72" fillId="0" borderId="0" xfId="0" applyFont="1" applyBorder="1"/>
    <xf numFmtId="0" fontId="58" fillId="2" borderId="1" xfId="0" applyFont="1" applyFill="1" applyBorder="1" applyAlignment="1">
      <alignment horizontal="center" vertical="center"/>
    </xf>
    <xf numFmtId="0" fontId="58" fillId="2" borderId="0" xfId="0" applyFont="1" applyFill="1" applyBorder="1" applyAlignment="1"/>
    <xf numFmtId="14" fontId="67" fillId="10" borderId="78" xfId="0" applyNumberFormat="1" applyFont="1" applyFill="1" applyBorder="1" applyAlignment="1">
      <alignment horizontal="center" vertical="center" wrapText="1"/>
    </xf>
    <xf numFmtId="0" fontId="13" fillId="2" borderId="45" xfId="0" applyFont="1" applyFill="1" applyBorder="1" applyAlignment="1">
      <alignment horizontal="center"/>
    </xf>
    <xf numFmtId="14" fontId="67" fillId="10" borderId="10" xfId="0" applyNumberFormat="1" applyFont="1" applyFill="1" applyBorder="1" applyAlignment="1">
      <alignment horizontal="center" vertical="center" wrapText="1"/>
    </xf>
    <xf numFmtId="14" fontId="68" fillId="10" borderId="10" xfId="0" applyNumberFormat="1" applyFont="1" applyFill="1" applyBorder="1" applyAlignment="1">
      <alignment horizontal="center" vertical="center" wrapText="1"/>
    </xf>
    <xf numFmtId="0" fontId="93" fillId="21" borderId="16" xfId="0" applyFont="1" applyFill="1" applyBorder="1" applyAlignment="1">
      <alignment horizontal="center"/>
    </xf>
    <xf numFmtId="165" fontId="61" fillId="2" borderId="56" xfId="8" applyNumberFormat="1" applyFont="1" applyFill="1" applyBorder="1"/>
    <xf numFmtId="0" fontId="61" fillId="2" borderId="52" xfId="0" applyFont="1" applyFill="1" applyBorder="1" applyAlignment="1">
      <alignment horizontal="center"/>
    </xf>
    <xf numFmtId="169" fontId="58" fillId="2" borderId="56" xfId="8" applyNumberFormat="1" applyFont="1" applyFill="1" applyBorder="1"/>
    <xf numFmtId="165" fontId="58" fillId="20" borderId="47" xfId="8" applyNumberFormat="1" applyFont="1" applyFill="1" applyBorder="1"/>
    <xf numFmtId="0" fontId="61" fillId="2" borderId="33" xfId="0" applyFont="1" applyFill="1" applyBorder="1" applyAlignment="1"/>
    <xf numFmtId="0" fontId="58" fillId="2" borderId="24" xfId="0" applyFont="1" applyFill="1" applyBorder="1" applyAlignment="1"/>
    <xf numFmtId="0" fontId="61" fillId="4" borderId="52" xfId="0" applyFont="1" applyFill="1" applyBorder="1"/>
    <xf numFmtId="0" fontId="61" fillId="4" borderId="0" xfId="0" applyFont="1" applyFill="1" applyBorder="1"/>
    <xf numFmtId="0" fontId="61" fillId="22" borderId="52" xfId="0" applyFont="1" applyFill="1" applyBorder="1"/>
    <xf numFmtId="0" fontId="61" fillId="22" borderId="0" xfId="0" applyFont="1" applyFill="1" applyBorder="1"/>
    <xf numFmtId="10" fontId="70" fillId="22" borderId="0" xfId="0" applyNumberFormat="1" applyFont="1" applyFill="1" applyBorder="1"/>
    <xf numFmtId="169" fontId="61" fillId="22" borderId="56" xfId="8" applyNumberFormat="1" applyFont="1" applyFill="1" applyBorder="1"/>
    <xf numFmtId="169" fontId="61" fillId="22" borderId="45" xfId="8" applyNumberFormat="1" applyFont="1" applyFill="1" applyBorder="1"/>
    <xf numFmtId="165" fontId="61" fillId="22" borderId="45" xfId="8" applyNumberFormat="1" applyFont="1" applyFill="1" applyBorder="1"/>
    <xf numFmtId="0" fontId="70" fillId="22" borderId="52" xfId="0" applyFont="1" applyFill="1" applyBorder="1"/>
    <xf numFmtId="0" fontId="70" fillId="22" borderId="0" xfId="0" applyFont="1" applyFill="1" applyBorder="1"/>
    <xf numFmtId="172" fontId="70" fillId="22" borderId="0" xfId="0" applyNumberFormat="1" applyFont="1" applyFill="1" applyBorder="1"/>
    <xf numFmtId="9" fontId="70" fillId="22" borderId="0" xfId="0" applyNumberFormat="1" applyFont="1" applyFill="1" applyBorder="1"/>
    <xf numFmtId="0" fontId="58" fillId="22" borderId="69" xfId="0" applyFont="1" applyFill="1" applyBorder="1" applyAlignment="1"/>
    <xf numFmtId="0" fontId="61" fillId="22" borderId="69" xfId="0" applyFont="1" applyFill="1" applyBorder="1" applyAlignment="1"/>
    <xf numFmtId="167" fontId="61" fillId="22" borderId="0" xfId="8" applyNumberFormat="1" applyFont="1" applyFill="1" applyBorder="1"/>
    <xf numFmtId="2" fontId="61" fillId="22" borderId="0" xfId="0" applyNumberFormat="1" applyFont="1" applyFill="1" applyBorder="1"/>
    <xf numFmtId="0" fontId="61" fillId="22" borderId="45" xfId="0" applyFont="1" applyFill="1" applyBorder="1"/>
    <xf numFmtId="0" fontId="59" fillId="25" borderId="81" xfId="0" applyFont="1" applyFill="1" applyBorder="1" applyAlignment="1">
      <alignment horizontal="center" vertical="center" wrapText="1"/>
    </xf>
    <xf numFmtId="0" fontId="59" fillId="22" borderId="80" xfId="0" applyFont="1" applyFill="1" applyBorder="1" applyAlignment="1">
      <alignment horizontal="center" vertical="center" wrapText="1"/>
    </xf>
    <xf numFmtId="167" fontId="61" fillId="4" borderId="0" xfId="8" applyNumberFormat="1" applyFont="1" applyFill="1" applyBorder="1"/>
    <xf numFmtId="2" fontId="61" fillId="4" borderId="0" xfId="0" applyNumberFormat="1" applyFont="1" applyFill="1" applyBorder="1"/>
    <xf numFmtId="0" fontId="61" fillId="22" borderId="52" xfId="0" applyFont="1" applyFill="1" applyBorder="1" applyAlignment="1">
      <alignment horizontal="left"/>
    </xf>
    <xf numFmtId="0" fontId="61" fillId="22" borderId="0" xfId="0" applyFont="1" applyFill="1" applyBorder="1" applyAlignment="1">
      <alignment horizontal="left"/>
    </xf>
    <xf numFmtId="0" fontId="95" fillId="0" borderId="0" xfId="0" applyFont="1"/>
    <xf numFmtId="0" fontId="67" fillId="9" borderId="4" xfId="8" applyNumberFormat="1" applyFont="1" applyFill="1" applyBorder="1" applyAlignment="1">
      <alignment vertical="center" wrapText="1"/>
    </xf>
    <xf numFmtId="170" fontId="86" fillId="0" borderId="4" xfId="0" applyNumberFormat="1" applyFont="1" applyBorder="1" applyAlignment="1">
      <alignment horizontal="center" vertical="center" wrapText="1"/>
    </xf>
    <xf numFmtId="165" fontId="80" fillId="0" borderId="0" xfId="8" applyNumberFormat="1" applyFont="1" applyFill="1" applyAlignment="1">
      <alignment horizontal="center" vertical="center" wrapText="1"/>
    </xf>
    <xf numFmtId="0" fontId="80" fillId="0" borderId="0" xfId="0" applyFont="1" applyAlignment="1">
      <alignment horizontal="center" vertical="center" wrapText="1"/>
    </xf>
    <xf numFmtId="0" fontId="86" fillId="0" borderId="0" xfId="0" applyFont="1" applyAlignment="1">
      <alignment horizontal="center"/>
    </xf>
    <xf numFmtId="3" fontId="59" fillId="0" borderId="4" xfId="0" applyNumberFormat="1" applyFont="1" applyBorder="1" applyAlignment="1">
      <alignment horizontal="center" vertical="center" wrapText="1"/>
    </xf>
    <xf numFmtId="0" fontId="59" fillId="14" borderId="75" xfId="0" applyFont="1" applyFill="1" applyBorder="1" applyAlignment="1">
      <alignment horizontal="center" vertical="center" wrapText="1"/>
    </xf>
    <xf numFmtId="165" fontId="53" fillId="0" borderId="0" xfId="8" applyNumberFormat="1" applyFont="1" applyFill="1" applyAlignment="1">
      <alignment horizontal="center" vertical="center" wrapText="1"/>
    </xf>
    <xf numFmtId="0" fontId="53" fillId="0" borderId="0" xfId="0" applyFont="1" applyAlignment="1">
      <alignment horizontal="center" vertical="center" wrapText="1"/>
    </xf>
    <xf numFmtId="0" fontId="59" fillId="0" borderId="0" xfId="0" applyFont="1" applyAlignment="1">
      <alignment horizontal="center"/>
    </xf>
    <xf numFmtId="12" fontId="82" fillId="0" borderId="0" xfId="0" applyNumberFormat="1" applyFont="1" applyAlignment="1">
      <alignment horizontal="center"/>
    </xf>
    <xf numFmtId="12" fontId="77" fillId="0" borderId="0" xfId="0" applyNumberFormat="1" applyFont="1" applyAlignment="1">
      <alignment horizontal="center" vertical="center"/>
    </xf>
    <xf numFmtId="0" fontId="83" fillId="0" borderId="1" xfId="0" applyFont="1" applyBorder="1" applyAlignment="1">
      <alignment horizontal="center"/>
    </xf>
    <xf numFmtId="12" fontId="77" fillId="14" borderId="75" xfId="0" applyNumberFormat="1" applyFont="1" applyFill="1" applyBorder="1" applyAlignment="1">
      <alignment horizontal="center" vertical="center" wrapText="1"/>
    </xf>
    <xf numFmtId="12" fontId="82" fillId="0" borderId="0" xfId="8" applyNumberFormat="1" applyFont="1" applyFill="1" applyAlignment="1">
      <alignment horizontal="center" vertical="center" wrapText="1"/>
    </xf>
    <xf numFmtId="12" fontId="82" fillId="13" borderId="67" xfId="0" applyNumberFormat="1" applyFont="1" applyFill="1" applyBorder="1" applyAlignment="1">
      <alignment horizontal="center" vertical="center"/>
    </xf>
    <xf numFmtId="12" fontId="82" fillId="0" borderId="0" xfId="0" applyNumberFormat="1" applyFont="1" applyAlignment="1">
      <alignment horizontal="center" vertical="center" wrapText="1"/>
    </xf>
    <xf numFmtId="12" fontId="77" fillId="0" borderId="0" xfId="0" applyNumberFormat="1" applyFont="1" applyAlignment="1">
      <alignment horizontal="center"/>
    </xf>
    <xf numFmtId="0" fontId="59" fillId="4" borderId="0" xfId="0" applyFont="1" applyFill="1" applyAlignment="1">
      <alignment vertical="center" wrapText="1"/>
    </xf>
    <xf numFmtId="0" fontId="59" fillId="4" borderId="80" xfId="0" applyFont="1" applyFill="1" applyBorder="1" applyAlignment="1">
      <alignment horizontal="center" vertical="center" wrapText="1"/>
    </xf>
    <xf numFmtId="0" fontId="28" fillId="0" borderId="10" xfId="0" applyFont="1" applyBorder="1" applyAlignment="1">
      <alignment horizontal="center" vertical="center" wrapText="1"/>
    </xf>
    <xf numFmtId="0" fontId="28" fillId="0" borderId="61" xfId="0" applyFont="1" applyBorder="1" applyAlignment="1">
      <alignment horizontal="center" vertical="center" wrapText="1"/>
    </xf>
    <xf numFmtId="0" fontId="28" fillId="11" borderId="17" xfId="0" applyFont="1" applyFill="1" applyBorder="1" applyAlignment="1">
      <alignment horizontal="center" vertical="center" wrapText="1"/>
    </xf>
    <xf numFmtId="0" fontId="28" fillId="11" borderId="48" xfId="0" applyFont="1" applyFill="1" applyBorder="1" applyAlignment="1">
      <alignment horizontal="center" vertical="center" wrapText="1"/>
    </xf>
    <xf numFmtId="0" fontId="28" fillId="12" borderId="17" xfId="0" applyFont="1" applyFill="1" applyBorder="1" applyAlignment="1">
      <alignment horizontal="center" vertical="center" wrapText="1"/>
    </xf>
    <xf numFmtId="0" fontId="28" fillId="12" borderId="48" xfId="0" applyFont="1" applyFill="1" applyBorder="1" applyAlignment="1">
      <alignment horizontal="center" vertical="center" wrapText="1"/>
    </xf>
    <xf numFmtId="0" fontId="34" fillId="3" borderId="17" xfId="0" applyFont="1" applyFill="1" applyBorder="1" applyAlignment="1">
      <alignment horizontal="center" vertical="center" wrapText="1"/>
    </xf>
    <xf numFmtId="0" fontId="34" fillId="3" borderId="18" xfId="0" applyFont="1" applyFill="1" applyBorder="1" applyAlignment="1">
      <alignment horizontal="center" vertical="center" wrapText="1"/>
    </xf>
    <xf numFmtId="0" fontId="34" fillId="3" borderId="48" xfId="0" applyFont="1" applyFill="1" applyBorder="1" applyAlignment="1">
      <alignment horizontal="center" vertical="center" wrapText="1"/>
    </xf>
    <xf numFmtId="0" fontId="28" fillId="3" borderId="60" xfId="0" applyFont="1" applyFill="1" applyBorder="1" applyAlignment="1">
      <alignment horizontal="center" vertical="center"/>
    </xf>
    <xf numFmtId="0" fontId="28" fillId="3" borderId="53" xfId="0" applyFont="1" applyFill="1" applyBorder="1" applyAlignment="1">
      <alignment horizontal="center" vertical="center"/>
    </xf>
    <xf numFmtId="0" fontId="28" fillId="3" borderId="51" xfId="0" applyFont="1" applyFill="1" applyBorder="1" applyAlignment="1">
      <alignment horizontal="center" vertical="center"/>
    </xf>
    <xf numFmtId="0" fontId="28" fillId="3" borderId="23" xfId="0" applyFont="1" applyFill="1" applyBorder="1" applyAlignment="1">
      <alignment horizontal="center" vertical="center"/>
    </xf>
    <xf numFmtId="0" fontId="28" fillId="3" borderId="17" xfId="0" applyFont="1" applyFill="1" applyBorder="1" applyAlignment="1">
      <alignment horizontal="center" vertical="center" wrapText="1"/>
    </xf>
    <xf numFmtId="0" fontId="28" fillId="3" borderId="48" xfId="0" applyFont="1" applyFill="1" applyBorder="1" applyAlignment="1">
      <alignment horizontal="center" vertical="center" wrapText="1"/>
    </xf>
    <xf numFmtId="0" fontId="34" fillId="9" borderId="17" xfId="0" applyFont="1" applyFill="1" applyBorder="1" applyAlignment="1">
      <alignment horizontal="center" vertical="center" wrapText="1"/>
    </xf>
    <xf numFmtId="0" fontId="34" fillId="9" borderId="18" xfId="0" applyFont="1" applyFill="1" applyBorder="1" applyAlignment="1">
      <alignment horizontal="center" vertical="center" wrapText="1"/>
    </xf>
    <xf numFmtId="0" fontId="34" fillId="9" borderId="48" xfId="0" applyFont="1" applyFill="1" applyBorder="1" applyAlignment="1">
      <alignment horizontal="center" vertical="center" wrapText="1"/>
    </xf>
    <xf numFmtId="0" fontId="34" fillId="7" borderId="17" xfId="0" applyFont="1" applyFill="1" applyBorder="1" applyAlignment="1">
      <alignment horizontal="center" vertical="center" wrapText="1"/>
    </xf>
    <xf numFmtId="0" fontId="34" fillId="7" borderId="18" xfId="0" applyFont="1" applyFill="1" applyBorder="1" applyAlignment="1">
      <alignment horizontal="center" vertical="center" wrapText="1"/>
    </xf>
    <xf numFmtId="0" fontId="34" fillId="7" borderId="48" xfId="0" applyFont="1" applyFill="1" applyBorder="1" applyAlignment="1">
      <alignment horizontal="center" vertical="center" wrapText="1"/>
    </xf>
    <xf numFmtId="0" fontId="30" fillId="3" borderId="17" xfId="0" applyFont="1" applyFill="1" applyBorder="1" applyAlignment="1">
      <alignment horizontal="center" vertical="center"/>
    </xf>
    <xf numFmtId="0" fontId="30" fillId="3" borderId="48" xfId="0" applyFont="1" applyFill="1" applyBorder="1" applyAlignment="1">
      <alignment horizontal="center" vertical="center"/>
    </xf>
    <xf numFmtId="0" fontId="27" fillId="10" borderId="17" xfId="0" applyFont="1" applyFill="1" applyBorder="1" applyAlignment="1">
      <alignment horizontal="center" vertical="center" wrapText="1"/>
    </xf>
    <xf numFmtId="0" fontId="27" fillId="10" borderId="48" xfId="0" applyFont="1" applyFill="1" applyBorder="1" applyAlignment="1">
      <alignment horizontal="center" vertical="center" wrapText="1"/>
    </xf>
    <xf numFmtId="0" fontId="30" fillId="0" borderId="2" xfId="0" applyFont="1" applyBorder="1" applyAlignment="1">
      <alignment horizontal="center" vertical="center" wrapText="1"/>
    </xf>
    <xf numFmtId="0" fontId="30" fillId="0" borderId="4" xfId="0" applyFont="1" applyBorder="1" applyAlignment="1">
      <alignment horizontal="center" vertical="center" wrapText="1"/>
    </xf>
    <xf numFmtId="0" fontId="30" fillId="0" borderId="19" xfId="0" applyFont="1" applyBorder="1" applyAlignment="1">
      <alignment horizontal="center" vertical="center" wrapText="1"/>
    </xf>
    <xf numFmtId="0" fontId="30" fillId="0" borderId="58" xfId="0" applyFont="1" applyBorder="1" applyAlignment="1">
      <alignment horizontal="center" vertical="center" wrapText="1"/>
    </xf>
    <xf numFmtId="0" fontId="28" fillId="14" borderId="17" xfId="0" applyFont="1" applyFill="1" applyBorder="1" applyAlignment="1">
      <alignment horizontal="center" vertical="center" wrapText="1"/>
    </xf>
    <xf numFmtId="0" fontId="28" fillId="14" borderId="48" xfId="0" applyFont="1" applyFill="1" applyBorder="1" applyAlignment="1">
      <alignment horizontal="center" vertical="center" wrapText="1"/>
    </xf>
    <xf numFmtId="0" fontId="27" fillId="13" borderId="17" xfId="0" applyFont="1" applyFill="1" applyBorder="1" applyAlignment="1">
      <alignment horizontal="center" vertical="center" wrapText="1"/>
    </xf>
    <xf numFmtId="0" fontId="27" fillId="13" borderId="48" xfId="0" applyFont="1" applyFill="1" applyBorder="1" applyAlignment="1">
      <alignment horizontal="center" vertical="center" wrapText="1"/>
    </xf>
    <xf numFmtId="0" fontId="27" fillId="15" borderId="17" xfId="0" applyFont="1" applyFill="1" applyBorder="1" applyAlignment="1">
      <alignment horizontal="center" vertical="center" wrapText="1"/>
    </xf>
    <xf numFmtId="0" fontId="27" fillId="15" borderId="48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1" fillId="0" borderId="33" xfId="0" applyFont="1" applyBorder="1" applyAlignment="1">
      <alignment horizontal="center" vertical="center" wrapText="1"/>
    </xf>
    <xf numFmtId="0" fontId="11" fillId="0" borderId="39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/>
    </xf>
    <xf numFmtId="0" fontId="11" fillId="0" borderId="7" xfId="0" applyFont="1" applyBorder="1" applyAlignment="1">
      <alignment horizontal="center"/>
    </xf>
    <xf numFmtId="0" fontId="11" fillId="2" borderId="0" xfId="0" applyFont="1" applyFill="1" applyAlignment="1">
      <alignment horizontal="center"/>
    </xf>
    <xf numFmtId="0" fontId="12" fillId="3" borderId="30" xfId="0" applyFont="1" applyFill="1" applyBorder="1" applyAlignment="1">
      <alignment horizontal="center" vertical="center" wrapText="1"/>
    </xf>
    <xf numFmtId="0" fontId="12" fillId="3" borderId="35" xfId="0" applyFont="1" applyFill="1" applyBorder="1" applyAlignment="1">
      <alignment horizontal="center" vertical="center" wrapText="1"/>
    </xf>
    <xf numFmtId="0" fontId="11" fillId="0" borderId="31" xfId="0" applyFont="1" applyBorder="1" applyAlignment="1">
      <alignment horizontal="center" vertical="center" wrapText="1"/>
    </xf>
    <xf numFmtId="0" fontId="11" fillId="0" borderId="32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10" fillId="0" borderId="38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11" fillId="3" borderId="2" xfId="0" applyFont="1" applyFill="1" applyBorder="1" applyAlignment="1">
      <alignment horizontal="center" vertical="center" wrapText="1"/>
    </xf>
    <xf numFmtId="0" fontId="11" fillId="3" borderId="4" xfId="0" applyFont="1" applyFill="1" applyBorder="1" applyAlignment="1">
      <alignment horizontal="center" vertical="center" wrapText="1"/>
    </xf>
    <xf numFmtId="0" fontId="11" fillId="3" borderId="10" xfId="0" applyFont="1" applyFill="1" applyBorder="1" applyAlignment="1">
      <alignment horizontal="center" vertical="center" wrapText="1"/>
    </xf>
    <xf numFmtId="0" fontId="11" fillId="3" borderId="7" xfId="0" applyFont="1" applyFill="1" applyBorder="1" applyAlignment="1">
      <alignment horizontal="center" vertical="center" wrapText="1"/>
    </xf>
    <xf numFmtId="0" fontId="12" fillId="3" borderId="10" xfId="0" applyFont="1" applyFill="1" applyBorder="1" applyAlignment="1">
      <alignment horizontal="center" vertical="center" wrapText="1"/>
    </xf>
    <xf numFmtId="0" fontId="12" fillId="3" borderId="7" xfId="0" applyFont="1" applyFill="1" applyBorder="1" applyAlignment="1">
      <alignment horizontal="center" vertical="center" wrapText="1"/>
    </xf>
    <xf numFmtId="0" fontId="12" fillId="3" borderId="2" xfId="0" applyFont="1" applyFill="1" applyBorder="1" applyAlignment="1">
      <alignment horizontal="center" vertical="center" wrapText="1"/>
    </xf>
    <xf numFmtId="0" fontId="12" fillId="3" borderId="4" xfId="0" applyFont="1" applyFill="1" applyBorder="1" applyAlignment="1">
      <alignment horizontal="center" vertical="center" wrapText="1"/>
    </xf>
    <xf numFmtId="0" fontId="11" fillId="0" borderId="28" xfId="0" applyFont="1" applyBorder="1" applyAlignment="1">
      <alignment horizontal="center" vertical="center" wrapText="1"/>
    </xf>
    <xf numFmtId="0" fontId="11" fillId="0" borderId="29" xfId="0" applyFont="1" applyBorder="1" applyAlignment="1">
      <alignment horizontal="center" vertical="center" wrapText="1"/>
    </xf>
    <xf numFmtId="0" fontId="8" fillId="0" borderId="25" xfId="0" applyFont="1" applyBorder="1" applyAlignment="1">
      <alignment horizontal="center" vertical="center"/>
    </xf>
    <xf numFmtId="0" fontId="8" fillId="0" borderId="26" xfId="0" applyFont="1" applyBorder="1" applyAlignment="1">
      <alignment horizontal="center" vertical="center"/>
    </xf>
    <xf numFmtId="0" fontId="8" fillId="0" borderId="27" xfId="0" applyFont="1" applyBorder="1" applyAlignment="1">
      <alignment horizontal="center" vertical="center"/>
    </xf>
    <xf numFmtId="0" fontId="11" fillId="3" borderId="2" xfId="0" applyFont="1" applyFill="1" applyBorder="1" applyAlignment="1">
      <alignment horizontal="center" vertical="center"/>
    </xf>
    <xf numFmtId="0" fontId="11" fillId="3" borderId="4" xfId="0" applyFont="1" applyFill="1" applyBorder="1" applyAlignment="1">
      <alignment horizontal="center" vertical="center"/>
    </xf>
    <xf numFmtId="0" fontId="11" fillId="3" borderId="10" xfId="0" applyFont="1" applyFill="1" applyBorder="1" applyAlignment="1">
      <alignment horizontal="center" vertical="center"/>
    </xf>
    <xf numFmtId="0" fontId="11" fillId="3" borderId="7" xfId="0" applyFont="1" applyFill="1" applyBorder="1" applyAlignment="1">
      <alignment horizontal="center" vertical="center"/>
    </xf>
    <xf numFmtId="0" fontId="11" fillId="3" borderId="6" xfId="0" applyFont="1" applyFill="1" applyBorder="1" applyAlignment="1">
      <alignment horizontal="center" vertical="center"/>
    </xf>
    <xf numFmtId="0" fontId="59" fillId="3" borderId="64" xfId="0" applyFont="1" applyFill="1" applyBorder="1" applyAlignment="1">
      <alignment horizontal="center" vertical="center" wrapText="1"/>
    </xf>
    <xf numFmtId="0" fontId="59" fillId="3" borderId="73" xfId="0" applyFont="1" applyFill="1" applyBorder="1" applyAlignment="1">
      <alignment horizontal="center" vertical="center" wrapText="1"/>
    </xf>
    <xf numFmtId="0" fontId="59" fillId="7" borderId="24" xfId="0" applyFont="1" applyFill="1" applyBorder="1" applyAlignment="1">
      <alignment horizontal="center" vertical="center" wrapText="1"/>
    </xf>
    <xf numFmtId="0" fontId="59" fillId="7" borderId="69" xfId="0" applyFont="1" applyFill="1" applyBorder="1" applyAlignment="1">
      <alignment horizontal="center" vertical="center" wrapText="1"/>
    </xf>
    <xf numFmtId="0" fontId="59" fillId="7" borderId="70" xfId="0" applyFont="1" applyFill="1" applyBorder="1" applyAlignment="1">
      <alignment horizontal="center" vertical="center" wrapText="1"/>
    </xf>
    <xf numFmtId="0" fontId="59" fillId="3" borderId="24" xfId="0" applyFont="1" applyFill="1" applyBorder="1" applyAlignment="1">
      <alignment horizontal="center" vertical="center" wrapText="1"/>
    </xf>
    <xf numFmtId="0" fontId="59" fillId="3" borderId="70" xfId="0" applyFont="1" applyFill="1" applyBorder="1" applyAlignment="1">
      <alignment horizontal="center" vertical="center" wrapText="1"/>
    </xf>
    <xf numFmtId="0" fontId="59" fillId="14" borderId="24" xfId="0" applyFont="1" applyFill="1" applyBorder="1" applyAlignment="1">
      <alignment horizontal="center" vertical="center" wrapText="1"/>
    </xf>
    <xf numFmtId="0" fontId="59" fillId="14" borderId="70" xfId="0" applyFont="1" applyFill="1" applyBorder="1" applyAlignment="1">
      <alignment horizontal="center" vertical="center" wrapText="1"/>
    </xf>
    <xf numFmtId="0" fontId="59" fillId="9" borderId="24" xfId="0" applyFont="1" applyFill="1" applyBorder="1" applyAlignment="1">
      <alignment horizontal="center" vertical="center" wrapText="1"/>
    </xf>
    <xf numFmtId="0" fontId="59" fillId="9" borderId="69" xfId="0" applyFont="1" applyFill="1" applyBorder="1" applyAlignment="1">
      <alignment horizontal="center" vertical="center" wrapText="1"/>
    </xf>
    <xf numFmtId="0" fontId="59" fillId="9" borderId="70" xfId="0" applyFont="1" applyFill="1" applyBorder="1" applyAlignment="1">
      <alignment horizontal="center" vertical="center" wrapText="1"/>
    </xf>
    <xf numFmtId="0" fontId="59" fillId="15" borderId="24" xfId="0" applyFont="1" applyFill="1" applyBorder="1" applyAlignment="1">
      <alignment horizontal="center" vertical="center" wrapText="1"/>
    </xf>
    <xf numFmtId="0" fontId="59" fillId="15" borderId="70" xfId="0" applyFont="1" applyFill="1" applyBorder="1" applyAlignment="1">
      <alignment horizontal="center" vertical="center" wrapText="1"/>
    </xf>
    <xf numFmtId="0" fontId="59" fillId="13" borderId="24" xfId="0" applyFont="1" applyFill="1" applyBorder="1" applyAlignment="1">
      <alignment horizontal="center" vertical="center" wrapText="1"/>
    </xf>
    <xf numFmtId="0" fontId="59" fillId="13" borderId="70" xfId="0" applyFont="1" applyFill="1" applyBorder="1" applyAlignment="1">
      <alignment horizontal="center" vertical="center" wrapText="1"/>
    </xf>
    <xf numFmtId="0" fontId="59" fillId="3" borderId="24" xfId="0" applyFont="1" applyFill="1" applyBorder="1" applyAlignment="1">
      <alignment horizontal="center" vertical="center"/>
    </xf>
    <xf numFmtId="0" fontId="59" fillId="3" borderId="70" xfId="0" applyFont="1" applyFill="1" applyBorder="1" applyAlignment="1">
      <alignment horizontal="center" vertical="center"/>
    </xf>
    <xf numFmtId="0" fontId="59" fillId="3" borderId="65" xfId="0" applyFont="1" applyFill="1" applyBorder="1" applyAlignment="1">
      <alignment horizontal="center" vertical="center" wrapText="1"/>
    </xf>
    <xf numFmtId="0" fontId="59" fillId="19" borderId="24" xfId="0" applyFont="1" applyFill="1" applyBorder="1" applyAlignment="1">
      <alignment horizontal="center" vertical="center" wrapText="1"/>
    </xf>
    <xf numFmtId="0" fontId="59" fillId="19" borderId="70" xfId="0" applyFont="1" applyFill="1" applyBorder="1" applyAlignment="1">
      <alignment horizontal="center" vertical="center" wrapText="1"/>
    </xf>
    <xf numFmtId="0" fontId="59" fillId="0" borderId="64" xfId="0" applyFont="1" applyBorder="1" applyAlignment="1">
      <alignment horizontal="center" vertical="center" wrapText="1"/>
    </xf>
    <xf numFmtId="0" fontId="59" fillId="0" borderId="73" xfId="0" applyFont="1" applyBorder="1" applyAlignment="1">
      <alignment horizontal="center" vertical="center" wrapText="1"/>
    </xf>
    <xf numFmtId="0" fontId="59" fillId="12" borderId="24" xfId="0" applyFont="1" applyFill="1" applyBorder="1" applyAlignment="1">
      <alignment horizontal="center" vertical="center" wrapText="1"/>
    </xf>
    <xf numFmtId="0" fontId="59" fillId="12" borderId="70" xfId="0" applyFont="1" applyFill="1" applyBorder="1" applyAlignment="1">
      <alignment horizontal="center" vertical="center" wrapText="1"/>
    </xf>
    <xf numFmtId="0" fontId="59" fillId="9" borderId="64" xfId="0" applyFont="1" applyFill="1" applyBorder="1" applyAlignment="1">
      <alignment horizontal="center" vertical="center" wrapText="1"/>
    </xf>
    <xf numFmtId="0" fontId="59" fillId="9" borderId="65" xfId="0" applyFont="1" applyFill="1" applyBorder="1" applyAlignment="1">
      <alignment horizontal="center" vertical="center" wrapText="1"/>
    </xf>
    <xf numFmtId="0" fontId="59" fillId="9" borderId="73" xfId="0" applyFont="1" applyFill="1" applyBorder="1" applyAlignment="1">
      <alignment horizontal="center" vertical="center" wrapText="1"/>
    </xf>
    <xf numFmtId="0" fontId="88" fillId="23" borderId="0" xfId="0" applyFont="1" applyFill="1" applyBorder="1" applyAlignment="1">
      <alignment horizontal="center" vertical="center"/>
    </xf>
    <xf numFmtId="0" fontId="58" fillId="2" borderId="10" xfId="0" applyFont="1" applyFill="1" applyBorder="1" applyAlignment="1">
      <alignment horizontal="center" vertical="center"/>
    </xf>
    <xf numFmtId="0" fontId="58" fillId="2" borderId="7" xfId="0" applyFont="1" applyFill="1" applyBorder="1" applyAlignment="1">
      <alignment horizontal="center" vertical="center"/>
    </xf>
    <xf numFmtId="0" fontId="92" fillId="2" borderId="0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94" fillId="21" borderId="64" xfId="10" applyFont="1" applyFill="1" applyBorder="1" applyAlignment="1">
      <alignment horizontal="center" vertical="center" wrapText="1"/>
    </xf>
    <xf numFmtId="0" fontId="94" fillId="21" borderId="65" xfId="10" applyFont="1" applyFill="1" applyBorder="1" applyAlignment="1">
      <alignment horizontal="center" vertical="center" wrapText="1"/>
    </xf>
    <xf numFmtId="0" fontId="94" fillId="21" borderId="73" xfId="10" applyFont="1" applyFill="1" applyBorder="1" applyAlignment="1">
      <alignment horizontal="center" vertical="center" wrapText="1"/>
    </xf>
    <xf numFmtId="0" fontId="73" fillId="24" borderId="71" xfId="0" applyFont="1" applyFill="1" applyBorder="1" applyAlignment="1">
      <alignment horizontal="left"/>
    </xf>
    <xf numFmtId="0" fontId="73" fillId="24" borderId="72" xfId="0" applyFont="1" applyFill="1" applyBorder="1" applyAlignment="1">
      <alignment horizontal="left"/>
    </xf>
    <xf numFmtId="0" fontId="73" fillId="24" borderId="54" xfId="0" applyFont="1" applyFill="1" applyBorder="1" applyAlignment="1">
      <alignment horizontal="left"/>
    </xf>
    <xf numFmtId="0" fontId="67" fillId="4" borderId="78" xfId="0" applyNumberFormat="1" applyFont="1" applyFill="1" applyBorder="1" applyAlignment="1">
      <alignment horizontal="left" vertical="center" indent="4"/>
    </xf>
    <xf numFmtId="14" fontId="59" fillId="0" borderId="0" xfId="0" applyNumberFormat="1" applyFont="1" applyAlignment="1">
      <alignment vertical="center" wrapText="1"/>
    </xf>
    <xf numFmtId="14" fontId="81" fillId="3" borderId="0" xfId="0" applyNumberFormat="1" applyFont="1" applyFill="1" applyAlignment="1">
      <alignment horizontal="center" vertical="center"/>
    </xf>
    <xf numFmtId="14" fontId="84" fillId="3" borderId="0" xfId="0" applyNumberFormat="1" applyFont="1" applyFill="1" applyAlignment="1">
      <alignment horizontal="center" vertical="center"/>
    </xf>
    <xf numFmtId="14" fontId="84" fillId="3" borderId="1" xfId="0" applyNumberFormat="1" applyFont="1" applyFill="1" applyBorder="1" applyAlignment="1">
      <alignment horizontal="center" vertical="center"/>
    </xf>
    <xf numFmtId="0" fontId="85" fillId="3" borderId="0" xfId="0" applyNumberFormat="1" applyFont="1" applyFill="1" applyAlignment="1">
      <alignment horizontal="center" vertical="center"/>
    </xf>
    <xf numFmtId="0" fontId="80" fillId="0" borderId="0" xfId="0" applyNumberFormat="1" applyFont="1" applyAlignment="1">
      <alignment horizontal="center"/>
    </xf>
    <xf numFmtId="0" fontId="86" fillId="0" borderId="0" xfId="0" applyNumberFormat="1" applyFont="1" applyAlignment="1">
      <alignment vertical="center"/>
    </xf>
    <xf numFmtId="0" fontId="77" fillId="3" borderId="33" xfId="0" applyNumberFormat="1" applyFont="1" applyFill="1" applyBorder="1" applyAlignment="1">
      <alignment horizontal="center" vertical="center" wrapText="1"/>
    </xf>
    <xf numFmtId="0" fontId="84" fillId="3" borderId="0" xfId="0" applyNumberFormat="1" applyFont="1" applyFill="1" applyAlignment="1">
      <alignment horizontal="center" vertical="center"/>
    </xf>
    <xf numFmtId="0" fontId="86" fillId="0" borderId="4" xfId="0" applyNumberFormat="1" applyFont="1" applyBorder="1" applyAlignment="1">
      <alignment horizontal="center" vertical="center" wrapText="1"/>
    </xf>
    <xf numFmtId="0" fontId="77" fillId="14" borderId="75" xfId="0" applyNumberFormat="1" applyFont="1" applyFill="1" applyBorder="1" applyAlignment="1">
      <alignment horizontal="center" vertical="center" wrapText="1"/>
    </xf>
    <xf numFmtId="0" fontId="80" fillId="0" borderId="0" xfId="8" applyNumberFormat="1" applyFont="1" applyFill="1" applyAlignment="1">
      <alignment horizontal="center" vertical="center" wrapText="1"/>
    </xf>
    <xf numFmtId="0" fontId="80" fillId="13" borderId="67" xfId="0" applyNumberFormat="1" applyFont="1" applyFill="1" applyBorder="1" applyAlignment="1">
      <alignment horizontal="center" vertical="center"/>
    </xf>
    <xf numFmtId="0" fontId="80" fillId="0" borderId="0" xfId="0" applyNumberFormat="1" applyFont="1" applyAlignment="1">
      <alignment horizontal="center" vertical="center" wrapText="1"/>
    </xf>
    <xf numFmtId="0" fontId="86" fillId="0" borderId="0" xfId="0" applyNumberFormat="1" applyFont="1" applyAlignment="1">
      <alignment horizontal="center"/>
    </xf>
  </cellXfs>
  <cellStyles count="15">
    <cellStyle name="Milliers" xfId="8" builtinId="3"/>
    <cellStyle name="Milliers 2" xfId="2" xr:uid="{00000000-0005-0000-0000-000001000000}"/>
    <cellStyle name="Milliers 3" xfId="3" xr:uid="{00000000-0005-0000-0000-000002000000}"/>
    <cellStyle name="Milliers 3 2" xfId="4" xr:uid="{00000000-0005-0000-0000-000003000000}"/>
    <cellStyle name="Milliers 4" xfId="14" xr:uid="{00000000-0005-0000-0000-000004000000}"/>
    <cellStyle name="Normal" xfId="0" builtinId="0"/>
    <cellStyle name="Normal 2" xfId="5" xr:uid="{00000000-0005-0000-0000-000006000000}"/>
    <cellStyle name="Normal 3" xfId="9" xr:uid="{00000000-0005-0000-0000-000007000000}"/>
    <cellStyle name="Normal 3 2" xfId="11" xr:uid="{00000000-0005-0000-0000-000008000000}"/>
    <cellStyle name="Normal 4" xfId="13" xr:uid="{00000000-0005-0000-0000-000009000000}"/>
    <cellStyle name="Normal_Feuil1" xfId="10" xr:uid="{00000000-0005-0000-0000-00000B000000}"/>
    <cellStyle name="Pourcentage" xfId="12" builtinId="5"/>
    <cellStyle name="Pourcentage 2" xfId="1" xr:uid="{00000000-0005-0000-0000-00000D000000}"/>
    <cellStyle name="Pourcentage 3" xfId="6" xr:uid="{00000000-0005-0000-0000-00000E000000}"/>
    <cellStyle name="Pourcentage 3 2" xfId="7" xr:uid="{00000000-0005-0000-0000-00000F000000}"/>
  </cellStyles>
  <dxfs count="173"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minor"/>
      </font>
      <numFmt numFmtId="165" formatCode="_-* #,##0\ _€_-;\-* #,##0\ _€_-;_-* &quot;-&quot;??\ _€_-;_-@_-"/>
      <fill>
        <patternFill patternType="solid">
          <fgColor indexed="64"/>
          <bgColor theme="0" tint="-0.1499984740745262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minor"/>
      </font>
      <numFmt numFmtId="165" formatCode="_-* #,##0\ _€_-;\-* #,##0\ _€_-;_-* &quot;-&quot;??\ _€_-;_-@_-"/>
      <fill>
        <patternFill patternType="solid">
          <fgColor indexed="64"/>
          <bgColor theme="0" tint="-0.1499984740745262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minor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minor"/>
      </font>
      <numFmt numFmtId="165" formatCode="_-* #,##0\ _€_-;\-* #,##0\ _€_-;_-* &quot;-&quot;??\ _€_-;_-@_-"/>
      <fill>
        <patternFill patternType="solid">
          <fgColor indexed="64"/>
          <bgColor theme="0" tint="-4.9989318521683403E-2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minor"/>
      </font>
      <numFmt numFmtId="165" formatCode="_-* #,##0\ _€_-;\-* #,##0\ _€_-;_-* &quot;-&quot;??\ _€_-;_-@_-"/>
      <fill>
        <patternFill patternType="solid">
          <fgColor indexed="64"/>
          <bgColor theme="0" tint="-4.9989318521683403E-2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minor"/>
      </font>
      <numFmt numFmtId="165" formatCode="_-* #,##0\ _€_-;\-* #,##0\ _€_-;_-* &quot;-&quot;??\ _€_-;_-@_-"/>
      <fill>
        <patternFill patternType="solid">
          <fgColor indexed="64"/>
          <bgColor theme="9" tint="0.59999389629810485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minor"/>
      </font>
      <numFmt numFmtId="165" formatCode="_-* #,##0\ _€_-;\-* #,##0\ _€_-;_-* &quot;-&quot;??\ _€_-;_-@_-"/>
      <fill>
        <patternFill patternType="solid">
          <fgColor indexed="64"/>
          <bgColor theme="9" tint="0.59999389629810485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minor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minor"/>
      </font>
      <numFmt numFmtId="1" formatCode="0"/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minor"/>
      </font>
      <numFmt numFmtId="165" formatCode="_-* #,##0\ _€_-;\-* #,##0\ _€_-;_-* &quot;-&quot;??\ _€_-;_-@_-"/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minor"/>
      </font>
      <numFmt numFmtId="3" formatCode="#,##0"/>
      <fill>
        <patternFill patternType="solid">
          <fgColor indexed="64"/>
          <bgColor theme="6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minor"/>
      </font>
      <numFmt numFmtId="3" formatCode="#,##0"/>
      <fill>
        <patternFill patternType="solid">
          <fgColor indexed="64"/>
          <bgColor theme="6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minor"/>
      </font>
      <numFmt numFmtId="3" formatCode="#,##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minor"/>
      </font>
      <numFmt numFmtId="3" formatCode="#,##0"/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minor"/>
      </font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minor"/>
      </font>
      <numFmt numFmtId="3" formatCode="#,##0"/>
      <fill>
        <patternFill patternType="solid">
          <fgColor indexed="64"/>
          <bgColor theme="3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minor"/>
      </font>
      <numFmt numFmtId="3" formatCode="#,##0"/>
      <fill>
        <patternFill patternType="solid">
          <fgColor indexed="64"/>
          <bgColor theme="3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minor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minor"/>
      </font>
      <numFmt numFmtId="165" formatCode="_-* #,##0\ _€_-;\-* #,##0\ _€_-;_-* &quot;-&quot;??\ _€_-;_-@_-"/>
      <fill>
        <patternFill patternType="solid">
          <fgColor indexed="64"/>
          <bgColor theme="7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minor"/>
      </font>
      <numFmt numFmtId="165" formatCode="_-* #,##0\ _€_-;\-* #,##0\ _€_-;_-* &quot;-&quot;??\ _€_-;_-@_-"/>
      <fill>
        <patternFill patternType="solid">
          <fgColor indexed="64"/>
          <bgColor theme="7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minor"/>
      </font>
      <numFmt numFmtId="165" formatCode="_-* #,##0\ _€_-;\-* #,##0\ _€_-;_-* &quot;-&quot;??\ _€_-;_-@_-"/>
      <fill>
        <patternFill patternType="solid">
          <fgColor indexed="64"/>
          <bgColor theme="7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minor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minor"/>
      </font>
      <numFmt numFmtId="165" formatCode="_-* #,##0\ _€_-;\-* #,##0\ _€_-;_-* &quot;-&quot;??\ _€_-;_-@_-"/>
      <fill>
        <patternFill patternType="solid">
          <fgColor indexed="64"/>
          <bgColor rgb="FFFFFF99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minor"/>
      </font>
      <numFmt numFmtId="165" formatCode="_-* #,##0\ _€_-;\-* #,##0\ _€_-;_-* &quot;-&quot;??\ _€_-;_-@_-"/>
      <fill>
        <patternFill patternType="solid">
          <fgColor indexed="64"/>
          <bgColor rgb="FFFFFF99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minor"/>
      </font>
      <numFmt numFmtId="165" formatCode="_-* #,##0\ _€_-;\-* #,##0\ _€_-;_-* &quot;-&quot;??\ _€_-;_-@_-"/>
      <fill>
        <patternFill patternType="solid">
          <fgColor indexed="64"/>
          <bgColor rgb="FFFFFF99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minor"/>
      </font>
      <numFmt numFmtId="165" formatCode="_-* #,##0\ _€_-;\-* #,##0\ _€_-;_-* &quot;-&quot;??\ _€_-;_-@_-"/>
      <fill>
        <patternFill patternType="solid">
          <fgColor indexed="64"/>
          <bgColor rgb="FFFFFF99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minor"/>
      </font>
      <numFmt numFmtId="165" formatCode="_-* #,##0\ _€_-;\-* #,##0\ _€_-;_-* &quot;-&quot;??\ _€_-;_-@_-"/>
      <fill>
        <patternFill patternType="solid">
          <fgColor indexed="64"/>
          <bgColor rgb="FFFFFF99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minor"/>
      </font>
      <numFmt numFmtId="3" formatCode="#,##0"/>
      <fill>
        <patternFill patternType="solid">
          <fgColor indexed="64"/>
          <bgColor rgb="FFFFFFCC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minor"/>
      </font>
      <numFmt numFmtId="171" formatCode="_-* #,##0_-;\-* #,##0_-;_-* &quot;-&quot;??_-;_-@_-"/>
      <fill>
        <patternFill patternType="solid">
          <fgColor indexed="64"/>
          <bgColor rgb="FFFFFF99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minor"/>
      </font>
      <numFmt numFmtId="171" formatCode="_-* #,##0_-;\-* #,##0_-;_-* &quot;-&quot;??_-;_-@_-"/>
      <fill>
        <patternFill patternType="solid">
          <fgColor indexed="64"/>
          <bgColor rgb="FFFFFF99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minor"/>
      </font>
      <numFmt numFmtId="171" formatCode="_-* #,##0_-;\-* #,##0_-;_-* &quot;-&quot;??_-;_-@_-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minor"/>
      </font>
      <numFmt numFmtId="171" formatCode="_-* #,##0_-;\-* #,##0_-;_-* &quot;-&quot;??_-;_-@_-"/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FF0000"/>
        <name val="Calibri"/>
        <family val="2"/>
        <scheme val="minor"/>
      </font>
      <numFmt numFmtId="166" formatCode="#,##0.0"/>
      <fill>
        <patternFill patternType="solid">
          <fgColor indexed="64"/>
          <bgColor theme="9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minor"/>
      </font>
      <numFmt numFmtId="165" formatCode="_-* #,##0\ _€_-;\-* #,##0\ _€_-;_-* &quot;-&quot;??\ _€_-;_-@_-"/>
      <fill>
        <patternFill patternType="solid">
          <fgColor indexed="64"/>
          <bgColor theme="0" tint="-4.9989318521683403E-2"/>
        </patternFill>
      </fill>
      <alignment horizontal="right" vertical="center" textRotation="0" wrapText="0" indent="1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minor"/>
      </font>
      <numFmt numFmtId="165" formatCode="_-* #,##0\ _€_-;\-* #,##0\ _€_-;_-* &quot;-&quot;??\ _€_-;_-@_-"/>
      <fill>
        <patternFill patternType="solid">
          <fgColor indexed="64"/>
          <bgColor theme="0" tint="-4.9989318521683403E-2"/>
        </patternFill>
      </fill>
      <alignment horizontal="right" vertical="center" textRotation="0" wrapText="0" indent="1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minor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minor"/>
      </font>
      <numFmt numFmtId="165" formatCode="_-* #,##0\ _€_-;\-* #,##0\ _€_-;_-* &quot;-&quot;??\ _€_-;_-@_-"/>
      <fill>
        <patternFill patternType="solid">
          <fgColor indexed="64"/>
          <bgColor rgb="FFFFFF99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minor"/>
      </font>
      <numFmt numFmtId="165" formatCode="_-* #,##0\ _€_-;\-* #,##0\ _€_-;_-* &quot;-&quot;??\ _€_-;_-@_-"/>
      <fill>
        <patternFill patternType="solid">
          <fgColor indexed="64"/>
          <bgColor rgb="FFFFFF99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minor"/>
      </font>
      <numFmt numFmtId="165" formatCode="_-* #,##0\ _€_-;\-* #,##0\ _€_-;_-* &quot;-&quot;??\ _€_-;_-@_-"/>
      <fill>
        <patternFill patternType="solid">
          <fgColor indexed="64"/>
          <bgColor rgb="FFFFFF99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minor"/>
      </font>
      <numFmt numFmtId="165" formatCode="_-* #,##0\ _€_-;\-* #,##0\ _€_-;_-* &quot;-&quot;??\ _€_-;_-@_-"/>
      <fill>
        <patternFill patternType="solid">
          <fgColor indexed="64"/>
          <bgColor rgb="FFFFFF99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minor"/>
      </font>
      <numFmt numFmtId="165" formatCode="_-* #,##0\ _€_-;\-* #,##0\ _€_-;_-* &quot;-&quot;??\ _€_-;_-@_-"/>
      <fill>
        <patternFill patternType="solid">
          <fgColor indexed="64"/>
          <bgColor rgb="FFFFFF99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minor"/>
      </font>
      <numFmt numFmtId="3" formatCode="#,##0"/>
      <fill>
        <patternFill patternType="solid">
          <fgColor indexed="64"/>
          <bgColor rgb="FFFFFF99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minor"/>
      </font>
      <numFmt numFmtId="3" formatCode="#,##0"/>
      <fill>
        <patternFill patternType="solid">
          <fgColor indexed="64"/>
          <bgColor rgb="FFFFFF99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minor"/>
      </font>
      <numFmt numFmtId="171" formatCode="_-* #,##0_-;\-* #,##0_-;_-* &quot;-&quot;??_-;_-@_-"/>
      <fill>
        <patternFill patternType="solid">
          <fgColor indexed="64"/>
          <bgColor rgb="FFFFFF99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minor"/>
      </font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minor"/>
      </font>
      <numFmt numFmtId="171" formatCode="_-* #,##0_-;\-* #,##0_-;_-* &quot;-&quot;??_-;_-@_-"/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minor"/>
      </font>
      <alignment horizontal="right" vertical="center" textRotation="0" wrapText="0" indent="1" justifyLastLine="0" shrinkToFit="0" readingOrder="0"/>
      <border diagonalUp="0" diagonalDown="0" outline="0">
        <left/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minor"/>
      </font>
      <numFmt numFmtId="165" formatCode="_-* #,##0\ _€_-;\-* #,##0\ _€_-;_-* &quot;-&quot;??\ _€_-;_-@_-"/>
      <fill>
        <patternFill patternType="solid">
          <fgColor indexed="64"/>
          <bgColor theme="0" tint="-4.9989318521683403E-2"/>
        </patternFill>
      </fill>
      <alignment horizontal="right" vertical="center" textRotation="0" wrapText="0" indent="1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minor"/>
      </font>
      <numFmt numFmtId="165" formatCode="_-* #,##0\ _€_-;\-* #,##0\ _€_-;_-* &quot;-&quot;??\ _€_-;_-@_-"/>
      <fill>
        <patternFill patternType="solid">
          <fgColor indexed="64"/>
          <bgColor theme="4" tint="0.39997558519241921"/>
        </patternFill>
      </fill>
      <alignment horizontal="right" vertical="center" textRotation="0" wrapText="0" indent="1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minor"/>
      </font>
      <alignment horizontal="general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minor"/>
      </font>
      <numFmt numFmtId="165" formatCode="_-* #,##0\ _€_-;\-* #,##0\ _€_-;_-* &quot;-&quot;??\ _€_-;_-@_-"/>
      <fill>
        <patternFill patternType="solid">
          <fgColor indexed="64"/>
          <bgColor rgb="FFFFFFCC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minor"/>
      </font>
      <numFmt numFmtId="165" formatCode="_-* #,##0\ _€_-;\-* #,##0\ _€_-;_-* &quot;-&quot;??\ _€_-;_-@_-"/>
      <fill>
        <patternFill patternType="solid">
          <fgColor indexed="64"/>
          <bgColor rgb="FFFFFFCC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minor"/>
      </font>
      <numFmt numFmtId="165" formatCode="_-* #,##0\ _€_-;\-* #,##0\ _€_-;_-* &quot;-&quot;??\ _€_-;_-@_-"/>
      <fill>
        <patternFill patternType="solid">
          <fgColor indexed="64"/>
          <bgColor rgb="FFFFFFCC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minor"/>
      </font>
      <numFmt numFmtId="165" formatCode="_-* #,##0\ _€_-;\-* #,##0\ _€_-;_-* &quot;-&quot;??\ _€_-;_-@_-"/>
      <fill>
        <patternFill patternType="solid">
          <fgColor indexed="64"/>
          <bgColor rgb="FFFFFFCC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minor"/>
      </font>
      <numFmt numFmtId="165" formatCode="_-* #,##0\ _€_-;\-* #,##0\ _€_-;_-* &quot;-&quot;??\ _€_-;_-@_-"/>
      <fill>
        <patternFill patternType="solid">
          <fgColor indexed="64"/>
          <bgColor rgb="FFFFFFCC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minor"/>
      </font>
      <numFmt numFmtId="165" formatCode="_-* #,##0\ _€_-;\-* #,##0\ _€_-;_-* &quot;-&quot;??\ _€_-;_-@_-"/>
      <fill>
        <patternFill patternType="solid">
          <fgColor indexed="64"/>
          <bgColor rgb="FFFFFFCC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minor"/>
      </font>
      <numFmt numFmtId="165" formatCode="_-* #,##0\ _€_-;\-* #,##0\ _€_-;_-* &quot;-&quot;??\ _€_-;_-@_-"/>
      <fill>
        <patternFill patternType="solid">
          <fgColor indexed="64"/>
          <bgColor rgb="FFFFFFCC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minor"/>
      </font>
      <numFmt numFmtId="165" formatCode="_-* #,##0\ _€_-;\-* #,##0\ _€_-;_-* &quot;-&quot;??\ _€_-;_-@_-"/>
      <fill>
        <patternFill patternType="solid">
          <fgColor indexed="64"/>
          <bgColor rgb="FFFFFFCC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minor"/>
      </font>
      <numFmt numFmtId="165" formatCode="_-* #,##0\ _€_-;\-* #,##0\ _€_-;_-* &quot;-&quot;??\ _€_-;_-@_-"/>
      <fill>
        <patternFill patternType="solid">
          <fgColor indexed="64"/>
          <bgColor rgb="FFFFFFCC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minor"/>
      </font>
      <numFmt numFmtId="165" formatCode="_-* #,##0\ _€_-;\-* #,##0\ _€_-;_-* &quot;-&quot;??\ _€_-;_-@_-"/>
      <fill>
        <patternFill patternType="solid">
          <fgColor indexed="64"/>
          <bgColor rgb="FFFFFFCC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minor"/>
      </font>
      <numFmt numFmtId="165" formatCode="_-* #,##0\ _€_-;\-* #,##0\ _€_-;_-* &quot;-&quot;??\ _€_-;_-@_-"/>
      <fill>
        <patternFill patternType="solid">
          <fgColor indexed="64"/>
          <bgColor rgb="FFFFFFCC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minor"/>
      </font>
      <numFmt numFmtId="165" formatCode="_-* #,##0\ _€_-;\-* #,##0\ _€_-;_-* &quot;-&quot;??\ _€_-;_-@_-"/>
      <fill>
        <patternFill patternType="solid">
          <fgColor indexed="64"/>
          <bgColor rgb="FFFFFFCC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minor"/>
      </font>
      <numFmt numFmtId="165" formatCode="_-* #,##0\ _€_-;\-* #,##0\ _€_-;_-* &quot;-&quot;??\ _€_-;_-@_-"/>
      <fill>
        <patternFill patternType="solid">
          <fgColor indexed="64"/>
          <bgColor rgb="FFFFFFCC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minor"/>
      </font>
      <numFmt numFmtId="165" formatCode="_-* #,##0\ _€_-;\-* #,##0\ _€_-;_-* &quot;-&quot;??\ _€_-;_-@_-"/>
      <fill>
        <patternFill patternType="solid">
          <fgColor indexed="64"/>
          <bgColor rgb="FFFFFFCC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minor"/>
      </font>
      <numFmt numFmtId="165" formatCode="_-* #,##0\ _€_-;\-* #,##0\ _€_-;_-* &quot;-&quot;??\ _€_-;_-@_-"/>
      <fill>
        <patternFill patternType="solid">
          <fgColor indexed="64"/>
          <bgColor rgb="FFFFFFCC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minor"/>
      </font>
      <numFmt numFmtId="165" formatCode="_-* #,##0\ _€_-;\-* #,##0\ _€_-;_-* &quot;-&quot;??\ _€_-;_-@_-"/>
      <fill>
        <patternFill patternType="solid">
          <fgColor indexed="64"/>
          <bgColor rgb="FFFFFFCC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minor"/>
      </font>
      <numFmt numFmtId="165" formatCode="_-* #,##0\ _€_-;\-* #,##0\ _€_-;_-* &quot;-&quot;??\ _€_-;_-@_-"/>
      <fill>
        <patternFill patternType="solid">
          <fgColor indexed="64"/>
          <bgColor rgb="FFFFFFCC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minor"/>
      </font>
      <numFmt numFmtId="165" formatCode="_-* #,##0\ _€_-;\-* #,##0\ _€_-;_-* &quot;-&quot;??\ _€_-;_-@_-"/>
      <fill>
        <patternFill patternType="solid">
          <fgColor indexed="64"/>
          <bgColor rgb="FFFFFFCC"/>
        </patternFill>
      </fill>
      <alignment horizontal="general" vertical="center" textRotation="0" wrapText="1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minor"/>
      </font>
      <numFmt numFmtId="165" formatCode="_-* #,##0\ _€_-;\-* #,##0\ _€_-;_-* &quot;-&quot;??\ _€_-;_-@_-"/>
      <fill>
        <patternFill patternType="solid">
          <fgColor indexed="64"/>
          <bgColor theme="3" tint="0.5999938962981048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minor"/>
      </font>
      <numFmt numFmtId="165" formatCode="_-* #,##0\ _€_-;\-* #,##0\ _€_-;_-* &quot;-&quot;??\ _€_-;_-@_-"/>
      <fill>
        <patternFill patternType="solid">
          <fgColor indexed="64"/>
          <bgColor theme="3" tint="0.5999938962981048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minor"/>
      </font>
      <alignment horizontal="general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minor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minor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minor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minor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minor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minor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FF0000"/>
        <name val="Calibri"/>
        <family val="2"/>
        <scheme val="minor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FF0000"/>
        <name val="Calibri"/>
        <family val="2"/>
        <scheme val="minor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FF0000"/>
        <name val="Calibri"/>
        <family val="2"/>
        <scheme val="minor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FF0000"/>
        <name val="Calibri"/>
        <family val="2"/>
        <scheme val="minor"/>
      </font>
      <numFmt numFmtId="0" formatCode="General"/>
      <fill>
        <patternFill patternType="solid">
          <fgColor indexed="64"/>
          <bgColor theme="0" tint="-0.149998474074526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minor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FF0000"/>
        <name val="Calibri"/>
        <family val="2"/>
        <scheme val="minor"/>
      </font>
      <numFmt numFmtId="17" formatCode="#&quot; &quot;?/?"/>
      <fill>
        <patternFill patternType="solid">
          <fgColor indexed="64"/>
          <bgColor theme="0" tint="-0.149998474074526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FF0000"/>
        <name val="Calibri"/>
        <family val="2"/>
        <scheme val="minor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minor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.5"/>
        <color auto="1"/>
        <name val="Calibri"/>
        <family val="2"/>
        <scheme val="minor"/>
      </font>
      <numFmt numFmtId="0" formatCode="General"/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FF0000"/>
        <name val="Calibri"/>
        <family val="2"/>
        <scheme val="minor"/>
      </font>
      <numFmt numFmtId="0" formatCode="General"/>
      <alignment horizontal="center" vertical="center" textRotation="0" wrapText="1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.5"/>
        <color auto="1"/>
        <name val="Calibri"/>
        <family val="2"/>
        <scheme val="minor"/>
      </font>
      <numFmt numFmtId="165" formatCode="_-* #,##0\ _€_-;\-* #,##0\ _€_-;_-* &quot;-&quot;??\ _€_-;_-@_-"/>
      <fill>
        <patternFill patternType="solid">
          <fgColor indexed="64"/>
          <bgColor theme="0" tint="-0.1499984740745262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.5"/>
        <color auto="1"/>
        <name val="Calibri"/>
        <family val="2"/>
        <scheme val="minor"/>
      </font>
      <numFmt numFmtId="165" formatCode="_-* #,##0\ _€_-;\-* #,##0\ _€_-;_-* &quot;-&quot;??\ _€_-;_-@_-"/>
      <fill>
        <patternFill patternType="solid">
          <fgColor indexed="64"/>
          <bgColor theme="0" tint="-0.1499984740745262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.5"/>
        <color auto="1"/>
        <name val="Calibri"/>
        <family val="2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.5"/>
        <color auto="1"/>
        <name val="Calibri"/>
        <family val="2"/>
        <scheme val="minor"/>
      </font>
      <numFmt numFmtId="165" formatCode="_-* #,##0\ _€_-;\-* #,##0\ _€_-;_-* &quot;-&quot;??\ _€_-;_-@_-"/>
      <fill>
        <patternFill patternType="solid">
          <fgColor indexed="64"/>
          <bgColor theme="0" tint="-4.9989318521683403E-2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.5"/>
        <color auto="1"/>
        <name val="Calibri"/>
        <family val="2"/>
        <scheme val="minor"/>
      </font>
      <numFmt numFmtId="165" formatCode="_-* #,##0\ _€_-;\-* #,##0\ _€_-;_-* &quot;-&quot;??\ _€_-;_-@_-"/>
      <fill>
        <patternFill patternType="solid">
          <fgColor indexed="64"/>
          <bgColor theme="0" tint="-4.9989318521683403E-2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.5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.5"/>
        <color auto="1"/>
        <name val="Calibri"/>
        <family val="2"/>
        <scheme val="minor"/>
      </font>
      <numFmt numFmtId="165" formatCode="_-* #,##0\ _€_-;\-* #,##0\ _€_-;_-* &quot;-&quot;??\ _€_-;_-@_-"/>
      <fill>
        <patternFill patternType="solid">
          <fgColor indexed="64"/>
          <bgColor theme="9" tint="0.59999389629810485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.5"/>
        <color auto="1"/>
        <name val="Calibri"/>
        <family val="2"/>
        <scheme val="minor"/>
      </font>
      <numFmt numFmtId="165" formatCode="_-* #,##0\ _€_-;\-* #,##0\ _€_-;_-* &quot;-&quot;??\ _€_-;_-@_-"/>
      <fill>
        <patternFill patternType="solid">
          <fgColor indexed="64"/>
          <bgColor theme="9" tint="0.59999389629810485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.5"/>
        <color auto="1"/>
        <name val="Calibri"/>
        <family val="2"/>
        <scheme val="minor"/>
      </font>
      <numFmt numFmtId="1" formatCode="0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.5"/>
        <color auto="1"/>
        <name val="Calibri"/>
        <family val="2"/>
        <scheme val="minor"/>
      </font>
      <numFmt numFmtId="1" formatCode="0"/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.5"/>
        <color auto="1"/>
        <name val="Calibri"/>
        <family val="2"/>
        <scheme val="minor"/>
      </font>
      <numFmt numFmtId="165" formatCode="_-* #,##0\ _€_-;\-* #,##0\ _€_-;_-* &quot;-&quot;??\ _€_-;_-@_-"/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.5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.5"/>
        <color auto="1"/>
        <name val="Calibri"/>
        <family val="2"/>
        <scheme val="minor"/>
      </font>
      <numFmt numFmtId="3" formatCode="#,##0"/>
      <fill>
        <patternFill patternType="solid">
          <fgColor indexed="64"/>
          <bgColor theme="6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.5"/>
        <color auto="1"/>
        <name val="Calibri"/>
        <family val="2"/>
        <scheme val="minor"/>
      </font>
      <numFmt numFmtId="3" formatCode="#,##0"/>
      <fill>
        <patternFill patternType="solid">
          <fgColor indexed="64"/>
          <bgColor theme="6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.5"/>
        <color auto="1"/>
        <name val="Calibri"/>
        <family val="2"/>
        <scheme val="minor"/>
      </font>
      <numFmt numFmtId="3" formatCode="#,##0"/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.5"/>
        <color auto="1"/>
        <name val="Calibri"/>
        <family val="2"/>
        <scheme val="minor"/>
      </font>
      <numFmt numFmtId="3" formatCode="#,##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.5"/>
        <color auto="1"/>
        <name val="Calibri"/>
        <family val="2"/>
        <scheme val="minor"/>
      </font>
      <numFmt numFmtId="3" formatCode="#,##0"/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.5"/>
        <color auto="1"/>
        <name val="Calibri"/>
        <family val="2"/>
        <scheme val="minor"/>
      </font>
      <numFmt numFmtId="3" formatCode="#,##0"/>
      <fill>
        <patternFill patternType="solid">
          <fgColor indexed="64"/>
          <bgColor theme="3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.5"/>
        <color auto="1"/>
        <name val="Calibri"/>
        <family val="2"/>
        <scheme val="minor"/>
      </font>
      <numFmt numFmtId="3" formatCode="#,##0"/>
      <fill>
        <patternFill patternType="solid">
          <fgColor indexed="64"/>
          <bgColor theme="3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.5"/>
        <color auto="1"/>
        <name val="Calibri"/>
        <family val="2"/>
        <scheme val="minor"/>
      </font>
      <numFmt numFmtId="165" formatCode="_-* #,##0\ _€_-;\-* #,##0\ _€_-;_-* &quot;-&quot;??\ _€_-;_-@_-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.5"/>
        <color auto="1"/>
        <name val="Calibri"/>
        <family val="2"/>
        <scheme val="minor"/>
      </font>
      <numFmt numFmtId="165" formatCode="_-* #,##0\ _€_-;\-* #,##0\ _€_-;_-* &quot;-&quot;??\ _€_-;_-@_-"/>
      <fill>
        <patternFill patternType="solid">
          <fgColor indexed="64"/>
          <bgColor theme="7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.5"/>
        <color auto="1"/>
        <name val="Calibri"/>
        <family val="2"/>
        <scheme val="minor"/>
      </font>
      <numFmt numFmtId="165" formatCode="_-* #,##0\ _€_-;\-* #,##0\ _€_-;_-* &quot;-&quot;??\ _€_-;_-@_-"/>
      <fill>
        <patternFill patternType="solid">
          <fgColor indexed="64"/>
          <bgColor theme="7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.5"/>
        <color auto="1"/>
        <name val="Calibri"/>
        <family val="2"/>
        <scheme val="minor"/>
      </font>
      <numFmt numFmtId="165" formatCode="_-* #,##0\ _€_-;\-* #,##0\ _€_-;_-* &quot;-&quot;??\ _€_-;_-@_-"/>
      <fill>
        <patternFill patternType="solid">
          <fgColor indexed="64"/>
          <bgColor theme="7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.5"/>
        <color auto="1"/>
        <name val="Calibri"/>
        <family val="2"/>
        <scheme val="minor"/>
      </font>
      <numFmt numFmtId="165" formatCode="_-* #,##0\ _€_-;\-* #,##0\ _€_-;_-* &quot;-&quot;??\ _€_-;_-@_-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.5"/>
        <color auto="1"/>
        <name val="Calibri"/>
        <family val="2"/>
        <scheme val="minor"/>
      </font>
      <numFmt numFmtId="165" formatCode="_-* #,##0\ _€_-;\-* #,##0\ _€_-;_-* &quot;-&quot;??\ _€_-;_-@_-"/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.5"/>
        <color auto="1"/>
        <name val="Calibri"/>
        <family val="2"/>
        <scheme val="minor"/>
      </font>
      <numFmt numFmtId="165" formatCode="_-* #,##0\ _€_-;\-* #,##0\ _€_-;_-* &quot;-&quot;??\ _€_-;_-@_-"/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.5"/>
        <color auto="1"/>
        <name val="Calibri"/>
        <family val="2"/>
        <scheme val="minor"/>
      </font>
      <numFmt numFmtId="165" formatCode="_-* #,##0\ _€_-;\-* #,##0\ _€_-;_-* &quot;-&quot;??\ _€_-;_-@_-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.5"/>
        <color auto="1"/>
        <name val="Calibri"/>
        <family val="2"/>
        <scheme val="minor"/>
      </font>
      <numFmt numFmtId="165" formatCode="_-* #,##0\ _€_-;\-* #,##0\ _€_-;_-* &quot;-&quot;??\ _€_-;_-@_-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.5"/>
        <color auto="1"/>
        <name val="Calibri"/>
        <family val="2"/>
        <scheme val="minor"/>
      </font>
      <numFmt numFmtId="165" formatCode="_-* #,##0\ _€_-;\-* #,##0\ _€_-;_-* &quot;-&quot;??\ _€_-;_-@_-"/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.5"/>
        <color auto="1"/>
        <name val="Calibri"/>
        <family val="2"/>
        <scheme val="minor"/>
      </font>
      <numFmt numFmtId="166" formatCode="#,##0.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.5"/>
        <color auto="1"/>
        <name val="Calibri"/>
        <family val="2"/>
        <scheme val="minor"/>
      </font>
      <numFmt numFmtId="3" formatCode="#,##0"/>
      <fill>
        <patternFill patternType="solid">
          <fgColor indexed="64"/>
          <bgColor rgb="FFFFFFCC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 style="thin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71" formatCode="_-* #,##0_-;\-* #,##0_-;_-* &quot;-&quot;??_-;_-@_-"/>
      <fill>
        <patternFill patternType="solid">
          <fgColor indexed="64"/>
          <bgColor rgb="FFFFFF99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medium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71" formatCode="_-* #,##0_-;\-* #,##0_-;_-* &quot;-&quot;??_-;_-@_-"/>
      <fill>
        <patternFill patternType="solid">
          <fgColor indexed="64"/>
          <bgColor rgb="FFFFFF99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71" formatCode="_-* #,##0_-;\-* #,##0_-;_-* &quot;-&quot;??_-;_-@_-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71" formatCode="_-* #,##0_-;\-* #,##0_-;_-* &quot;-&quot;??_-;_-@_-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.5"/>
        <color auto="1"/>
        <name val="Calibri"/>
        <family val="2"/>
        <scheme val="minor"/>
      </font>
      <numFmt numFmtId="166" formatCode="#,##0.0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.5"/>
        <color rgb="FFFF0000"/>
        <name val="Calibri"/>
        <family val="2"/>
        <scheme val="minor"/>
      </font>
      <numFmt numFmtId="166" formatCode="#,##0.0"/>
      <fill>
        <patternFill patternType="solid">
          <fgColor indexed="64"/>
          <bgColor theme="9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.5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.5"/>
        <color auto="1"/>
        <name val="Calibri"/>
        <family val="2"/>
        <scheme val="minor"/>
      </font>
      <numFmt numFmtId="165" formatCode="_-* #,##0\ _€_-;\-* #,##0\ _€_-;_-* &quot;-&quot;??\ _€_-;_-@_-"/>
      <fill>
        <patternFill patternType="solid">
          <fgColor indexed="64"/>
          <bgColor theme="0" tint="-4.9989318521683403E-2"/>
        </patternFill>
      </fill>
      <alignment horizontal="right" vertical="center" textRotation="0" wrapText="0" indent="1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.5"/>
        <color auto="1"/>
        <name val="Calibri"/>
        <family val="2"/>
        <scheme val="minor"/>
      </font>
      <numFmt numFmtId="165" formatCode="_-* #,##0\ _€_-;\-* #,##0\ _€_-;_-* &quot;-&quot;??\ _€_-;_-@_-"/>
      <fill>
        <patternFill patternType="solid">
          <fgColor indexed="64"/>
          <bgColor theme="0" tint="-4.9989318521683403E-2"/>
        </patternFill>
      </fill>
      <alignment horizontal="right" vertical="center" textRotation="0" wrapText="0" indent="1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.5"/>
        <color auto="1"/>
        <name val="Calibri"/>
        <family val="2"/>
        <scheme val="minor"/>
      </font>
      <numFmt numFmtId="3" formatCode="#,##0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.5"/>
        <color auto="1"/>
        <name val="Calibri"/>
        <family val="2"/>
        <scheme val="minor"/>
      </font>
      <numFmt numFmtId="165" formatCode="_-* #,##0\ _€_-;\-* #,##0\ _€_-;_-* &quot;-&quot;??\ _€_-;_-@_-"/>
      <fill>
        <patternFill patternType="solid">
          <fgColor indexed="64"/>
          <bgColor rgb="FFFFFF99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.5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.5"/>
        <color auto="1"/>
        <name val="Calibri"/>
        <family val="2"/>
        <scheme val="minor"/>
      </font>
      <numFmt numFmtId="165" formatCode="_-* #,##0\ _€_-;\-* #,##0\ _€_-;_-* &quot;-&quot;??\ _€_-;_-@_-"/>
      <fill>
        <patternFill patternType="solid">
          <fgColor indexed="64"/>
          <bgColor rgb="FFFFFF99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.5"/>
        <color auto="1"/>
        <name val="Calibri"/>
        <family val="2"/>
        <scheme val="minor"/>
      </font>
      <numFmt numFmtId="165" formatCode="_-* #,##0\ _€_-;\-* #,##0\ _€_-;_-* &quot;-&quot;??\ _€_-;_-@_-"/>
      <fill>
        <patternFill patternType="solid">
          <fgColor indexed="64"/>
          <bgColor rgb="FFFFFF99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.5"/>
        <color auto="1"/>
        <name val="Calibri"/>
        <family val="2"/>
        <scheme val="minor"/>
      </font>
      <numFmt numFmtId="165" formatCode="_-* #,##0\ _€_-;\-* #,##0\ _€_-;_-* &quot;-&quot;??\ _€_-;_-@_-"/>
      <fill>
        <patternFill patternType="solid">
          <fgColor indexed="64"/>
          <bgColor rgb="FFFFFF99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.5"/>
        <color auto="1"/>
        <name val="Calibri"/>
        <family val="2"/>
        <scheme val="minor"/>
      </font>
      <numFmt numFmtId="165" formatCode="_-* #,##0\ _€_-;\-* #,##0\ _€_-;_-* &quot;-&quot;??\ _€_-;_-@_-"/>
      <fill>
        <patternFill patternType="solid">
          <fgColor indexed="64"/>
          <bgColor rgb="FFFFFF99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.5"/>
        <color auto="1"/>
        <name val="Calibri"/>
        <family val="2"/>
        <scheme val="minor"/>
      </font>
      <numFmt numFmtId="3" formatCode="#,##0"/>
      <fill>
        <patternFill patternType="solid">
          <fgColor indexed="64"/>
          <bgColor rgb="FFFFFF99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.5"/>
        <color auto="1"/>
        <name val="Calibri"/>
        <family val="2"/>
        <scheme val="minor"/>
      </font>
      <numFmt numFmtId="3" formatCode="#,##0"/>
      <fill>
        <patternFill patternType="solid">
          <fgColor indexed="64"/>
          <bgColor rgb="FFFFFF99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71" formatCode="_-* #,##0_-;\-* #,##0_-;_-* &quot;-&quot;??_-;_-@_-"/>
      <fill>
        <patternFill patternType="solid">
          <fgColor indexed="64"/>
          <bgColor rgb="FFFFFF99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.5"/>
        <color auto="1"/>
        <name val="Calibri"/>
        <family val="2"/>
        <scheme val="minor"/>
      </font>
      <numFmt numFmtId="3" formatCode="#,##0"/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.5"/>
        <color auto="1"/>
        <name val="Calibri"/>
        <family val="2"/>
        <scheme val="minor"/>
      </font>
      <numFmt numFmtId="165" formatCode="_-* #,##0\ _€_-;\-* #,##0\ _€_-;_-* &quot;-&quot;??\ _€_-;_-@_-"/>
      <alignment horizontal="right" vertical="center" textRotation="0" wrapText="0" indent="1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.5"/>
        <color auto="1"/>
        <name val="Calibri"/>
        <family val="2"/>
        <scheme val="minor"/>
      </font>
      <numFmt numFmtId="165" formatCode="_-* #,##0\ _€_-;\-* #,##0\ _€_-;_-* &quot;-&quot;??\ _€_-;_-@_-"/>
      <fill>
        <patternFill patternType="solid">
          <fgColor indexed="64"/>
          <bgColor theme="0" tint="-4.9989318521683403E-2"/>
        </patternFill>
      </fill>
      <alignment horizontal="right" vertical="center" textRotation="0" wrapText="0" indent="1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.5"/>
        <color auto="1"/>
        <name val="Calibri"/>
        <family val="2"/>
        <scheme val="minor"/>
      </font>
      <numFmt numFmtId="165" formatCode="_-* #,##0\ _€_-;\-* #,##0\ _€_-;_-* &quot;-&quot;??\ _€_-;_-@_-"/>
      <fill>
        <patternFill patternType="solid">
          <fgColor indexed="64"/>
          <bgColor theme="4" tint="0.39997558519241921"/>
        </patternFill>
      </fill>
      <alignment horizontal="right" vertical="center" textRotation="0" wrapText="0" indent="1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.5"/>
        <color auto="1"/>
        <name val="Calibri"/>
        <family val="2"/>
        <scheme val="minor"/>
      </font>
      <numFmt numFmtId="165" formatCode="_-* #,##0\ _€_-;\-* #,##0\ _€_-;_-* &quot;-&quot;??\ _€_-;_-@_-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numFmt numFmtId="165" formatCode="_-* #,##0\ _€_-;\-* #,##0\ _€_-;_-* &quot;-&quot;??\ _€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.5"/>
        <color auto="1"/>
        <name val="Calibri"/>
        <family val="2"/>
        <scheme val="minor"/>
      </font>
      <numFmt numFmtId="165" formatCode="_-* #,##0\ _€_-;\-* #,##0\ _€_-;_-* &quot;-&quot;??\ _€_-;_-@_-"/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.5"/>
        <color auto="1"/>
        <name val="Calibri"/>
        <family val="2"/>
        <scheme val="minor"/>
      </font>
      <numFmt numFmtId="165" formatCode="_-* #,##0\ _€_-;\-* #,##0\ _€_-;_-* &quot;-&quot;??\ _€_-;_-@_-"/>
      <fill>
        <patternFill patternType="solid">
          <fgColor indexed="64"/>
          <bgColor theme="0" tint="-4.9989318521683403E-2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.5"/>
        <color auto="1"/>
        <name val="Calibri"/>
        <family val="2"/>
        <scheme val="minor"/>
      </font>
      <numFmt numFmtId="165" formatCode="_-* #,##0\ _€_-;\-* #,##0\ _€_-;_-* &quot;-&quot;??\ _€_-;_-@_-"/>
      <fill>
        <patternFill patternType="solid">
          <fgColor indexed="64"/>
          <bgColor theme="0" tint="-4.9989318521683403E-2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.5"/>
        <color auto="1"/>
        <name val="Calibri"/>
        <family val="2"/>
        <scheme val="minor"/>
      </font>
      <numFmt numFmtId="3" formatCode="#,##0"/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.5"/>
        <color auto="1"/>
        <name val="Calibri"/>
        <family val="2"/>
        <scheme val="minor"/>
      </font>
      <numFmt numFmtId="13" formatCode="0%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.5"/>
        <color auto="1"/>
        <name val="Calibri"/>
        <family val="2"/>
        <scheme val="minor"/>
      </font>
      <numFmt numFmtId="19" formatCode="dd/mm/yyyy"/>
      <fill>
        <patternFill patternType="solid">
          <fgColor indexed="64"/>
          <bgColor theme="9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.5"/>
        <color auto="1"/>
        <name val="Calibri"/>
        <family val="2"/>
        <scheme val="minor"/>
      </font>
      <numFmt numFmtId="19" formatCode="dd/mm/yyyy"/>
      <fill>
        <patternFill patternType="solid">
          <fgColor indexed="64"/>
          <bgColor theme="9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.5"/>
        <color auto="1"/>
        <name val="Calibri"/>
        <family val="2"/>
        <scheme val="minor"/>
      </font>
      <numFmt numFmtId="19" formatCode="dd/mm/yyyy"/>
      <fill>
        <patternFill patternType="solid">
          <fgColor indexed="64"/>
          <bgColor theme="9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.5"/>
        <color auto="1"/>
        <name val="Calibri"/>
        <family val="2"/>
        <scheme val="minor"/>
      </font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FF0000"/>
        <name val="Calibri"/>
        <family val="2"/>
        <scheme val="minor"/>
      </font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FF0000"/>
        <name val="Calibri"/>
        <family val="2"/>
        <scheme val="minor"/>
      </font>
      <alignment horizontal="center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FF0000"/>
        <name val="Calibri"/>
        <family val="2"/>
        <scheme val="minor"/>
      </font>
      <numFmt numFmtId="170" formatCode="[$-40C]d\-mmm\-yy;@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minor"/>
      </font>
      <numFmt numFmtId="3" formatCode="#,##0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FF0000"/>
        <name val="Calibri"/>
        <family val="2"/>
        <scheme val="minor"/>
      </font>
      <numFmt numFmtId="17" formatCode="#&quot; &quot;?/?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Calibri"/>
        <family val="2"/>
        <scheme val="minor"/>
      </font>
      <numFmt numFmtId="2" formatCode="0.00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.5"/>
        <color auto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9"/>
        <color auto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</dxf>
    <dxf>
      <font>
        <b/>
        <strike val="0"/>
        <outline val="0"/>
        <shadow val="0"/>
        <u val="none"/>
        <vertAlign val="baseline"/>
        <sz val="9"/>
        <color rgb="FFFF0000"/>
        <name val="Calibri"/>
        <family val="2"/>
        <scheme val="minor"/>
      </font>
      <alignment horizontal="center" vertical="center" textRotation="0" wrapText="1" indent="0" justifyLastLine="0" shrinkToFit="0" readingOrder="0"/>
    </dxf>
  </dxfs>
  <tableStyles count="0" defaultTableStyle="TableStyleMedium9" defaultPivotStyle="PivotStyleLight16"/>
  <colors>
    <mruColors>
      <color rgb="FFFF33CC"/>
      <color rgb="FFFF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externalLink" Target="externalLinks/externalLink6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5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4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Relationship Id="rId1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1485900</xdr:colOff>
      <xdr:row>1</xdr:row>
      <xdr:rowOff>152400</xdr:rowOff>
    </xdr:from>
    <xdr:to>
      <xdr:col>8</xdr:col>
      <xdr:colOff>548640</xdr:colOff>
      <xdr:row>1</xdr:row>
      <xdr:rowOff>152400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C8377274-BBE0-4970-9983-8BCB7FE2E9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10150" y="152400"/>
          <a:ext cx="1901190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Outils\AA_Matrice_Grille%20Calcul%20salaire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virginie\DOSSIER%20VR\I-PROSPECTION\2009\Budget%20et%20co&#251;t%20de%20revient%2009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allau_jc/Desktop/suivi%20pays/s&#233;n&#233;gal/S&#233;n&#233;gal/grille%20salaire%20et%20payroll%20senegal%20V1%2020022016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atrick%20NGOULOU/Desktop/SALAIRES%20CODEXO/BOUNDJI%20DATA%20.PATRICE.17.09SALAIRES%20SEPTEMBRE%202023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eiye/AppData/Local/Microsoft/Windows/INetCache/Content.Outlook/55GBD2QC/Grille%20salariale%20-%20GRET%20CG%20-%20v%202mai%202015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gret\1%20rep%20cg\2%20gestion\1%20grh\salaires\Grille%20salariale%20GRET%20Congo_M&#224;J%2012fevrier201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rille individuelle"/>
      <sheetName val="indem expat"/>
      <sheetName val="Historique salaire"/>
      <sheetName val="Grille de référence"/>
      <sheetName val="TABC"/>
      <sheetName val="TABNC"/>
      <sheetName val="Fonctions et périmètres"/>
    </sheetNames>
    <sheetDataSet>
      <sheetData sheetId="0"/>
      <sheetData sheetId="1">
        <row r="10">
          <cell r="C10">
            <v>445</v>
          </cell>
        </row>
        <row r="13">
          <cell r="D13">
            <v>2253.9250000000002</v>
          </cell>
        </row>
        <row r="15">
          <cell r="C15">
            <v>8.3333333333333329E-2</v>
          </cell>
        </row>
        <row r="17">
          <cell r="C17">
            <v>0</v>
          </cell>
        </row>
      </sheetData>
      <sheetData sheetId="2" refreshError="1"/>
      <sheetData sheetId="3">
        <row r="1">
          <cell r="C1">
            <v>5.04</v>
          </cell>
        </row>
        <row r="6">
          <cell r="I6">
            <v>365</v>
          </cell>
          <cell r="J6">
            <v>375</v>
          </cell>
          <cell r="K6">
            <v>385</v>
          </cell>
        </row>
        <row r="7">
          <cell r="C7">
            <v>405</v>
          </cell>
          <cell r="D7">
            <v>415</v>
          </cell>
          <cell r="E7">
            <v>425</v>
          </cell>
          <cell r="I7">
            <v>400</v>
          </cell>
          <cell r="J7">
            <v>410</v>
          </cell>
          <cell r="K7">
            <v>420</v>
          </cell>
        </row>
        <row r="8">
          <cell r="C8">
            <v>435</v>
          </cell>
          <cell r="D8">
            <v>450</v>
          </cell>
          <cell r="E8">
            <v>465</v>
          </cell>
          <cell r="I8">
            <v>435</v>
          </cell>
          <cell r="J8">
            <v>445</v>
          </cell>
          <cell r="K8">
            <v>460</v>
          </cell>
        </row>
        <row r="9">
          <cell r="C9">
            <v>480</v>
          </cell>
          <cell r="D9">
            <v>500</v>
          </cell>
          <cell r="E9">
            <v>520</v>
          </cell>
          <cell r="I9">
            <v>475</v>
          </cell>
          <cell r="J9">
            <v>490</v>
          </cell>
          <cell r="K9">
            <v>510</v>
          </cell>
        </row>
        <row r="10">
          <cell r="C10">
            <v>545</v>
          </cell>
          <cell r="D10">
            <v>570</v>
          </cell>
          <cell r="E10">
            <v>595</v>
          </cell>
        </row>
        <row r="11">
          <cell r="C11">
            <v>620</v>
          </cell>
          <cell r="D11">
            <v>645</v>
          </cell>
          <cell r="E11">
            <v>670</v>
          </cell>
        </row>
        <row r="12">
          <cell r="C12">
            <v>690</v>
          </cell>
          <cell r="D12">
            <v>710</v>
          </cell>
          <cell r="E12">
            <v>730</v>
          </cell>
        </row>
      </sheetData>
      <sheetData sheetId="4">
        <row r="13">
          <cell r="C13">
            <v>1</v>
          </cell>
        </row>
        <row r="14">
          <cell r="C14">
            <v>1</v>
          </cell>
        </row>
        <row r="15">
          <cell r="C15">
            <v>1</v>
          </cell>
        </row>
        <row r="16">
          <cell r="C16">
            <v>2</v>
          </cell>
          <cell r="D16">
            <v>1</v>
          </cell>
        </row>
        <row r="17">
          <cell r="C17">
            <v>2</v>
          </cell>
          <cell r="D17">
            <v>1</v>
          </cell>
        </row>
        <row r="18">
          <cell r="C18">
            <v>2</v>
          </cell>
          <cell r="D18">
            <v>1</v>
          </cell>
        </row>
        <row r="19">
          <cell r="C19">
            <v>3</v>
          </cell>
          <cell r="D19">
            <v>1</v>
          </cell>
        </row>
        <row r="20">
          <cell r="C20">
            <v>3</v>
          </cell>
          <cell r="D20">
            <v>1</v>
          </cell>
          <cell r="E20">
            <v>1</v>
          </cell>
        </row>
        <row r="21">
          <cell r="C21">
            <v>3</v>
          </cell>
          <cell r="D21">
            <v>2</v>
          </cell>
          <cell r="E21">
            <v>1</v>
          </cell>
        </row>
        <row r="22">
          <cell r="C22">
            <v>3</v>
          </cell>
          <cell r="D22">
            <v>2</v>
          </cell>
          <cell r="E22">
            <v>1</v>
          </cell>
        </row>
        <row r="23">
          <cell r="C23">
            <v>3</v>
          </cell>
          <cell r="D23">
            <v>2</v>
          </cell>
          <cell r="E23">
            <v>1</v>
          </cell>
        </row>
        <row r="24">
          <cell r="D24">
            <v>3</v>
          </cell>
          <cell r="E24">
            <v>1</v>
          </cell>
        </row>
        <row r="25">
          <cell r="D25">
            <v>3</v>
          </cell>
          <cell r="E25">
            <v>1</v>
          </cell>
          <cell r="F25">
            <v>1</v>
          </cell>
        </row>
        <row r="26">
          <cell r="D26">
            <v>3</v>
          </cell>
          <cell r="E26">
            <v>1</v>
          </cell>
          <cell r="F26">
            <v>1</v>
          </cell>
        </row>
        <row r="27">
          <cell r="D27">
            <v>3</v>
          </cell>
          <cell r="E27">
            <v>2</v>
          </cell>
          <cell r="F27">
            <v>1</v>
          </cell>
        </row>
        <row r="28">
          <cell r="D28">
            <v>3</v>
          </cell>
          <cell r="E28">
            <v>2</v>
          </cell>
          <cell r="F28">
            <v>1</v>
          </cell>
        </row>
        <row r="29">
          <cell r="E29">
            <v>2</v>
          </cell>
          <cell r="F29">
            <v>1</v>
          </cell>
        </row>
        <row r="30">
          <cell r="E30">
            <v>3</v>
          </cell>
          <cell r="F30">
            <v>1</v>
          </cell>
          <cell r="G30">
            <v>1</v>
          </cell>
        </row>
        <row r="31">
          <cell r="E31">
            <v>3</v>
          </cell>
          <cell r="F31">
            <v>1</v>
          </cell>
          <cell r="G31">
            <v>1</v>
          </cell>
        </row>
        <row r="32">
          <cell r="E32">
            <v>3</v>
          </cell>
          <cell r="F32">
            <v>2</v>
          </cell>
          <cell r="G32">
            <v>1</v>
          </cell>
        </row>
        <row r="33">
          <cell r="E33">
            <v>3</v>
          </cell>
          <cell r="F33">
            <v>2</v>
          </cell>
          <cell r="G33">
            <v>1</v>
          </cell>
        </row>
        <row r="34">
          <cell r="E34">
            <v>3</v>
          </cell>
          <cell r="F34">
            <v>2</v>
          </cell>
          <cell r="G34">
            <v>1</v>
          </cell>
        </row>
        <row r="35">
          <cell r="F35">
            <v>3</v>
          </cell>
          <cell r="G35">
            <v>1</v>
          </cell>
          <cell r="H35">
            <v>1</v>
          </cell>
        </row>
        <row r="36">
          <cell r="F36">
            <v>3</v>
          </cell>
          <cell r="G36">
            <v>1</v>
          </cell>
          <cell r="H36">
            <v>1</v>
          </cell>
        </row>
        <row r="37">
          <cell r="F37">
            <v>3</v>
          </cell>
          <cell r="G37">
            <v>1</v>
          </cell>
          <cell r="H37">
            <v>1</v>
          </cell>
        </row>
        <row r="38">
          <cell r="F38">
            <v>3</v>
          </cell>
          <cell r="G38">
            <v>2</v>
          </cell>
          <cell r="H38">
            <v>1</v>
          </cell>
        </row>
        <row r="39">
          <cell r="F39">
            <v>3</v>
          </cell>
          <cell r="G39">
            <v>2</v>
          </cell>
          <cell r="H39">
            <v>1</v>
          </cell>
        </row>
        <row r="40">
          <cell r="G40">
            <v>2</v>
          </cell>
          <cell r="H40">
            <v>1</v>
          </cell>
        </row>
        <row r="41">
          <cell r="G41">
            <v>3</v>
          </cell>
          <cell r="H41">
            <v>1</v>
          </cell>
        </row>
        <row r="42">
          <cell r="G42">
            <v>3</v>
          </cell>
          <cell r="H42">
            <v>1</v>
          </cell>
        </row>
        <row r="43">
          <cell r="G43">
            <v>3</v>
          </cell>
          <cell r="H43">
            <v>2</v>
          </cell>
        </row>
        <row r="44">
          <cell r="G44">
            <v>3</v>
          </cell>
          <cell r="H44">
            <v>2</v>
          </cell>
        </row>
        <row r="45">
          <cell r="G45">
            <v>3</v>
          </cell>
          <cell r="H45">
            <v>2</v>
          </cell>
        </row>
        <row r="46">
          <cell r="H46">
            <v>3</v>
          </cell>
        </row>
      </sheetData>
      <sheetData sheetId="5">
        <row r="10">
          <cell r="B10">
            <v>1</v>
          </cell>
        </row>
        <row r="11">
          <cell r="B11">
            <v>1</v>
          </cell>
        </row>
        <row r="12">
          <cell r="B12">
            <v>2</v>
          </cell>
        </row>
        <row r="13">
          <cell r="B13">
            <v>2</v>
          </cell>
          <cell r="C13">
            <v>1</v>
          </cell>
        </row>
        <row r="14">
          <cell r="B14">
            <v>3</v>
          </cell>
          <cell r="C14">
            <v>1</v>
          </cell>
        </row>
        <row r="15">
          <cell r="B15">
            <v>3</v>
          </cell>
          <cell r="C15">
            <v>2</v>
          </cell>
        </row>
        <row r="16">
          <cell r="B16">
            <v>3</v>
          </cell>
          <cell r="C16">
            <v>2</v>
          </cell>
          <cell r="D16">
            <v>1</v>
          </cell>
          <cell r="E16">
            <v>1</v>
          </cell>
        </row>
        <row r="17">
          <cell r="C17">
            <v>2</v>
          </cell>
          <cell r="D17">
            <v>1</v>
          </cell>
          <cell r="E17">
            <v>1</v>
          </cell>
        </row>
        <row r="18">
          <cell r="C18">
            <v>3</v>
          </cell>
          <cell r="D18">
            <v>1</v>
          </cell>
          <cell r="E18">
            <v>1</v>
          </cell>
        </row>
        <row r="19">
          <cell r="C19">
            <v>3</v>
          </cell>
          <cell r="D19">
            <v>2</v>
          </cell>
          <cell r="E19">
            <v>1</v>
          </cell>
        </row>
        <row r="20">
          <cell r="C20">
            <v>3</v>
          </cell>
          <cell r="D20">
            <v>2</v>
          </cell>
          <cell r="E20">
            <v>1</v>
          </cell>
        </row>
        <row r="21">
          <cell r="C21">
            <v>3</v>
          </cell>
          <cell r="D21">
            <v>2</v>
          </cell>
          <cell r="E21">
            <v>1</v>
          </cell>
        </row>
        <row r="22">
          <cell r="D22">
            <v>3</v>
          </cell>
          <cell r="E22">
            <v>1</v>
          </cell>
        </row>
        <row r="23">
          <cell r="D23">
            <v>3</v>
          </cell>
          <cell r="E23">
            <v>1</v>
          </cell>
        </row>
        <row r="24">
          <cell r="D24">
            <v>3</v>
          </cell>
          <cell r="E24">
            <v>2</v>
          </cell>
        </row>
        <row r="25">
          <cell r="D25">
            <v>3</v>
          </cell>
          <cell r="E25">
            <v>2</v>
          </cell>
        </row>
        <row r="26">
          <cell r="D26">
            <v>3</v>
          </cell>
          <cell r="E26">
            <v>2</v>
          </cell>
        </row>
        <row r="27">
          <cell r="D27">
            <v>3</v>
          </cell>
          <cell r="E27">
            <v>3</v>
          </cell>
        </row>
        <row r="28">
          <cell r="E28">
            <v>3</v>
          </cell>
        </row>
        <row r="29">
          <cell r="E29">
            <v>3</v>
          </cell>
        </row>
        <row r="30">
          <cell r="E30">
            <v>3</v>
          </cell>
        </row>
        <row r="31">
          <cell r="E31">
            <v>3</v>
          </cell>
        </row>
        <row r="32">
          <cell r="E32">
            <v>3</v>
          </cell>
        </row>
      </sheetData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udget"/>
      <sheetName val="conception"/>
      <sheetName val="prix de revient"/>
      <sheetName val="coût salarial"/>
      <sheetName val="volontaire GRET"/>
      <sheetName val="Coût AFVP"/>
    </sheetNames>
    <sheetDataSet>
      <sheetData sheetId="0"/>
      <sheetData sheetId="1"/>
      <sheetData sheetId="2">
        <row r="1">
          <cell r="AC1">
            <v>192</v>
          </cell>
        </row>
        <row r="2">
          <cell r="AC2">
            <v>210</v>
          </cell>
        </row>
      </sheetData>
      <sheetData sheetId="3"/>
      <sheetData sheetId="4"/>
      <sheetData sheetId="5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ux"/>
      <sheetName val="Grille en point"/>
      <sheetName val="Grille CFA"/>
      <sheetName val="Positionnement grille"/>
      <sheetName val="Livre de paie"/>
      <sheetName val="bareme IR"/>
      <sheetName val="Salaire categoriel"/>
      <sheetName val="Bulletin de salaire"/>
    </sheetNames>
    <sheetDataSet>
      <sheetData sheetId="0">
        <row r="3">
          <cell r="C3">
            <v>1000</v>
          </cell>
        </row>
      </sheetData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am"/>
      <sheetName val="Congé"/>
      <sheetName val="Pointage"/>
      <sheetName val="Opérations Diverses"/>
      <sheetName val="Ancienneté"/>
      <sheetName val="Base Calcul"/>
      <sheetName val="BP"/>
      <sheetName val="Comptes"/>
      <sheetName val="Liste matricule + nom"/>
      <sheetName val="Grille Salaire"/>
      <sheetName val="IRPP"/>
      <sheetName val="CNSS"/>
      <sheetName val="RTOL &amp; TD"/>
      <sheetName val="TUS"/>
      <sheetName val="Module1"/>
      <sheetName val="Feuil1"/>
      <sheetName val="Feuil4"/>
    </sheetNames>
    <sheetDataSet>
      <sheetData sheetId="0">
        <row r="36">
          <cell r="C36" t="str">
            <v>Coordination</v>
          </cell>
        </row>
        <row r="37">
          <cell r="C37" t="str">
            <v>Foret</v>
          </cell>
        </row>
        <row r="38">
          <cell r="C38" t="str">
            <v>Garage</v>
          </cell>
        </row>
        <row r="39">
          <cell r="C39" t="str">
            <v>Scierie</v>
          </cell>
        </row>
        <row r="40">
          <cell r="C40" t="str">
            <v>Foret</v>
          </cell>
        </row>
        <row r="41">
          <cell r="C41" t="str">
            <v>foret</v>
          </cell>
        </row>
        <row r="42">
          <cell r="C42" t="str">
            <v>foret</v>
          </cell>
        </row>
        <row r="43">
          <cell r="C43" t="str">
            <v>foret</v>
          </cell>
        </row>
        <row r="44">
          <cell r="C44" t="str">
            <v>foret</v>
          </cell>
        </row>
        <row r="45">
          <cell r="C45" t="str">
            <v>foret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/>
      <sheetData sheetId="16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SR Kondo"/>
      <sheetName val="GSI Serge"/>
      <sheetName val="GSI Pamela"/>
      <sheetName val="GSI Georges"/>
      <sheetName val="GSI Dola"/>
      <sheetName val="GSI Stella"/>
      <sheetName val="GSI Nadirath"/>
      <sheetName val="GSI Marise"/>
      <sheetName val="GSI Edwige"/>
      <sheetName val="GSI Octave"/>
      <sheetName val="min"/>
      <sheetName val="max"/>
      <sheetName val="GSI Roger"/>
      <sheetName val="GI Reiye"/>
      <sheetName val="GSI Milandou"/>
      <sheetName val="GI Manté"/>
      <sheetName val="GI Rodrigue"/>
      <sheetName val="GI Kouakoua"/>
      <sheetName val="GI Moukendi"/>
      <sheetName val="GI Makany"/>
      <sheetName val="GI Solo"/>
      <sheetName val="GI Nkié"/>
      <sheetName val="GI Dake"/>
      <sheetName val="GI Goussein"/>
      <sheetName val="GI KInouani"/>
      <sheetName val="GI Koutouna"/>
      <sheetName val="GI Koubemba"/>
      <sheetName val="GI Missamou"/>
      <sheetName val="Historique salaire"/>
      <sheetName val="liste postes"/>
      <sheetName val="Par filière métier"/>
      <sheetName val="Grille rémunération"/>
      <sheetName val="Positions actuelles"/>
      <sheetName val="Coûts salariaux actuels"/>
      <sheetName val="affectation"/>
      <sheetName val="Coûts salariaux base"/>
    </sheetNames>
    <sheetDataSet>
      <sheetData sheetId="0" refreshError="1">
        <row r="6">
          <cell r="B6" t="str">
            <v>Agent administratif</v>
          </cell>
        </row>
      </sheetData>
      <sheetData sheetId="1" refreshError="1">
        <row r="12">
          <cell r="B12">
            <v>4.5</v>
          </cell>
        </row>
        <row r="53">
          <cell r="B53">
            <v>40000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>
        <row r="49">
          <cell r="C49">
            <v>365000</v>
          </cell>
        </row>
      </sheetData>
      <sheetData sheetId="19" refreshError="1"/>
      <sheetData sheetId="20" refreshError="1"/>
      <sheetData sheetId="21" refreshError="1">
        <row r="50">
          <cell r="C50">
            <v>190000</v>
          </cell>
        </row>
      </sheetData>
      <sheetData sheetId="22" refreshError="1">
        <row r="50">
          <cell r="C50">
            <v>170000</v>
          </cell>
        </row>
        <row r="55">
          <cell r="B55">
            <v>30000</v>
          </cell>
        </row>
      </sheetData>
      <sheetData sheetId="23" refreshError="1"/>
      <sheetData sheetId="24" refreshError="1"/>
      <sheetData sheetId="25" refreshError="1">
        <row r="36">
          <cell r="A36" t="str">
            <v>Agent technique</v>
          </cell>
        </row>
        <row r="50">
          <cell r="C50">
            <v>240000</v>
          </cell>
        </row>
        <row r="53">
          <cell r="B53">
            <v>40000</v>
          </cell>
        </row>
      </sheetData>
      <sheetData sheetId="26" refreshError="1"/>
      <sheetData sheetId="27" refreshError="1"/>
      <sheetData sheetId="28" refreshError="1"/>
      <sheetData sheetId="29" refreshError="1"/>
      <sheetData sheetId="30" refreshError="1">
        <row r="5">
          <cell r="A5" t="str">
            <v>Coordinateur niveau 1</v>
          </cell>
        </row>
        <row r="8">
          <cell r="A8" t="str">
            <v>Responsable opérationnel confirmé</v>
          </cell>
        </row>
        <row r="10">
          <cell r="A10" t="str">
            <v xml:space="preserve">Responsable opérationnel </v>
          </cell>
        </row>
        <row r="18">
          <cell r="A18" t="str">
            <v>Agent technique</v>
          </cell>
        </row>
        <row r="27">
          <cell r="A27" t="str">
            <v>Responsable administratif niv 2</v>
          </cell>
        </row>
        <row r="31">
          <cell r="A31" t="str">
            <v>Assistant administratif</v>
          </cell>
        </row>
        <row r="36">
          <cell r="A36" t="str">
            <v>Agent administratif</v>
          </cell>
        </row>
      </sheetData>
      <sheetData sheetId="31" refreshError="1">
        <row r="9">
          <cell r="F9">
            <v>25000</v>
          </cell>
        </row>
        <row r="10">
          <cell r="F10">
            <v>30000</v>
          </cell>
        </row>
        <row r="15">
          <cell r="F15">
            <v>75000</v>
          </cell>
        </row>
        <row r="16">
          <cell r="F16">
            <v>85000</v>
          </cell>
        </row>
      </sheetData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ûts salariaux"/>
      <sheetName val="Liste postes"/>
      <sheetName val="Filières"/>
      <sheetName val="Positions 2"/>
      <sheetName val="Positions salariés nouv grille"/>
      <sheetName val="positions salariés - ancien"/>
      <sheetName val="Feuil1"/>
    </sheetNames>
    <sheetDataSet>
      <sheetData sheetId="0" refreshError="1"/>
      <sheetData sheetId="1" refreshError="1"/>
      <sheetData sheetId="2" refreshError="1"/>
      <sheetData sheetId="3" refreshError="1"/>
      <sheetData sheetId="4">
        <row r="30">
          <cell r="E30">
            <v>500000</v>
          </cell>
          <cell r="F30">
            <v>335000</v>
          </cell>
          <cell r="H30">
            <v>170000</v>
          </cell>
          <cell r="I30">
            <v>30000</v>
          </cell>
          <cell r="J30">
            <v>140000</v>
          </cell>
          <cell r="K30">
            <v>95000</v>
          </cell>
          <cell r="L30">
            <v>235000</v>
          </cell>
          <cell r="M30">
            <v>140000</v>
          </cell>
          <cell r="N30">
            <v>260000</v>
          </cell>
          <cell r="O30">
            <v>155000</v>
          </cell>
          <cell r="P30">
            <v>350000</v>
          </cell>
          <cell r="Q30">
            <v>170000</v>
          </cell>
          <cell r="R30">
            <v>350000</v>
          </cell>
          <cell r="S30">
            <v>300000</v>
          </cell>
          <cell r="T30">
            <v>500000</v>
          </cell>
          <cell r="U30">
            <v>300000</v>
          </cell>
          <cell r="V30">
            <v>500000</v>
          </cell>
          <cell r="AA30">
            <v>560000</v>
          </cell>
          <cell r="AB30">
            <v>780000</v>
          </cell>
          <cell r="AC30">
            <v>650000</v>
          </cell>
        </row>
      </sheetData>
      <sheetData sheetId="5" refreshError="1"/>
      <sheetData sheetId="6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280E7C0-D61D-4325-ADD8-EF26DA6F1E73}" name="T_PAYROLL" displayName="T_PAYROLL" ref="A4:CP15" totalsRowCount="1" headerRowDxfId="172" dataDxfId="171" totalsRowDxfId="170">
  <autoFilter ref="A4:CP14" xr:uid="{3280E7C0-D61D-4325-ADD8-EF26DA6F1E73}"/>
  <sortState ref="A5:CP14">
    <sortCondition ref="C4:C14"/>
  </sortState>
  <tableColumns count="94">
    <tableColumn id="1" xr3:uid="{C51B9F3D-2DE1-4490-8521-2A5A6E9DFCA6}" name="N°" totalsRowLabel="Total" dataDxfId="169" totalsRowDxfId="93">
      <calculatedColumnFormula>ROW()-ROW(T_PAYROLL[[#Headers],[N°]])</calculatedColumnFormula>
    </tableColumn>
    <tableColumn id="2" xr3:uid="{469DBC95-4943-4EB2-A332-F130373A50E2}" name="Section" dataDxfId="168" totalsRowDxfId="92"/>
    <tableColumn id="3" xr3:uid="{AE5D03C3-660E-4E73-BE29-F1D7451EB3C4}" name="Noms et prénoms" totalsRowLabel="Total" dataDxfId="167" totalsRowDxfId="91"/>
    <tableColumn id="4" xr3:uid="{948ECAB9-89D4-4CE1-A42B-6D2D5395FE6F}" name="Matricule" dataDxfId="166" totalsRowDxfId="90"/>
    <tableColumn id="5" xr3:uid="{6B26C464-6863-488E-825E-D788C77BD735}" name="Categorie/Echelon" dataDxfId="165" totalsRowDxfId="89"/>
    <tableColumn id="6" xr3:uid="{186C8953-F5CF-40C1-8C93-9352C58E68A0}" name="Fonction" dataDxfId="164" totalsRowDxfId="88"/>
    <tableColumn id="7" xr3:uid="{8262F353-1FB8-43F0-B611-E8FE70CC19C7}" name="Date d'entrée" dataDxfId="95" totalsRowDxfId="87"/>
    <tableColumn id="8" xr3:uid="{9E6E4BBC-15EE-4CF7-B91A-275705BCC36D}" name="Situation matrimoniale" dataDxfId="163" totalsRowDxfId="86"/>
    <tableColumn id="9" xr3:uid="{09BD89A5-AA10-42C1-A8B7-9AD2CFA32621}" name="Nbr enfants" dataDxfId="162" totalsRowDxfId="85"/>
    <tableColumn id="10" xr3:uid="{D3B6A3CF-2A00-4678-A8C2-18878935B865}" name="N°CNSS" dataDxfId="161" totalsRowDxfId="84"/>
    <tableColumn id="11" xr3:uid="{7F45F8FF-E5F1-4C48-859C-2A320E750376}" name="type de contrat" dataDxfId="160" totalsRowDxfId="83"/>
    <tableColumn id="12" xr3:uid="{7DC73AD3-1DA7-4C1D-87C0-7089EAFBD89F}" name="date de fin" dataDxfId="159" totalsRowDxfId="82"/>
    <tableColumn id="94" xr3:uid="{8B09B16F-175F-428B-84FB-FD8363C1A4A4}" name="Ancienneté" dataDxfId="94" totalsRowDxfId="81">
      <calculatedColumnFormula>IF(T_PAYROLL[[#This Row],[Date d''entrée]]="","",DATEDIF(T_PAYROLL[[#This Row],[Date d''entrée]],$I$3,"Y"))</calculatedColumnFormula>
    </tableColumn>
    <tableColumn id="95" xr3:uid="{10986082-4D1C-4A1F-A13E-A8BC1C2C80DD}" name="N° Cpte Bancaire" dataDxfId="158" totalsRowDxfId="80"/>
    <tableColumn id="96" xr3:uid="{14ED51BA-1981-4C00-BF1D-6AC6163FCDB0}" name="Adresse" dataDxfId="157" totalsRowDxfId="79"/>
    <tableColumn id="13" xr3:uid="{FED9CC7B-A6FD-44F3-B776-2E1EB460EE12}" name="Temps de travail" dataDxfId="156" totalsRowDxfId="78"/>
    <tableColumn id="14" xr3:uid="{A0F65CAB-8077-4B1C-99DE-B0B0D1BF753E}" name="Column1" dataDxfId="155" totalsRowDxfId="77"/>
    <tableColumn id="15" xr3:uid="{055D915E-0906-44C5-B10E-4BC26369AB89}" name="SB FCFA" totalsRowFunction="sum" dataDxfId="154" totalsRowDxfId="76"/>
    <tableColumn id="16" xr3:uid="{878D2083-3027-4144-AF00-BFC6CDF5C87A}" name="SB €" totalsRowFunction="sum" dataDxfId="153" totalsRowDxfId="75">
      <calculatedColumnFormula>R5/655.957</calculatedColumnFormula>
    </tableColumn>
    <tableColumn id="17" xr3:uid="{4D912017-44D4-493B-B1C9-135B66240563}" name="COL1" dataDxfId="152" totalsRowDxfId="74"/>
    <tableColumn id="18" xr3:uid="{CC4F9C9D-F1D0-457C-BC3B-510580CBDB4E}" name="Prime d encouragement" totalsRowFunction="sum" totalsRowDxfId="73"/>
    <tableColumn id="19" xr3:uid="{1E3B2668-8A07-4356-85B3-55D5D54AF443}" name="Prime de rendement" totalsRowFunction="sum" totalsRowDxfId="72"/>
    <tableColumn id="93" xr3:uid="{045C6198-C938-4317-95BF-555BDDC353E0}" name="Prime Ancienneté" dataDxfId="151" totalsRowDxfId="71">
      <calculatedColumnFormula>R5*(2%+(M5-1)*1%)</calculatedColumnFormula>
    </tableColumn>
    <tableColumn id="20" xr3:uid="{25908979-C47C-43D8-B8EA-802560E8F51B}" name="Sursalaire" totalsRowFunction="sum" totalsRowDxfId="70"/>
    <tableColumn id="21" xr3:uid="{B10BE8AD-F5D8-48F9-B6DE-849F61CD80F5}" name=" Prime de responsabilité" totalsRowFunction="sum" totalsRowDxfId="69"/>
    <tableColumn id="22" xr3:uid="{8654EF7A-072F-4CC7-A5AD-71A1C2347268}" name=" Forfait HS " totalsRowFunction="sum" totalsRowDxfId="68"/>
    <tableColumn id="23" xr3:uid="{4924B60F-0568-4A64-8FFE-A06033ECA840}" name=" Prime individuelle" totalsRowFunction="sum" totalsRowDxfId="67"/>
    <tableColumn id="24" xr3:uid="{094498FC-E014-42A1-BBB9-919F84B48BF3}" name=" Prime Risque" totalsRowFunction="sum" totalsRowDxfId="66"/>
    <tableColumn id="25" xr3:uid="{560843F6-842F-483E-A266-B543B8DBD1D1}" name=" Prime astreinte" totalsRowFunction="sum" totalsRowDxfId="65"/>
    <tableColumn id="26" xr3:uid="{D1FE78C8-8779-4C2E-89F2-16188D999056}" name="HS_x000a_6 premières heures_x000a_10% " totalsRowFunction="sum" totalsRowDxfId="64">
      <calculatedColumnFormula>((R5+W5)*10%)*0</calculatedColumnFormula>
    </tableColumn>
    <tableColumn id="27" xr3:uid="{AF162849-60E9-4371-BCE2-90084AE6D167}" name=" HS_x000a_à partir de la 7ème heure_x000a_25% " totalsRowFunction="sum" totalsRowDxfId="63"/>
    <tableColumn id="28" xr3:uid="{62EFC283-1C76-452D-BAD3-4008E1950629}" name=" HS  de nuit et h supp sur tps de repos et h sur jour férié_x000a_50% " totalsRowFunction="sum" totalsRowDxfId="62"/>
    <tableColumn id="29" xr3:uid="{6BAD4666-E6DB-4862-A0FA-DECA00D4364F}" name="Prime Diplôme" totalsRowFunction="sum" totalsRowDxfId="61"/>
    <tableColumn id="30" xr3:uid="{1CE20585-5E6A-46CB-A167-49550F44B9E7}" name="  Prime de Caisse" totalsRowFunction="sum" totalsRowDxfId="60"/>
    <tableColumn id="31" xr3:uid="{6C7C826E-23D2-49AC-ACBC-B78862A74D76}" name=" STC" totalsRowFunction="sum" totalsRowDxfId="59"/>
    <tableColumn id="32" xr3:uid="{264ED2F6-4B95-4304-A6DF-A266E02CE5BD}" name="Prime de chantier" totalsRowFunction="sum" totalsRowDxfId="58"/>
    <tableColumn id="33" xr3:uid="{2577C9D3-36B4-4EDA-BE70-A6627DBAF846}" name="13e mois" totalsRowFunction="sum" totalsRowDxfId="57"/>
    <tableColumn id="34" xr3:uid="{5612F879-69CD-4105-8347-1D3CF81B50A1}" name="Regularisation" totalsRowFunction="sum" totalsRowDxfId="56"/>
    <tableColumn id="35" xr3:uid="{8EA6B2F7-3C8B-4163-9678-AAB7CF633CA8}" name="COL2" dataDxfId="150" totalsRowDxfId="55"/>
    <tableColumn id="36" xr3:uid="{DBD63702-49B8-41B9-8BD6-7DBCD50B26FF}" name="SB XAF" totalsRowFunction="sum" dataDxfId="149" totalsRowDxfId="54">
      <calculatedColumnFormula>SUM(T_PAYROLL[[#This Row],[SB FCFA]],T_PAYROLL[[#This Row],[Prime d encouragement]:[Regularisation]])*T_PAYROLL[[#This Row],[Temps de travail]]</calculatedColumnFormula>
    </tableColumn>
    <tableColumn id="37" xr3:uid="{88244535-E40A-4808-9E87-06AC866647A4}" name="SB €2" totalsRowFunction="sum" dataDxfId="148" totalsRowDxfId="53">
      <calculatedColumnFormula>AN5/655.957</calculatedColumnFormula>
    </tableColumn>
    <tableColumn id="38" xr3:uid="{88FE0A06-4830-4AE0-ABF6-0A561DDA4C21}" name="COL3" dataDxfId="147" totalsRowDxfId="52"/>
    <tableColumn id="39" xr3:uid="{44A393CE-C54A-4152-9526-97A92D258736}" name="Charges Sal. Cnss employé 4%" totalsRowFunction="sum" totalsRowDxfId="51">
      <calculatedColumnFormula>IF(AN5&gt;1200000,48000,AN5*0.04)</calculatedColumnFormula>
    </tableColumn>
    <tableColumn id="40" xr3:uid="{C2E3D49C-3034-4B4A-AB82-753F3AE1293F}" name="COL4" dataDxfId="146" totalsRowDxfId="50"/>
    <tableColumn id="41" xr3:uid="{A09D0E24-0A3A-4C0E-973C-BDFD3C197064}" name="Charges Emp. Cnss 8%" totalsRowFunction="sum" dataDxfId="145" totalsRowDxfId="49">
      <calculatedColumnFormula>IF(AN5&gt;1200000,96000,AN5*0.08)</calculatedColumnFormula>
    </tableColumn>
    <tableColumn id="42" xr3:uid="{12145C6D-9D2D-4351-A035-7341571B559C}" name="Charges Emp. Cnss 12,28%" totalsRowFunction="sum" dataDxfId="144" totalsRowDxfId="48">
      <calculatedColumnFormula>IF(AN5&gt;600000,600000*12.28%,AN5*12.28%)</calculatedColumnFormula>
    </tableColumn>
    <tableColumn id="43" xr3:uid="{69B114A3-7211-4A0E-831E-7C4DAB356386}" name="Charges Emp. Cnss AT/MP 2,25%" totalsRowFunction="sum" dataDxfId="143" totalsRowDxfId="47">
      <calculatedColumnFormula>IF(AN5&gt;600000,600000*2.25%,AN5*2.25%)*0</calculatedColumnFormula>
    </tableColumn>
    <tableColumn id="44" xr3:uid="{C28D1C38-DC6C-4683-8281-D6528EB8B2D5}" name="Charges Emp. TUS IMPOT 4,125%" totalsRowFunction="sum" dataDxfId="142" totalsRowDxfId="46">
      <calculatedColumnFormula>AN5*4.125%</calculatedColumnFormula>
    </tableColumn>
    <tableColumn id="45" xr3:uid="{5A491F6F-454C-482A-B98F-167BD15C6B75}" name="Charges Emp. TUS CNSS 3,375%" totalsRowFunction="sum" dataDxfId="141" totalsRowDxfId="45">
      <calculatedColumnFormula>AN5*3.375%</calculatedColumnFormula>
    </tableColumn>
    <tableColumn id="46" xr3:uid="{23DAD57E-5FAF-4708-949A-25CBB2642D56}" name="Charges Emp. RAS 10%" totalsRowFunction="sum" dataDxfId="140" totalsRowDxfId="44">
      <calculatedColumnFormula>AN5*10%*0</calculatedColumnFormula>
    </tableColumn>
    <tableColumn id="47" xr3:uid="{69665868-8821-44CA-A885-25FFC3598E2F}" name="Charges Emp. Assurance expatriation" totalsRowFunction="sum" dataDxfId="139" totalsRowDxfId="43"/>
    <tableColumn id="48" xr3:uid="{4352B67B-9F44-4207-A877-E558D3179649}" name="Charges Emp. Taxe régionale" dataDxfId="138" totalsRowDxfId="42"/>
    <tableColumn id="49" xr3:uid="{F2FA3B8E-59F9-4AB7-904E-C16ACC77755F}" name="Total charge employeur" totalsRowFunction="sum" dataDxfId="137" totalsRowDxfId="41">
      <calculatedColumnFormula>SUM(AS5:AZ5)</calculatedColumnFormula>
    </tableColumn>
    <tableColumn id="50" xr3:uid="{4CEEFF94-236A-4AF3-9968-15EF5FDBDB4C}" name="COL5" dataDxfId="136" totalsRowDxfId="40"/>
    <tableColumn id="51" xr3:uid="{E91C1C49-9BAA-4CB4-96D8-D7EA15202BEB}" name="SN XAF" totalsRowFunction="sum" dataDxfId="135" totalsRowDxfId="39">
      <calculatedColumnFormula>AN5-AQ5</calculatedColumnFormula>
    </tableColumn>
    <tableColumn id="52" xr3:uid="{EAA903BC-4F2C-408B-9AAF-63C668451A50}" name="SN €" totalsRowFunction="sum" dataDxfId="134" totalsRowDxfId="38">
      <calculatedColumnFormula>BH5/655.957</calculatedColumnFormula>
    </tableColumn>
    <tableColumn id="53" xr3:uid="{D9B48545-0990-47A1-A1AC-973BABD88E46}" name="COL6" dataDxfId="133" totalsRowDxfId="37"/>
    <tableColumn id="54" xr3:uid="{C235C1B3-7F57-4C84-910B-0A010FBC3027}" name="nb parts" totalsRowFunction="sum" dataDxfId="132" totalsRowDxfId="36"/>
    <tableColumn id="55" xr3:uid="{826789FC-06A0-4B14-9379-E4FB452ECCC8}" name="COL7" dataDxfId="131" totalsRowDxfId="35"/>
    <tableColumn id="56" xr3:uid="{D1128128-3507-4F6C-B8CA-7E913F882DCC}" name="base IRPP" totalsRowFunction="sum" dataDxfId="130" totalsRowDxfId="34">
      <calculatedColumnFormula>((AN5*12)-(AQ5*12))*80%</calculatedColumnFormula>
    </tableColumn>
    <tableColumn id="57" xr3:uid="{A530FC43-BF70-4875-AE36-21748BD815C7}" name="IRPP Quotion familial " totalsRowFunction="sum" dataDxfId="129" totalsRowDxfId="33">
      <calculatedColumnFormula>BH5/BF5</calculatedColumnFormula>
    </tableColumn>
    <tableColumn id="58" xr3:uid="{94F92915-7297-4834-BFF9-42E39AE72690}" name="IRPP employé" totalsRowFunction="sum" dataDxfId="128" totalsRowDxfId="32">
      <calculatedColumnFormula>(IF(BI5&lt;464000,BF5*0.01*BI5,IF(BI5&lt;1000000,(4640+(BI5-464000)*0.1)*BF5,IF(BI5&lt;3000000,(4640+53600+(BI5-1000000)*0.25)*BF5,(4640+53600+500000+(BI5-3000000)*0.4)*BF5))))/12</calculatedColumnFormula>
    </tableColumn>
    <tableColumn id="59" xr3:uid="{7B1633B5-19D7-4D9B-A9EC-07115A352A21}" name=" CAMU0,5%" totalsRowFunction="sum" dataDxfId="127" totalsRowDxfId="31">
      <calculatedColumnFormula>((AN5-AQ5)-500000)*0.5%*0</calculatedColumnFormula>
    </tableColumn>
    <tableColumn id="60" xr3:uid="{61236829-2063-47D6-8A8B-B83E5054262C}" name="TOL" totalsRowFunction="sum" dataDxfId="126" totalsRowDxfId="30"/>
    <tableColumn id="61" xr3:uid="{2FC29D4A-1237-453B-803B-8F46E38B9FA1}" name="COL8" dataDxfId="125" totalsRowDxfId="29"/>
    <tableColumn id="62" xr3:uid="{E30532DF-6CF8-42A8-B5A3-942FDFA7B327}" name="Indemnité. Transport" totalsRowFunction="sum" dataDxfId="124" totalsRowDxfId="28"/>
    <tableColumn id="64" xr3:uid="{5AD5519C-6123-4CB3-82B2-36C113C0E3D6}" name="Indemnité. Panier" totalsRowFunction="sum" dataDxfId="123" totalsRowDxfId="27"/>
    <tableColumn id="65" xr3:uid="{346B9BE5-2B96-4C06-A9BA-07D4C8435CA1}" name="Indemnité. Salissure" totalsRowFunction="sum" dataDxfId="122" totalsRowDxfId="26"/>
    <tableColumn id="67" xr3:uid="{78E6BCD2-6EC1-46A2-AB3C-C0A8E6FF348B}" name="Avant. Prix FCFA" totalsRowFunction="sum" dataDxfId="121" totalsRowDxfId="25"/>
    <tableColumn id="70" xr3:uid="{ACD5B3A7-17B8-4670-872A-75A384F1853E}" name="Avant. Reponsabilité" totalsRowFunction="sum" dataDxfId="120" totalsRowDxfId="24"/>
    <tableColumn id="71" xr3:uid="{DB047BAA-8CFA-40B4-BFF1-F9A612048689}" name="COL9" dataDxfId="119" totalsRowDxfId="23"/>
    <tableColumn id="98" xr3:uid="{9CFFFE16-5364-41A8-B31E-7E61FF463FF3}" name="Retenue Prêt Pharmacie" totalsRowFunction="custom" dataDxfId="118" totalsRowDxfId="22" dataCellStyle="Milliers">
      <totalsRowFormula>SUBTOTAL(109,T_PAYROLL[Avance quinzaine])</totalsRowFormula>
    </tableColumn>
    <tableColumn id="99" xr3:uid="{A72E7DE0-E532-45BF-9212-47B437DABEC1}" name="Retenue Prêt " totalsRowFunction="custom" dataDxfId="117" totalsRowDxfId="21" dataCellStyle="Milliers">
      <totalsRowFormula>SUBTOTAL(109,T_PAYROLL[Avance quinzaine])</totalsRowFormula>
    </tableColumn>
    <tableColumn id="72" xr3:uid="{5F9FAAF8-C112-4CA0-A377-FAFFFFD20143}" name="Avance quinzaine" totalsRowFunction="sum" dataDxfId="116" totalsRowDxfId="20"/>
    <tableColumn id="73" xr3:uid="{B0B7F6FE-859D-443E-8BC9-AD2DE868F706}" name="COL10" dataDxfId="115" totalsRowDxfId="19"/>
    <tableColumn id="74" xr3:uid="{519F32F7-2A0B-4DA6-B5CA-1369777AD278}" name="Net a Payer XAF" totalsRowFunction="sum" dataDxfId="114" totalsRowDxfId="18">
      <calculatedColumnFormula>(BC5-BJ5+SUM(BN5:BR5)-BV5-BL5)-T_PAYROLL[[#This Row],[Avant. Prix FCFA]]-T_PAYROLL[[#This Row],[Retenue Prêt ]]-T_PAYROLL[[#This Row],[Retenue Prêt Pharmacie]]</calculatedColumnFormula>
    </tableColumn>
    <tableColumn id="75" xr3:uid="{240B479C-422A-4F7B-969D-D5A81F28A0B2}" name="Net a Payer  €" totalsRowFunction="sum" dataDxfId="113" totalsRowDxfId="17">
      <calculatedColumnFormula>+BX5/655.957</calculatedColumnFormula>
    </tableColumn>
    <tableColumn id="76" xr3:uid="{84AF9245-9AA6-4A8E-898A-F982D5B57E66}" name="COL11" dataDxfId="112" totalsRowDxfId="16"/>
    <tableColumn id="77" xr3:uid="{DA5BB506-0491-4C1D-9A0B-296DF1F9FC6A}" name="13ème mois XAF" totalsRowFunction="sum" dataDxfId="111" totalsRowDxfId="15">
      <calculatedColumnFormula>(T_PAYROLL[[#This Row],[SB FCFA]]+T_PAYROLL[[#This Row],[Prime Ancienneté]])/12</calculatedColumnFormula>
    </tableColumn>
    <tableColumn id="78" xr3:uid="{929D975E-2B43-4068-A783-A65D8EF00DB5}" name="13ème mois €" totalsRowFunction="sum" dataDxfId="110" totalsRowDxfId="14">
      <calculatedColumnFormula>+CA5/655.957</calculatedColumnFormula>
    </tableColumn>
    <tableColumn id="79" xr3:uid="{CA84D549-8A6A-4CB5-A944-E5352BDDF8B9}" name="SN13 XAF" totalsRowFunction="sum" dataDxfId="109" totalsRowDxfId="13">
      <calculatedColumnFormula>(CA5/12)+BX5</calculatedColumnFormula>
    </tableColumn>
    <tableColumn id="80" xr3:uid="{A9820FA8-E316-4711-A083-465CEAD1D932}" name="SN13€" totalsRowFunction="sum" dataDxfId="108" totalsRowDxfId="12">
      <calculatedColumnFormula>+CC5/655.957</calculatedColumnFormula>
    </tableColumn>
    <tableColumn id="81" xr3:uid="{72B8142A-7429-4124-9B19-5E0B7E736766}" name="COL12" dataDxfId="107" totalsRowDxfId="11"/>
    <tableColumn id="82" xr3:uid="{34E1C93B-0E44-4D52-94CE-C5B6E9ED5517}" name="IFC F CFA" totalsRowFunction="sum" dataDxfId="106" totalsRowDxfId="10">
      <calculatedColumnFormula>((R5*13/12)*35%)/12</calculatedColumnFormula>
    </tableColumn>
    <tableColumn id="83" xr3:uid="{AB1F2346-A086-4A87-B029-9D651E11FEFC}" name="IFC €" totalsRowFunction="sum" dataDxfId="105" totalsRowDxfId="9">
      <calculatedColumnFormula>+CF5/655.957</calculatedColumnFormula>
    </tableColumn>
    <tableColumn id="84" xr3:uid="{876CD7DB-BD02-43A9-BD98-7921F86BBAA1}" name="COL13" dataDxfId="104" totalsRowDxfId="8"/>
    <tableColumn id="85" xr3:uid="{0E9DA2CD-5FCE-4005-B932-F23669DDAF0D}" name="Prov. Form.F CFA " totalsRowFunction="sum" dataDxfId="103" totalsRowDxfId="7">
      <calculatedColumnFormula>AN5*0.02</calculatedColumnFormula>
    </tableColumn>
    <tableColumn id="86" xr3:uid="{D4760D12-FF7D-446D-842F-C4BA02CC3C33}" name="Prov. Form. €" totalsRowFunction="sum" dataDxfId="102" totalsRowDxfId="6">
      <calculatedColumnFormula>CI5/655.957</calculatedColumnFormula>
    </tableColumn>
    <tableColumn id="87" xr3:uid="{24231347-EC03-4347-BDEA-727D346D83CB}" name="COL14" dataDxfId="101" totalsRowDxfId="5"/>
    <tableColumn id="88" xr3:uid="{4EB0CF55-C7CF-4AF4-8DE6-E665E534936A}" name="CSGM (F CFA)" totalsRowFunction="sum" dataDxfId="100" totalsRowDxfId="4">
      <calculatedColumnFormula>(AN5+BA5+CF5+CI5)*(13/12)+SUM(BN5:BR5)</calculatedColumnFormula>
    </tableColumn>
    <tableColumn id="89" xr3:uid="{884AD88A-04A5-4719-83B5-8FB054E39F3A}" name="CSGM (€)" totalsRowFunction="sum" dataDxfId="99" totalsRowDxfId="3">
      <calculatedColumnFormula>CL5/655.957</calculatedColumnFormula>
    </tableColumn>
    <tableColumn id="90" xr3:uid="{E057E998-12B8-468F-95D9-A301E08A4139}" name="COL15" dataDxfId="98" totalsRowDxfId="2"/>
    <tableColumn id="91" xr3:uid="{4954F09C-AB86-4F84-BC32-56D158A8DF65}" name="CSGA (F CFA)" totalsRowFunction="sum" dataDxfId="97" totalsRowDxfId="1">
      <calculatedColumnFormula>CL5*12</calculatedColumnFormula>
    </tableColumn>
    <tableColumn id="92" xr3:uid="{7B61F186-5BCE-4924-8F6A-D0ED855642CA}" name="CSGA (€)" totalsRowFunction="sum" dataDxfId="96" totalsRowDxfId="0">
      <calculatedColumnFormula>CO5/655.957</calculatedColumnFormula>
    </tableColumn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3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"/>
  <sheetViews>
    <sheetView workbookViewId="0"/>
  </sheetViews>
  <sheetFormatPr baseColWidth="10" defaultColWidth="10.77734375" defaultRowHeight="14.4" x14ac:dyDescent="0.3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2">
    <pageSetUpPr fitToPage="1"/>
  </sheetPr>
  <dimension ref="A1:CZ43"/>
  <sheetViews>
    <sheetView showGridLines="0" zoomScaleNormal="100" zoomScaleSheetLayoutView="80" workbookViewId="0">
      <selection activeCell="U8" sqref="U8"/>
    </sheetView>
  </sheetViews>
  <sheetFormatPr baseColWidth="10" defaultColWidth="11.5546875" defaultRowHeight="13.8" x14ac:dyDescent="0.25"/>
  <cols>
    <col min="1" max="1" width="29.21875" style="85" customWidth="1"/>
    <col min="2" max="2" width="25.77734375" style="82" customWidth="1"/>
    <col min="3" max="3" width="1.77734375" style="82" customWidth="1"/>
    <col min="4" max="4" width="9.21875" style="82" customWidth="1"/>
    <col min="5" max="5" width="8.44140625" style="82" customWidth="1"/>
    <col min="6" max="6" width="2.77734375" style="82" hidden="1" customWidth="1"/>
    <col min="7" max="7" width="10.44140625" style="82" hidden="1" customWidth="1"/>
    <col min="8" max="8" width="11.44140625" style="82" hidden="1" customWidth="1"/>
    <col min="9" max="9" width="8.77734375" style="82" hidden="1" customWidth="1"/>
    <col min="10" max="10" width="10.21875" style="82" hidden="1" customWidth="1"/>
    <col min="11" max="12" width="8.44140625" style="82" hidden="1" customWidth="1"/>
    <col min="13" max="13" width="10.77734375" style="82" hidden="1" customWidth="1"/>
    <col min="14" max="14" width="1.77734375" style="82" hidden="1" customWidth="1"/>
    <col min="15" max="15" width="11.5546875" style="82" customWidth="1"/>
    <col min="16" max="16" width="9" style="82" customWidth="1"/>
    <col min="17" max="17" width="2.21875" style="82" customWidth="1"/>
    <col min="18" max="18" width="8.44140625" style="82" customWidth="1"/>
    <col min="19" max="19" width="7.5546875" style="82" customWidth="1"/>
    <col min="20" max="20" width="9.21875" style="82" customWidth="1"/>
    <col min="21" max="21" width="7.5546875" style="82" customWidth="1"/>
    <col min="22" max="22" width="2.77734375" style="82" customWidth="1"/>
    <col min="23" max="25" width="8.77734375" style="82" customWidth="1"/>
    <col min="26" max="26" width="9.5546875" style="82" customWidth="1"/>
    <col min="27" max="27" width="9.21875" style="82" customWidth="1"/>
    <col min="28" max="28" width="12.44140625" style="82" customWidth="1"/>
    <col min="29" max="29" width="10.44140625" style="82" customWidth="1"/>
    <col min="30" max="30" width="2.21875" style="82" customWidth="1"/>
    <col min="31" max="31" width="10.21875" style="85" customWidth="1"/>
    <col min="32" max="32" width="8.44140625" style="82" customWidth="1"/>
    <col min="33" max="33" width="2.21875" style="82" hidden="1" customWidth="1"/>
    <col min="34" max="34" width="5.44140625" style="82" hidden="1" customWidth="1"/>
    <col min="35" max="35" width="2" style="82" hidden="1" customWidth="1"/>
    <col min="36" max="36" width="9.21875" style="82" hidden="1" customWidth="1"/>
    <col min="37" max="37" width="9.44140625" style="82" hidden="1" customWidth="1"/>
    <col min="38" max="38" width="9.5546875" style="82" hidden="1" customWidth="1"/>
    <col min="39" max="39" width="10.77734375" style="82" hidden="1" customWidth="1"/>
    <col min="40" max="40" width="10.21875" style="82" hidden="1" customWidth="1"/>
    <col min="41" max="41" width="9.21875" style="82" hidden="1" customWidth="1"/>
    <col min="42" max="42" width="2.77734375" style="82" hidden="1" customWidth="1"/>
    <col min="43" max="43" width="9.21875" style="82" customWidth="1"/>
    <col min="44" max="44" width="6.21875" style="82" customWidth="1"/>
    <col min="45" max="45" width="3.77734375" style="82" hidden="1" customWidth="1"/>
    <col min="46" max="46" width="9.5546875" style="82" hidden="1" customWidth="1"/>
    <col min="47" max="47" width="6.44140625" style="82" hidden="1" customWidth="1"/>
    <col min="48" max="48" width="9.5546875" style="82" customWidth="1"/>
    <col min="49" max="49" width="6.5546875" style="82" customWidth="1"/>
    <col min="50" max="50" width="1.44140625" style="82" customWidth="1"/>
    <col min="51" max="51" width="6.77734375" style="82" customWidth="1"/>
    <col min="52" max="52" width="7" style="102" customWidth="1"/>
    <col min="53" max="53" width="10.5546875" style="82" customWidth="1"/>
    <col min="54" max="54" width="6.77734375" style="82" customWidth="1"/>
    <col min="55" max="55" width="1.21875" style="82" customWidth="1"/>
    <col min="56" max="56" width="10.5546875" style="82" customWidth="1"/>
    <col min="57" max="57" width="7" style="82" customWidth="1"/>
    <col min="58" max="58" width="1.77734375" style="82" customWidth="1"/>
    <col min="59" max="59" width="9.77734375" style="82" customWidth="1"/>
    <col min="60" max="60" width="7.21875" style="82" customWidth="1"/>
    <col min="61" max="61" width="1.77734375" style="82" customWidth="1"/>
    <col min="62" max="62" width="12.77734375" style="82" customWidth="1"/>
    <col min="63" max="63" width="9.5546875" style="82" customWidth="1"/>
    <col min="64" max="64" width="2.77734375" style="82" customWidth="1"/>
    <col min="65" max="65" width="14.21875" style="82" customWidth="1"/>
    <col min="66" max="66" width="10.77734375" style="82" customWidth="1"/>
    <col min="67" max="67" width="2.21875" style="82" customWidth="1"/>
    <col min="68" max="68" width="9.21875" style="82" customWidth="1"/>
    <col min="69" max="69" width="11.21875" style="82" customWidth="1"/>
    <col min="70" max="70" width="2.21875" style="82" customWidth="1"/>
    <col min="71" max="71" width="10.77734375" style="82" customWidth="1"/>
    <col min="72" max="72" width="12.21875" style="82" customWidth="1"/>
    <col min="73" max="73" width="1.44140625" style="82" customWidth="1"/>
    <col min="74" max="74" width="7.77734375" style="82" customWidth="1"/>
    <col min="75" max="75" width="12.21875" style="82" customWidth="1"/>
    <col min="76" max="76" width="1.44140625" style="82" customWidth="1"/>
    <col min="77" max="77" width="7.5546875" style="82" customWidth="1"/>
    <col min="78" max="78" width="11.77734375" style="82" customWidth="1"/>
    <col min="79" max="79" width="1.44140625" style="82" customWidth="1"/>
    <col min="80" max="80" width="9.44140625" style="82" customWidth="1"/>
    <col min="81" max="81" width="9.77734375" style="82" customWidth="1"/>
    <col min="82" max="82" width="1.44140625" style="82" customWidth="1"/>
    <col min="83" max="83" width="6.77734375" style="82" customWidth="1"/>
    <col min="84" max="84" width="10.21875" style="82" customWidth="1"/>
    <col min="85" max="85" width="1.44140625" style="82" customWidth="1"/>
    <col min="86" max="87" width="10.21875" style="82" customWidth="1"/>
    <col min="88" max="88" width="1.44140625" style="82" customWidth="1"/>
    <col min="89" max="89" width="7.44140625" style="82" customWidth="1"/>
    <col min="90" max="90" width="9" style="82" customWidth="1"/>
    <col min="91" max="91" width="1.44140625" style="82" customWidth="1"/>
    <col min="92" max="92" width="7.44140625" style="82" customWidth="1"/>
    <col min="93" max="93" width="9" style="82" customWidth="1"/>
    <col min="94" max="94" width="1.44140625" style="82" customWidth="1"/>
    <col min="95" max="95" width="7.44140625" style="82" customWidth="1"/>
    <col min="96" max="96" width="9" style="82" customWidth="1"/>
    <col min="97" max="97" width="1.44140625" style="82" customWidth="1"/>
    <col min="98" max="98" width="7.44140625" style="82" customWidth="1"/>
    <col min="99" max="99" width="1.5546875" style="82" customWidth="1"/>
    <col min="100" max="100" width="6.77734375" style="82" customWidth="1"/>
    <col min="101" max="101" width="9.5546875" style="82" customWidth="1"/>
    <col min="102" max="102" width="3.44140625" style="82" customWidth="1"/>
    <col min="103" max="103" width="7.5546875" style="82" customWidth="1"/>
    <col min="104" max="16384" width="11.5546875" style="82"/>
  </cols>
  <sheetData>
    <row r="1" spans="1:104" ht="27.6" customHeight="1" x14ac:dyDescent="0.25">
      <c r="A1" s="105" t="s">
        <v>87</v>
      </c>
      <c r="B1" s="105"/>
      <c r="C1" s="105"/>
      <c r="D1" s="105"/>
      <c r="E1" s="105"/>
      <c r="F1" s="105"/>
      <c r="G1" s="105"/>
      <c r="H1" s="105"/>
      <c r="I1" s="105"/>
      <c r="J1" s="105"/>
      <c r="K1" s="105"/>
      <c r="L1" s="105"/>
      <c r="M1" s="105"/>
      <c r="N1" s="105"/>
      <c r="O1" s="105"/>
      <c r="P1" s="105"/>
      <c r="Q1" s="105"/>
      <c r="R1" s="105"/>
      <c r="S1" s="105"/>
      <c r="T1" s="105"/>
      <c r="U1" s="105"/>
      <c r="V1" s="105"/>
      <c r="W1" s="105"/>
      <c r="X1" s="105"/>
      <c r="Y1" s="105"/>
      <c r="Z1" s="105"/>
      <c r="AA1" s="105"/>
      <c r="AB1" s="105"/>
      <c r="AC1" s="105"/>
      <c r="AD1" s="105"/>
      <c r="AE1" s="146"/>
      <c r="AF1" s="105"/>
      <c r="AG1" s="105"/>
      <c r="AH1" s="105"/>
      <c r="AI1" s="105"/>
      <c r="AJ1" s="105"/>
      <c r="AK1" s="105"/>
      <c r="AL1" s="105"/>
      <c r="AM1" s="105"/>
      <c r="AN1" s="105"/>
      <c r="AO1" s="105"/>
      <c r="AP1" s="105"/>
      <c r="AQ1" s="105"/>
      <c r="AR1" s="105"/>
      <c r="AS1" s="105"/>
      <c r="AT1" s="105"/>
      <c r="AU1" s="105"/>
      <c r="AV1" s="105"/>
      <c r="AW1" s="105"/>
      <c r="AX1" s="105"/>
      <c r="AY1" s="105"/>
      <c r="AZ1" s="105"/>
      <c r="BA1" s="105"/>
      <c r="BB1" s="105"/>
      <c r="BC1" s="105"/>
      <c r="BD1" s="105"/>
      <c r="BE1" s="105"/>
      <c r="BF1" s="105"/>
      <c r="BG1" s="105"/>
      <c r="BH1" s="105"/>
      <c r="BI1" s="105"/>
      <c r="BJ1" s="105"/>
      <c r="BK1" s="105"/>
      <c r="BL1" s="105"/>
      <c r="BM1" s="105"/>
      <c r="BN1" s="105"/>
      <c r="BO1" s="105"/>
    </row>
    <row r="2" spans="1:104" ht="14.4" thickBot="1" x14ac:dyDescent="0.3"/>
    <row r="3" spans="1:104" s="85" customFormat="1" ht="27" customHeight="1" x14ac:dyDescent="0.2">
      <c r="A3" s="783" t="s">
        <v>88</v>
      </c>
      <c r="B3" s="785" t="s">
        <v>10</v>
      </c>
      <c r="C3" s="98"/>
      <c r="D3" s="787" t="s">
        <v>131</v>
      </c>
      <c r="E3" s="788"/>
      <c r="F3" s="106"/>
      <c r="G3" s="789" t="s">
        <v>134</v>
      </c>
      <c r="H3" s="790"/>
      <c r="I3" s="790"/>
      <c r="J3" s="790"/>
      <c r="K3" s="790"/>
      <c r="L3" s="790"/>
      <c r="M3" s="791"/>
      <c r="N3" s="107"/>
      <c r="O3" s="787" t="s">
        <v>132</v>
      </c>
      <c r="P3" s="788"/>
      <c r="Q3" s="107"/>
      <c r="R3" s="789" t="s">
        <v>89</v>
      </c>
      <c r="S3" s="790"/>
      <c r="T3" s="790"/>
      <c r="U3" s="791"/>
      <c r="V3" s="108"/>
      <c r="W3" s="792" t="s">
        <v>130</v>
      </c>
      <c r="X3" s="793"/>
      <c r="Y3" s="793"/>
      <c r="Z3" s="793"/>
      <c r="AA3" s="793"/>
      <c r="AB3" s="793"/>
      <c r="AC3" s="794"/>
      <c r="AD3" s="107"/>
      <c r="AE3" s="795" t="s">
        <v>90</v>
      </c>
      <c r="AF3" s="796"/>
      <c r="AG3" s="109"/>
      <c r="AH3" s="110" t="s">
        <v>91</v>
      </c>
      <c r="AI3" s="111"/>
      <c r="AJ3" s="780" t="s">
        <v>136</v>
      </c>
      <c r="AK3" s="781"/>
      <c r="AL3" s="781"/>
      <c r="AM3" s="781"/>
      <c r="AN3" s="781"/>
      <c r="AO3" s="782"/>
      <c r="AP3" s="107"/>
      <c r="AQ3" s="776" t="s">
        <v>92</v>
      </c>
      <c r="AR3" s="777"/>
      <c r="AS3" s="107"/>
      <c r="AT3" s="774" t="s">
        <v>93</v>
      </c>
      <c r="AU3" s="775"/>
      <c r="AV3" s="778" t="s">
        <v>94</v>
      </c>
      <c r="AW3" s="779"/>
      <c r="AX3" s="109"/>
      <c r="AY3" s="799" t="s">
        <v>24</v>
      </c>
      <c r="AZ3" s="801" t="s">
        <v>124</v>
      </c>
      <c r="BA3" s="807" t="s">
        <v>95</v>
      </c>
      <c r="BB3" s="808"/>
      <c r="BC3" s="307"/>
      <c r="BD3" s="805" t="s">
        <v>143</v>
      </c>
      <c r="BE3" s="806"/>
      <c r="BF3" s="101"/>
      <c r="BG3" s="797" t="s">
        <v>142</v>
      </c>
      <c r="BH3" s="798"/>
      <c r="BI3" s="98"/>
      <c r="BJ3" s="787" t="s">
        <v>125</v>
      </c>
      <c r="BK3" s="788"/>
      <c r="BL3" s="88"/>
      <c r="BM3" s="803" t="s">
        <v>126</v>
      </c>
      <c r="BN3" s="804"/>
      <c r="BO3" s="108"/>
    </row>
    <row r="4" spans="1:104" s="85" customFormat="1" ht="39" customHeight="1" thickBot="1" x14ac:dyDescent="0.25">
      <c r="A4" s="784"/>
      <c r="B4" s="786"/>
      <c r="C4" s="98"/>
      <c r="D4" s="112" t="s">
        <v>96</v>
      </c>
      <c r="E4" s="113" t="s">
        <v>41</v>
      </c>
      <c r="F4" s="106"/>
      <c r="G4" s="114" t="s">
        <v>97</v>
      </c>
      <c r="H4" s="115" t="s">
        <v>98</v>
      </c>
      <c r="I4" s="115" t="s">
        <v>99</v>
      </c>
      <c r="J4" s="115" t="s">
        <v>100</v>
      </c>
      <c r="K4" s="116" t="s">
        <v>101</v>
      </c>
      <c r="L4" s="145" t="s">
        <v>129</v>
      </c>
      <c r="M4" s="117" t="s">
        <v>135</v>
      </c>
      <c r="N4" s="107"/>
      <c r="O4" s="118" t="s">
        <v>102</v>
      </c>
      <c r="P4" s="119" t="s">
        <v>41</v>
      </c>
      <c r="Q4" s="107"/>
      <c r="R4" s="120" t="s">
        <v>116</v>
      </c>
      <c r="S4" s="147" t="s">
        <v>133</v>
      </c>
      <c r="T4" s="230" t="s">
        <v>137</v>
      </c>
      <c r="U4" s="121" t="s">
        <v>117</v>
      </c>
      <c r="V4" s="108"/>
      <c r="W4" s="122" t="s">
        <v>113</v>
      </c>
      <c r="X4" s="123" t="s">
        <v>114</v>
      </c>
      <c r="Y4" s="123" t="s">
        <v>115</v>
      </c>
      <c r="Z4" s="123" t="s">
        <v>103</v>
      </c>
      <c r="AA4" s="123" t="s">
        <v>42</v>
      </c>
      <c r="AB4" s="273" t="s">
        <v>141</v>
      </c>
      <c r="AC4" s="124" t="s">
        <v>104</v>
      </c>
      <c r="AD4" s="125"/>
      <c r="AE4" s="126" t="s">
        <v>102</v>
      </c>
      <c r="AF4" s="127" t="s">
        <v>41</v>
      </c>
      <c r="AG4" s="128"/>
      <c r="AH4" s="129"/>
      <c r="AI4" s="111"/>
      <c r="AJ4" s="130" t="s">
        <v>36</v>
      </c>
      <c r="AK4" s="131" t="s">
        <v>105</v>
      </c>
      <c r="AL4" s="131" t="s">
        <v>38</v>
      </c>
      <c r="AM4" s="132" t="s">
        <v>106</v>
      </c>
      <c r="AN4" s="132" t="s">
        <v>107</v>
      </c>
      <c r="AO4" s="133" t="s">
        <v>85</v>
      </c>
      <c r="AP4" s="134"/>
      <c r="AQ4" s="135" t="s">
        <v>102</v>
      </c>
      <c r="AR4" s="136" t="s">
        <v>41</v>
      </c>
      <c r="AS4" s="107"/>
      <c r="AT4" s="137" t="s">
        <v>102</v>
      </c>
      <c r="AU4" s="138" t="s">
        <v>41</v>
      </c>
      <c r="AV4" s="139" t="s">
        <v>102</v>
      </c>
      <c r="AW4" s="140" t="s">
        <v>41</v>
      </c>
      <c r="AX4" s="109"/>
      <c r="AY4" s="800"/>
      <c r="AZ4" s="802"/>
      <c r="BA4" s="281" t="s">
        <v>45</v>
      </c>
      <c r="BB4" s="282" t="s">
        <v>41</v>
      </c>
      <c r="BC4" s="107"/>
      <c r="BD4" s="141" t="s">
        <v>40</v>
      </c>
      <c r="BE4" s="142" t="s">
        <v>41</v>
      </c>
      <c r="BF4" s="98"/>
      <c r="BG4" s="285" t="s">
        <v>40</v>
      </c>
      <c r="BH4" s="280" t="s">
        <v>41</v>
      </c>
      <c r="BI4" s="98"/>
      <c r="BJ4" s="112" t="s">
        <v>43</v>
      </c>
      <c r="BK4" s="237" t="s">
        <v>44</v>
      </c>
      <c r="BL4" s="88"/>
      <c r="BM4" s="143" t="s">
        <v>43</v>
      </c>
      <c r="BN4" s="144" t="s">
        <v>44</v>
      </c>
      <c r="BO4" s="108"/>
    </row>
    <row r="5" spans="1:104" ht="15.6" customHeight="1" x14ac:dyDescent="0.25">
      <c r="S5" s="100"/>
      <c r="T5" s="100"/>
      <c r="AJ5" s="85"/>
      <c r="AK5" s="85"/>
      <c r="AL5" s="85"/>
      <c r="AM5" s="85"/>
      <c r="AN5" s="85"/>
      <c r="AO5" s="85"/>
      <c r="AP5" s="85"/>
      <c r="AQ5" s="85"/>
      <c r="AR5" s="85"/>
      <c r="AS5" s="85"/>
      <c r="AT5" s="85"/>
      <c r="AU5" s="85"/>
      <c r="AV5" s="85"/>
      <c r="AW5" s="85"/>
      <c r="AX5" s="85"/>
      <c r="AY5" s="85"/>
      <c r="AZ5" s="101"/>
      <c r="BA5" s="85"/>
      <c r="BB5" s="85"/>
      <c r="BC5" s="85"/>
      <c r="BD5" s="85"/>
      <c r="BE5" s="85"/>
      <c r="BF5" s="85"/>
      <c r="BG5" s="85"/>
      <c r="BH5" s="85"/>
      <c r="BI5" s="85"/>
      <c r="BJ5" s="85"/>
      <c r="BK5" s="85"/>
    </row>
    <row r="6" spans="1:104" ht="21.6" customHeight="1" x14ac:dyDescent="0.3">
      <c r="A6" s="249" t="s">
        <v>108</v>
      </c>
      <c r="B6" s="86"/>
      <c r="C6" s="86"/>
      <c r="D6" s="86"/>
      <c r="E6" s="86"/>
      <c r="F6" s="86"/>
      <c r="G6" s="86"/>
      <c r="H6" s="86"/>
      <c r="I6" s="86"/>
      <c r="J6" s="86"/>
      <c r="K6" s="86"/>
      <c r="L6" s="86"/>
      <c r="M6" s="86"/>
      <c r="N6" s="86"/>
      <c r="O6" s="86"/>
      <c r="P6" s="86"/>
      <c r="Q6" s="86"/>
      <c r="R6" s="86"/>
      <c r="S6" s="148"/>
      <c r="T6" s="148"/>
      <c r="U6" s="86"/>
      <c r="V6" s="86"/>
      <c r="W6" s="86"/>
      <c r="X6" s="86"/>
      <c r="Y6" s="86"/>
      <c r="Z6" s="86"/>
      <c r="AA6" s="86"/>
      <c r="AB6" s="86"/>
      <c r="AC6" s="86"/>
      <c r="AD6" s="86"/>
      <c r="AE6" s="87"/>
      <c r="AF6" s="86"/>
      <c r="AG6" s="86"/>
      <c r="AH6" s="86"/>
      <c r="AI6" s="86"/>
      <c r="AJ6" s="87"/>
      <c r="AK6" s="87"/>
      <c r="AL6" s="87"/>
      <c r="AM6" s="87"/>
      <c r="AN6" s="87"/>
      <c r="AO6" s="87"/>
      <c r="AP6" s="87"/>
      <c r="AQ6" s="87"/>
      <c r="AR6" s="87"/>
      <c r="AS6" s="87"/>
      <c r="AT6" s="87"/>
      <c r="AU6" s="87"/>
      <c r="AV6" s="87"/>
      <c r="AW6" s="87"/>
      <c r="AX6" s="87"/>
      <c r="AY6" s="87"/>
      <c r="AZ6" s="103"/>
      <c r="BA6" s="87"/>
      <c r="BB6" s="87"/>
      <c r="BC6" s="85"/>
      <c r="BD6" s="87"/>
      <c r="BE6" s="87"/>
      <c r="BF6" s="87"/>
      <c r="BG6" s="306"/>
      <c r="BH6" s="87"/>
      <c r="BI6" s="87"/>
      <c r="BJ6" s="87"/>
      <c r="BK6" s="87"/>
      <c r="BM6" s="87"/>
      <c r="BN6" s="87"/>
      <c r="BO6" s="85"/>
    </row>
    <row r="7" spans="1:104" ht="13.95" customHeight="1" thickBot="1" x14ac:dyDescent="0.3">
      <c r="M7" s="84"/>
      <c r="O7" s="84"/>
      <c r="S7" s="100"/>
      <c r="T7" s="100"/>
      <c r="AJ7" s="85"/>
      <c r="AK7" s="85"/>
      <c r="AL7" s="85"/>
      <c r="AM7" s="85"/>
      <c r="AN7" s="85"/>
      <c r="AO7" s="85"/>
      <c r="AP7" s="85"/>
      <c r="AQ7" s="229"/>
      <c r="AR7" s="85"/>
      <c r="AS7" s="85"/>
      <c r="AT7" s="85"/>
      <c r="AU7" s="85"/>
      <c r="AV7" s="85"/>
      <c r="AW7" s="85"/>
      <c r="AX7" s="85"/>
      <c r="AY7" s="85"/>
      <c r="AZ7" s="101"/>
      <c r="BA7" s="85"/>
      <c r="BB7" s="85"/>
      <c r="BC7" s="85"/>
      <c r="BD7" s="85"/>
      <c r="BE7" s="85"/>
      <c r="BF7" s="85"/>
      <c r="BG7" s="85"/>
      <c r="BH7" s="85"/>
      <c r="BI7" s="85"/>
      <c r="BJ7" s="85"/>
      <c r="BK7" s="85"/>
    </row>
    <row r="8" spans="1:104" s="164" customFormat="1" ht="28.5" customHeight="1" thickBot="1" x14ac:dyDescent="0.25">
      <c r="A8" s="276" t="s">
        <v>80</v>
      </c>
      <c r="B8" s="252" t="str">
        <f>'[5]Par filière métier'!A36</f>
        <v>Agent administratif</v>
      </c>
      <c r="C8" s="149"/>
      <c r="D8" s="150" t="e">
        <f>+#REF!</f>
        <v>#REF!</v>
      </c>
      <c r="E8" s="150" t="e">
        <f>D8/655.957</f>
        <v>#REF!</v>
      </c>
      <c r="F8" s="151"/>
      <c r="G8" s="152">
        <v>0</v>
      </c>
      <c r="H8" s="152">
        <v>0</v>
      </c>
      <c r="I8" s="152">
        <v>0</v>
      </c>
      <c r="J8" s="152">
        <v>0</v>
      </c>
      <c r="K8" s="152">
        <v>0</v>
      </c>
      <c r="L8" s="152">
        <v>10000</v>
      </c>
      <c r="M8" s="152">
        <v>0</v>
      </c>
      <c r="N8" s="153"/>
      <c r="O8" s="154" t="e">
        <f>SUM(D8,G8:M8)</f>
        <v>#REF!</v>
      </c>
      <c r="P8" s="154" t="e">
        <f>O8/655.957</f>
        <v>#REF!</v>
      </c>
      <c r="Q8" s="155"/>
      <c r="R8" s="156" t="e">
        <f>O8*4%</f>
        <v>#REF!</v>
      </c>
      <c r="S8" s="157" t="e">
        <f>(O8-R8)*80%</f>
        <v>#REF!</v>
      </c>
      <c r="T8" s="157">
        <f>24000/12</f>
        <v>2000</v>
      </c>
      <c r="U8" s="228">
        <v>7750</v>
      </c>
      <c r="V8" s="159"/>
      <c r="W8" s="160" t="e">
        <f t="shared" ref="W8:W23" si="0">8%*O8</f>
        <v>#REF!</v>
      </c>
      <c r="X8" s="160" t="e">
        <f t="shared" ref="X8:X23" si="1">O8*10.03%</f>
        <v>#REF!</v>
      </c>
      <c r="Y8" s="160" t="e">
        <f t="shared" ref="Y8:Y23" si="2">O8*2.25%</f>
        <v>#REF!</v>
      </c>
      <c r="Z8" s="161">
        <f>15000/12</f>
        <v>1250</v>
      </c>
      <c r="AA8" s="161" t="e">
        <f t="shared" ref="AA8:AA23" si="3">O8*7.5%</f>
        <v>#REF!</v>
      </c>
      <c r="AB8" s="161"/>
      <c r="AC8" s="161"/>
      <c r="AD8" s="162"/>
      <c r="AE8" s="154" t="e">
        <f t="shared" ref="AE8:AE23" si="4">O8-R8-U8-T8</f>
        <v>#REF!</v>
      </c>
      <c r="AF8" s="154" t="e">
        <f t="shared" ref="AF8:AF23" si="5">S8/655.957</f>
        <v>#REF!</v>
      </c>
      <c r="AH8" s="165">
        <v>2</v>
      </c>
      <c r="AI8" s="166"/>
      <c r="AJ8" s="167">
        <v>40000</v>
      </c>
      <c r="AK8" s="167">
        <v>25000</v>
      </c>
      <c r="AL8" s="200">
        <v>12000</v>
      </c>
      <c r="AM8" s="167"/>
      <c r="AN8" s="167"/>
      <c r="AO8" s="168"/>
      <c r="AP8" s="169"/>
      <c r="AQ8" s="170" t="e">
        <f t="shared" ref="AQ8:AQ24" si="6">AE8+AJ8+AK8+AL8+AM8+AN8+AO8</f>
        <v>#REF!</v>
      </c>
      <c r="AR8" s="170" t="e">
        <f t="shared" ref="AR8:AR24" si="7">+AQ8/655.957</f>
        <v>#REF!</v>
      </c>
      <c r="AS8" s="171"/>
      <c r="AT8" s="172" t="e">
        <f>(O8-R8-U8)/12</f>
        <v>#REF!</v>
      </c>
      <c r="AU8" s="172" t="e">
        <f t="shared" ref="AU8:AU24" si="8">+AT8/655.957</f>
        <v>#REF!</v>
      </c>
      <c r="AV8" s="173" t="e">
        <f>(AT8/12)+AQ8</f>
        <v>#REF!</v>
      </c>
      <c r="AW8" s="173" t="e">
        <f t="shared" ref="AW8:AW24" si="9">+AV8/655.957</f>
        <v>#REF!</v>
      </c>
      <c r="AX8" s="174"/>
      <c r="AY8" s="175" t="s">
        <v>5</v>
      </c>
      <c r="AZ8" s="293"/>
      <c r="BA8" s="297" t="e">
        <f>((D8*25%)*6)/12</f>
        <v>#REF!</v>
      </c>
      <c r="BB8" s="298" t="e">
        <f t="shared" ref="BB8:BB13" si="10">+BA8/655.957</f>
        <v>#REF!</v>
      </c>
      <c r="BC8" s="176"/>
      <c r="BD8" s="291" t="e">
        <f>O8*0.02</f>
        <v>#REF!</v>
      </c>
      <c r="BE8" s="177" t="e">
        <f>BD8/655.957</f>
        <v>#REF!</v>
      </c>
      <c r="BF8" s="174"/>
      <c r="BG8" s="303" t="e">
        <f>(D8/36)*10</f>
        <v>#REF!</v>
      </c>
      <c r="BH8" s="287" t="e">
        <f>BG8/655.957</f>
        <v>#REF!</v>
      </c>
      <c r="BI8" s="174"/>
      <c r="BJ8" s="242" t="e">
        <f>SUM(O8,Z8,AA8,AC8,AJ8,AK8,AL8,AM8,AN8,AO8,AT8,BA8,BD8,BG8)</f>
        <v>#REF!</v>
      </c>
      <c r="BK8" s="235" t="e">
        <f>BJ8/655.957</f>
        <v>#REF!</v>
      </c>
      <c r="BL8" s="179"/>
      <c r="BM8" s="239" t="e">
        <f>BJ8*10</f>
        <v>#REF!</v>
      </c>
      <c r="BN8" s="178" t="e">
        <f>BM8/655.957</f>
        <v>#REF!</v>
      </c>
      <c r="BO8" s="179"/>
    </row>
    <row r="9" spans="1:104" s="164" customFormat="1" ht="30" customHeight="1" thickBot="1" x14ac:dyDescent="0.25">
      <c r="A9" s="276" t="s">
        <v>82</v>
      </c>
      <c r="B9" s="253" t="str">
        <f>'[5]Par filière métier'!A5</f>
        <v>Coordinateur niveau 1</v>
      </c>
      <c r="C9" s="180"/>
      <c r="D9" s="181" t="e">
        <f>#REF!</f>
        <v>#REF!</v>
      </c>
      <c r="E9" s="150" t="e">
        <f t="shared" ref="E9:E16" si="11">D9/655.957</f>
        <v>#REF!</v>
      </c>
      <c r="F9" s="182"/>
      <c r="G9" s="183">
        <v>0</v>
      </c>
      <c r="H9" s="183">
        <v>0</v>
      </c>
      <c r="I9" s="183">
        <v>0</v>
      </c>
      <c r="J9" s="183">
        <v>0</v>
      </c>
      <c r="K9" s="183">
        <v>0</v>
      </c>
      <c r="L9" s="152">
        <v>0</v>
      </c>
      <c r="M9" s="183">
        <v>133000</v>
      </c>
      <c r="N9" s="184"/>
      <c r="O9" s="154" t="e">
        <f>SUM(D9,G9:M9)</f>
        <v>#REF!</v>
      </c>
      <c r="P9" s="154" t="e">
        <f t="shared" ref="P9:P16" si="12">O9/655.957</f>
        <v>#REF!</v>
      </c>
      <c r="Q9" s="155"/>
      <c r="R9" s="156" t="e">
        <f>O9*4%</f>
        <v>#REF!</v>
      </c>
      <c r="S9" s="157" t="e">
        <f t="shared" ref="S9:S20" si="13">(O9-R9)*80%</f>
        <v>#REF!</v>
      </c>
      <c r="T9" s="157">
        <f t="shared" ref="T9:T24" si="14">24000/12</f>
        <v>2000</v>
      </c>
      <c r="U9" s="228">
        <v>165791</v>
      </c>
      <c r="V9" s="159"/>
      <c r="W9" s="160" t="e">
        <f t="shared" si="0"/>
        <v>#REF!</v>
      </c>
      <c r="X9" s="160" t="e">
        <f t="shared" si="1"/>
        <v>#REF!</v>
      </c>
      <c r="Y9" s="160" t="e">
        <f t="shared" si="2"/>
        <v>#REF!</v>
      </c>
      <c r="Z9" s="161">
        <f>15000/12</f>
        <v>1250</v>
      </c>
      <c r="AA9" s="161" t="e">
        <f t="shared" si="3"/>
        <v>#REF!</v>
      </c>
      <c r="AB9" s="161"/>
      <c r="AC9" s="161"/>
      <c r="AD9" s="162"/>
      <c r="AE9" s="154" t="e">
        <f t="shared" si="4"/>
        <v>#REF!</v>
      </c>
      <c r="AF9" s="154" t="e">
        <f t="shared" si="5"/>
        <v>#REF!</v>
      </c>
      <c r="AH9" s="185">
        <v>4.5</v>
      </c>
      <c r="AI9" s="186"/>
      <c r="AJ9" s="167">
        <v>40000</v>
      </c>
      <c r="AK9" s="167">
        <f>'[5]Grille rémunération'!F16</f>
        <v>85000</v>
      </c>
      <c r="AL9" s="200">
        <v>12000</v>
      </c>
      <c r="AM9" s="187"/>
      <c r="AN9" s="187"/>
      <c r="AO9" s="167">
        <v>50000</v>
      </c>
      <c r="AP9" s="188"/>
      <c r="AQ9" s="170" t="e">
        <f t="shared" si="6"/>
        <v>#REF!</v>
      </c>
      <c r="AR9" s="170" t="e">
        <f t="shared" si="7"/>
        <v>#REF!</v>
      </c>
      <c r="AS9" s="171"/>
      <c r="AT9" s="172" t="e">
        <f>(O9-R9-U9)/12</f>
        <v>#REF!</v>
      </c>
      <c r="AU9" s="172" t="e">
        <f t="shared" si="8"/>
        <v>#REF!</v>
      </c>
      <c r="AV9" s="173" t="e">
        <f t="shared" ref="AV9:AV16" si="15">(AT9/12)+AQ9</f>
        <v>#REF!</v>
      </c>
      <c r="AW9" s="173" t="e">
        <f t="shared" si="9"/>
        <v>#REF!</v>
      </c>
      <c r="AX9" s="174"/>
      <c r="AY9" s="175" t="s">
        <v>5</v>
      </c>
      <c r="AZ9" s="293"/>
      <c r="BA9" s="299" t="e">
        <f t="shared" ref="BA9:BA17" si="16">((D9*25%)*6)/12</f>
        <v>#REF!</v>
      </c>
      <c r="BB9" s="300" t="e">
        <f t="shared" si="10"/>
        <v>#REF!</v>
      </c>
      <c r="BC9" s="189"/>
      <c r="BD9" s="291" t="e">
        <f t="shared" ref="BD9:BD24" si="17">O9*0.02</f>
        <v>#REF!</v>
      </c>
      <c r="BE9" s="191" t="e">
        <f t="shared" ref="BE9:BE16" si="18">BD9/655.957</f>
        <v>#REF!</v>
      </c>
      <c r="BF9" s="174"/>
      <c r="BG9" s="286" t="e">
        <f t="shared" ref="BG9:BG23" si="19">(D9/36)*10</f>
        <v>#REF!</v>
      </c>
      <c r="BH9" s="288" t="e">
        <f t="shared" ref="BH9:BH23" si="20">BG9/655.957</f>
        <v>#REF!</v>
      </c>
      <c r="BI9" s="174"/>
      <c r="BJ9" s="243" t="e">
        <f t="shared" ref="BJ9:BJ23" si="21">SUM(O9,Z9,AA9,AC9,AJ9,AK9,AL9,AM9,AN9,AO9,AT9,BA9,BD9,BG9)</f>
        <v>#REF!</v>
      </c>
      <c r="BK9" s="234" t="e">
        <f t="shared" ref="BK9:BK16" si="22">BJ9/655.957</f>
        <v>#REF!</v>
      </c>
      <c r="BL9" s="179"/>
      <c r="BM9" s="240" t="e">
        <f t="shared" ref="BM9:BM20" si="23">BJ9*12</f>
        <v>#REF!</v>
      </c>
      <c r="BN9" s="192" t="e">
        <f t="shared" ref="BN9:BN20" si="24">BM9/655.957</f>
        <v>#REF!</v>
      </c>
      <c r="BO9" s="179"/>
      <c r="BP9" s="174"/>
    </row>
    <row r="10" spans="1:104" s="164" customFormat="1" ht="30" customHeight="1" thickBot="1" x14ac:dyDescent="0.25">
      <c r="A10" s="276" t="s">
        <v>81</v>
      </c>
      <c r="B10" s="253" t="str">
        <f>'[5]Par filière métier'!A27</f>
        <v>Responsable administratif niv 2</v>
      </c>
      <c r="C10" s="180"/>
      <c r="D10" s="181">
        <v>395000</v>
      </c>
      <c r="E10" s="150">
        <f t="shared" si="11"/>
        <v>602.17361808777105</v>
      </c>
      <c r="F10" s="182"/>
      <c r="G10" s="183">
        <v>0</v>
      </c>
      <c r="H10" s="183">
        <v>0</v>
      </c>
      <c r="I10" s="183">
        <v>0</v>
      </c>
      <c r="J10" s="183">
        <v>0</v>
      </c>
      <c r="K10" s="183">
        <v>0</v>
      </c>
      <c r="L10" s="183">
        <v>0</v>
      </c>
      <c r="M10" s="183">
        <v>20000</v>
      </c>
      <c r="N10" s="184"/>
      <c r="O10" s="154">
        <f t="shared" ref="O10:O20" si="25">SUM(D10,G10:M10)</f>
        <v>415000</v>
      </c>
      <c r="P10" s="154">
        <f t="shared" si="12"/>
        <v>632.66342153525306</v>
      </c>
      <c r="Q10" s="155"/>
      <c r="R10" s="156">
        <f t="shared" ref="R10:R16" si="26">O10*4%</f>
        <v>16600</v>
      </c>
      <c r="S10" s="157">
        <f t="shared" si="13"/>
        <v>318720</v>
      </c>
      <c r="T10" s="157">
        <f t="shared" si="14"/>
        <v>2000</v>
      </c>
      <c r="U10" s="228">
        <v>33687</v>
      </c>
      <c r="V10" s="159"/>
      <c r="W10" s="160">
        <f t="shared" si="0"/>
        <v>33200</v>
      </c>
      <c r="X10" s="160">
        <f t="shared" si="1"/>
        <v>41624.5</v>
      </c>
      <c r="Y10" s="160">
        <f t="shared" si="2"/>
        <v>9337.5</v>
      </c>
      <c r="Z10" s="161">
        <f>15000/12</f>
        <v>1250</v>
      </c>
      <c r="AA10" s="161">
        <f t="shared" si="3"/>
        <v>31125</v>
      </c>
      <c r="AB10" s="161"/>
      <c r="AC10" s="161"/>
      <c r="AD10" s="162"/>
      <c r="AE10" s="154">
        <f t="shared" si="4"/>
        <v>362713</v>
      </c>
      <c r="AF10" s="154">
        <f t="shared" si="5"/>
        <v>485.88550773907434</v>
      </c>
      <c r="AH10" s="165">
        <v>4</v>
      </c>
      <c r="AI10" s="166"/>
      <c r="AJ10" s="167">
        <v>40000</v>
      </c>
      <c r="AK10" s="167">
        <v>75000</v>
      </c>
      <c r="AL10" s="200">
        <v>12000</v>
      </c>
      <c r="AM10" s="167"/>
      <c r="AN10" s="167"/>
      <c r="AO10" s="167"/>
      <c r="AP10" s="188"/>
      <c r="AQ10" s="170">
        <f t="shared" si="6"/>
        <v>489713</v>
      </c>
      <c r="AR10" s="170">
        <f t="shared" si="7"/>
        <v>746.56265578383955</v>
      </c>
      <c r="AS10" s="171"/>
      <c r="AT10" s="172">
        <f>(O10-R10-U10)/12</f>
        <v>30392.75</v>
      </c>
      <c r="AU10" s="172">
        <f t="shared" si="8"/>
        <v>46.33344868642304</v>
      </c>
      <c r="AV10" s="173">
        <f t="shared" si="15"/>
        <v>492245.72916666669</v>
      </c>
      <c r="AW10" s="173">
        <f t="shared" si="9"/>
        <v>750.42377650770811</v>
      </c>
      <c r="AY10" s="175" t="s">
        <v>5</v>
      </c>
      <c r="AZ10" s="293"/>
      <c r="BA10" s="299">
        <f t="shared" si="16"/>
        <v>49375</v>
      </c>
      <c r="BB10" s="300">
        <f t="shared" si="10"/>
        <v>75.271702260971381</v>
      </c>
      <c r="BC10" s="189"/>
      <c r="BD10" s="291">
        <f t="shared" si="17"/>
        <v>8300</v>
      </c>
      <c r="BE10" s="191">
        <f t="shared" si="18"/>
        <v>12.653268430705062</v>
      </c>
      <c r="BG10" s="286">
        <f t="shared" si="19"/>
        <v>109722.22222222222</v>
      </c>
      <c r="BH10" s="288">
        <f t="shared" si="20"/>
        <v>167.27044946882526</v>
      </c>
      <c r="BJ10" s="243">
        <f t="shared" si="21"/>
        <v>772164.97222222225</v>
      </c>
      <c r="BK10" s="234">
        <f t="shared" si="22"/>
        <v>1177.1579116043006</v>
      </c>
      <c r="BL10" s="179"/>
      <c r="BM10" s="240">
        <f t="shared" si="23"/>
        <v>9265979.6666666679</v>
      </c>
      <c r="BN10" s="192">
        <f t="shared" si="24"/>
        <v>14125.89493925161</v>
      </c>
      <c r="BO10" s="179"/>
    </row>
    <row r="11" spans="1:104" s="164" customFormat="1" ht="30" customHeight="1" thickBot="1" x14ac:dyDescent="0.25">
      <c r="A11" s="276" t="s">
        <v>83</v>
      </c>
      <c r="B11" s="253" t="str">
        <f>'[5]Par filière métier'!A10</f>
        <v xml:space="preserve">Responsable opérationnel </v>
      </c>
      <c r="C11" s="180"/>
      <c r="D11" s="181" t="e">
        <f>#REF!</f>
        <v>#REF!</v>
      </c>
      <c r="E11" s="150" t="e">
        <f>D11/655.957</f>
        <v>#REF!</v>
      </c>
      <c r="F11" s="182"/>
      <c r="G11" s="183">
        <v>0</v>
      </c>
      <c r="H11" s="183">
        <v>0</v>
      </c>
      <c r="I11" s="183">
        <v>0</v>
      </c>
      <c r="J11" s="183">
        <v>0</v>
      </c>
      <c r="K11" s="183">
        <v>0</v>
      </c>
      <c r="L11" s="183">
        <v>0</v>
      </c>
      <c r="M11" s="183">
        <v>0</v>
      </c>
      <c r="N11" s="184"/>
      <c r="O11" s="154" t="e">
        <f>SUM(D11,G11:M11)</f>
        <v>#REF!</v>
      </c>
      <c r="P11" s="154" t="e">
        <f>O11/655.957</f>
        <v>#REF!</v>
      </c>
      <c r="Q11" s="155"/>
      <c r="R11" s="156" t="e">
        <f>O11*4%</f>
        <v>#REF!</v>
      </c>
      <c r="S11" s="157" t="e">
        <f>(O11-R11)*80%</f>
        <v>#REF!</v>
      </c>
      <c r="T11" s="157">
        <f t="shared" si="14"/>
        <v>2000</v>
      </c>
      <c r="U11" s="228">
        <v>26958</v>
      </c>
      <c r="V11" s="159"/>
      <c r="W11" s="160" t="e">
        <f t="shared" si="0"/>
        <v>#REF!</v>
      </c>
      <c r="X11" s="160" t="e">
        <f t="shared" si="1"/>
        <v>#REF!</v>
      </c>
      <c r="Y11" s="160" t="e">
        <f t="shared" si="2"/>
        <v>#REF!</v>
      </c>
      <c r="Z11" s="161">
        <f>15000/12</f>
        <v>1250</v>
      </c>
      <c r="AA11" s="161" t="e">
        <f t="shared" si="3"/>
        <v>#REF!</v>
      </c>
      <c r="AB11" s="161"/>
      <c r="AC11" s="161"/>
      <c r="AD11" s="162"/>
      <c r="AE11" s="154" t="e">
        <f t="shared" si="4"/>
        <v>#REF!</v>
      </c>
      <c r="AF11" s="154" t="e">
        <f t="shared" si="5"/>
        <v>#REF!</v>
      </c>
      <c r="AH11" s="165">
        <v>3</v>
      </c>
      <c r="AI11" s="166"/>
      <c r="AJ11" s="167">
        <v>40000</v>
      </c>
      <c r="AK11" s="167">
        <f>'[5]Grille rémunération'!F10</f>
        <v>30000</v>
      </c>
      <c r="AL11" s="200">
        <v>12000</v>
      </c>
      <c r="AM11" s="167"/>
      <c r="AN11" s="167"/>
      <c r="AO11" s="167"/>
      <c r="AP11" s="188"/>
      <c r="AQ11" s="170" t="e">
        <f t="shared" si="6"/>
        <v>#REF!</v>
      </c>
      <c r="AR11" s="170" t="e">
        <f t="shared" si="7"/>
        <v>#REF!</v>
      </c>
      <c r="AS11" s="171"/>
      <c r="AT11" s="172" t="e">
        <f>(O11-AJ11-AK11-AL11-AM11-AN11-AO11)/12</f>
        <v>#REF!</v>
      </c>
      <c r="AU11" s="172" t="e">
        <f t="shared" si="8"/>
        <v>#REF!</v>
      </c>
      <c r="AV11" s="173" t="e">
        <f>(AT11/12)+AQ11</f>
        <v>#REF!</v>
      </c>
      <c r="AW11" s="173" t="e">
        <f t="shared" si="9"/>
        <v>#REF!</v>
      </c>
      <c r="AY11" s="175" t="s">
        <v>5</v>
      </c>
      <c r="AZ11" s="293"/>
      <c r="BA11" s="299" t="e">
        <f t="shared" si="16"/>
        <v>#REF!</v>
      </c>
      <c r="BB11" s="300" t="e">
        <f t="shared" si="10"/>
        <v>#REF!</v>
      </c>
      <c r="BC11" s="176"/>
      <c r="BD11" s="291" t="e">
        <f t="shared" si="17"/>
        <v>#REF!</v>
      </c>
      <c r="BE11" s="191" t="e">
        <f t="shared" si="18"/>
        <v>#REF!</v>
      </c>
      <c r="BG11" s="286" t="e">
        <f t="shared" si="19"/>
        <v>#REF!</v>
      </c>
      <c r="BH11" s="288" t="e">
        <f t="shared" si="20"/>
        <v>#REF!</v>
      </c>
      <c r="BJ11" s="243" t="e">
        <f t="shared" si="21"/>
        <v>#REF!</v>
      </c>
      <c r="BK11" s="234" t="e">
        <f>BJ11/655.957</f>
        <v>#REF!</v>
      </c>
      <c r="BL11" s="179"/>
      <c r="BM11" s="240" t="e">
        <f>BJ11*12</f>
        <v>#REF!</v>
      </c>
      <c r="BN11" s="192" t="e">
        <f>BM11/655.957</f>
        <v>#REF!</v>
      </c>
      <c r="BO11" s="179"/>
    </row>
    <row r="12" spans="1:104" s="164" customFormat="1" ht="22.95" customHeight="1" thickBot="1" x14ac:dyDescent="0.25">
      <c r="A12" s="276" t="s">
        <v>118</v>
      </c>
      <c r="B12" s="253" t="str">
        <f>'[5]Par filière métier'!A10</f>
        <v xml:space="preserve">Responsable opérationnel </v>
      </c>
      <c r="C12" s="180"/>
      <c r="D12" s="181">
        <f>'[5]GI Moukendi'!C49</f>
        <v>365000</v>
      </c>
      <c r="E12" s="150">
        <f t="shared" si="11"/>
        <v>556.43891291654791</v>
      </c>
      <c r="F12" s="182"/>
      <c r="G12" s="183">
        <v>0</v>
      </c>
      <c r="H12" s="183">
        <v>0</v>
      </c>
      <c r="I12" s="183">
        <v>0</v>
      </c>
      <c r="J12" s="183">
        <v>0</v>
      </c>
      <c r="K12" s="183">
        <v>0</v>
      </c>
      <c r="L12" s="183">
        <v>0</v>
      </c>
      <c r="M12" s="183">
        <v>0</v>
      </c>
      <c r="N12" s="184"/>
      <c r="O12" s="154">
        <f t="shared" si="25"/>
        <v>365000</v>
      </c>
      <c r="P12" s="154">
        <f t="shared" si="12"/>
        <v>556.43891291654791</v>
      </c>
      <c r="Q12" s="155"/>
      <c r="R12" s="156">
        <f t="shared" si="26"/>
        <v>14600</v>
      </c>
      <c r="S12" s="157">
        <f t="shared" si="13"/>
        <v>280320</v>
      </c>
      <c r="T12" s="157">
        <f t="shared" si="14"/>
        <v>2000</v>
      </c>
      <c r="U12" s="228">
        <v>33666</v>
      </c>
      <c r="V12" s="159"/>
      <c r="W12" s="160">
        <f t="shared" si="0"/>
        <v>29200</v>
      </c>
      <c r="X12" s="160">
        <f t="shared" si="1"/>
        <v>36609.5</v>
      </c>
      <c r="Y12" s="160">
        <f t="shared" si="2"/>
        <v>8212.5</v>
      </c>
      <c r="Z12" s="161">
        <f>15000/12</f>
        <v>1250</v>
      </c>
      <c r="AA12" s="161">
        <f t="shared" si="3"/>
        <v>27375</v>
      </c>
      <c r="AB12" s="161"/>
      <c r="AC12" s="161"/>
      <c r="AD12" s="162"/>
      <c r="AE12" s="154">
        <f t="shared" si="4"/>
        <v>314734</v>
      </c>
      <c r="AF12" s="154">
        <f t="shared" si="5"/>
        <v>427.34508511990879</v>
      </c>
      <c r="AH12" s="165">
        <v>2</v>
      </c>
      <c r="AI12" s="166"/>
      <c r="AJ12" s="167">
        <v>40000</v>
      </c>
      <c r="AK12" s="167">
        <f>'[5]Grille rémunération'!F10</f>
        <v>30000</v>
      </c>
      <c r="AL12" s="200">
        <v>12000</v>
      </c>
      <c r="AM12" s="167"/>
      <c r="AN12" s="167"/>
      <c r="AO12" s="167"/>
      <c r="AP12" s="188"/>
      <c r="AQ12" s="170">
        <f t="shared" si="6"/>
        <v>396734</v>
      </c>
      <c r="AR12" s="170">
        <f t="shared" si="7"/>
        <v>604.81708404666767</v>
      </c>
      <c r="AS12" s="171"/>
      <c r="AT12" s="172">
        <f t="shared" ref="AT12:AT24" si="27">(O12-R12-U12)/12</f>
        <v>26394.5</v>
      </c>
      <c r="AU12" s="172">
        <f t="shared" si="8"/>
        <v>40.238155854728284</v>
      </c>
      <c r="AV12" s="173">
        <f t="shared" si="15"/>
        <v>398933.54166666669</v>
      </c>
      <c r="AW12" s="173">
        <f t="shared" si="9"/>
        <v>608.17026370122846</v>
      </c>
      <c r="AY12" s="175" t="s">
        <v>5</v>
      </c>
      <c r="AZ12" s="293"/>
      <c r="BA12" s="299">
        <f t="shared" si="16"/>
        <v>45625</v>
      </c>
      <c r="BB12" s="300">
        <f t="shared" si="10"/>
        <v>69.554864114568488</v>
      </c>
      <c r="BC12" s="176"/>
      <c r="BD12" s="291">
        <f t="shared" si="17"/>
        <v>7300</v>
      </c>
      <c r="BE12" s="191">
        <f t="shared" si="18"/>
        <v>11.128778258330957</v>
      </c>
      <c r="BG12" s="286">
        <f t="shared" si="19"/>
        <v>101388.88888888889</v>
      </c>
      <c r="BH12" s="288">
        <f t="shared" si="20"/>
        <v>154.56636469904109</v>
      </c>
      <c r="BJ12" s="243">
        <f t="shared" si="21"/>
        <v>656333.38888888888</v>
      </c>
      <c r="BK12" s="234">
        <f t="shared" si="22"/>
        <v>1000.5738011621019</v>
      </c>
      <c r="BL12" s="179"/>
      <c r="BM12" s="240">
        <f t="shared" si="23"/>
        <v>7876000.666666666</v>
      </c>
      <c r="BN12" s="192">
        <f t="shared" si="24"/>
        <v>12006.885613945222</v>
      </c>
      <c r="BO12" s="179"/>
    </row>
    <row r="13" spans="1:104" s="164" customFormat="1" ht="30" customHeight="1" thickBot="1" x14ac:dyDescent="0.25">
      <c r="A13" s="276" t="s">
        <v>120</v>
      </c>
      <c r="B13" s="253" t="str">
        <f>'[5]Par filière métier'!A8</f>
        <v>Responsable opérationnel confirmé</v>
      </c>
      <c r="C13" s="180"/>
      <c r="D13" s="181">
        <v>420000</v>
      </c>
      <c r="E13" s="150">
        <f>D13/655.957</f>
        <v>640.28587239712363</v>
      </c>
      <c r="F13" s="182"/>
      <c r="G13" s="183">
        <v>0</v>
      </c>
      <c r="H13" s="183">
        <v>0</v>
      </c>
      <c r="I13" s="183">
        <v>0</v>
      </c>
      <c r="J13" s="183">
        <v>0</v>
      </c>
      <c r="K13" s="183">
        <v>0</v>
      </c>
      <c r="L13" s="183">
        <v>0</v>
      </c>
      <c r="M13" s="183">
        <v>80000</v>
      </c>
      <c r="N13" s="184"/>
      <c r="O13" s="154">
        <f t="shared" si="25"/>
        <v>500000</v>
      </c>
      <c r="P13" s="154">
        <f>O13/655.957</f>
        <v>762.24508618705192</v>
      </c>
      <c r="Q13" s="155"/>
      <c r="R13" s="158">
        <f>O13*4%</f>
        <v>20000</v>
      </c>
      <c r="S13" s="157">
        <f t="shared" si="13"/>
        <v>384000</v>
      </c>
      <c r="T13" s="157">
        <f t="shared" si="14"/>
        <v>2000</v>
      </c>
      <c r="U13" s="228">
        <v>55750</v>
      </c>
      <c r="V13" s="194"/>
      <c r="W13" s="160">
        <f t="shared" si="0"/>
        <v>40000</v>
      </c>
      <c r="X13" s="160">
        <f t="shared" si="1"/>
        <v>50150</v>
      </c>
      <c r="Y13" s="160">
        <f t="shared" si="2"/>
        <v>11250</v>
      </c>
      <c r="Z13" s="195">
        <f t="shared" ref="Z13:Z24" si="28">15000/12</f>
        <v>1250</v>
      </c>
      <c r="AA13" s="195">
        <f t="shared" si="3"/>
        <v>37500</v>
      </c>
      <c r="AB13" s="195"/>
      <c r="AC13" s="195"/>
      <c r="AD13" s="162"/>
      <c r="AE13" s="154">
        <f t="shared" si="4"/>
        <v>422250</v>
      </c>
      <c r="AF13" s="154">
        <f t="shared" si="5"/>
        <v>585.40422619165588</v>
      </c>
      <c r="AH13" s="165">
        <v>3.5</v>
      </c>
      <c r="AI13" s="166"/>
      <c r="AJ13" s="167">
        <v>40000</v>
      </c>
      <c r="AK13" s="167">
        <f>'[5]Grille rémunération'!F15</f>
        <v>75000</v>
      </c>
      <c r="AL13" s="200">
        <v>12000</v>
      </c>
      <c r="AM13" s="167"/>
      <c r="AN13" s="167"/>
      <c r="AO13" s="167"/>
      <c r="AP13" s="188"/>
      <c r="AQ13" s="170">
        <f t="shared" si="6"/>
        <v>549250</v>
      </c>
      <c r="AR13" s="170">
        <f t="shared" si="7"/>
        <v>837.32622717647655</v>
      </c>
      <c r="AS13" s="171"/>
      <c r="AT13" s="172">
        <f t="shared" si="27"/>
        <v>35354.166666666664</v>
      </c>
      <c r="AU13" s="172">
        <f t="shared" si="8"/>
        <v>53.897079635809455</v>
      </c>
      <c r="AV13" s="173">
        <f>(AT13/12)+AQ13</f>
        <v>552196.1805555555</v>
      </c>
      <c r="AW13" s="173">
        <f t="shared" si="9"/>
        <v>841.81765047946055</v>
      </c>
      <c r="AY13" s="175" t="s">
        <v>5</v>
      </c>
      <c r="AZ13" s="293"/>
      <c r="BA13" s="299">
        <f t="shared" si="16"/>
        <v>52500</v>
      </c>
      <c r="BB13" s="300">
        <f t="shared" si="10"/>
        <v>80.035734049640453</v>
      </c>
      <c r="BC13" s="189"/>
      <c r="BD13" s="291">
        <f t="shared" si="17"/>
        <v>10000</v>
      </c>
      <c r="BE13" s="191">
        <f>BD13/655.957</f>
        <v>15.244901723741037</v>
      </c>
      <c r="BG13" s="286">
        <f t="shared" si="19"/>
        <v>116666.66666666666</v>
      </c>
      <c r="BH13" s="288">
        <f t="shared" si="20"/>
        <v>177.85718677697875</v>
      </c>
      <c r="BJ13" s="243">
        <f t="shared" si="21"/>
        <v>880270.83333333326</v>
      </c>
      <c r="BK13" s="234">
        <f>BJ13/655.957</f>
        <v>1341.9642344442293</v>
      </c>
      <c r="BL13" s="179"/>
      <c r="BM13" s="240">
        <f t="shared" si="23"/>
        <v>10563250</v>
      </c>
      <c r="BN13" s="192">
        <f t="shared" si="24"/>
        <v>16103.570813330753</v>
      </c>
      <c r="BO13" s="179"/>
      <c r="CV13" s="197"/>
      <c r="CW13" s="198"/>
      <c r="CY13" s="197"/>
      <c r="CZ13" s="198"/>
    </row>
    <row r="14" spans="1:104" s="164" customFormat="1" ht="30" customHeight="1" thickBot="1" x14ac:dyDescent="0.25">
      <c r="A14" s="276" t="s">
        <v>109</v>
      </c>
      <c r="B14" s="253" t="str">
        <f>+'[5]GSR Kondo'!B6</f>
        <v>Agent administratif</v>
      </c>
      <c r="C14" s="180"/>
      <c r="D14" s="181">
        <v>180000</v>
      </c>
      <c r="E14" s="150">
        <f>D14/655.957</f>
        <v>274.40823102733867</v>
      </c>
      <c r="F14" s="182"/>
      <c r="G14" s="183">
        <v>0</v>
      </c>
      <c r="H14" s="183">
        <v>0</v>
      </c>
      <c r="I14" s="183">
        <v>0</v>
      </c>
      <c r="J14" s="183">
        <v>0</v>
      </c>
      <c r="K14" s="183">
        <v>0</v>
      </c>
      <c r="L14" s="183">
        <v>0</v>
      </c>
      <c r="M14" s="183">
        <v>20000</v>
      </c>
      <c r="N14" s="184"/>
      <c r="O14" s="154">
        <f t="shared" si="25"/>
        <v>200000</v>
      </c>
      <c r="P14" s="154">
        <f>O14/655.957</f>
        <v>304.89803447482075</v>
      </c>
      <c r="Q14" s="155"/>
      <c r="R14" s="158">
        <f>O14*4%</f>
        <v>8000</v>
      </c>
      <c r="S14" s="157">
        <f t="shared" si="13"/>
        <v>153600</v>
      </c>
      <c r="T14" s="157">
        <f t="shared" si="14"/>
        <v>2000</v>
      </c>
      <c r="U14" s="228">
        <v>10866</v>
      </c>
      <c r="V14" s="194"/>
      <c r="W14" s="160">
        <f t="shared" si="0"/>
        <v>16000</v>
      </c>
      <c r="X14" s="160">
        <f t="shared" si="1"/>
        <v>20060</v>
      </c>
      <c r="Y14" s="160">
        <f t="shared" si="2"/>
        <v>4500</v>
      </c>
      <c r="Z14" s="195">
        <f t="shared" si="28"/>
        <v>1250</v>
      </c>
      <c r="AA14" s="195">
        <f t="shared" si="3"/>
        <v>15000</v>
      </c>
      <c r="AB14" s="195"/>
      <c r="AC14" s="195"/>
      <c r="AD14" s="162"/>
      <c r="AE14" s="154">
        <f t="shared" si="4"/>
        <v>179134</v>
      </c>
      <c r="AF14" s="154">
        <f t="shared" si="5"/>
        <v>234.16169047666236</v>
      </c>
      <c r="AH14" s="165">
        <v>3.5</v>
      </c>
      <c r="AI14" s="166"/>
      <c r="AJ14" s="167">
        <v>40000</v>
      </c>
      <c r="AK14" s="167">
        <v>55000</v>
      </c>
      <c r="AL14" s="200">
        <v>12000</v>
      </c>
      <c r="AM14" s="167"/>
      <c r="AN14" s="167"/>
      <c r="AO14" s="167"/>
      <c r="AP14" s="188"/>
      <c r="AQ14" s="170">
        <f t="shared" si="6"/>
        <v>286134</v>
      </c>
      <c r="AR14" s="170">
        <f t="shared" si="7"/>
        <v>436.2084709820918</v>
      </c>
      <c r="AS14" s="171"/>
      <c r="AT14" s="172">
        <f t="shared" si="27"/>
        <v>15094.5</v>
      </c>
      <c r="AU14" s="172">
        <f t="shared" si="8"/>
        <v>23.011416906900909</v>
      </c>
      <c r="AV14" s="173">
        <f>(AT14/12)+AQ14</f>
        <v>287391.875</v>
      </c>
      <c r="AW14" s="173">
        <f t="shared" si="9"/>
        <v>438.12608905766689</v>
      </c>
      <c r="AY14" s="175" t="s">
        <v>6</v>
      </c>
      <c r="AZ14" s="293">
        <v>3</v>
      </c>
      <c r="BA14" s="299">
        <f>((D14*25%)*3)/12</f>
        <v>11250</v>
      </c>
      <c r="BB14" s="300">
        <f t="shared" ref="BB14:BB23" si="29">+BA14/655.957</f>
        <v>17.150514439208667</v>
      </c>
      <c r="BC14" s="189"/>
      <c r="BD14" s="291">
        <f t="shared" si="17"/>
        <v>4000</v>
      </c>
      <c r="BE14" s="191">
        <f>BD14/655.957</f>
        <v>6.0979606894964151</v>
      </c>
      <c r="BG14" s="286">
        <f t="shared" si="19"/>
        <v>50000</v>
      </c>
      <c r="BH14" s="288">
        <f t="shared" si="20"/>
        <v>76.224508618705187</v>
      </c>
      <c r="BJ14" s="243">
        <f t="shared" si="21"/>
        <v>403594.5</v>
      </c>
      <c r="BK14" s="234">
        <f>BJ14/655.957</f>
        <v>615.27584887424018</v>
      </c>
      <c r="BM14" s="240">
        <f t="shared" si="23"/>
        <v>4843134</v>
      </c>
      <c r="BN14" s="192">
        <f t="shared" si="24"/>
        <v>7383.3101864908831</v>
      </c>
      <c r="CV14" s="197"/>
      <c r="CW14" s="198"/>
      <c r="CY14" s="197"/>
      <c r="CZ14" s="198"/>
    </row>
    <row r="15" spans="1:104" s="164" customFormat="1" ht="30" customHeight="1" thickBot="1" x14ac:dyDescent="0.25">
      <c r="A15" s="276" t="s">
        <v>84</v>
      </c>
      <c r="B15" s="253" t="str">
        <f>'[5]Par filière métier'!A18</f>
        <v>Agent technique</v>
      </c>
      <c r="C15" s="180"/>
      <c r="D15" s="181">
        <f>'[5]GI Nkié'!C50</f>
        <v>190000</v>
      </c>
      <c r="E15" s="150">
        <f t="shared" si="11"/>
        <v>289.65313275107974</v>
      </c>
      <c r="F15" s="182"/>
      <c r="G15" s="183">
        <v>0</v>
      </c>
      <c r="H15" s="183">
        <v>0</v>
      </c>
      <c r="I15" s="183">
        <v>0</v>
      </c>
      <c r="J15" s="183">
        <v>0</v>
      </c>
      <c r="K15" s="183">
        <v>0</v>
      </c>
      <c r="L15" s="183">
        <v>0</v>
      </c>
      <c r="M15" s="183">
        <v>0</v>
      </c>
      <c r="N15" s="184"/>
      <c r="O15" s="154">
        <f t="shared" si="25"/>
        <v>190000</v>
      </c>
      <c r="P15" s="154">
        <f t="shared" si="12"/>
        <v>289.65313275107974</v>
      </c>
      <c r="Q15" s="155"/>
      <c r="R15" s="156">
        <f t="shared" si="26"/>
        <v>7600</v>
      </c>
      <c r="S15" s="157">
        <f t="shared" si="13"/>
        <v>145920</v>
      </c>
      <c r="T15" s="157">
        <f t="shared" si="14"/>
        <v>2000</v>
      </c>
      <c r="U15" s="228">
        <v>9291</v>
      </c>
      <c r="V15" s="159"/>
      <c r="W15" s="160">
        <f t="shared" si="0"/>
        <v>15200</v>
      </c>
      <c r="X15" s="160">
        <f t="shared" si="1"/>
        <v>19057</v>
      </c>
      <c r="Y15" s="160">
        <f t="shared" si="2"/>
        <v>4275</v>
      </c>
      <c r="Z15" s="161">
        <f t="shared" si="28"/>
        <v>1250</v>
      </c>
      <c r="AA15" s="161">
        <f t="shared" si="3"/>
        <v>14250</v>
      </c>
      <c r="AB15" s="161"/>
      <c r="AC15" s="161"/>
      <c r="AD15" s="162"/>
      <c r="AE15" s="154">
        <f t="shared" si="4"/>
        <v>171109</v>
      </c>
      <c r="AF15" s="154">
        <f t="shared" si="5"/>
        <v>222.45360595282924</v>
      </c>
      <c r="AH15" s="165">
        <v>1</v>
      </c>
      <c r="AI15" s="166"/>
      <c r="AJ15" s="200">
        <v>40000</v>
      </c>
      <c r="AK15" s="200">
        <f>'[5]Grille rémunération'!F9</f>
        <v>25000</v>
      </c>
      <c r="AL15" s="200">
        <v>12000</v>
      </c>
      <c r="AM15" s="200"/>
      <c r="AN15" s="200"/>
      <c r="AO15" s="200"/>
      <c r="AP15" s="201"/>
      <c r="AQ15" s="170">
        <f t="shared" si="6"/>
        <v>248109</v>
      </c>
      <c r="AR15" s="170">
        <f t="shared" si="7"/>
        <v>378.23973217756651</v>
      </c>
      <c r="AS15" s="171"/>
      <c r="AT15" s="172">
        <f t="shared" si="27"/>
        <v>14425.75</v>
      </c>
      <c r="AU15" s="172">
        <f t="shared" si="8"/>
        <v>21.991914104125726</v>
      </c>
      <c r="AV15" s="173">
        <f t="shared" si="15"/>
        <v>249311.14583333334</v>
      </c>
      <c r="AW15" s="173">
        <f t="shared" si="9"/>
        <v>380.07239168624369</v>
      </c>
      <c r="AY15" s="175" t="s">
        <v>5</v>
      </c>
      <c r="AZ15" s="293"/>
      <c r="BA15" s="299">
        <f t="shared" si="16"/>
        <v>23750</v>
      </c>
      <c r="BB15" s="300">
        <f t="shared" si="29"/>
        <v>36.206641593884967</v>
      </c>
      <c r="BC15" s="176"/>
      <c r="BD15" s="291">
        <f t="shared" si="17"/>
        <v>3800</v>
      </c>
      <c r="BE15" s="191">
        <f t="shared" si="18"/>
        <v>5.7930626550215942</v>
      </c>
      <c r="BG15" s="286">
        <f t="shared" si="19"/>
        <v>52777.777777777774</v>
      </c>
      <c r="BH15" s="288">
        <f t="shared" si="20"/>
        <v>80.459203541966588</v>
      </c>
      <c r="BJ15" s="244">
        <f t="shared" si="21"/>
        <v>377253.52777777775</v>
      </c>
      <c r="BK15" s="236">
        <f t="shared" si="22"/>
        <v>575.11929559068312</v>
      </c>
      <c r="BL15" s="179"/>
      <c r="BM15" s="241">
        <f t="shared" si="23"/>
        <v>4527042.333333333</v>
      </c>
      <c r="BN15" s="202">
        <f t="shared" si="24"/>
        <v>6901.4315470881984</v>
      </c>
      <c r="BO15" s="179"/>
    </row>
    <row r="16" spans="1:104" s="164" customFormat="1" ht="30" customHeight="1" thickBot="1" x14ac:dyDescent="0.25">
      <c r="A16" s="276" t="s">
        <v>86</v>
      </c>
      <c r="B16" s="253" t="str">
        <f>'[5]Par filière métier'!A18</f>
        <v>Agent technique</v>
      </c>
      <c r="C16" s="180"/>
      <c r="D16" s="181">
        <f>'[5]GI Dake'!C50</f>
        <v>170000</v>
      </c>
      <c r="E16" s="150">
        <f t="shared" si="11"/>
        <v>259.16332930359766</v>
      </c>
      <c r="F16" s="182"/>
      <c r="G16" s="183">
        <v>0</v>
      </c>
      <c r="H16" s="183">
        <v>0</v>
      </c>
      <c r="I16" s="183">
        <v>0</v>
      </c>
      <c r="J16" s="183">
        <v>0</v>
      </c>
      <c r="K16" s="183">
        <v>0</v>
      </c>
      <c r="L16" s="183">
        <v>0</v>
      </c>
      <c r="M16" s="183">
        <v>0</v>
      </c>
      <c r="N16" s="184"/>
      <c r="O16" s="154">
        <f t="shared" si="25"/>
        <v>170000</v>
      </c>
      <c r="P16" s="154">
        <f t="shared" si="12"/>
        <v>259.16332930359766</v>
      </c>
      <c r="Q16" s="155"/>
      <c r="R16" s="156">
        <f t="shared" si="26"/>
        <v>6800</v>
      </c>
      <c r="S16" s="157">
        <f t="shared" si="13"/>
        <v>130560</v>
      </c>
      <c r="T16" s="157">
        <f t="shared" si="14"/>
        <v>2000</v>
      </c>
      <c r="U16" s="228">
        <v>7758</v>
      </c>
      <c r="V16" s="159"/>
      <c r="W16" s="160">
        <f t="shared" si="0"/>
        <v>13600</v>
      </c>
      <c r="X16" s="160">
        <f t="shared" si="1"/>
        <v>17051</v>
      </c>
      <c r="Y16" s="160">
        <f t="shared" si="2"/>
        <v>3825</v>
      </c>
      <c r="Z16" s="161">
        <f t="shared" si="28"/>
        <v>1250</v>
      </c>
      <c r="AA16" s="161">
        <f t="shared" si="3"/>
        <v>12750</v>
      </c>
      <c r="AB16" s="161"/>
      <c r="AC16" s="161"/>
      <c r="AD16" s="162"/>
      <c r="AE16" s="154">
        <f t="shared" si="4"/>
        <v>153442</v>
      </c>
      <c r="AF16" s="154">
        <f t="shared" si="5"/>
        <v>199.03743690516299</v>
      </c>
      <c r="AH16" s="165">
        <v>2</v>
      </c>
      <c r="AI16" s="166"/>
      <c r="AJ16" s="200">
        <v>40000</v>
      </c>
      <c r="AK16" s="200">
        <f>'[5]GI Dake'!B55</f>
        <v>30000</v>
      </c>
      <c r="AL16" s="200">
        <v>12000</v>
      </c>
      <c r="AM16" s="200"/>
      <c r="AN16" s="200"/>
      <c r="AO16" s="200"/>
      <c r="AP16" s="201"/>
      <c r="AQ16" s="170">
        <f t="shared" si="6"/>
        <v>235442</v>
      </c>
      <c r="AR16" s="170">
        <f t="shared" si="7"/>
        <v>358.92901516410376</v>
      </c>
      <c r="AS16" s="171"/>
      <c r="AT16" s="172">
        <f t="shared" si="27"/>
        <v>12953.5</v>
      </c>
      <c r="AU16" s="172">
        <f t="shared" si="8"/>
        <v>19.747483447847955</v>
      </c>
      <c r="AV16" s="173">
        <f t="shared" si="15"/>
        <v>236521.45833333334</v>
      </c>
      <c r="AW16" s="173">
        <f t="shared" si="9"/>
        <v>360.57463878475778</v>
      </c>
      <c r="AY16" s="175" t="s">
        <v>5</v>
      </c>
      <c r="AZ16" s="293"/>
      <c r="BA16" s="299">
        <f t="shared" si="16"/>
        <v>21250</v>
      </c>
      <c r="BB16" s="300">
        <f t="shared" si="29"/>
        <v>32.395416162949708</v>
      </c>
      <c r="BC16" s="176"/>
      <c r="BD16" s="291">
        <f t="shared" si="17"/>
        <v>3400</v>
      </c>
      <c r="BE16" s="191">
        <f t="shared" si="18"/>
        <v>5.1832665860719533</v>
      </c>
      <c r="BG16" s="286">
        <f t="shared" si="19"/>
        <v>47222.222222222226</v>
      </c>
      <c r="BH16" s="288">
        <f t="shared" si="20"/>
        <v>71.9898136954438</v>
      </c>
      <c r="BJ16" s="243">
        <f t="shared" si="21"/>
        <v>350825.72222222225</v>
      </c>
      <c r="BK16" s="234">
        <f t="shared" si="22"/>
        <v>534.83036574382504</v>
      </c>
      <c r="BL16" s="179"/>
      <c r="BM16" s="240">
        <f t="shared" si="23"/>
        <v>4209908.666666667</v>
      </c>
      <c r="BN16" s="192">
        <f t="shared" si="24"/>
        <v>6417.9643889259005</v>
      </c>
      <c r="BO16" s="179"/>
    </row>
    <row r="17" spans="1:104" s="164" customFormat="1" ht="27" customHeight="1" thickBot="1" x14ac:dyDescent="0.25">
      <c r="A17" s="276" t="s">
        <v>110</v>
      </c>
      <c r="B17" s="253" t="str">
        <f>+'[5]GI Koutouna'!A36</f>
        <v>Agent technique</v>
      </c>
      <c r="C17" s="180"/>
      <c r="D17" s="181">
        <f>'[5]GI Koutouna'!C50</f>
        <v>240000</v>
      </c>
      <c r="E17" s="150">
        <f t="shared" ref="E17:E24" si="30">D17/655.957</f>
        <v>365.8776413697849</v>
      </c>
      <c r="F17" s="182"/>
      <c r="G17" s="183">
        <v>0</v>
      </c>
      <c r="H17" s="183">
        <v>0</v>
      </c>
      <c r="I17" s="183">
        <v>0</v>
      </c>
      <c r="J17" s="183">
        <v>0</v>
      </c>
      <c r="K17" s="183">
        <v>0</v>
      </c>
      <c r="L17" s="183">
        <v>0</v>
      </c>
      <c r="M17" s="183">
        <v>0</v>
      </c>
      <c r="N17" s="184"/>
      <c r="O17" s="154">
        <f t="shared" si="25"/>
        <v>240000</v>
      </c>
      <c r="P17" s="154">
        <f t="shared" ref="P17:P24" si="31">O17/655.957</f>
        <v>365.8776413697849</v>
      </c>
      <c r="Q17" s="155"/>
      <c r="R17" s="158">
        <f t="shared" ref="R17:R24" si="32">O17*4%</f>
        <v>9600</v>
      </c>
      <c r="S17" s="157">
        <f t="shared" si="13"/>
        <v>184320</v>
      </c>
      <c r="T17" s="157">
        <f t="shared" si="14"/>
        <v>2000</v>
      </c>
      <c r="U17" s="228">
        <v>12383</v>
      </c>
      <c r="V17" s="194"/>
      <c r="W17" s="160">
        <f t="shared" si="0"/>
        <v>19200</v>
      </c>
      <c r="X17" s="160">
        <f t="shared" si="1"/>
        <v>24072</v>
      </c>
      <c r="Y17" s="160">
        <f t="shared" si="2"/>
        <v>5400</v>
      </c>
      <c r="Z17" s="195">
        <f t="shared" si="28"/>
        <v>1250</v>
      </c>
      <c r="AA17" s="195">
        <f t="shared" si="3"/>
        <v>18000</v>
      </c>
      <c r="AB17" s="195"/>
      <c r="AC17" s="195"/>
      <c r="AD17" s="162"/>
      <c r="AE17" s="154">
        <f t="shared" si="4"/>
        <v>216017</v>
      </c>
      <c r="AF17" s="154">
        <f t="shared" si="5"/>
        <v>280.99402857199482</v>
      </c>
      <c r="AH17" s="165">
        <v>2</v>
      </c>
      <c r="AI17" s="166"/>
      <c r="AJ17" s="200">
        <f>'[5]GI Koutouna'!B53</f>
        <v>40000</v>
      </c>
      <c r="AK17" s="200">
        <v>40000</v>
      </c>
      <c r="AL17" s="200">
        <v>12000</v>
      </c>
      <c r="AM17" s="200"/>
      <c r="AN17" s="200"/>
      <c r="AO17" s="200"/>
      <c r="AP17" s="201"/>
      <c r="AQ17" s="170">
        <f t="shared" si="6"/>
        <v>308017</v>
      </c>
      <c r="AR17" s="203">
        <f t="shared" si="7"/>
        <v>469.56888942415435</v>
      </c>
      <c r="AS17" s="171"/>
      <c r="AT17" s="172">
        <f t="shared" si="27"/>
        <v>18168.083333333332</v>
      </c>
      <c r="AU17" s="172">
        <f t="shared" si="8"/>
        <v>27.697064492540413</v>
      </c>
      <c r="AV17" s="173">
        <f t="shared" ref="AV17:AV24" si="33">(AT17/12)+AQ17</f>
        <v>309531.00694444444</v>
      </c>
      <c r="AW17" s="173">
        <f t="shared" si="9"/>
        <v>471.876978131866</v>
      </c>
      <c r="AY17" s="175" t="s">
        <v>5</v>
      </c>
      <c r="AZ17" s="293"/>
      <c r="BA17" s="299">
        <f t="shared" si="16"/>
        <v>30000</v>
      </c>
      <c r="BB17" s="300">
        <f t="shared" si="29"/>
        <v>45.734705171223112</v>
      </c>
      <c r="BC17" s="176"/>
      <c r="BD17" s="291">
        <f t="shared" si="17"/>
        <v>4800</v>
      </c>
      <c r="BE17" s="191">
        <f t="shared" ref="BE17:BE25" si="34">BD17/655.957</f>
        <v>7.3175528273956987</v>
      </c>
      <c r="BG17" s="286">
        <f t="shared" si="19"/>
        <v>66666.666666666672</v>
      </c>
      <c r="BH17" s="288">
        <f t="shared" si="20"/>
        <v>101.63267815827359</v>
      </c>
      <c r="BJ17" s="243">
        <f t="shared" si="21"/>
        <v>470884.75</v>
      </c>
      <c r="BK17" s="234">
        <f t="shared" ref="BK17:BK24" si="35">BJ17/655.957</f>
        <v>717.85917369583683</v>
      </c>
      <c r="BL17" s="179"/>
      <c r="BM17" s="240">
        <f t="shared" si="23"/>
        <v>5650617</v>
      </c>
      <c r="BN17" s="192">
        <f t="shared" si="24"/>
        <v>8614.3100843500415</v>
      </c>
      <c r="BO17" s="179"/>
      <c r="CV17" s="197"/>
      <c r="CW17" s="198"/>
      <c r="CY17" s="197"/>
      <c r="CZ17" s="198"/>
    </row>
    <row r="18" spans="1:104" s="164" customFormat="1" ht="25.05" customHeight="1" thickBot="1" x14ac:dyDescent="0.25">
      <c r="A18" s="276" t="s">
        <v>119</v>
      </c>
      <c r="B18" s="253" t="str">
        <f>'[5]Par filière métier'!A31</f>
        <v>Assistant administratif</v>
      </c>
      <c r="C18" s="204"/>
      <c r="D18" s="181">
        <v>320000</v>
      </c>
      <c r="E18" s="150">
        <f t="shared" si="30"/>
        <v>487.8368551597132</v>
      </c>
      <c r="F18" s="205"/>
      <c r="G18" s="183">
        <v>0</v>
      </c>
      <c r="H18" s="183">
        <v>0</v>
      </c>
      <c r="I18" s="183">
        <v>0</v>
      </c>
      <c r="J18" s="183">
        <v>0</v>
      </c>
      <c r="K18" s="183">
        <v>0</v>
      </c>
      <c r="L18" s="183">
        <v>0</v>
      </c>
      <c r="M18" s="183">
        <v>0</v>
      </c>
      <c r="N18" s="184"/>
      <c r="O18" s="154">
        <f t="shared" si="25"/>
        <v>320000</v>
      </c>
      <c r="P18" s="154">
        <f t="shared" si="31"/>
        <v>487.8368551597132</v>
      </c>
      <c r="Q18" s="155"/>
      <c r="R18" s="158">
        <f t="shared" si="32"/>
        <v>12800</v>
      </c>
      <c r="S18" s="157">
        <f t="shared" si="13"/>
        <v>245760</v>
      </c>
      <c r="T18" s="157">
        <f t="shared" si="14"/>
        <v>2000</v>
      </c>
      <c r="U18" s="228">
        <v>34625</v>
      </c>
      <c r="V18" s="194"/>
      <c r="W18" s="160">
        <f t="shared" si="0"/>
        <v>25600</v>
      </c>
      <c r="X18" s="160">
        <f t="shared" si="1"/>
        <v>32096</v>
      </c>
      <c r="Y18" s="160">
        <f t="shared" si="2"/>
        <v>7200</v>
      </c>
      <c r="Z18" s="195">
        <f t="shared" si="28"/>
        <v>1250</v>
      </c>
      <c r="AA18" s="195">
        <f t="shared" si="3"/>
        <v>24000</v>
      </c>
      <c r="AB18" s="195"/>
      <c r="AC18" s="195"/>
      <c r="AD18" s="162"/>
      <c r="AE18" s="154">
        <f t="shared" si="4"/>
        <v>270575</v>
      </c>
      <c r="AF18" s="154">
        <f t="shared" si="5"/>
        <v>374.65870476265974</v>
      </c>
      <c r="AH18" s="165">
        <v>2</v>
      </c>
      <c r="AI18" s="166"/>
      <c r="AJ18" s="200">
        <f>'[5]GSI Serge'!B53</f>
        <v>40000</v>
      </c>
      <c r="AK18" s="200">
        <v>30000</v>
      </c>
      <c r="AL18" s="200">
        <v>12000</v>
      </c>
      <c r="AM18" s="200"/>
      <c r="AN18" s="200"/>
      <c r="AO18" s="200"/>
      <c r="AP18" s="201"/>
      <c r="AQ18" s="170">
        <f t="shared" si="6"/>
        <v>352575</v>
      </c>
      <c r="AR18" s="206">
        <f t="shared" si="7"/>
        <v>537.49712252479969</v>
      </c>
      <c r="AS18" s="171"/>
      <c r="AT18" s="172">
        <f t="shared" si="27"/>
        <v>22714.583333333332</v>
      </c>
      <c r="AU18" s="172">
        <f t="shared" si="8"/>
        <v>34.628159061239273</v>
      </c>
      <c r="AV18" s="173">
        <f t="shared" si="33"/>
        <v>354467.88194444444</v>
      </c>
      <c r="AW18" s="173">
        <f t="shared" si="9"/>
        <v>540.3828024465696</v>
      </c>
      <c r="AY18" s="175" t="s">
        <v>6</v>
      </c>
      <c r="AZ18" s="293">
        <v>3</v>
      </c>
      <c r="BA18" s="299">
        <f t="shared" ref="BA18:BA23" si="36">((D18*25%)*3)/12</f>
        <v>20000</v>
      </c>
      <c r="BB18" s="300">
        <f t="shared" si="29"/>
        <v>30.489803447482075</v>
      </c>
      <c r="BC18" s="176"/>
      <c r="BD18" s="291">
        <f t="shared" si="17"/>
        <v>6400</v>
      </c>
      <c r="BE18" s="191">
        <f t="shared" si="34"/>
        <v>9.7567371031942649</v>
      </c>
      <c r="BG18" s="286">
        <f t="shared" si="19"/>
        <v>88888.888888888891</v>
      </c>
      <c r="BH18" s="288">
        <f t="shared" si="20"/>
        <v>135.5102375443648</v>
      </c>
      <c r="BJ18" s="244">
        <f t="shared" si="21"/>
        <v>565253.47222222225</v>
      </c>
      <c r="BK18" s="236">
        <f t="shared" si="35"/>
        <v>861.72336330311634</v>
      </c>
      <c r="BL18" s="179"/>
      <c r="BM18" s="241">
        <f t="shared" si="23"/>
        <v>6783041.666666667</v>
      </c>
      <c r="BN18" s="202">
        <f t="shared" si="24"/>
        <v>10340.680359637396</v>
      </c>
      <c r="BO18" s="179"/>
    </row>
    <row r="19" spans="1:104" s="164" customFormat="1" ht="25.05" customHeight="1" thickBot="1" x14ac:dyDescent="0.25">
      <c r="A19" s="276" t="s">
        <v>121</v>
      </c>
      <c r="B19" s="253" t="s">
        <v>122</v>
      </c>
      <c r="C19" s="204"/>
      <c r="D19" s="181">
        <v>55000</v>
      </c>
      <c r="E19" s="150">
        <f t="shared" si="30"/>
        <v>83.846959480575705</v>
      </c>
      <c r="F19" s="205"/>
      <c r="G19" s="183">
        <v>0</v>
      </c>
      <c r="H19" s="183">
        <v>0</v>
      </c>
      <c r="I19" s="183">
        <v>0</v>
      </c>
      <c r="J19" s="183">
        <v>0</v>
      </c>
      <c r="K19" s="183">
        <v>0</v>
      </c>
      <c r="L19" s="183">
        <v>0</v>
      </c>
      <c r="M19" s="183">
        <v>0</v>
      </c>
      <c r="N19" s="184"/>
      <c r="O19" s="154">
        <f t="shared" si="25"/>
        <v>55000</v>
      </c>
      <c r="P19" s="154">
        <f t="shared" si="31"/>
        <v>83.846959480575705</v>
      </c>
      <c r="Q19" s="155"/>
      <c r="R19" s="158">
        <f t="shared" si="32"/>
        <v>2200</v>
      </c>
      <c r="S19" s="157">
        <f t="shared" si="13"/>
        <v>42240</v>
      </c>
      <c r="T19" s="157">
        <f t="shared" si="14"/>
        <v>2000</v>
      </c>
      <c r="U19" s="228">
        <v>422</v>
      </c>
      <c r="V19" s="194"/>
      <c r="W19" s="160">
        <f t="shared" si="0"/>
        <v>4400</v>
      </c>
      <c r="X19" s="160">
        <f t="shared" si="1"/>
        <v>5516.5</v>
      </c>
      <c r="Y19" s="160">
        <f t="shared" si="2"/>
        <v>1237.5</v>
      </c>
      <c r="Z19" s="195">
        <f t="shared" si="28"/>
        <v>1250</v>
      </c>
      <c r="AA19" s="195">
        <f t="shared" si="3"/>
        <v>4125</v>
      </c>
      <c r="AB19" s="195">
        <f>(169964/2)/12</f>
        <v>7081.833333333333</v>
      </c>
      <c r="AC19" s="195"/>
      <c r="AD19" s="162"/>
      <c r="AE19" s="154">
        <f t="shared" si="4"/>
        <v>50378</v>
      </c>
      <c r="AF19" s="154">
        <f t="shared" si="5"/>
        <v>64.394464881082143</v>
      </c>
      <c r="AH19" s="165">
        <v>3</v>
      </c>
      <c r="AI19" s="166"/>
      <c r="AJ19" s="200">
        <v>25000</v>
      </c>
      <c r="AK19" s="200">
        <v>30000</v>
      </c>
      <c r="AL19" s="200"/>
      <c r="AM19" s="200"/>
      <c r="AN19" s="200"/>
      <c r="AO19" s="200"/>
      <c r="AP19" s="201"/>
      <c r="AQ19" s="170">
        <f t="shared" si="6"/>
        <v>105378</v>
      </c>
      <c r="AR19" s="206">
        <f t="shared" si="7"/>
        <v>160.6477253844383</v>
      </c>
      <c r="AS19" s="171"/>
      <c r="AT19" s="172">
        <f t="shared" si="27"/>
        <v>4364.833333333333</v>
      </c>
      <c r="AU19" s="172">
        <f t="shared" si="8"/>
        <v>6.6541455207175666</v>
      </c>
      <c r="AV19" s="173">
        <f t="shared" si="33"/>
        <v>105741.73611111111</v>
      </c>
      <c r="AW19" s="173">
        <f t="shared" si="9"/>
        <v>161.20223751116478</v>
      </c>
      <c r="AY19" s="175" t="s">
        <v>6</v>
      </c>
      <c r="AZ19" s="293">
        <v>3</v>
      </c>
      <c r="BA19" s="299">
        <f t="shared" si="36"/>
        <v>3437.5</v>
      </c>
      <c r="BB19" s="300">
        <f t="shared" si="29"/>
        <v>5.2404349675359816</v>
      </c>
      <c r="BC19" s="176"/>
      <c r="BD19" s="291">
        <f t="shared" si="17"/>
        <v>1100</v>
      </c>
      <c r="BE19" s="191">
        <f t="shared" si="34"/>
        <v>1.6769391896115142</v>
      </c>
      <c r="BG19" s="286">
        <f t="shared" si="19"/>
        <v>15277.777777777777</v>
      </c>
      <c r="BH19" s="288">
        <f t="shared" si="20"/>
        <v>23.290822077937698</v>
      </c>
      <c r="BJ19" s="243">
        <f t="shared" si="21"/>
        <v>139555.11111111109</v>
      </c>
      <c r="BK19" s="234">
        <f t="shared" si="35"/>
        <v>212.75039539346497</v>
      </c>
      <c r="BL19" s="179"/>
      <c r="BM19" s="240">
        <f t="shared" si="23"/>
        <v>1674661.333333333</v>
      </c>
      <c r="BN19" s="192">
        <f t="shared" si="24"/>
        <v>2553.0047447215793</v>
      </c>
      <c r="BO19" s="179"/>
    </row>
    <row r="20" spans="1:104" s="164" customFormat="1" ht="25.05" customHeight="1" thickBot="1" x14ac:dyDescent="0.25">
      <c r="A20" s="276" t="s">
        <v>123</v>
      </c>
      <c r="B20" s="253" t="s">
        <v>122</v>
      </c>
      <c r="C20" s="204"/>
      <c r="D20" s="181">
        <v>55000</v>
      </c>
      <c r="E20" s="150">
        <f t="shared" si="30"/>
        <v>83.846959480575705</v>
      </c>
      <c r="F20" s="205"/>
      <c r="G20" s="183">
        <v>0</v>
      </c>
      <c r="H20" s="183">
        <v>0</v>
      </c>
      <c r="I20" s="183">
        <v>0</v>
      </c>
      <c r="J20" s="183">
        <v>0</v>
      </c>
      <c r="K20" s="183">
        <v>0</v>
      </c>
      <c r="L20" s="183">
        <v>0</v>
      </c>
      <c r="M20" s="183">
        <v>0</v>
      </c>
      <c r="N20" s="184"/>
      <c r="O20" s="154">
        <f t="shared" si="25"/>
        <v>55000</v>
      </c>
      <c r="P20" s="154">
        <f t="shared" si="31"/>
        <v>83.846959480575705</v>
      </c>
      <c r="Q20" s="155"/>
      <c r="R20" s="158">
        <f t="shared" si="32"/>
        <v>2200</v>
      </c>
      <c r="S20" s="157">
        <f t="shared" si="13"/>
        <v>42240</v>
      </c>
      <c r="T20" s="157">
        <f t="shared" si="14"/>
        <v>2000</v>
      </c>
      <c r="U20" s="228">
        <v>422</v>
      </c>
      <c r="V20" s="194"/>
      <c r="W20" s="160">
        <f t="shared" si="0"/>
        <v>4400</v>
      </c>
      <c r="X20" s="160">
        <f t="shared" si="1"/>
        <v>5516.5</v>
      </c>
      <c r="Y20" s="160">
        <f t="shared" si="2"/>
        <v>1237.5</v>
      </c>
      <c r="Z20" s="195">
        <f t="shared" si="28"/>
        <v>1250</v>
      </c>
      <c r="AA20" s="195">
        <f t="shared" si="3"/>
        <v>4125</v>
      </c>
      <c r="AB20" s="195">
        <f>(169964/2)/12</f>
        <v>7081.833333333333</v>
      </c>
      <c r="AC20" s="195"/>
      <c r="AD20" s="162"/>
      <c r="AE20" s="154">
        <f t="shared" si="4"/>
        <v>50378</v>
      </c>
      <c r="AF20" s="154">
        <f t="shared" si="5"/>
        <v>64.394464881082143</v>
      </c>
      <c r="AH20" s="165">
        <v>4</v>
      </c>
      <c r="AI20" s="166"/>
      <c r="AJ20" s="200">
        <v>25000</v>
      </c>
      <c r="AK20" s="200">
        <v>30000</v>
      </c>
      <c r="AL20" s="200"/>
      <c r="AM20" s="200"/>
      <c r="AN20" s="200"/>
      <c r="AO20" s="200"/>
      <c r="AP20" s="201"/>
      <c r="AQ20" s="170">
        <f t="shared" si="6"/>
        <v>105378</v>
      </c>
      <c r="AR20" s="206">
        <f t="shared" si="7"/>
        <v>160.6477253844383</v>
      </c>
      <c r="AS20" s="171"/>
      <c r="AT20" s="172">
        <f t="shared" si="27"/>
        <v>4364.833333333333</v>
      </c>
      <c r="AU20" s="172">
        <f t="shared" si="8"/>
        <v>6.6541455207175666</v>
      </c>
      <c r="AV20" s="173">
        <f t="shared" si="33"/>
        <v>105741.73611111111</v>
      </c>
      <c r="AW20" s="173">
        <f t="shared" si="9"/>
        <v>161.20223751116478</v>
      </c>
      <c r="AY20" s="175" t="s">
        <v>6</v>
      </c>
      <c r="AZ20" s="293">
        <v>3</v>
      </c>
      <c r="BA20" s="299">
        <f t="shared" si="36"/>
        <v>3437.5</v>
      </c>
      <c r="BB20" s="300">
        <f t="shared" si="29"/>
        <v>5.2404349675359816</v>
      </c>
      <c r="BC20" s="176"/>
      <c r="BD20" s="291">
        <f t="shared" si="17"/>
        <v>1100</v>
      </c>
      <c r="BE20" s="191">
        <f t="shared" si="34"/>
        <v>1.6769391896115142</v>
      </c>
      <c r="BG20" s="286">
        <f t="shared" si="19"/>
        <v>15277.777777777777</v>
      </c>
      <c r="BH20" s="288">
        <f t="shared" si="20"/>
        <v>23.290822077937698</v>
      </c>
      <c r="BJ20" s="243">
        <f t="shared" si="21"/>
        <v>139555.11111111109</v>
      </c>
      <c r="BK20" s="234">
        <f t="shared" si="35"/>
        <v>212.75039539346497</v>
      </c>
      <c r="BL20" s="179"/>
      <c r="BM20" s="240">
        <f t="shared" si="23"/>
        <v>1674661.333333333</v>
      </c>
      <c r="BN20" s="192">
        <f t="shared" si="24"/>
        <v>2553.0047447215793</v>
      </c>
      <c r="BO20" s="179"/>
    </row>
    <row r="21" spans="1:104" s="164" customFormat="1" ht="25.05" customHeight="1" thickBot="1" x14ac:dyDescent="0.25">
      <c r="A21" s="276" t="s">
        <v>127</v>
      </c>
      <c r="B21" s="253" t="e">
        <f>+#REF!</f>
        <v>#REF!</v>
      </c>
      <c r="C21" s="204"/>
      <c r="D21" s="181" t="e">
        <f>#REF!</f>
        <v>#REF!</v>
      </c>
      <c r="E21" s="150" t="e">
        <f t="shared" si="30"/>
        <v>#REF!</v>
      </c>
      <c r="F21" s="205"/>
      <c r="G21" s="183">
        <v>0</v>
      </c>
      <c r="H21" s="183">
        <v>0</v>
      </c>
      <c r="I21" s="183">
        <v>0</v>
      </c>
      <c r="J21" s="183">
        <v>0</v>
      </c>
      <c r="K21" s="183">
        <v>0</v>
      </c>
      <c r="L21" s="183">
        <v>0</v>
      </c>
      <c r="M21" s="183">
        <v>0</v>
      </c>
      <c r="N21" s="184"/>
      <c r="O21" s="154" t="e">
        <f>SUM(D21,G21:M21)</f>
        <v>#REF!</v>
      </c>
      <c r="P21" s="154" t="e">
        <f t="shared" si="31"/>
        <v>#REF!</v>
      </c>
      <c r="Q21" s="155"/>
      <c r="R21" s="158" t="e">
        <f t="shared" si="32"/>
        <v>#REF!</v>
      </c>
      <c r="S21" s="157" t="e">
        <f>(O21-R21)*80%</f>
        <v>#REF!</v>
      </c>
      <c r="T21" s="157">
        <f t="shared" si="14"/>
        <v>2000</v>
      </c>
      <c r="U21" s="228">
        <v>5491</v>
      </c>
      <c r="V21" s="194"/>
      <c r="W21" s="160" t="e">
        <f t="shared" si="0"/>
        <v>#REF!</v>
      </c>
      <c r="X21" s="160" t="e">
        <f t="shared" si="1"/>
        <v>#REF!</v>
      </c>
      <c r="Y21" s="160" t="e">
        <f t="shared" si="2"/>
        <v>#REF!</v>
      </c>
      <c r="Z21" s="195">
        <f t="shared" si="28"/>
        <v>1250</v>
      </c>
      <c r="AA21" s="195" t="e">
        <f t="shared" si="3"/>
        <v>#REF!</v>
      </c>
      <c r="AB21" s="195"/>
      <c r="AC21" s="195"/>
      <c r="AD21" s="162"/>
      <c r="AE21" s="154" t="e">
        <f t="shared" si="4"/>
        <v>#REF!</v>
      </c>
      <c r="AF21" s="154" t="e">
        <f t="shared" si="5"/>
        <v>#REF!</v>
      </c>
      <c r="AH21" s="165">
        <v>2.5</v>
      </c>
      <c r="AI21" s="166"/>
      <c r="AJ21" s="200" t="e">
        <f>#REF!</f>
        <v>#REF!</v>
      </c>
      <c r="AK21" s="200" t="e">
        <f>#REF!</f>
        <v>#REF!</v>
      </c>
      <c r="AL21" s="200" t="e">
        <f>#REF!</f>
        <v>#REF!</v>
      </c>
      <c r="AM21" s="200"/>
      <c r="AN21" s="200"/>
      <c r="AO21" s="200"/>
      <c r="AP21" s="201"/>
      <c r="AQ21" s="170" t="e">
        <f t="shared" si="6"/>
        <v>#REF!</v>
      </c>
      <c r="AR21" s="206" t="e">
        <f t="shared" si="7"/>
        <v>#REF!</v>
      </c>
      <c r="AS21" s="171"/>
      <c r="AT21" s="172" t="e">
        <f t="shared" si="27"/>
        <v>#REF!</v>
      </c>
      <c r="AU21" s="172" t="e">
        <f t="shared" si="8"/>
        <v>#REF!</v>
      </c>
      <c r="AV21" s="173" t="e">
        <f t="shared" si="33"/>
        <v>#REF!</v>
      </c>
      <c r="AW21" s="173" t="e">
        <f t="shared" si="9"/>
        <v>#REF!</v>
      </c>
      <c r="AY21" s="175" t="s">
        <v>6</v>
      </c>
      <c r="AZ21" s="293">
        <v>3</v>
      </c>
      <c r="BA21" s="299" t="e">
        <f t="shared" si="36"/>
        <v>#REF!</v>
      </c>
      <c r="BB21" s="300" t="e">
        <f t="shared" si="29"/>
        <v>#REF!</v>
      </c>
      <c r="BC21" s="176"/>
      <c r="BD21" s="291" t="e">
        <f t="shared" si="17"/>
        <v>#REF!</v>
      </c>
      <c r="BE21" s="191" t="e">
        <f t="shared" si="34"/>
        <v>#REF!</v>
      </c>
      <c r="BG21" s="286" t="e">
        <f t="shared" si="19"/>
        <v>#REF!</v>
      </c>
      <c r="BH21" s="288" t="e">
        <f t="shared" si="20"/>
        <v>#REF!</v>
      </c>
      <c r="BJ21" s="243" t="e">
        <f t="shared" si="21"/>
        <v>#REF!</v>
      </c>
      <c r="BK21" s="234" t="e">
        <f t="shared" si="35"/>
        <v>#REF!</v>
      </c>
      <c r="BL21" s="179"/>
      <c r="BM21" s="240" t="e">
        <f>BJ21*12</f>
        <v>#REF!</v>
      </c>
      <c r="BN21" s="192" t="e">
        <f>BM21/655.957</f>
        <v>#REF!</v>
      </c>
      <c r="BO21" s="179"/>
    </row>
    <row r="22" spans="1:104" s="259" customFormat="1" ht="27.6" customHeight="1" thickBot="1" x14ac:dyDescent="0.25">
      <c r="A22" s="276" t="s">
        <v>140</v>
      </c>
      <c r="B22" s="252" t="e">
        <f>#REF!</f>
        <v>#REF!</v>
      </c>
      <c r="C22" s="255"/>
      <c r="D22" s="150" t="e">
        <f>#REF!</f>
        <v>#REF!</v>
      </c>
      <c r="E22" s="150" t="e">
        <f t="shared" si="30"/>
        <v>#REF!</v>
      </c>
      <c r="F22" s="256"/>
      <c r="G22" s="152">
        <v>0</v>
      </c>
      <c r="H22" s="152">
        <v>0</v>
      </c>
      <c r="I22" s="152">
        <v>0</v>
      </c>
      <c r="J22" s="152">
        <v>0</v>
      </c>
      <c r="K22" s="152">
        <v>0</v>
      </c>
      <c r="L22" s="152"/>
      <c r="M22" s="152">
        <v>0</v>
      </c>
      <c r="N22" s="153"/>
      <c r="O22" s="257" t="e">
        <f>SUM(D22,G22:M22)</f>
        <v>#REF!</v>
      </c>
      <c r="P22" s="257" t="e">
        <f t="shared" si="31"/>
        <v>#REF!</v>
      </c>
      <c r="Q22" s="258"/>
      <c r="R22" s="158" t="e">
        <f t="shared" si="32"/>
        <v>#REF!</v>
      </c>
      <c r="S22" s="157" t="e">
        <f>(O22-R22)*80%</f>
        <v>#REF!</v>
      </c>
      <c r="T22" s="157">
        <f t="shared" si="14"/>
        <v>2000</v>
      </c>
      <c r="U22" s="158">
        <v>27000</v>
      </c>
      <c r="V22" s="194"/>
      <c r="W22" s="225" t="e">
        <f t="shared" si="0"/>
        <v>#REF!</v>
      </c>
      <c r="X22" s="225" t="e">
        <f t="shared" si="1"/>
        <v>#REF!</v>
      </c>
      <c r="Y22" s="225" t="e">
        <f t="shared" si="2"/>
        <v>#REF!</v>
      </c>
      <c r="Z22" s="195">
        <f t="shared" si="28"/>
        <v>1250</v>
      </c>
      <c r="AA22" s="195" t="e">
        <f t="shared" si="3"/>
        <v>#REF!</v>
      </c>
      <c r="AB22" s="195"/>
      <c r="AC22" s="195"/>
      <c r="AD22" s="194"/>
      <c r="AE22" s="257" t="e">
        <f t="shared" si="4"/>
        <v>#REF!</v>
      </c>
      <c r="AF22" s="257" t="e">
        <f t="shared" si="5"/>
        <v>#REF!</v>
      </c>
      <c r="AH22" s="254">
        <v>2</v>
      </c>
      <c r="AI22" s="260"/>
      <c r="AJ22" s="200" t="e">
        <f>+#REF!</f>
        <v>#REF!</v>
      </c>
      <c r="AK22" s="200" t="e">
        <f>#REF!</f>
        <v>#REF!</v>
      </c>
      <c r="AL22" s="200" t="e">
        <f>#REF!</f>
        <v>#REF!</v>
      </c>
      <c r="AM22" s="261"/>
      <c r="AN22" s="261"/>
      <c r="AO22" s="261"/>
      <c r="AP22" s="262"/>
      <c r="AQ22" s="263" t="e">
        <f t="shared" si="6"/>
        <v>#REF!</v>
      </c>
      <c r="AR22" s="264" t="e">
        <f t="shared" si="7"/>
        <v>#REF!</v>
      </c>
      <c r="AS22" s="265"/>
      <c r="AT22" s="266" t="e">
        <f t="shared" si="27"/>
        <v>#REF!</v>
      </c>
      <c r="AU22" s="266" t="e">
        <f t="shared" si="8"/>
        <v>#REF!</v>
      </c>
      <c r="AV22" s="267" t="e">
        <f t="shared" si="33"/>
        <v>#REF!</v>
      </c>
      <c r="AW22" s="267" t="e">
        <f t="shared" si="9"/>
        <v>#REF!</v>
      </c>
      <c r="AY22" s="268" t="s">
        <v>6</v>
      </c>
      <c r="AZ22" s="294">
        <v>3</v>
      </c>
      <c r="BA22" s="299" t="e">
        <f t="shared" si="36"/>
        <v>#REF!</v>
      </c>
      <c r="BB22" s="300" t="e">
        <f t="shared" si="29"/>
        <v>#REF!</v>
      </c>
      <c r="BC22" s="214"/>
      <c r="BD22" s="291" t="e">
        <f t="shared" si="17"/>
        <v>#REF!</v>
      </c>
      <c r="BE22" s="269" t="e">
        <f t="shared" si="34"/>
        <v>#REF!</v>
      </c>
      <c r="BG22" s="286" t="e">
        <f t="shared" si="19"/>
        <v>#REF!</v>
      </c>
      <c r="BH22" s="289" t="e">
        <f t="shared" si="20"/>
        <v>#REF!</v>
      </c>
      <c r="BJ22" s="243" t="e">
        <f t="shared" si="21"/>
        <v>#REF!</v>
      </c>
      <c r="BK22" s="234" t="e">
        <f t="shared" si="35"/>
        <v>#REF!</v>
      </c>
      <c r="BL22" s="270"/>
      <c r="BM22" s="271" t="e">
        <f>BJ22*12</f>
        <v>#REF!</v>
      </c>
      <c r="BN22" s="272" t="e">
        <f>BM22/655.957</f>
        <v>#REF!</v>
      </c>
      <c r="BO22" s="270"/>
    </row>
    <row r="23" spans="1:104" s="164" customFormat="1" ht="25.05" customHeight="1" thickBot="1" x14ac:dyDescent="0.25">
      <c r="A23" s="276" t="s">
        <v>128</v>
      </c>
      <c r="B23" s="253" t="e">
        <f>#REF!</f>
        <v>#REF!</v>
      </c>
      <c r="C23" s="204"/>
      <c r="D23" s="181" t="e">
        <f>#REF!</f>
        <v>#REF!</v>
      </c>
      <c r="E23" s="150" t="e">
        <f t="shared" si="30"/>
        <v>#REF!</v>
      </c>
      <c r="F23" s="205"/>
      <c r="G23" s="183">
        <v>0</v>
      </c>
      <c r="H23" s="183">
        <v>0</v>
      </c>
      <c r="I23" s="183">
        <v>0</v>
      </c>
      <c r="J23" s="183">
        <v>0</v>
      </c>
      <c r="K23" s="183">
        <v>0</v>
      </c>
      <c r="L23" s="183">
        <v>10000</v>
      </c>
      <c r="M23" s="183">
        <v>0</v>
      </c>
      <c r="N23" s="184"/>
      <c r="O23" s="154" t="e">
        <f>SUM(D23,G23:M23)</f>
        <v>#REF!</v>
      </c>
      <c r="P23" s="154" t="e">
        <f t="shared" si="31"/>
        <v>#REF!</v>
      </c>
      <c r="Q23" s="155"/>
      <c r="R23" s="158" t="e">
        <f t="shared" si="32"/>
        <v>#REF!</v>
      </c>
      <c r="S23" s="157" t="e">
        <f>(O23-R23)*80%</f>
        <v>#REF!</v>
      </c>
      <c r="T23" s="157">
        <f t="shared" si="14"/>
        <v>2000</v>
      </c>
      <c r="U23" s="228">
        <v>67250</v>
      </c>
      <c r="V23" s="194"/>
      <c r="W23" s="160" t="e">
        <f t="shared" si="0"/>
        <v>#REF!</v>
      </c>
      <c r="X23" s="160" t="e">
        <f t="shared" si="1"/>
        <v>#REF!</v>
      </c>
      <c r="Y23" s="160" t="e">
        <f t="shared" si="2"/>
        <v>#REF!</v>
      </c>
      <c r="Z23" s="195">
        <f t="shared" si="28"/>
        <v>1250</v>
      </c>
      <c r="AA23" s="195" t="e">
        <f t="shared" si="3"/>
        <v>#REF!</v>
      </c>
      <c r="AB23" s="195"/>
      <c r="AC23" s="195"/>
      <c r="AD23" s="162"/>
      <c r="AE23" s="154" t="e">
        <f t="shared" si="4"/>
        <v>#REF!</v>
      </c>
      <c r="AF23" s="154" t="e">
        <f t="shared" si="5"/>
        <v>#REF!</v>
      </c>
      <c r="AH23" s="165">
        <v>2.5</v>
      </c>
      <c r="AI23" s="166"/>
      <c r="AJ23" s="200" t="e">
        <f>+#REF!</f>
        <v>#REF!</v>
      </c>
      <c r="AK23" s="200" t="e">
        <f>+#REF!</f>
        <v>#REF!</v>
      </c>
      <c r="AL23" s="200" t="e">
        <f>+#REF!</f>
        <v>#REF!</v>
      </c>
      <c r="AM23" s="200"/>
      <c r="AN23" s="200"/>
      <c r="AO23" s="200"/>
      <c r="AP23" s="201"/>
      <c r="AQ23" s="170" t="e">
        <f t="shared" si="6"/>
        <v>#REF!</v>
      </c>
      <c r="AR23" s="206" t="e">
        <f t="shared" si="7"/>
        <v>#REF!</v>
      </c>
      <c r="AS23" s="171"/>
      <c r="AT23" s="172" t="e">
        <f t="shared" si="27"/>
        <v>#REF!</v>
      </c>
      <c r="AU23" s="172" t="e">
        <f t="shared" si="8"/>
        <v>#REF!</v>
      </c>
      <c r="AV23" s="173" t="e">
        <f t="shared" si="33"/>
        <v>#REF!</v>
      </c>
      <c r="AW23" s="173" t="e">
        <f t="shared" si="9"/>
        <v>#REF!</v>
      </c>
      <c r="AY23" s="175" t="s">
        <v>6</v>
      </c>
      <c r="AZ23" s="293">
        <v>3</v>
      </c>
      <c r="BA23" s="301" t="e">
        <f t="shared" si="36"/>
        <v>#REF!</v>
      </c>
      <c r="BB23" s="302" t="e">
        <f t="shared" si="29"/>
        <v>#REF!</v>
      </c>
      <c r="BC23" s="176"/>
      <c r="BD23" s="291" t="e">
        <f t="shared" si="17"/>
        <v>#REF!</v>
      </c>
      <c r="BE23" s="292" t="e">
        <f t="shared" si="34"/>
        <v>#REF!</v>
      </c>
      <c r="BG23" s="304" t="e">
        <f t="shared" si="19"/>
        <v>#REF!</v>
      </c>
      <c r="BH23" s="305" t="e">
        <f t="shared" si="20"/>
        <v>#REF!</v>
      </c>
      <c r="BJ23" s="243" t="e">
        <f t="shared" si="21"/>
        <v>#REF!</v>
      </c>
      <c r="BK23" s="234" t="e">
        <f t="shared" si="35"/>
        <v>#REF!</v>
      </c>
      <c r="BL23" s="179"/>
      <c r="BM23" s="240" t="e">
        <f>BJ23*12</f>
        <v>#REF!</v>
      </c>
      <c r="BN23" s="192" t="e">
        <f>BM23/655.957</f>
        <v>#REF!</v>
      </c>
      <c r="BO23" s="179"/>
    </row>
    <row r="24" spans="1:104" s="164" customFormat="1" ht="25.05" hidden="1" customHeight="1" x14ac:dyDescent="0.2">
      <c r="A24" s="251" t="s">
        <v>139</v>
      </c>
      <c r="B24" s="253" t="e">
        <f>#REF!</f>
        <v>#REF!</v>
      </c>
      <c r="C24" s="204"/>
      <c r="D24" s="181" t="e">
        <f>#REF!</f>
        <v>#REF!</v>
      </c>
      <c r="E24" s="150" t="e">
        <f t="shared" si="30"/>
        <v>#REF!</v>
      </c>
      <c r="F24" s="205"/>
      <c r="G24" s="183">
        <v>0</v>
      </c>
      <c r="H24" s="183">
        <v>0</v>
      </c>
      <c r="I24" s="183">
        <v>0</v>
      </c>
      <c r="J24" s="183">
        <v>0</v>
      </c>
      <c r="K24" s="183">
        <v>0</v>
      </c>
      <c r="L24" s="183" t="e">
        <f>+#REF!</f>
        <v>#REF!</v>
      </c>
      <c r="M24" s="183">
        <v>0</v>
      </c>
      <c r="N24" s="184"/>
      <c r="O24" s="154" t="e">
        <f>SUM(D24,G24:M24)</f>
        <v>#REF!</v>
      </c>
      <c r="P24" s="154" t="e">
        <f t="shared" si="31"/>
        <v>#REF!</v>
      </c>
      <c r="Q24" s="155"/>
      <c r="R24" s="158" t="e">
        <f t="shared" si="32"/>
        <v>#REF!</v>
      </c>
      <c r="S24" s="157" t="e">
        <f>(O24-R24)*80%</f>
        <v>#REF!</v>
      </c>
      <c r="T24" s="157">
        <f t="shared" si="14"/>
        <v>2000</v>
      </c>
      <c r="U24" s="228">
        <v>335</v>
      </c>
      <c r="V24" s="194"/>
      <c r="W24" s="160" t="e">
        <f>8%*O24</f>
        <v>#REF!</v>
      </c>
      <c r="X24" s="160" t="e">
        <f>O24*10.03%</f>
        <v>#REF!</v>
      </c>
      <c r="Y24" s="160" t="e">
        <f>O24*2.25%</f>
        <v>#REF!</v>
      </c>
      <c r="Z24" s="195">
        <f t="shared" si="28"/>
        <v>1250</v>
      </c>
      <c r="AA24" s="195" t="e">
        <f>O24*7.5%</f>
        <v>#REF!</v>
      </c>
      <c r="AB24" s="195"/>
      <c r="AC24" s="195"/>
      <c r="AD24" s="162"/>
      <c r="AE24" s="163" t="e">
        <f>O24-R24-U24-T24</f>
        <v>#REF!</v>
      </c>
      <c r="AF24" s="196" t="e">
        <f>S24/655.957</f>
        <v>#REF!</v>
      </c>
      <c r="AH24" s="165">
        <v>2.5</v>
      </c>
      <c r="AI24" s="166"/>
      <c r="AJ24" s="200" t="e">
        <f>+#REF!</f>
        <v>#REF!</v>
      </c>
      <c r="AK24" s="200" t="e">
        <f>#REF!</f>
        <v>#REF!</v>
      </c>
      <c r="AL24" s="200" t="e">
        <f>#REF!</f>
        <v>#REF!</v>
      </c>
      <c r="AM24" s="200"/>
      <c r="AN24" s="200"/>
      <c r="AO24" s="200"/>
      <c r="AP24" s="201"/>
      <c r="AQ24" s="170" t="e">
        <f t="shared" si="6"/>
        <v>#REF!</v>
      </c>
      <c r="AR24" s="206" t="e">
        <f t="shared" si="7"/>
        <v>#REF!</v>
      </c>
      <c r="AS24" s="171"/>
      <c r="AT24" s="172" t="e">
        <f t="shared" si="27"/>
        <v>#REF!</v>
      </c>
      <c r="AU24" s="172" t="e">
        <f t="shared" si="8"/>
        <v>#REF!</v>
      </c>
      <c r="AV24" s="173" t="e">
        <f t="shared" si="33"/>
        <v>#REF!</v>
      </c>
      <c r="AW24" s="173" t="e">
        <f t="shared" si="9"/>
        <v>#REF!</v>
      </c>
      <c r="AY24" s="175" t="s">
        <v>6</v>
      </c>
      <c r="AZ24" s="175"/>
      <c r="BA24" s="295" t="e">
        <f>(AV24*3)*20%</f>
        <v>#REF!</v>
      </c>
      <c r="BB24" s="296">
        <v>1</v>
      </c>
      <c r="BC24" s="176"/>
      <c r="BD24" s="291" t="e">
        <f t="shared" si="17"/>
        <v>#REF!</v>
      </c>
      <c r="BE24" s="290" t="e">
        <f t="shared" si="34"/>
        <v>#REF!</v>
      </c>
      <c r="BJ24" s="243" t="e">
        <f>SUM(O24,Z24,AA24,AC24,AJ24,AK24,AL24,AM24,AN24,AO24,AT24,BA24,BD24)</f>
        <v>#REF!</v>
      </c>
      <c r="BK24" s="234" t="e">
        <f t="shared" si="35"/>
        <v>#REF!</v>
      </c>
      <c r="BL24" s="179"/>
      <c r="BM24" s="240" t="e">
        <f>BJ24*12</f>
        <v>#REF!</v>
      </c>
      <c r="BN24" s="192" t="e">
        <f>BM24/655.957</f>
        <v>#REF!</v>
      </c>
      <c r="BO24" s="179"/>
    </row>
    <row r="25" spans="1:104" s="164" customFormat="1" ht="13.2" customHeight="1" x14ac:dyDescent="0.2">
      <c r="A25" s="207"/>
      <c r="B25" s="204"/>
      <c r="C25" s="204"/>
      <c r="D25" s="208"/>
      <c r="E25" s="209"/>
      <c r="F25" s="208"/>
      <c r="G25" s="208"/>
      <c r="H25" s="208"/>
      <c r="I25" s="208"/>
      <c r="J25" s="208"/>
      <c r="K25" s="208"/>
      <c r="L25" s="208"/>
      <c r="M25" s="208"/>
      <c r="N25" s="208"/>
      <c r="O25" s="210"/>
      <c r="P25" s="210"/>
      <c r="Q25" s="210"/>
      <c r="R25" s="211"/>
      <c r="S25" s="211"/>
      <c r="T25" s="211"/>
      <c r="U25" s="211"/>
      <c r="V25" s="211"/>
      <c r="W25" s="211"/>
      <c r="X25" s="211"/>
      <c r="Y25" s="211"/>
      <c r="Z25" s="212"/>
      <c r="AA25" s="212"/>
      <c r="AB25" s="212"/>
      <c r="AC25" s="212"/>
      <c r="AD25" s="213"/>
      <c r="AE25" s="211"/>
      <c r="AF25" s="214"/>
      <c r="AH25" s="215"/>
      <c r="AI25" s="215"/>
      <c r="AJ25" s="216"/>
      <c r="AK25" s="216"/>
      <c r="AL25" s="216"/>
      <c r="AM25" s="216"/>
      <c r="AN25" s="216"/>
      <c r="AO25" s="216"/>
      <c r="AP25" s="216"/>
      <c r="AQ25" s="217"/>
      <c r="AR25" s="218"/>
      <c r="AS25" s="217"/>
      <c r="AT25" s="219"/>
      <c r="AU25" s="219"/>
      <c r="AV25" s="217"/>
      <c r="AW25" s="217"/>
      <c r="AY25" s="220"/>
      <c r="AZ25" s="220"/>
      <c r="BA25" s="197"/>
      <c r="BB25" s="176"/>
      <c r="BC25" s="176"/>
      <c r="BD25" s="221" t="e">
        <f>SUM(BD8:BD24)*12</f>
        <v>#REF!</v>
      </c>
      <c r="BE25" s="197" t="e">
        <f t="shared" si="34"/>
        <v>#REF!</v>
      </c>
      <c r="BJ25" s="197"/>
      <c r="BK25" s="198"/>
      <c r="BL25" s="179"/>
      <c r="BM25" s="179"/>
      <c r="BN25" s="179"/>
      <c r="BO25" s="179"/>
    </row>
    <row r="26" spans="1:104" s="164" customFormat="1" ht="21" customHeight="1" x14ac:dyDescent="0.3">
      <c r="A26" s="250" t="s">
        <v>111</v>
      </c>
      <c r="B26" s="245"/>
      <c r="C26" s="245"/>
      <c r="D26" s="245"/>
      <c r="E26" s="245"/>
      <c r="F26" s="245"/>
      <c r="G26" s="245"/>
      <c r="H26" s="245"/>
      <c r="I26" s="245"/>
      <c r="J26" s="245"/>
      <c r="K26" s="245"/>
      <c r="L26" s="245"/>
      <c r="M26" s="245"/>
      <c r="N26" s="245"/>
      <c r="O26" s="245"/>
      <c r="P26" s="245"/>
      <c r="Q26" s="245"/>
      <c r="R26" s="245"/>
      <c r="S26" s="245"/>
      <c r="T26" s="245"/>
      <c r="U26" s="245"/>
      <c r="V26" s="245"/>
      <c r="W26" s="274"/>
      <c r="X26" s="245"/>
      <c r="Y26" s="245"/>
      <c r="Z26" s="245"/>
      <c r="AA26" s="245"/>
      <c r="AB26" s="274"/>
      <c r="AC26" s="274"/>
      <c r="AD26" s="245"/>
      <c r="AE26" s="245"/>
      <c r="AF26" s="246"/>
      <c r="AG26" s="245"/>
      <c r="AH26" s="245"/>
      <c r="AI26" s="245"/>
      <c r="AJ26" s="245"/>
      <c r="AK26" s="245"/>
      <c r="AL26" s="245"/>
      <c r="AM26" s="245"/>
      <c r="AN26" s="245"/>
      <c r="AO26" s="245"/>
      <c r="AP26" s="245"/>
      <c r="AQ26" s="245"/>
      <c r="AR26" s="245"/>
      <c r="AS26" s="245"/>
      <c r="AT26" s="245"/>
      <c r="AU26" s="245"/>
      <c r="AV26" s="245"/>
      <c r="AW26" s="245"/>
      <c r="AX26" s="245"/>
      <c r="AY26" s="245"/>
      <c r="AZ26" s="247"/>
      <c r="BA26" s="245"/>
      <c r="BB26" s="245"/>
      <c r="BC26" s="245"/>
      <c r="BD26" s="274"/>
      <c r="BE26" s="245"/>
      <c r="BF26" s="245"/>
      <c r="BG26" s="245"/>
      <c r="BH26" s="245"/>
      <c r="BI26" s="245"/>
      <c r="BJ26" s="248"/>
      <c r="BK26" s="275"/>
      <c r="BL26" s="245"/>
      <c r="BM26" s="245"/>
      <c r="BN26" s="245"/>
    </row>
    <row r="27" spans="1:104" s="164" customFormat="1" ht="13.95" customHeight="1" x14ac:dyDescent="0.2">
      <c r="W27" s="174"/>
      <c r="AF27" s="176"/>
      <c r="AZ27" s="220"/>
    </row>
    <row r="28" spans="1:104" s="164" customFormat="1" ht="27" customHeight="1" x14ac:dyDescent="0.2">
      <c r="A28" s="193" t="s">
        <v>112</v>
      </c>
      <c r="B28" s="199" t="str">
        <f>'[5]Par filière métier'!A8</f>
        <v>Responsable opérationnel confirmé</v>
      </c>
      <c r="C28" s="222"/>
      <c r="D28" s="181">
        <v>780000</v>
      </c>
      <c r="E28" s="150">
        <f>D28/655.957</f>
        <v>1189.102334451801</v>
      </c>
      <c r="F28" s="223"/>
      <c r="G28" s="183"/>
      <c r="H28" s="183"/>
      <c r="I28" s="183"/>
      <c r="J28" s="183"/>
      <c r="K28" s="183"/>
      <c r="L28" s="183"/>
      <c r="M28" s="183"/>
      <c r="N28" s="223"/>
      <c r="O28" s="224">
        <f>SUM(D28,G28:M28)</f>
        <v>780000</v>
      </c>
      <c r="P28" s="224">
        <f>O28/655.957</f>
        <v>1189.102334451801</v>
      </c>
      <c r="Q28" s="155"/>
      <c r="R28" s="158">
        <f>O28*4%</f>
        <v>31200</v>
      </c>
      <c r="S28" s="158"/>
      <c r="T28" s="158"/>
      <c r="U28" s="158">
        <v>109250</v>
      </c>
      <c r="V28" s="194"/>
      <c r="W28" s="225">
        <f>8%*O28</f>
        <v>62400</v>
      </c>
      <c r="X28" s="225">
        <f>O28*10.03%</f>
        <v>78234</v>
      </c>
      <c r="Y28" s="225">
        <f>O28*12.28%</f>
        <v>95784</v>
      </c>
      <c r="Z28" s="195">
        <f>15000/12</f>
        <v>1250</v>
      </c>
      <c r="AA28" s="195">
        <f>O28*7.5%</f>
        <v>58500</v>
      </c>
      <c r="AB28" s="195"/>
      <c r="AC28" s="195"/>
      <c r="AD28" s="226"/>
      <c r="AE28" s="227">
        <f>O28-R28-U28</f>
        <v>639550</v>
      </c>
      <c r="AF28" s="196">
        <f>AE28/655.957</f>
        <v>974.98768974185805</v>
      </c>
      <c r="AH28" s="165">
        <v>3.5</v>
      </c>
      <c r="AI28" s="166"/>
      <c r="AJ28" s="200"/>
      <c r="AK28" s="200"/>
      <c r="AL28" s="200"/>
      <c r="AM28" s="200">
        <v>670000</v>
      </c>
      <c r="AN28" s="200"/>
      <c r="AO28" s="200"/>
      <c r="AP28" s="201"/>
      <c r="AQ28" s="170">
        <f>SUM(AE28,AJ28,AK28,AL28,AM28,AN28,AO28)</f>
        <v>1309550</v>
      </c>
      <c r="AR28" s="170">
        <f>+AQ28/655.957</f>
        <v>1996.3961052325076</v>
      </c>
      <c r="AS28" s="171"/>
      <c r="AT28" s="172">
        <f>AQ28*1.0833333</f>
        <v>1418679.123015</v>
      </c>
      <c r="AU28" s="172">
        <f>+AT28/655.957</f>
        <v>2162.7623807886798</v>
      </c>
      <c r="AV28" s="173">
        <f>(AT28/12)+AQ28</f>
        <v>1427773.2602512501</v>
      </c>
      <c r="AW28" s="173">
        <f>+AV28/655.957</f>
        <v>2176.6263036315645</v>
      </c>
      <c r="AY28" s="175" t="s">
        <v>6</v>
      </c>
      <c r="AZ28" s="175">
        <v>48</v>
      </c>
      <c r="BA28" s="283">
        <f>D28*35%*AZ28/12</f>
        <v>1092000</v>
      </c>
      <c r="BB28" s="284">
        <f>+BA28/655.957</f>
        <v>1664.7432682325214</v>
      </c>
      <c r="BC28" s="176"/>
      <c r="BD28" s="190">
        <f>170799/12</f>
        <v>14233.25</v>
      </c>
      <c r="BE28" s="191"/>
      <c r="BG28" s="286"/>
      <c r="BH28" s="288"/>
      <c r="BJ28" s="243">
        <f>SUM(O28,Z28,AA28,AC28,AJ28,AK28,AL28,AM28,AN28,AO28,AT28,BA28,BD28)</f>
        <v>4034662.373015</v>
      </c>
      <c r="BK28" s="234">
        <f>BJ28/655.957</f>
        <v>6150.8031365089482</v>
      </c>
      <c r="BL28" s="179"/>
      <c r="BM28" s="240">
        <f>BJ28*12</f>
        <v>48415948.476180002</v>
      </c>
      <c r="BN28" s="192">
        <f>BM28/655.957</f>
        <v>73809.637638107379</v>
      </c>
      <c r="BO28" s="179"/>
    </row>
    <row r="29" spans="1:104" ht="10.95" customHeight="1" x14ac:dyDescent="0.25">
      <c r="A29" s="92"/>
      <c r="B29" s="89"/>
      <c r="C29" s="89"/>
      <c r="D29" s="90"/>
      <c r="E29" s="90"/>
      <c r="F29" s="90"/>
      <c r="G29" s="90"/>
      <c r="H29" s="90"/>
      <c r="I29" s="90"/>
      <c r="J29" s="90"/>
      <c r="K29" s="90"/>
      <c r="L29" s="90"/>
      <c r="M29" s="90"/>
      <c r="N29" s="90"/>
      <c r="O29" s="93"/>
      <c r="P29" s="93"/>
      <c r="Q29" s="93"/>
      <c r="R29" s="91"/>
      <c r="S29" s="91"/>
      <c r="T29" s="91"/>
      <c r="U29" s="91"/>
      <c r="V29" s="91"/>
      <c r="W29" s="91"/>
      <c r="X29" s="91"/>
      <c r="Y29" s="91"/>
      <c r="Z29" s="91"/>
      <c r="AA29" s="91"/>
      <c r="AB29" s="91"/>
      <c r="AC29" s="91"/>
      <c r="AD29" s="91"/>
      <c r="AE29" s="91"/>
      <c r="AF29" s="91"/>
      <c r="AG29" s="91"/>
      <c r="AH29" s="94"/>
      <c r="AI29" s="94"/>
      <c r="AJ29" s="95"/>
      <c r="AK29" s="96"/>
      <c r="AL29" s="95"/>
      <c r="AM29" s="95"/>
      <c r="AN29" s="95"/>
      <c r="AO29" s="95"/>
      <c r="AP29" s="95"/>
      <c r="AQ29" s="88"/>
      <c r="AR29" s="88"/>
      <c r="AS29" s="88"/>
      <c r="AT29" s="88"/>
      <c r="AU29" s="88"/>
      <c r="AV29" s="88"/>
      <c r="AW29" s="88"/>
      <c r="AX29" s="88"/>
      <c r="AY29" s="88"/>
      <c r="AZ29" s="101"/>
      <c r="BA29" s="88"/>
      <c r="BB29" s="88"/>
      <c r="BC29" s="88"/>
      <c r="BD29" s="88"/>
      <c r="BE29" s="88"/>
      <c r="BF29" s="88"/>
      <c r="BG29" s="88"/>
      <c r="BH29" s="88"/>
      <c r="BI29" s="88"/>
      <c r="BJ29" s="88"/>
      <c r="BK29" s="88"/>
      <c r="BL29" s="88"/>
      <c r="BM29" s="88"/>
      <c r="BN29" s="88"/>
      <c r="BO29" s="88"/>
    </row>
    <row r="30" spans="1:104" ht="19.2" customHeight="1" thickBot="1" x14ac:dyDescent="0.3">
      <c r="A30" s="278" t="s">
        <v>138</v>
      </c>
      <c r="B30" s="279"/>
      <c r="C30" s="279"/>
      <c r="D30" s="279"/>
      <c r="E30" s="279"/>
      <c r="F30" s="279"/>
      <c r="G30" s="279"/>
      <c r="H30" s="279"/>
      <c r="I30" s="279"/>
      <c r="J30" s="279"/>
      <c r="K30" s="279"/>
      <c r="L30" s="279"/>
      <c r="M30" s="279"/>
      <c r="N30" s="279"/>
      <c r="O30" s="279"/>
      <c r="P30" s="279"/>
      <c r="Q30" s="279"/>
      <c r="R30" s="279"/>
      <c r="S30" s="279"/>
      <c r="T30" s="279"/>
      <c r="U30" s="279"/>
      <c r="V30" s="279"/>
      <c r="W30" s="279"/>
      <c r="X30" s="279"/>
      <c r="Y30" s="279"/>
      <c r="Z30" s="279"/>
      <c r="AA30" s="279"/>
      <c r="AB30" s="279"/>
      <c r="AC30" s="279"/>
      <c r="AD30" s="279"/>
      <c r="AE30" s="279"/>
      <c r="AF30" s="279"/>
      <c r="AG30" s="279"/>
      <c r="AH30" s="279"/>
      <c r="AI30" s="279"/>
      <c r="AJ30" s="279"/>
      <c r="AK30" s="279"/>
      <c r="AL30" s="279"/>
      <c r="AM30" s="279"/>
      <c r="AN30" s="279"/>
      <c r="AO30" s="279"/>
      <c r="AP30" s="279"/>
      <c r="AQ30" s="279"/>
      <c r="AR30" s="279"/>
      <c r="AS30" s="279"/>
      <c r="AT30" s="279"/>
      <c r="AU30" s="279"/>
      <c r="AV30" s="279"/>
      <c r="AW30" s="279"/>
      <c r="AX30" s="279"/>
      <c r="AY30" s="279"/>
      <c r="AZ30" s="279"/>
      <c r="BA30" s="279"/>
      <c r="BB30" s="279"/>
      <c r="BC30" s="279"/>
      <c r="BD30" s="279"/>
      <c r="BE30" s="279"/>
      <c r="BF30" s="164"/>
      <c r="BG30" s="279"/>
      <c r="BH30" s="279"/>
      <c r="BI30" s="164"/>
      <c r="BJ30" s="277" t="e">
        <f>SUM(BJ8:BJ23,BJ28)</f>
        <v>#REF!</v>
      </c>
      <c r="BK30" s="277" t="e">
        <f>SUM(BK8:BK23,BK28)</f>
        <v>#REF!</v>
      </c>
      <c r="BL30" s="238"/>
      <c r="BM30" s="277" t="e">
        <f>SUM(BM8:BM23,BM28)</f>
        <v>#REF!</v>
      </c>
      <c r="BN30" s="277" t="e">
        <f>SUM(BN8:BN23,BN28)</f>
        <v>#REF!</v>
      </c>
      <c r="BO30" s="88"/>
    </row>
    <row r="31" spans="1:104" ht="19.2" customHeight="1" thickTop="1" x14ac:dyDescent="0.25">
      <c r="A31" s="92"/>
      <c r="B31" s="89"/>
      <c r="C31" s="89"/>
      <c r="D31" s="90"/>
      <c r="E31" s="90"/>
      <c r="F31" s="90"/>
      <c r="G31" s="90"/>
      <c r="H31" s="90"/>
      <c r="I31" s="90"/>
      <c r="J31" s="90"/>
      <c r="K31" s="90"/>
      <c r="L31" s="90"/>
      <c r="M31" s="90"/>
      <c r="N31" s="90"/>
      <c r="O31" s="104"/>
      <c r="P31" s="93"/>
      <c r="Q31" s="93"/>
      <c r="R31" s="91"/>
      <c r="S31" s="91"/>
      <c r="T31" s="91"/>
      <c r="U31" s="91"/>
      <c r="V31" s="91"/>
      <c r="W31" s="91"/>
      <c r="X31" s="91"/>
      <c r="Y31" s="91"/>
      <c r="Z31" s="91"/>
      <c r="AA31" s="91"/>
      <c r="AB31" s="91"/>
      <c r="AC31" s="91"/>
      <c r="AD31" s="91"/>
      <c r="AE31" s="91"/>
      <c r="AF31" s="91"/>
      <c r="AG31" s="91"/>
      <c r="AH31" s="94"/>
      <c r="AI31" s="94"/>
      <c r="AJ31" s="95"/>
      <c r="AK31" s="96"/>
      <c r="AL31" s="95"/>
      <c r="AM31" s="95"/>
      <c r="AN31" s="95"/>
      <c r="AO31" s="95"/>
      <c r="AP31" s="95"/>
      <c r="AQ31" s="88"/>
      <c r="AR31" s="88"/>
      <c r="AS31" s="88"/>
      <c r="AT31" s="88"/>
      <c r="AU31" s="88"/>
      <c r="AV31" s="88"/>
      <c r="AW31" s="88"/>
      <c r="AX31" s="88"/>
      <c r="AY31" s="88"/>
      <c r="AZ31" s="101"/>
      <c r="BA31" s="88"/>
      <c r="BB31" s="88"/>
      <c r="BC31" s="88"/>
      <c r="BD31" s="88"/>
      <c r="BE31" s="88"/>
      <c r="BF31" s="164"/>
      <c r="BG31" s="164"/>
      <c r="BH31" s="164"/>
      <c r="BI31" s="164"/>
      <c r="BJ31" s="88"/>
      <c r="BK31" s="88"/>
      <c r="BL31" s="88"/>
      <c r="BM31" s="88"/>
      <c r="BN31" s="88"/>
      <c r="BO31" s="88"/>
      <c r="BV31" s="231"/>
      <c r="BW31" s="231"/>
      <c r="BX31" s="232"/>
      <c r="BY31" s="231"/>
      <c r="BZ31" s="231"/>
      <c r="CA31" s="231"/>
      <c r="CB31" s="231"/>
      <c r="CC31" s="231"/>
      <c r="CD31" s="231"/>
      <c r="CE31" s="231"/>
      <c r="CF31" s="231"/>
      <c r="CG31" s="231"/>
      <c r="CH31" s="231"/>
      <c r="CI31" s="231"/>
      <c r="CJ31" s="231"/>
      <c r="CK31" s="231"/>
      <c r="CL31" s="231"/>
      <c r="CM31" s="231"/>
      <c r="CN31" s="231"/>
      <c r="CO31" s="231"/>
      <c r="CP31" s="231"/>
      <c r="CQ31" s="231"/>
      <c r="CR31" s="231"/>
      <c r="CS31" s="231"/>
      <c r="CT31" s="231"/>
    </row>
    <row r="32" spans="1:104" x14ac:dyDescent="0.25">
      <c r="BW32" s="233"/>
    </row>
    <row r="34" spans="1:65" x14ac:dyDescent="0.25">
      <c r="J34" s="83"/>
      <c r="BM34" s="84"/>
    </row>
    <row r="35" spans="1:65" x14ac:dyDescent="0.25">
      <c r="B35" s="97"/>
      <c r="D35" s="98"/>
      <c r="BA35" s="83"/>
    </row>
    <row r="36" spans="1:65" x14ac:dyDescent="0.25">
      <c r="B36" s="99"/>
      <c r="BA36" s="84"/>
    </row>
    <row r="37" spans="1:65" x14ac:dyDescent="0.25">
      <c r="B37" s="99"/>
    </row>
    <row r="38" spans="1:65" x14ac:dyDescent="0.25">
      <c r="B38" s="99"/>
    </row>
    <row r="39" spans="1:65" x14ac:dyDescent="0.25">
      <c r="B39" s="99"/>
    </row>
    <row r="40" spans="1:65" x14ac:dyDescent="0.25">
      <c r="B40" s="99"/>
    </row>
    <row r="41" spans="1:65" x14ac:dyDescent="0.25">
      <c r="A41" s="99"/>
    </row>
    <row r="42" spans="1:65" x14ac:dyDescent="0.25">
      <c r="A42" s="99"/>
      <c r="D42" s="84"/>
      <c r="BD42" s="84"/>
      <c r="BE42" s="84"/>
    </row>
    <row r="43" spans="1:65" x14ac:dyDescent="0.25">
      <c r="BJ43" s="84"/>
    </row>
  </sheetData>
  <mergeCells count="19">
    <mergeCell ref="BG3:BH3"/>
    <mergeCell ref="AY3:AY4"/>
    <mergeCell ref="AZ3:AZ4"/>
    <mergeCell ref="BJ3:BK3"/>
    <mergeCell ref="BM3:BN3"/>
    <mergeCell ref="BD3:BE3"/>
    <mergeCell ref="BA3:BB3"/>
    <mergeCell ref="AT3:AU3"/>
    <mergeCell ref="AQ3:AR3"/>
    <mergeCell ref="AV3:AW3"/>
    <mergeCell ref="AJ3:AO3"/>
    <mergeCell ref="A3:A4"/>
    <mergeCell ref="B3:B4"/>
    <mergeCell ref="D3:E3"/>
    <mergeCell ref="G3:M3"/>
    <mergeCell ref="O3:P3"/>
    <mergeCell ref="R3:U3"/>
    <mergeCell ref="W3:AC3"/>
    <mergeCell ref="AE3:AF3"/>
  </mergeCells>
  <pageMargins left="0.15748031496062992" right="0.15748031496062992" top="0.43307086614173229" bottom="0.47244094488188981" header="0.23622047244094491" footer="0.23622047244094491"/>
  <pageSetup paperSize="9" scale="38" orientation="landscape" horizontalDpi="300" verticalDpi="300" r:id="rId1"/>
  <colBreaks count="1" manualBreakCount="1">
    <brk id="67" max="1048575" man="1"/>
  </colBreaks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3">
    <tabColor rgb="FFFF0000"/>
  </sheetPr>
  <dimension ref="A2:AM40"/>
  <sheetViews>
    <sheetView showGridLines="0" workbookViewId="0">
      <pane xSplit="3" ySplit="5" topLeftCell="AB6" activePane="bottomRight" state="frozen"/>
      <selection activeCell="C16" sqref="C16"/>
      <selection pane="topRight" activeCell="C16" sqref="C16"/>
      <selection pane="bottomLeft" activeCell="C16" sqref="C16"/>
      <selection pane="bottomRight" activeCell="AL24" sqref="AL24"/>
    </sheetView>
  </sheetViews>
  <sheetFormatPr baseColWidth="10" defaultColWidth="11.44140625" defaultRowHeight="14.4" x14ac:dyDescent="0.3"/>
  <cols>
    <col min="1" max="1" width="22.21875" customWidth="1"/>
    <col min="2" max="2" width="16.5546875" customWidth="1"/>
    <col min="3" max="3" width="8.77734375" customWidth="1"/>
    <col min="4" max="4" width="7.77734375" customWidth="1"/>
    <col min="5" max="5" width="7.5546875" customWidth="1"/>
    <col min="6" max="6" width="8.5546875" customWidth="1"/>
    <col min="7" max="8" width="7.21875" customWidth="1"/>
    <col min="9" max="11" width="7.5546875" customWidth="1"/>
    <col min="12" max="12" width="9.77734375" customWidth="1"/>
    <col min="13" max="16" width="8.77734375" customWidth="1"/>
    <col min="17" max="18" width="8.21875" customWidth="1"/>
    <col min="19" max="19" width="9.77734375" customWidth="1"/>
    <col min="20" max="20" width="7.21875" customWidth="1"/>
    <col min="21" max="21" width="9.5546875" customWidth="1"/>
    <col min="22" max="22" width="6.77734375" customWidth="1"/>
    <col min="23" max="23" width="7.44140625" style="8" customWidth="1"/>
    <col min="24" max="24" width="6.21875" style="8" customWidth="1"/>
    <col min="25" max="25" width="9.21875" style="8" customWidth="1"/>
    <col min="26" max="26" width="6.77734375" style="8" customWidth="1"/>
    <col min="27" max="27" width="13.21875" customWidth="1"/>
    <col min="28" max="28" width="4.21875" customWidth="1"/>
    <col min="29" max="29" width="6.77734375" customWidth="1"/>
    <col min="30" max="30" width="6.5546875" customWidth="1"/>
    <col min="31" max="31" width="6.44140625" customWidth="1"/>
    <col min="32" max="32" width="6.77734375" customWidth="1"/>
    <col min="33" max="33" width="3.77734375" customWidth="1"/>
    <col min="34" max="35" width="10.5546875" customWidth="1"/>
    <col min="36" max="36" width="7.5546875" customWidth="1"/>
    <col min="37" max="37" width="10.5546875" customWidth="1"/>
    <col min="38" max="38" width="51" customWidth="1"/>
  </cols>
  <sheetData>
    <row r="2" spans="1:39" ht="19.5" customHeight="1" x14ac:dyDescent="0.35">
      <c r="A2" s="4" t="s">
        <v>7</v>
      </c>
      <c r="B2" s="5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7"/>
      <c r="Y2" s="9"/>
      <c r="AA2" s="6"/>
      <c r="AB2" s="6"/>
      <c r="AC2" s="6"/>
      <c r="AD2" s="6"/>
    </row>
    <row r="3" spans="1:39" ht="26.25" customHeight="1" thickBot="1" x14ac:dyDescent="0.35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10"/>
      <c r="AA3" s="6"/>
      <c r="AB3" s="6"/>
      <c r="AC3" s="835" t="s">
        <v>8</v>
      </c>
      <c r="AD3" s="836"/>
      <c r="AE3" s="836"/>
      <c r="AF3" s="837"/>
    </row>
    <row r="4" spans="1:39" ht="30.75" customHeight="1" x14ac:dyDescent="0.3">
      <c r="A4" s="838" t="s">
        <v>9</v>
      </c>
      <c r="B4" s="838" t="s">
        <v>10</v>
      </c>
      <c r="C4" s="838" t="s">
        <v>11</v>
      </c>
      <c r="D4" s="840" t="s">
        <v>12</v>
      </c>
      <c r="E4" s="841"/>
      <c r="F4" s="11" t="s">
        <v>13</v>
      </c>
      <c r="G4" s="11" t="s">
        <v>14</v>
      </c>
      <c r="H4" s="825" t="s">
        <v>15</v>
      </c>
      <c r="I4" s="840" t="s">
        <v>16</v>
      </c>
      <c r="J4" s="842"/>
      <c r="K4" s="842"/>
      <c r="L4" s="841"/>
      <c r="M4" s="825" t="s">
        <v>17</v>
      </c>
      <c r="N4" s="825" t="s">
        <v>18</v>
      </c>
      <c r="O4" s="827" t="s">
        <v>19</v>
      </c>
      <c r="P4" s="828"/>
      <c r="Q4" s="12" t="s">
        <v>20</v>
      </c>
      <c r="R4" s="825" t="s">
        <v>21</v>
      </c>
      <c r="S4" s="827" t="s">
        <v>22</v>
      </c>
      <c r="T4" s="828"/>
      <c r="U4" s="829" t="s">
        <v>23</v>
      </c>
      <c r="V4" s="830"/>
      <c r="W4" s="831" t="s">
        <v>24</v>
      </c>
      <c r="X4" s="831" t="s">
        <v>25</v>
      </c>
      <c r="Y4" s="833" t="s">
        <v>26</v>
      </c>
      <c r="Z4" s="834"/>
      <c r="AA4" s="815" t="s">
        <v>27</v>
      </c>
      <c r="AB4" s="13"/>
      <c r="AC4" s="817" t="s">
        <v>28</v>
      </c>
      <c r="AD4" s="818"/>
      <c r="AE4" s="817" t="s">
        <v>29</v>
      </c>
      <c r="AF4" s="818"/>
      <c r="AG4" s="14"/>
      <c r="AH4" s="819" t="s">
        <v>30</v>
      </c>
      <c r="AI4" s="821" t="s">
        <v>31</v>
      </c>
      <c r="AJ4" s="823" t="s">
        <v>32</v>
      </c>
      <c r="AK4" s="809"/>
      <c r="AL4" s="810" t="s">
        <v>33</v>
      </c>
      <c r="AM4" s="14"/>
    </row>
    <row r="5" spans="1:39" ht="21" customHeight="1" thickBot="1" x14ac:dyDescent="0.35">
      <c r="A5" s="839"/>
      <c r="B5" s="839"/>
      <c r="C5" s="839"/>
      <c r="D5" s="15" t="s">
        <v>1</v>
      </c>
      <c r="E5" s="15" t="s">
        <v>20</v>
      </c>
      <c r="F5" s="15" t="s">
        <v>34</v>
      </c>
      <c r="G5" s="15" t="s">
        <v>35</v>
      </c>
      <c r="H5" s="826"/>
      <c r="I5" s="16" t="s">
        <v>36</v>
      </c>
      <c r="J5" s="16" t="s">
        <v>37</v>
      </c>
      <c r="K5" s="16" t="s">
        <v>38</v>
      </c>
      <c r="L5" s="16" t="s">
        <v>39</v>
      </c>
      <c r="M5" s="826"/>
      <c r="N5" s="826"/>
      <c r="O5" s="17" t="s">
        <v>40</v>
      </c>
      <c r="P5" s="17" t="s">
        <v>41</v>
      </c>
      <c r="Q5" s="11" t="s">
        <v>42</v>
      </c>
      <c r="R5" s="826"/>
      <c r="S5" s="18" t="s">
        <v>43</v>
      </c>
      <c r="T5" s="17" t="s">
        <v>44</v>
      </c>
      <c r="U5" s="19" t="s">
        <v>43</v>
      </c>
      <c r="V5" s="19" t="s">
        <v>44</v>
      </c>
      <c r="W5" s="832"/>
      <c r="X5" s="832"/>
      <c r="Y5" s="20" t="s">
        <v>45</v>
      </c>
      <c r="Z5" s="21" t="s">
        <v>46</v>
      </c>
      <c r="AA5" s="816"/>
      <c r="AB5" s="22"/>
      <c r="AC5" s="23" t="s">
        <v>47</v>
      </c>
      <c r="AD5" s="24" t="s">
        <v>48</v>
      </c>
      <c r="AE5" s="23" t="s">
        <v>47</v>
      </c>
      <c r="AF5" s="24" t="s">
        <v>48</v>
      </c>
      <c r="AG5" s="14"/>
      <c r="AH5" s="820"/>
      <c r="AI5" s="822"/>
      <c r="AJ5" s="824"/>
      <c r="AK5" s="809"/>
      <c r="AL5" s="811"/>
      <c r="AM5" s="14"/>
    </row>
    <row r="6" spans="1:39" x14ac:dyDescent="0.3">
      <c r="A6" s="25" t="s">
        <v>49</v>
      </c>
      <c r="B6" s="25" t="s">
        <v>50</v>
      </c>
      <c r="C6" s="26" t="e">
        <f>#REF!</f>
        <v>#REF!</v>
      </c>
      <c r="D6" s="27" t="e">
        <f t="shared" ref="D6:D27" si="0">C6*4%</f>
        <v>#REF!</v>
      </c>
      <c r="E6" s="27" t="e">
        <f t="shared" ref="E6:E27" si="1">C6*20.28%</f>
        <v>#REF!</v>
      </c>
      <c r="F6" s="27" t="e">
        <f t="shared" ref="F6:F27" si="2">(C6-D6)*80%</f>
        <v>#REF!</v>
      </c>
      <c r="G6" s="27">
        <v>99533</v>
      </c>
      <c r="H6" s="28">
        <v>6.5</v>
      </c>
      <c r="I6" s="29">
        <v>40000</v>
      </c>
      <c r="J6" s="29">
        <v>85000</v>
      </c>
      <c r="K6" s="29">
        <v>10000</v>
      </c>
      <c r="L6" s="30">
        <v>40000</v>
      </c>
      <c r="M6" s="31" t="e">
        <f t="shared" ref="M6:M27" si="3">C6+I6+J6+K6+L6-D6-G6</f>
        <v>#REF!</v>
      </c>
      <c r="N6" s="31" t="e">
        <f t="shared" ref="N6:N27" si="4">+M6/655.957</f>
        <v>#REF!</v>
      </c>
      <c r="O6" s="31" t="e">
        <f t="shared" ref="O6:O27" si="5">+M6*1.08333333333333</f>
        <v>#REF!</v>
      </c>
      <c r="P6" s="31" t="e">
        <f t="shared" ref="P6:P27" si="6">+O6/655.957</f>
        <v>#REF!</v>
      </c>
      <c r="Q6" s="32" t="e">
        <f t="shared" ref="Q6:Q27" si="7">C6*7.5%</f>
        <v>#REF!</v>
      </c>
      <c r="R6" s="32">
        <v>10000</v>
      </c>
      <c r="S6" s="33" t="e">
        <f t="shared" ref="S6:S27" si="8">Q6+L6+J6+I6+E6+C6+R6/13</f>
        <v>#REF!</v>
      </c>
      <c r="T6" s="34" t="e">
        <f t="shared" ref="T6:T27" si="9">S6/655.957</f>
        <v>#REF!</v>
      </c>
      <c r="U6" s="35" t="e">
        <f t="shared" ref="U6:U27" si="10">+S6*1.08333333333333</f>
        <v>#REF!</v>
      </c>
      <c r="V6" s="35" t="e">
        <f t="shared" ref="V6:V27" si="11">U6/655.957</f>
        <v>#REF!</v>
      </c>
      <c r="W6" s="36" t="s">
        <v>5</v>
      </c>
      <c r="X6" s="37"/>
      <c r="Z6" s="38"/>
      <c r="AA6" s="39"/>
      <c r="AB6" s="40"/>
      <c r="AC6" s="41"/>
      <c r="AD6" s="42"/>
      <c r="AE6" s="41">
        <v>1950</v>
      </c>
      <c r="AF6" s="42" t="e">
        <f>AE6-V6</f>
        <v>#REF!</v>
      </c>
      <c r="AH6" s="7">
        <f>AE6*36</f>
        <v>70200</v>
      </c>
      <c r="AI6" s="7">
        <f>AE6*36</f>
        <v>70200</v>
      </c>
      <c r="AJ6" s="43">
        <f t="shared" ref="AJ6:AJ27" si="12">AH6-AI6</f>
        <v>0</v>
      </c>
      <c r="AK6" s="44"/>
      <c r="AL6" s="45"/>
    </row>
    <row r="7" spans="1:39" x14ac:dyDescent="0.3">
      <c r="A7" s="25" t="s">
        <v>51</v>
      </c>
      <c r="B7" s="25" t="s">
        <v>52</v>
      </c>
      <c r="C7" s="26">
        <f>+'[6]Positions salariés nouv grille'!E30</f>
        <v>500000</v>
      </c>
      <c r="D7" s="27">
        <f t="shared" si="0"/>
        <v>20000</v>
      </c>
      <c r="E7" s="26">
        <f t="shared" si="1"/>
        <v>101400</v>
      </c>
      <c r="F7" s="26">
        <f t="shared" si="2"/>
        <v>384000</v>
      </c>
      <c r="G7" s="26">
        <v>72033</v>
      </c>
      <c r="H7" s="46">
        <v>3.5</v>
      </c>
      <c r="I7" s="29">
        <v>40000</v>
      </c>
      <c r="J7" s="29">
        <v>75000</v>
      </c>
      <c r="K7" s="29">
        <v>10000</v>
      </c>
      <c r="L7" s="30"/>
      <c r="M7" s="31">
        <f t="shared" si="3"/>
        <v>532967</v>
      </c>
      <c r="N7" s="31">
        <f t="shared" si="4"/>
        <v>812.502953699709</v>
      </c>
      <c r="O7" s="31">
        <f t="shared" si="5"/>
        <v>577380.91666666488</v>
      </c>
      <c r="P7" s="31">
        <f t="shared" si="6"/>
        <v>880.21153317468202</v>
      </c>
      <c r="Q7" s="32">
        <f t="shared" si="7"/>
        <v>37500</v>
      </c>
      <c r="R7" s="32">
        <v>10000</v>
      </c>
      <c r="S7" s="33">
        <f t="shared" si="8"/>
        <v>754669.23076923075</v>
      </c>
      <c r="T7" s="34">
        <f t="shared" si="9"/>
        <v>1150.4858257008168</v>
      </c>
      <c r="U7" s="35">
        <f t="shared" si="10"/>
        <v>817558.33333333069</v>
      </c>
      <c r="V7" s="35">
        <f t="shared" si="11"/>
        <v>1246.3596445092144</v>
      </c>
      <c r="W7" s="36" t="s">
        <v>5</v>
      </c>
      <c r="X7" s="47"/>
      <c r="Z7" s="38"/>
      <c r="AA7" s="39"/>
      <c r="AB7" s="40"/>
      <c r="AC7" s="41">
        <v>1200</v>
      </c>
      <c r="AD7" s="42">
        <f>+AC7-V7</f>
        <v>-46.359644509214377</v>
      </c>
      <c r="AE7" s="41"/>
      <c r="AF7" s="42"/>
      <c r="AH7" s="7">
        <f>AC7*30</f>
        <v>36000</v>
      </c>
      <c r="AI7" s="7">
        <f>AC7*30</f>
        <v>36000</v>
      </c>
      <c r="AJ7" s="43">
        <f t="shared" si="12"/>
        <v>0</v>
      </c>
      <c r="AK7" s="3"/>
      <c r="AL7" s="48"/>
    </row>
    <row r="8" spans="1:39" x14ac:dyDescent="0.3">
      <c r="A8" s="25" t="s">
        <v>53</v>
      </c>
      <c r="B8" s="25" t="s">
        <v>54</v>
      </c>
      <c r="C8" s="26">
        <f>+'[6]Positions salariés nouv grille'!F30</f>
        <v>335000</v>
      </c>
      <c r="D8" s="27">
        <f t="shared" si="0"/>
        <v>13400</v>
      </c>
      <c r="E8" s="26">
        <f t="shared" si="1"/>
        <v>67938</v>
      </c>
      <c r="F8" s="26">
        <f t="shared" si="2"/>
        <v>257280</v>
      </c>
      <c r="G8" s="26">
        <v>34033</v>
      </c>
      <c r="H8" s="46">
        <v>4.5</v>
      </c>
      <c r="I8" s="29">
        <v>40000</v>
      </c>
      <c r="J8" s="29">
        <v>65000</v>
      </c>
      <c r="K8" s="29">
        <v>10000</v>
      </c>
      <c r="L8" s="30"/>
      <c r="M8" s="31">
        <f t="shared" si="3"/>
        <v>402567</v>
      </c>
      <c r="N8" s="31">
        <f t="shared" si="4"/>
        <v>613.70943522212588</v>
      </c>
      <c r="O8" s="31">
        <f t="shared" si="5"/>
        <v>436114.2499999986</v>
      </c>
      <c r="P8" s="31">
        <f t="shared" si="6"/>
        <v>664.85188815730089</v>
      </c>
      <c r="Q8" s="32">
        <f t="shared" si="7"/>
        <v>25125</v>
      </c>
      <c r="R8" s="32">
        <v>10000</v>
      </c>
      <c r="S8" s="33">
        <f t="shared" si="8"/>
        <v>533832.23076923075</v>
      </c>
      <c r="T8" s="34">
        <f t="shared" si="9"/>
        <v>813.82198950423697</v>
      </c>
      <c r="U8" s="35">
        <f t="shared" si="10"/>
        <v>578318.24999999814</v>
      </c>
      <c r="V8" s="35">
        <f t="shared" si="11"/>
        <v>881.64048862958725</v>
      </c>
      <c r="W8" s="36" t="s">
        <v>5</v>
      </c>
      <c r="X8" s="47"/>
      <c r="Z8" s="38"/>
      <c r="AA8" s="39"/>
      <c r="AB8" s="40"/>
      <c r="AC8" s="41"/>
      <c r="AD8" s="42"/>
      <c r="AE8" s="41">
        <v>900</v>
      </c>
      <c r="AF8" s="42">
        <f>AE8-V8</f>
        <v>18.359511370412747</v>
      </c>
      <c r="AH8" s="7">
        <f>AE8*36</f>
        <v>32400</v>
      </c>
      <c r="AI8" s="7">
        <f>AE8*36</f>
        <v>32400</v>
      </c>
      <c r="AJ8" s="43">
        <f t="shared" si="12"/>
        <v>0</v>
      </c>
      <c r="AK8" s="3"/>
      <c r="AL8" s="48"/>
    </row>
    <row r="9" spans="1:39" x14ac:dyDescent="0.3">
      <c r="A9" s="25" t="s">
        <v>55</v>
      </c>
      <c r="B9" s="25" t="s">
        <v>56</v>
      </c>
      <c r="C9" s="26">
        <f>+'[6]Positions salariés nouv grille'!H30</f>
        <v>170000</v>
      </c>
      <c r="D9" s="27">
        <f t="shared" si="0"/>
        <v>6800</v>
      </c>
      <c r="E9" s="26">
        <f t="shared" si="1"/>
        <v>34476</v>
      </c>
      <c r="F9" s="26">
        <f t="shared" si="2"/>
        <v>130560</v>
      </c>
      <c r="G9" s="26">
        <v>9087</v>
      </c>
      <c r="H9" s="46">
        <v>4.5</v>
      </c>
      <c r="I9" s="29">
        <v>40000</v>
      </c>
      <c r="J9" s="29">
        <v>65000</v>
      </c>
      <c r="K9" s="29">
        <v>10000</v>
      </c>
      <c r="L9" s="30"/>
      <c r="M9" s="31">
        <f t="shared" si="3"/>
        <v>269113</v>
      </c>
      <c r="N9" s="31">
        <f t="shared" si="4"/>
        <v>410.26012375811217</v>
      </c>
      <c r="O9" s="31">
        <f t="shared" si="5"/>
        <v>291539.08333333244</v>
      </c>
      <c r="P9" s="31">
        <f t="shared" si="6"/>
        <v>444.4484674046202</v>
      </c>
      <c r="Q9" s="32">
        <f t="shared" si="7"/>
        <v>12750</v>
      </c>
      <c r="R9" s="32">
        <v>10000</v>
      </c>
      <c r="S9" s="33">
        <f t="shared" si="8"/>
        <v>322995.23076923075</v>
      </c>
      <c r="T9" s="34">
        <f t="shared" si="9"/>
        <v>492.40305503139803</v>
      </c>
      <c r="U9" s="35">
        <f t="shared" si="10"/>
        <v>349911.49999999889</v>
      </c>
      <c r="V9" s="35">
        <f t="shared" si="11"/>
        <v>533.43664295067958</v>
      </c>
      <c r="W9" s="36" t="s">
        <v>6</v>
      </c>
      <c r="X9" s="47">
        <v>26</v>
      </c>
      <c r="Y9" s="7">
        <f t="shared" ref="Y9:Y17" si="13">F9*35%*X9/12</f>
        <v>99008</v>
      </c>
      <c r="Z9" s="49">
        <f t="shared" ref="Z9:Z17" si="14">+Y9/655.957</f>
        <v>150.93672298641528</v>
      </c>
      <c r="AA9" s="39">
        <f t="shared" ref="AA9:AA17" si="15">+V9+Z9/X9</f>
        <v>539.24190152708013</v>
      </c>
      <c r="AB9" s="40"/>
      <c r="AC9" s="41">
        <v>900</v>
      </c>
      <c r="AD9" s="42">
        <f>+AC9-AA9</f>
        <v>360.75809847291987</v>
      </c>
      <c r="AE9" s="41"/>
      <c r="AF9" s="50"/>
      <c r="AH9" s="7">
        <f>AC9*30</f>
        <v>27000</v>
      </c>
      <c r="AI9" s="7">
        <f>AC9*26</f>
        <v>23400</v>
      </c>
      <c r="AJ9" s="43">
        <f t="shared" si="12"/>
        <v>3600</v>
      </c>
      <c r="AK9" s="3"/>
      <c r="AL9" s="48"/>
    </row>
    <row r="10" spans="1:39" hidden="1" x14ac:dyDescent="0.3">
      <c r="A10" s="51" t="s">
        <v>57</v>
      </c>
      <c r="B10" s="51" t="s">
        <v>58</v>
      </c>
      <c r="C10" s="26">
        <f>'[6]Positions salariés nouv grille'!I30</f>
        <v>30000</v>
      </c>
      <c r="D10" s="27">
        <f t="shared" si="0"/>
        <v>1200</v>
      </c>
      <c r="E10" s="26">
        <f t="shared" si="1"/>
        <v>6084</v>
      </c>
      <c r="F10" s="26">
        <f t="shared" si="2"/>
        <v>23040</v>
      </c>
      <c r="G10" s="26">
        <v>9087</v>
      </c>
      <c r="H10" s="52">
        <v>3</v>
      </c>
      <c r="I10" s="29">
        <v>40000</v>
      </c>
      <c r="J10" s="29">
        <v>55000</v>
      </c>
      <c r="K10" s="29">
        <v>10000</v>
      </c>
      <c r="L10" s="30"/>
      <c r="M10" s="31">
        <f t="shared" si="3"/>
        <v>124713</v>
      </c>
      <c r="N10" s="31">
        <f t="shared" si="4"/>
        <v>190.12374286729161</v>
      </c>
      <c r="O10" s="31">
        <f t="shared" si="5"/>
        <v>135105.74999999956</v>
      </c>
      <c r="P10" s="31">
        <f t="shared" si="6"/>
        <v>205.96738810623191</v>
      </c>
      <c r="Q10" s="32">
        <f t="shared" si="7"/>
        <v>2250</v>
      </c>
      <c r="R10" s="32">
        <v>10000</v>
      </c>
      <c r="S10" s="33">
        <f t="shared" si="8"/>
        <v>134103.23076923078</v>
      </c>
      <c r="T10" s="34">
        <f t="shared" si="9"/>
        <v>204.43905739130886</v>
      </c>
      <c r="U10" s="35">
        <f t="shared" si="10"/>
        <v>145278.49999999956</v>
      </c>
      <c r="V10" s="35">
        <f t="shared" si="11"/>
        <v>221.47564550725056</v>
      </c>
      <c r="W10" s="36"/>
      <c r="X10" s="47"/>
      <c r="Y10" s="7">
        <f t="shared" si="13"/>
        <v>0</v>
      </c>
      <c r="Z10" s="49">
        <f t="shared" si="14"/>
        <v>0</v>
      </c>
      <c r="AA10" s="53" t="e">
        <f t="shared" si="15"/>
        <v>#DIV/0!</v>
      </c>
      <c r="AB10" s="40"/>
      <c r="AC10" s="41"/>
      <c r="AD10" s="42"/>
      <c r="AE10" s="41"/>
      <c r="AF10" s="50"/>
      <c r="AH10" s="8"/>
      <c r="AI10" s="8"/>
      <c r="AJ10" s="43">
        <f t="shared" si="12"/>
        <v>0</v>
      </c>
      <c r="AL10" s="48"/>
    </row>
    <row r="11" spans="1:39" hidden="1" x14ac:dyDescent="0.3">
      <c r="A11" s="51" t="s">
        <v>59</v>
      </c>
      <c r="B11" s="51" t="s">
        <v>58</v>
      </c>
      <c r="C11" s="26">
        <f>+'[6]Positions salariés nouv grille'!J30</f>
        <v>140000</v>
      </c>
      <c r="D11" s="27">
        <f t="shared" si="0"/>
        <v>5600</v>
      </c>
      <c r="E11" s="26">
        <f t="shared" si="1"/>
        <v>28392</v>
      </c>
      <c r="F11" s="26">
        <f t="shared" si="2"/>
        <v>107520</v>
      </c>
      <c r="G11" s="26">
        <v>9087</v>
      </c>
      <c r="H11" s="52" t="s">
        <v>3</v>
      </c>
      <c r="I11" s="29">
        <v>40000</v>
      </c>
      <c r="J11" s="29">
        <v>75000</v>
      </c>
      <c r="K11" s="29">
        <v>10000</v>
      </c>
      <c r="L11" s="30"/>
      <c r="M11" s="31">
        <f t="shared" si="3"/>
        <v>250313</v>
      </c>
      <c r="N11" s="31">
        <f t="shared" si="4"/>
        <v>381.59970851747903</v>
      </c>
      <c r="O11" s="31">
        <f t="shared" si="5"/>
        <v>271172.41666666581</v>
      </c>
      <c r="P11" s="31">
        <f t="shared" si="6"/>
        <v>413.39968422726764</v>
      </c>
      <c r="Q11" s="32">
        <f t="shared" si="7"/>
        <v>10500</v>
      </c>
      <c r="R11" s="32">
        <v>10000</v>
      </c>
      <c r="S11" s="33">
        <f t="shared" si="8"/>
        <v>294661.23076923075</v>
      </c>
      <c r="T11" s="34">
        <f t="shared" si="9"/>
        <v>449.20815048735017</v>
      </c>
      <c r="U11" s="35">
        <f t="shared" si="10"/>
        <v>319216.33333333232</v>
      </c>
      <c r="V11" s="35">
        <f t="shared" si="11"/>
        <v>486.64216302796115</v>
      </c>
      <c r="W11" s="36"/>
      <c r="X11" s="47"/>
      <c r="Y11" s="7">
        <f t="shared" si="13"/>
        <v>0</v>
      </c>
      <c r="Z11" s="49">
        <f t="shared" si="14"/>
        <v>0</v>
      </c>
      <c r="AA11" s="39" t="e">
        <f t="shared" si="15"/>
        <v>#DIV/0!</v>
      </c>
      <c r="AB11" s="40"/>
      <c r="AC11" s="41"/>
      <c r="AD11" s="42"/>
      <c r="AE11" s="41"/>
      <c r="AF11" s="50"/>
      <c r="AH11" s="8"/>
      <c r="AI11" s="8"/>
      <c r="AJ11" s="43">
        <f t="shared" si="12"/>
        <v>0</v>
      </c>
      <c r="AL11" s="48"/>
    </row>
    <row r="12" spans="1:39" hidden="1" x14ac:dyDescent="0.3">
      <c r="A12" s="51" t="s">
        <v>60</v>
      </c>
      <c r="B12" s="51" t="s">
        <v>50</v>
      </c>
      <c r="C12" s="26">
        <f>+'[6]Positions salariés nouv grille'!AC30</f>
        <v>650000</v>
      </c>
      <c r="D12" s="27">
        <f t="shared" si="0"/>
        <v>26000</v>
      </c>
      <c r="E12" s="26">
        <f t="shared" si="1"/>
        <v>131820</v>
      </c>
      <c r="F12" s="26">
        <f t="shared" si="2"/>
        <v>499200</v>
      </c>
      <c r="G12" s="26">
        <v>9087</v>
      </c>
      <c r="H12" s="52" t="s">
        <v>2</v>
      </c>
      <c r="I12" s="29">
        <v>40000</v>
      </c>
      <c r="J12" s="29">
        <v>65000</v>
      </c>
      <c r="K12" s="29">
        <v>10000</v>
      </c>
      <c r="L12" s="30"/>
      <c r="M12" s="31">
        <f t="shared" si="3"/>
        <v>729913</v>
      </c>
      <c r="N12" s="31">
        <f t="shared" si="4"/>
        <v>1112.7451951880992</v>
      </c>
      <c r="O12" s="31">
        <f t="shared" si="5"/>
        <v>790739.08333333081</v>
      </c>
      <c r="P12" s="31">
        <f t="shared" si="6"/>
        <v>1205.4739614537702</v>
      </c>
      <c r="Q12" s="32">
        <f t="shared" si="7"/>
        <v>48750</v>
      </c>
      <c r="R12" s="32">
        <v>10000</v>
      </c>
      <c r="S12" s="33">
        <f t="shared" si="8"/>
        <v>936339.23076923075</v>
      </c>
      <c r="T12" s="34">
        <f t="shared" si="9"/>
        <v>1427.4399553160204</v>
      </c>
      <c r="U12" s="35">
        <f t="shared" si="10"/>
        <v>1014367.4999999967</v>
      </c>
      <c r="V12" s="35">
        <f t="shared" si="11"/>
        <v>1546.3932849256837</v>
      </c>
      <c r="W12" s="36"/>
      <c r="X12" s="47"/>
      <c r="Y12" s="7">
        <f t="shared" si="13"/>
        <v>0</v>
      </c>
      <c r="Z12" s="49">
        <f t="shared" si="14"/>
        <v>0</v>
      </c>
      <c r="AA12" s="39" t="e">
        <f t="shared" si="15"/>
        <v>#DIV/0!</v>
      </c>
      <c r="AB12" s="40"/>
      <c r="AC12" s="41"/>
      <c r="AD12" s="42"/>
      <c r="AE12" s="41"/>
      <c r="AF12" s="50"/>
      <c r="AH12" s="8"/>
      <c r="AI12" s="8"/>
      <c r="AJ12" s="43">
        <f t="shared" si="12"/>
        <v>0</v>
      </c>
      <c r="AL12" s="48"/>
    </row>
    <row r="13" spans="1:39" hidden="1" x14ac:dyDescent="0.3">
      <c r="A13" s="51" t="s">
        <v>61</v>
      </c>
      <c r="B13" s="51" t="s">
        <v>62</v>
      </c>
      <c r="C13" s="26">
        <f>+'[6]Positions salariés nouv grille'!S30</f>
        <v>300000</v>
      </c>
      <c r="D13" s="27">
        <f t="shared" si="0"/>
        <v>12000</v>
      </c>
      <c r="E13" s="26">
        <f t="shared" si="1"/>
        <v>60840</v>
      </c>
      <c r="F13" s="26">
        <f t="shared" si="2"/>
        <v>230400</v>
      </c>
      <c r="G13" s="26">
        <v>9087</v>
      </c>
      <c r="H13" s="52">
        <v>3</v>
      </c>
      <c r="I13" s="29">
        <v>40000</v>
      </c>
      <c r="J13" s="29">
        <v>55000</v>
      </c>
      <c r="K13" s="29">
        <v>10000</v>
      </c>
      <c r="L13" s="30"/>
      <c r="M13" s="31">
        <f t="shared" si="3"/>
        <v>383913</v>
      </c>
      <c r="N13" s="31">
        <f t="shared" si="4"/>
        <v>585.27159554665934</v>
      </c>
      <c r="O13" s="31">
        <f t="shared" si="5"/>
        <v>415905.74999999872</v>
      </c>
      <c r="P13" s="31">
        <f t="shared" si="6"/>
        <v>634.04422850887897</v>
      </c>
      <c r="Q13" s="32">
        <f t="shared" si="7"/>
        <v>22500</v>
      </c>
      <c r="R13" s="32">
        <v>10000</v>
      </c>
      <c r="S13" s="33">
        <f t="shared" si="8"/>
        <v>479109.23076923075</v>
      </c>
      <c r="T13" s="34">
        <f t="shared" si="9"/>
        <v>730.39731380140881</v>
      </c>
      <c r="U13" s="35">
        <f t="shared" si="10"/>
        <v>519034.99999999837</v>
      </c>
      <c r="V13" s="35">
        <f t="shared" si="11"/>
        <v>791.26375661819043</v>
      </c>
      <c r="W13" s="36"/>
      <c r="X13" s="47"/>
      <c r="Y13" s="7">
        <f t="shared" si="13"/>
        <v>0</v>
      </c>
      <c r="Z13" s="49">
        <f t="shared" si="14"/>
        <v>0</v>
      </c>
      <c r="AA13" s="39" t="e">
        <f t="shared" si="15"/>
        <v>#DIV/0!</v>
      </c>
      <c r="AB13" s="40"/>
      <c r="AC13" s="41"/>
      <c r="AD13" s="42"/>
      <c r="AE13" s="41"/>
      <c r="AF13" s="50"/>
      <c r="AH13" s="8"/>
      <c r="AI13" s="8"/>
      <c r="AJ13" s="43">
        <f t="shared" si="12"/>
        <v>0</v>
      </c>
      <c r="AL13" s="48"/>
    </row>
    <row r="14" spans="1:39" hidden="1" x14ac:dyDescent="0.3">
      <c r="A14" s="51" t="s">
        <v>63</v>
      </c>
      <c r="B14" s="51" t="s">
        <v>62</v>
      </c>
      <c r="C14" s="26">
        <f>+'[6]Positions salariés nouv grille'!T30</f>
        <v>500000</v>
      </c>
      <c r="D14" s="27">
        <f t="shared" si="0"/>
        <v>20000</v>
      </c>
      <c r="E14" s="26">
        <f t="shared" si="1"/>
        <v>101400</v>
      </c>
      <c r="F14" s="26">
        <f t="shared" si="2"/>
        <v>384000</v>
      </c>
      <c r="G14" s="26">
        <v>9087</v>
      </c>
      <c r="H14" s="52" t="s">
        <v>3</v>
      </c>
      <c r="I14" s="29">
        <v>40000</v>
      </c>
      <c r="J14" s="29">
        <v>75000</v>
      </c>
      <c r="K14" s="29">
        <v>10000</v>
      </c>
      <c r="L14" s="30"/>
      <c r="M14" s="31">
        <f t="shared" si="3"/>
        <v>595913</v>
      </c>
      <c r="N14" s="31">
        <f t="shared" si="4"/>
        <v>908.4635120899693</v>
      </c>
      <c r="O14" s="31">
        <f t="shared" si="5"/>
        <v>645572.41666666465</v>
      </c>
      <c r="P14" s="31">
        <f t="shared" si="6"/>
        <v>984.1688047641303</v>
      </c>
      <c r="Q14" s="32">
        <f t="shared" si="7"/>
        <v>37500</v>
      </c>
      <c r="R14" s="32">
        <v>10000</v>
      </c>
      <c r="S14" s="33">
        <f t="shared" si="8"/>
        <v>754669.23076923075</v>
      </c>
      <c r="T14" s="34">
        <f t="shared" si="9"/>
        <v>1150.4858257008168</v>
      </c>
      <c r="U14" s="35">
        <f t="shared" si="10"/>
        <v>817558.33333333069</v>
      </c>
      <c r="V14" s="35">
        <f t="shared" si="11"/>
        <v>1246.3596445092144</v>
      </c>
      <c r="W14" s="36"/>
      <c r="X14" s="47"/>
      <c r="Y14" s="7">
        <f t="shared" si="13"/>
        <v>0</v>
      </c>
      <c r="Z14" s="49">
        <f t="shared" si="14"/>
        <v>0</v>
      </c>
      <c r="AA14" s="39" t="e">
        <f t="shared" si="15"/>
        <v>#DIV/0!</v>
      </c>
      <c r="AB14" s="40"/>
      <c r="AC14" s="41"/>
      <c r="AD14" s="42"/>
      <c r="AE14" s="41"/>
      <c r="AF14" s="50"/>
      <c r="AH14" s="8"/>
      <c r="AI14" s="8"/>
      <c r="AJ14" s="43">
        <f t="shared" si="12"/>
        <v>0</v>
      </c>
      <c r="AL14" s="48"/>
    </row>
    <row r="15" spans="1:39" x14ac:dyDescent="0.3">
      <c r="A15" s="25" t="s">
        <v>64</v>
      </c>
      <c r="B15" s="25" t="s">
        <v>56</v>
      </c>
      <c r="C15" s="26">
        <v>220000</v>
      </c>
      <c r="D15" s="27">
        <f t="shared" si="0"/>
        <v>8800</v>
      </c>
      <c r="E15" s="26">
        <f t="shared" si="1"/>
        <v>44616</v>
      </c>
      <c r="F15" s="26">
        <f t="shared" si="2"/>
        <v>168960</v>
      </c>
      <c r="G15" s="26">
        <v>17183</v>
      </c>
      <c r="H15" s="52">
        <v>3</v>
      </c>
      <c r="I15" s="29">
        <v>40000</v>
      </c>
      <c r="J15" s="29">
        <v>60000</v>
      </c>
      <c r="K15" s="29">
        <v>10000</v>
      </c>
      <c r="L15" s="30"/>
      <c r="M15" s="31">
        <f t="shared" si="3"/>
        <v>304017</v>
      </c>
      <c r="N15" s="31">
        <f t="shared" si="4"/>
        <v>463.47092873465789</v>
      </c>
      <c r="O15" s="31">
        <f t="shared" si="5"/>
        <v>329351.74999999895</v>
      </c>
      <c r="P15" s="31">
        <f t="shared" si="6"/>
        <v>502.09350612921116</v>
      </c>
      <c r="Q15" s="32">
        <f t="shared" si="7"/>
        <v>16500</v>
      </c>
      <c r="R15" s="32">
        <v>10000</v>
      </c>
      <c r="S15" s="33">
        <f t="shared" si="8"/>
        <v>381885.23076923075</v>
      </c>
      <c r="T15" s="34">
        <f t="shared" si="9"/>
        <v>582.18028128250899</v>
      </c>
      <c r="U15" s="35">
        <f t="shared" si="10"/>
        <v>413708.99999999866</v>
      </c>
      <c r="V15" s="35">
        <f t="shared" si="11"/>
        <v>630.69530472271606</v>
      </c>
      <c r="W15" s="36" t="s">
        <v>6</v>
      </c>
      <c r="X15" s="47">
        <v>7</v>
      </c>
      <c r="Y15" s="7">
        <f t="shared" si="13"/>
        <v>34495.999999999993</v>
      </c>
      <c r="Z15" s="49">
        <f t="shared" si="14"/>
        <v>52.588812986217071</v>
      </c>
      <c r="AA15" s="39">
        <f t="shared" si="15"/>
        <v>638.20799229217562</v>
      </c>
      <c r="AB15" s="40"/>
      <c r="AC15" s="41"/>
      <c r="AD15" s="42"/>
      <c r="AE15" s="41">
        <v>705</v>
      </c>
      <c r="AF15" s="50">
        <f t="shared" ref="AF15:AF27" si="16">+AE15-V15</f>
        <v>74.30469527728394</v>
      </c>
      <c r="AH15" s="7">
        <f>AE15*36</f>
        <v>25380</v>
      </c>
      <c r="AI15" s="7">
        <f>AE15*33</f>
        <v>23265</v>
      </c>
      <c r="AJ15" s="43">
        <f t="shared" si="12"/>
        <v>2115</v>
      </c>
      <c r="AK15" s="3"/>
      <c r="AL15" s="48"/>
    </row>
    <row r="16" spans="1:39" x14ac:dyDescent="0.3">
      <c r="A16" s="25" t="s">
        <v>65</v>
      </c>
      <c r="B16" s="25" t="s">
        <v>0</v>
      </c>
      <c r="C16" s="26">
        <f>+'[6]Positions salariés nouv grille'!U30</f>
        <v>300000</v>
      </c>
      <c r="D16" s="54">
        <f t="shared" si="0"/>
        <v>12000</v>
      </c>
      <c r="E16" s="54">
        <f t="shared" si="1"/>
        <v>60840</v>
      </c>
      <c r="F16" s="54">
        <f t="shared" si="2"/>
        <v>230400</v>
      </c>
      <c r="G16" s="55">
        <v>25200</v>
      </c>
      <c r="H16" s="52">
        <v>3</v>
      </c>
      <c r="I16" s="56">
        <v>40000</v>
      </c>
      <c r="J16" s="56">
        <v>55000</v>
      </c>
      <c r="K16" s="56">
        <v>10000</v>
      </c>
      <c r="L16" s="57"/>
      <c r="M16" s="58">
        <f t="shared" si="3"/>
        <v>367800</v>
      </c>
      <c r="N16" s="58">
        <f t="shared" si="4"/>
        <v>560.70748539919543</v>
      </c>
      <c r="O16" s="58">
        <f t="shared" si="5"/>
        <v>398449.99999999872</v>
      </c>
      <c r="P16" s="58">
        <f t="shared" si="6"/>
        <v>607.4331091824597</v>
      </c>
      <c r="Q16" s="32">
        <f t="shared" si="7"/>
        <v>22500</v>
      </c>
      <c r="R16" s="32">
        <v>10000</v>
      </c>
      <c r="S16" s="33">
        <f t="shared" si="8"/>
        <v>479109.23076923075</v>
      </c>
      <c r="T16" s="59">
        <f t="shared" si="9"/>
        <v>730.39731380140881</v>
      </c>
      <c r="U16" s="59">
        <f t="shared" si="10"/>
        <v>519034.99999999837</v>
      </c>
      <c r="V16" s="59">
        <f t="shared" si="11"/>
        <v>791.26375661819043</v>
      </c>
      <c r="W16" s="36" t="s">
        <v>6</v>
      </c>
      <c r="X16" s="47">
        <v>33</v>
      </c>
      <c r="Y16" s="60">
        <f t="shared" si="13"/>
        <v>221760</v>
      </c>
      <c r="Z16" s="49">
        <f t="shared" si="14"/>
        <v>338.07094062568126</v>
      </c>
      <c r="AA16" s="39">
        <f t="shared" si="15"/>
        <v>801.50833057654438</v>
      </c>
      <c r="AB16" s="40"/>
      <c r="AC16" s="41"/>
      <c r="AD16" s="42"/>
      <c r="AE16" s="41">
        <v>950</v>
      </c>
      <c r="AF16" s="50">
        <f t="shared" si="16"/>
        <v>158.73624338180957</v>
      </c>
      <c r="AH16" s="7">
        <f>AE16*34</f>
        <v>32300</v>
      </c>
      <c r="AI16" s="7">
        <f>AE16*33</f>
        <v>31350</v>
      </c>
      <c r="AJ16" s="43">
        <f t="shared" si="12"/>
        <v>950</v>
      </c>
      <c r="AL16" s="48"/>
    </row>
    <row r="17" spans="1:38" x14ac:dyDescent="0.3">
      <c r="A17" s="25" t="s">
        <v>66</v>
      </c>
      <c r="B17" s="25" t="s">
        <v>0</v>
      </c>
      <c r="C17" s="26">
        <f>+'[6]Positions salariés nouv grille'!V30</f>
        <v>500000</v>
      </c>
      <c r="D17" s="54">
        <f t="shared" si="0"/>
        <v>20000</v>
      </c>
      <c r="E17" s="54">
        <f t="shared" si="1"/>
        <v>101400</v>
      </c>
      <c r="F17" s="54">
        <f t="shared" si="2"/>
        <v>384000</v>
      </c>
      <c r="G17" s="55">
        <v>31000</v>
      </c>
      <c r="H17" s="52" t="s">
        <v>3</v>
      </c>
      <c r="I17" s="56">
        <v>40000</v>
      </c>
      <c r="J17" s="56">
        <v>75000</v>
      </c>
      <c r="K17" s="56">
        <v>10000</v>
      </c>
      <c r="L17" s="57"/>
      <c r="M17" s="58">
        <f t="shared" si="3"/>
        <v>574000</v>
      </c>
      <c r="N17" s="58">
        <f t="shared" si="4"/>
        <v>875.05735894273562</v>
      </c>
      <c r="O17" s="58">
        <f t="shared" si="5"/>
        <v>621833.33333333139</v>
      </c>
      <c r="P17" s="58">
        <f t="shared" si="6"/>
        <v>947.97880552129391</v>
      </c>
      <c r="Q17" s="32">
        <f t="shared" si="7"/>
        <v>37500</v>
      </c>
      <c r="R17" s="32">
        <v>10000</v>
      </c>
      <c r="S17" s="33">
        <f t="shared" si="8"/>
        <v>754669.23076923075</v>
      </c>
      <c r="T17" s="59">
        <f t="shared" si="9"/>
        <v>1150.4858257008168</v>
      </c>
      <c r="U17" s="59">
        <f t="shared" si="10"/>
        <v>817558.33333333069</v>
      </c>
      <c r="V17" s="59">
        <f t="shared" si="11"/>
        <v>1246.3596445092144</v>
      </c>
      <c r="W17" s="36" t="s">
        <v>6</v>
      </c>
      <c r="X17" s="47">
        <v>33</v>
      </c>
      <c r="Y17" s="60">
        <f t="shared" si="13"/>
        <v>369600</v>
      </c>
      <c r="Z17" s="49">
        <f t="shared" si="14"/>
        <v>563.4515677094688</v>
      </c>
      <c r="AA17" s="39">
        <f t="shared" si="15"/>
        <v>1263.4339344398043</v>
      </c>
      <c r="AB17" s="40"/>
      <c r="AC17" s="41"/>
      <c r="AD17" s="42"/>
      <c r="AE17" s="41">
        <v>950</v>
      </c>
      <c r="AF17" s="42">
        <f t="shared" si="16"/>
        <v>-296.35964450921438</v>
      </c>
      <c r="AH17" s="7">
        <f>AE17*34</f>
        <v>32300</v>
      </c>
      <c r="AI17" s="7">
        <f>AE17*33</f>
        <v>31350</v>
      </c>
      <c r="AJ17" s="43">
        <f t="shared" si="12"/>
        <v>950</v>
      </c>
      <c r="AL17" s="48"/>
    </row>
    <row r="18" spans="1:38" x14ac:dyDescent="0.3">
      <c r="A18" s="25" t="s">
        <v>67</v>
      </c>
      <c r="B18" s="25" t="s">
        <v>68</v>
      </c>
      <c r="C18" s="26">
        <f>+'[6]Positions salariés nouv grille'!O30</f>
        <v>155000</v>
      </c>
      <c r="D18" s="54">
        <f t="shared" si="0"/>
        <v>6200</v>
      </c>
      <c r="E18" s="54">
        <f t="shared" si="1"/>
        <v>31434</v>
      </c>
      <c r="F18" s="54">
        <f t="shared" si="2"/>
        <v>119040</v>
      </c>
      <c r="G18" s="55">
        <v>8500</v>
      </c>
      <c r="H18" s="52">
        <v>3</v>
      </c>
      <c r="I18" s="56">
        <v>40000</v>
      </c>
      <c r="J18" s="56">
        <v>55000</v>
      </c>
      <c r="K18" s="56">
        <v>10000</v>
      </c>
      <c r="L18" s="57"/>
      <c r="M18" s="58">
        <f t="shared" si="3"/>
        <v>245300</v>
      </c>
      <c r="N18" s="58">
        <f t="shared" si="4"/>
        <v>373.95743928336765</v>
      </c>
      <c r="O18" s="58">
        <f t="shared" si="5"/>
        <v>265741.66666666581</v>
      </c>
      <c r="P18" s="58">
        <f t="shared" si="6"/>
        <v>405.12055922364698</v>
      </c>
      <c r="Q18" s="32">
        <f t="shared" si="7"/>
        <v>11625</v>
      </c>
      <c r="R18" s="32">
        <v>10000</v>
      </c>
      <c r="S18" s="33">
        <f t="shared" si="8"/>
        <v>293828.23076923075</v>
      </c>
      <c r="T18" s="59">
        <f t="shared" si="9"/>
        <v>447.93825017376253</v>
      </c>
      <c r="U18" s="59">
        <f t="shared" si="10"/>
        <v>318313.91666666564</v>
      </c>
      <c r="V18" s="59">
        <f t="shared" si="11"/>
        <v>485.26643768824124</v>
      </c>
      <c r="W18" s="36"/>
      <c r="X18" s="47"/>
      <c r="Z18" s="38"/>
      <c r="AA18" s="39"/>
      <c r="AB18" s="40"/>
      <c r="AC18" s="41"/>
      <c r="AD18" s="42"/>
      <c r="AE18" s="41">
        <v>500</v>
      </c>
      <c r="AF18" s="50">
        <f t="shared" si="16"/>
        <v>14.73356231175876</v>
      </c>
      <c r="AH18" s="8"/>
      <c r="AI18" s="8"/>
      <c r="AJ18" s="43">
        <f t="shared" si="12"/>
        <v>0</v>
      </c>
      <c r="AL18" s="48"/>
    </row>
    <row r="19" spans="1:38" x14ac:dyDescent="0.3">
      <c r="A19" s="25" t="s">
        <v>69</v>
      </c>
      <c r="B19" s="25" t="s">
        <v>68</v>
      </c>
      <c r="C19" s="26">
        <f>+'[6]Positions salariés nouv grille'!P30</f>
        <v>350000</v>
      </c>
      <c r="D19" s="54">
        <f t="shared" si="0"/>
        <v>14000</v>
      </c>
      <c r="E19" s="54">
        <f t="shared" si="1"/>
        <v>70980</v>
      </c>
      <c r="F19" s="54">
        <f t="shared" si="2"/>
        <v>268800</v>
      </c>
      <c r="G19" s="55">
        <v>14000</v>
      </c>
      <c r="H19" s="52" t="s">
        <v>3</v>
      </c>
      <c r="I19" s="56">
        <v>40000</v>
      </c>
      <c r="J19" s="56">
        <v>75000</v>
      </c>
      <c r="K19" s="56">
        <v>10000</v>
      </c>
      <c r="L19" s="57"/>
      <c r="M19" s="58">
        <f t="shared" si="3"/>
        <v>447000</v>
      </c>
      <c r="N19" s="58">
        <f t="shared" si="4"/>
        <v>681.44710705122441</v>
      </c>
      <c r="O19" s="58">
        <f t="shared" si="5"/>
        <v>484249.99999999849</v>
      </c>
      <c r="P19" s="58">
        <f t="shared" si="6"/>
        <v>738.23436597215743</v>
      </c>
      <c r="Q19" s="32">
        <f t="shared" si="7"/>
        <v>26250</v>
      </c>
      <c r="R19" s="32">
        <v>10000</v>
      </c>
      <c r="S19" s="33">
        <f t="shared" si="8"/>
        <v>562999.23076923075</v>
      </c>
      <c r="T19" s="59">
        <f t="shared" si="9"/>
        <v>858.28679436187247</v>
      </c>
      <c r="U19" s="59">
        <f t="shared" si="10"/>
        <v>609915.83333333139</v>
      </c>
      <c r="V19" s="59">
        <f t="shared" si="11"/>
        <v>929.8106938920256</v>
      </c>
      <c r="W19" s="36"/>
      <c r="X19" s="47"/>
      <c r="Z19" s="38"/>
      <c r="AA19" s="39"/>
      <c r="AB19" s="40"/>
      <c r="AC19" s="41"/>
      <c r="AD19" s="42"/>
      <c r="AE19" s="41">
        <v>500</v>
      </c>
      <c r="AF19" s="50">
        <f t="shared" si="16"/>
        <v>-429.8106938920256</v>
      </c>
      <c r="AH19" s="8"/>
      <c r="AI19" s="8"/>
      <c r="AJ19" s="43">
        <f t="shared" si="12"/>
        <v>0</v>
      </c>
      <c r="AL19" s="48"/>
    </row>
    <row r="20" spans="1:38" x14ac:dyDescent="0.3">
      <c r="A20" s="25" t="s">
        <v>70</v>
      </c>
      <c r="B20" s="25" t="s">
        <v>71</v>
      </c>
      <c r="C20" s="26">
        <f>+'[6]Positions salariés nouv grille'!AA30</f>
        <v>560000</v>
      </c>
      <c r="D20" s="54">
        <f t="shared" si="0"/>
        <v>22400</v>
      </c>
      <c r="E20" s="54">
        <f t="shared" si="1"/>
        <v>113568</v>
      </c>
      <c r="F20" s="54">
        <f t="shared" si="2"/>
        <v>430080</v>
      </c>
      <c r="G20" s="55">
        <v>94325</v>
      </c>
      <c r="H20" s="61">
        <v>3</v>
      </c>
      <c r="I20" s="56">
        <v>40000</v>
      </c>
      <c r="J20" s="56">
        <v>55000</v>
      </c>
      <c r="K20" s="56">
        <v>10000</v>
      </c>
      <c r="L20" s="57"/>
      <c r="M20" s="58">
        <f t="shared" si="3"/>
        <v>548275</v>
      </c>
      <c r="N20" s="58">
        <f t="shared" si="4"/>
        <v>835.83984925841173</v>
      </c>
      <c r="O20" s="58">
        <f t="shared" si="5"/>
        <v>593964.58333333151</v>
      </c>
      <c r="P20" s="58">
        <f t="shared" si="6"/>
        <v>905.49317002994326</v>
      </c>
      <c r="Q20" s="32">
        <f t="shared" si="7"/>
        <v>42000</v>
      </c>
      <c r="R20" s="32">
        <v>10000</v>
      </c>
      <c r="S20" s="33">
        <f t="shared" si="8"/>
        <v>811337.23076923075</v>
      </c>
      <c r="T20" s="59">
        <f t="shared" si="9"/>
        <v>1236.8756347889125</v>
      </c>
      <c r="U20" s="59">
        <f t="shared" si="10"/>
        <v>878948.66666666383</v>
      </c>
      <c r="V20" s="59">
        <f t="shared" si="11"/>
        <v>1339.948604354651</v>
      </c>
      <c r="W20" s="36"/>
      <c r="X20" s="47"/>
      <c r="Z20" s="38"/>
      <c r="AA20" s="39"/>
      <c r="AB20" s="40"/>
      <c r="AC20" s="41"/>
      <c r="AD20" s="42"/>
      <c r="AE20" s="41">
        <v>1500</v>
      </c>
      <c r="AF20" s="50">
        <f t="shared" si="16"/>
        <v>160.05139564534898</v>
      </c>
      <c r="AH20" s="8"/>
      <c r="AI20" s="8"/>
      <c r="AJ20" s="43">
        <f t="shared" si="12"/>
        <v>0</v>
      </c>
      <c r="AL20" s="48"/>
    </row>
    <row r="21" spans="1:38" x14ac:dyDescent="0.3">
      <c r="A21" s="25" t="s">
        <v>72</v>
      </c>
      <c r="B21" s="25" t="s">
        <v>71</v>
      </c>
      <c r="C21" s="26">
        <f>+'[6]Positions salariés nouv grille'!AB30</f>
        <v>780000</v>
      </c>
      <c r="D21" s="54">
        <f t="shared" si="0"/>
        <v>31200</v>
      </c>
      <c r="E21" s="54">
        <f t="shared" si="1"/>
        <v>158184</v>
      </c>
      <c r="F21" s="54">
        <f t="shared" si="2"/>
        <v>599040</v>
      </c>
      <c r="G21" s="55">
        <v>91000</v>
      </c>
      <c r="H21" s="52" t="s">
        <v>3</v>
      </c>
      <c r="I21" s="56">
        <v>40000</v>
      </c>
      <c r="J21" s="56">
        <v>75000</v>
      </c>
      <c r="K21" s="56">
        <v>10000</v>
      </c>
      <c r="L21" s="57"/>
      <c r="M21" s="58">
        <f t="shared" si="3"/>
        <v>782800</v>
      </c>
      <c r="N21" s="58">
        <f t="shared" si="4"/>
        <v>1193.3709069344484</v>
      </c>
      <c r="O21" s="58">
        <f t="shared" si="5"/>
        <v>848033.33333333069</v>
      </c>
      <c r="P21" s="58">
        <f t="shared" si="6"/>
        <v>1292.8184825123151</v>
      </c>
      <c r="Q21" s="32">
        <f t="shared" si="7"/>
        <v>58500</v>
      </c>
      <c r="R21" s="32">
        <v>10000</v>
      </c>
      <c r="S21" s="33">
        <f t="shared" si="8"/>
        <v>1112453.2307692308</v>
      </c>
      <c r="T21" s="59">
        <f t="shared" si="9"/>
        <v>1695.9240175335133</v>
      </c>
      <c r="U21" s="59">
        <f t="shared" si="10"/>
        <v>1205157.6666666628</v>
      </c>
      <c r="V21" s="59">
        <f t="shared" si="11"/>
        <v>1837.2510189946336</v>
      </c>
      <c r="W21" s="36"/>
      <c r="X21" s="47"/>
      <c r="Z21" s="38"/>
      <c r="AA21" s="39"/>
      <c r="AB21" s="40"/>
      <c r="AC21" s="41"/>
      <c r="AD21" s="42"/>
      <c r="AE21" s="41">
        <v>1500</v>
      </c>
      <c r="AF21" s="50">
        <f t="shared" si="16"/>
        <v>-337.25101899463357</v>
      </c>
      <c r="AH21" s="8"/>
      <c r="AI21" s="8"/>
      <c r="AJ21" s="43">
        <f t="shared" si="12"/>
        <v>0</v>
      </c>
      <c r="AL21" s="48"/>
    </row>
    <row r="22" spans="1:38" x14ac:dyDescent="0.3">
      <c r="A22" s="25" t="s">
        <v>73</v>
      </c>
      <c r="B22" s="25" t="s">
        <v>56</v>
      </c>
      <c r="C22" s="26">
        <f>'[6]Positions salariés nouv grille'!M30</f>
        <v>140000</v>
      </c>
      <c r="D22" s="54">
        <f t="shared" si="0"/>
        <v>5600</v>
      </c>
      <c r="E22" s="54">
        <f t="shared" si="1"/>
        <v>28392</v>
      </c>
      <c r="F22" s="54">
        <f t="shared" si="2"/>
        <v>107520</v>
      </c>
      <c r="G22" s="55">
        <v>9000</v>
      </c>
      <c r="H22" s="52">
        <v>3</v>
      </c>
      <c r="I22" s="56">
        <v>40000</v>
      </c>
      <c r="J22" s="56">
        <v>55000</v>
      </c>
      <c r="K22" s="56">
        <v>10000</v>
      </c>
      <c r="L22" s="57"/>
      <c r="M22" s="58">
        <f t="shared" si="3"/>
        <v>230400</v>
      </c>
      <c r="N22" s="58">
        <f t="shared" si="4"/>
        <v>351.24253571499349</v>
      </c>
      <c r="O22" s="58">
        <f t="shared" si="5"/>
        <v>249599.99999999921</v>
      </c>
      <c r="P22" s="58">
        <f t="shared" si="6"/>
        <v>380.51274702457511</v>
      </c>
      <c r="Q22" s="32">
        <f t="shared" si="7"/>
        <v>10500</v>
      </c>
      <c r="R22" s="32">
        <v>10000</v>
      </c>
      <c r="S22" s="33">
        <f t="shared" si="8"/>
        <v>274661.23076923075</v>
      </c>
      <c r="T22" s="59">
        <f t="shared" si="9"/>
        <v>418.71834703986809</v>
      </c>
      <c r="U22" s="59">
        <f t="shared" si="10"/>
        <v>297549.6666666657</v>
      </c>
      <c r="V22" s="59">
        <f t="shared" si="11"/>
        <v>453.61154262652229</v>
      </c>
      <c r="W22" s="36" t="s">
        <v>6</v>
      </c>
      <c r="X22" s="47">
        <v>33</v>
      </c>
      <c r="Y22" s="60">
        <f>F22*35%*X22/12</f>
        <v>103488</v>
      </c>
      <c r="Z22" s="49">
        <f>+Y22/655.957</f>
        <v>157.76643895865126</v>
      </c>
      <c r="AA22" s="62">
        <f>+V22+Z22/X22</f>
        <v>458.39234380708746</v>
      </c>
      <c r="AB22" s="63"/>
      <c r="AC22" s="41"/>
      <c r="AD22" s="42"/>
      <c r="AE22" s="41">
        <v>720</v>
      </c>
      <c r="AF22" s="50">
        <f t="shared" si="16"/>
        <v>266.38845737347771</v>
      </c>
      <c r="AH22" s="7">
        <f>AE22*34</f>
        <v>24480</v>
      </c>
      <c r="AI22" s="7">
        <f>AE22*33</f>
        <v>23760</v>
      </c>
      <c r="AJ22" s="43">
        <f t="shared" si="12"/>
        <v>720</v>
      </c>
      <c r="AL22" s="48"/>
    </row>
    <row r="23" spans="1:38" x14ac:dyDescent="0.3">
      <c r="A23" s="25" t="s">
        <v>74</v>
      </c>
      <c r="B23" s="25" t="s">
        <v>54</v>
      </c>
      <c r="C23" s="26">
        <f>'[6]Positions salariés nouv grille'!N30</f>
        <v>260000</v>
      </c>
      <c r="D23" s="54">
        <f t="shared" si="0"/>
        <v>10400</v>
      </c>
      <c r="E23" s="54">
        <f t="shared" si="1"/>
        <v>52728</v>
      </c>
      <c r="F23" s="54">
        <f t="shared" si="2"/>
        <v>199680</v>
      </c>
      <c r="G23" s="55">
        <v>20000</v>
      </c>
      <c r="H23" s="52" t="s">
        <v>3</v>
      </c>
      <c r="I23" s="56">
        <v>40000</v>
      </c>
      <c r="J23" s="56">
        <v>75000</v>
      </c>
      <c r="K23" s="56">
        <v>10000</v>
      </c>
      <c r="L23" s="57"/>
      <c r="M23" s="58">
        <f t="shared" si="3"/>
        <v>354600</v>
      </c>
      <c r="N23" s="58">
        <f t="shared" si="4"/>
        <v>540.58421512385723</v>
      </c>
      <c r="O23" s="58">
        <f t="shared" si="5"/>
        <v>384149.99999999878</v>
      </c>
      <c r="P23" s="58">
        <f t="shared" si="6"/>
        <v>585.6328997175101</v>
      </c>
      <c r="Q23" s="32">
        <f t="shared" si="7"/>
        <v>19500</v>
      </c>
      <c r="R23" s="32">
        <v>10000</v>
      </c>
      <c r="S23" s="33">
        <f t="shared" si="8"/>
        <v>447997.23076923075</v>
      </c>
      <c r="T23" s="59">
        <f t="shared" si="9"/>
        <v>682.96737555850575</v>
      </c>
      <c r="U23" s="59">
        <f t="shared" si="10"/>
        <v>485330.3333333318</v>
      </c>
      <c r="V23" s="59">
        <f t="shared" si="11"/>
        <v>739.88132352171226</v>
      </c>
      <c r="W23" s="36" t="s">
        <v>6</v>
      </c>
      <c r="X23" s="47">
        <v>33</v>
      </c>
      <c r="Y23" s="60">
        <f>F23*35%*X23/12</f>
        <v>192192</v>
      </c>
      <c r="Z23" s="49">
        <f>+Y23/655.957</f>
        <v>292.99481520892374</v>
      </c>
      <c r="AA23" s="62">
        <f>+V23+Z23/X23</f>
        <v>748.75995428561907</v>
      </c>
      <c r="AB23" s="63"/>
      <c r="AC23" s="41"/>
      <c r="AD23" s="42"/>
      <c r="AE23" s="41">
        <v>720</v>
      </c>
      <c r="AF23" s="42">
        <f t="shared" si="16"/>
        <v>-19.881323521712261</v>
      </c>
      <c r="AH23" s="7">
        <f>AE23*34</f>
        <v>24480</v>
      </c>
      <c r="AI23" s="7">
        <f>AE23*33</f>
        <v>23760</v>
      </c>
      <c r="AJ23" s="43">
        <f t="shared" si="12"/>
        <v>720</v>
      </c>
      <c r="AL23" s="48"/>
    </row>
    <row r="24" spans="1:38" x14ac:dyDescent="0.3">
      <c r="A24" s="25" t="s">
        <v>75</v>
      </c>
      <c r="B24" s="25" t="s">
        <v>68</v>
      </c>
      <c r="C24" s="26">
        <f>'[6]Positions salariés nouv grille'!K30</f>
        <v>95000</v>
      </c>
      <c r="D24" s="54">
        <f t="shared" si="0"/>
        <v>3800</v>
      </c>
      <c r="E24" s="54">
        <f t="shared" si="1"/>
        <v>19266</v>
      </c>
      <c r="F24" s="54">
        <f t="shared" si="2"/>
        <v>72960</v>
      </c>
      <c r="G24" s="55">
        <v>2000</v>
      </c>
      <c r="H24" s="52">
        <v>3</v>
      </c>
      <c r="I24" s="56">
        <v>40000</v>
      </c>
      <c r="J24" s="56">
        <v>55000</v>
      </c>
      <c r="K24" s="56">
        <v>10000</v>
      </c>
      <c r="L24" s="57"/>
      <c r="M24" s="58">
        <f t="shared" si="3"/>
        <v>194200</v>
      </c>
      <c r="N24" s="58">
        <f t="shared" si="4"/>
        <v>296.05599147505097</v>
      </c>
      <c r="O24" s="58">
        <f t="shared" si="5"/>
        <v>210383.33333333267</v>
      </c>
      <c r="P24" s="58">
        <f t="shared" si="6"/>
        <v>320.72732409797089</v>
      </c>
      <c r="Q24" s="32">
        <f t="shared" si="7"/>
        <v>7125</v>
      </c>
      <c r="R24" s="32">
        <v>10000</v>
      </c>
      <c r="S24" s="33">
        <f t="shared" si="8"/>
        <v>217160.23076923078</v>
      </c>
      <c r="T24" s="59">
        <f t="shared" si="9"/>
        <v>331.05863763818479</v>
      </c>
      <c r="U24" s="59">
        <f t="shared" si="10"/>
        <v>235256.91666666593</v>
      </c>
      <c r="V24" s="59">
        <f t="shared" si="11"/>
        <v>358.64685744136574</v>
      </c>
      <c r="W24" s="36"/>
      <c r="X24" s="47"/>
      <c r="Y24" s="60"/>
      <c r="Z24" s="49"/>
      <c r="AA24" s="62"/>
      <c r="AB24" s="63"/>
      <c r="AC24" s="41"/>
      <c r="AD24" s="42"/>
      <c r="AE24" s="64">
        <v>500</v>
      </c>
      <c r="AF24" s="50">
        <f t="shared" si="16"/>
        <v>141.35314255863426</v>
      </c>
      <c r="AH24" s="8"/>
      <c r="AI24" s="8"/>
      <c r="AJ24" s="43">
        <f t="shared" si="12"/>
        <v>0</v>
      </c>
      <c r="AL24" s="48"/>
    </row>
    <row r="25" spans="1:38" x14ac:dyDescent="0.3">
      <c r="A25" s="25" t="s">
        <v>76</v>
      </c>
      <c r="B25" s="25" t="s">
        <v>68</v>
      </c>
      <c r="C25" s="26">
        <f>'[6]Positions salariés nouv grille'!L30</f>
        <v>235000</v>
      </c>
      <c r="D25" s="54">
        <f t="shared" si="0"/>
        <v>9400</v>
      </c>
      <c r="E25" s="54">
        <f t="shared" si="1"/>
        <v>47658</v>
      </c>
      <c r="F25" s="54">
        <f t="shared" si="2"/>
        <v>180480</v>
      </c>
      <c r="G25" s="55">
        <v>9000</v>
      </c>
      <c r="H25" s="52" t="s">
        <v>3</v>
      </c>
      <c r="I25" s="56">
        <v>40000</v>
      </c>
      <c r="J25" s="56">
        <v>75000</v>
      </c>
      <c r="K25" s="56">
        <v>10000</v>
      </c>
      <c r="L25" s="57"/>
      <c r="M25" s="58">
        <f t="shared" si="3"/>
        <v>341600</v>
      </c>
      <c r="N25" s="58">
        <f t="shared" si="4"/>
        <v>520.76584288299387</v>
      </c>
      <c r="O25" s="58">
        <f t="shared" si="5"/>
        <v>370066.66666666552</v>
      </c>
      <c r="P25" s="58">
        <f t="shared" si="6"/>
        <v>564.16299645657489</v>
      </c>
      <c r="Q25" s="32">
        <f t="shared" si="7"/>
        <v>17625</v>
      </c>
      <c r="R25" s="32">
        <v>10000</v>
      </c>
      <c r="S25" s="33">
        <f t="shared" si="8"/>
        <v>416052.23076923075</v>
      </c>
      <c r="T25" s="59">
        <f t="shared" si="9"/>
        <v>634.26753700201505</v>
      </c>
      <c r="U25" s="59">
        <f t="shared" si="10"/>
        <v>450723.24999999854</v>
      </c>
      <c r="V25" s="59">
        <f t="shared" si="11"/>
        <v>687.12316508551407</v>
      </c>
      <c r="W25" s="36"/>
      <c r="X25" s="47"/>
      <c r="Z25" s="38"/>
      <c r="AA25" s="62"/>
      <c r="AB25" s="63"/>
      <c r="AC25" s="41"/>
      <c r="AD25" s="42"/>
      <c r="AE25" s="64">
        <v>500</v>
      </c>
      <c r="AF25" s="50">
        <f t="shared" si="16"/>
        <v>-187.12316508551407</v>
      </c>
      <c r="AH25" s="8"/>
      <c r="AI25" s="8"/>
      <c r="AJ25" s="43">
        <f t="shared" si="12"/>
        <v>0</v>
      </c>
      <c r="AL25" s="48"/>
    </row>
    <row r="26" spans="1:38" x14ac:dyDescent="0.3">
      <c r="A26" s="25" t="s">
        <v>77</v>
      </c>
      <c r="B26" s="25" t="s">
        <v>68</v>
      </c>
      <c r="C26" s="26">
        <f>'[6]Positions salariés nouv grille'!Q30</f>
        <v>170000</v>
      </c>
      <c r="D26" s="54">
        <f t="shared" si="0"/>
        <v>6800</v>
      </c>
      <c r="E26" s="54">
        <f t="shared" si="1"/>
        <v>34476</v>
      </c>
      <c r="F26" s="54">
        <f t="shared" si="2"/>
        <v>130560</v>
      </c>
      <c r="G26" s="55">
        <v>2000</v>
      </c>
      <c r="H26" s="52">
        <v>3</v>
      </c>
      <c r="I26" s="56">
        <v>40000</v>
      </c>
      <c r="J26" s="56">
        <v>55000</v>
      </c>
      <c r="K26" s="56">
        <v>10000</v>
      </c>
      <c r="L26" s="57"/>
      <c r="M26" s="58">
        <f t="shared" si="3"/>
        <v>266200</v>
      </c>
      <c r="N26" s="58">
        <f t="shared" si="4"/>
        <v>405.81928388598641</v>
      </c>
      <c r="O26" s="58">
        <f t="shared" si="5"/>
        <v>288383.33333333244</v>
      </c>
      <c r="P26" s="58">
        <f t="shared" si="6"/>
        <v>439.63755754315059</v>
      </c>
      <c r="Q26" s="32">
        <f t="shared" si="7"/>
        <v>12750</v>
      </c>
      <c r="R26" s="32">
        <v>10000</v>
      </c>
      <c r="S26" s="33">
        <f t="shared" si="8"/>
        <v>312995.23076923075</v>
      </c>
      <c r="T26" s="59">
        <f t="shared" si="9"/>
        <v>477.15815330765696</v>
      </c>
      <c r="U26" s="59">
        <f t="shared" si="10"/>
        <v>339078.16666666558</v>
      </c>
      <c r="V26" s="59">
        <f t="shared" si="11"/>
        <v>516.92133274996013</v>
      </c>
      <c r="W26" s="36" t="s">
        <v>6</v>
      </c>
      <c r="X26" s="47">
        <v>33</v>
      </c>
      <c r="Y26" s="60">
        <f>F26*35%*X26/12</f>
        <v>125664</v>
      </c>
      <c r="Z26" s="49">
        <f>+Y26/655.957</f>
        <v>191.57353302121939</v>
      </c>
      <c r="AA26" s="39">
        <f>+V26+Z26/X26</f>
        <v>522.72659132636068</v>
      </c>
      <c r="AB26" s="40"/>
      <c r="AC26" s="64"/>
      <c r="AD26" s="50"/>
      <c r="AE26" s="64">
        <v>500</v>
      </c>
      <c r="AF26" s="42">
        <f t="shared" si="16"/>
        <v>-16.921332749960129</v>
      </c>
      <c r="AH26" s="7">
        <f>AE26*36</f>
        <v>18000</v>
      </c>
      <c r="AI26" s="7">
        <f>AE26*33</f>
        <v>16500</v>
      </c>
      <c r="AJ26" s="43">
        <f t="shared" si="12"/>
        <v>1500</v>
      </c>
      <c r="AL26" s="48"/>
    </row>
    <row r="27" spans="1:38" x14ac:dyDescent="0.3">
      <c r="A27" s="25" t="s">
        <v>78</v>
      </c>
      <c r="B27" s="25" t="s">
        <v>68</v>
      </c>
      <c r="C27" s="26">
        <f>'[6]Positions salariés nouv grille'!R30</f>
        <v>350000</v>
      </c>
      <c r="D27" s="54">
        <f t="shared" si="0"/>
        <v>14000</v>
      </c>
      <c r="E27" s="54">
        <f t="shared" si="1"/>
        <v>70980</v>
      </c>
      <c r="F27" s="54">
        <f t="shared" si="2"/>
        <v>268800</v>
      </c>
      <c r="G27" s="55">
        <v>9000</v>
      </c>
      <c r="H27" s="52" t="s">
        <v>3</v>
      </c>
      <c r="I27" s="56">
        <v>40000</v>
      </c>
      <c r="J27" s="56">
        <v>75000</v>
      </c>
      <c r="K27" s="56">
        <v>10000</v>
      </c>
      <c r="L27" s="57"/>
      <c r="M27" s="58">
        <f t="shared" si="3"/>
        <v>452000</v>
      </c>
      <c r="N27" s="58">
        <f t="shared" si="4"/>
        <v>689.06955791309497</v>
      </c>
      <c r="O27" s="58">
        <f t="shared" si="5"/>
        <v>489666.66666666511</v>
      </c>
      <c r="P27" s="58">
        <f t="shared" si="6"/>
        <v>746.4920210725171</v>
      </c>
      <c r="Q27" s="32">
        <f t="shared" si="7"/>
        <v>26250</v>
      </c>
      <c r="R27" s="32">
        <v>10000</v>
      </c>
      <c r="S27" s="33">
        <f t="shared" si="8"/>
        <v>562999.23076923075</v>
      </c>
      <c r="T27" s="59">
        <f t="shared" si="9"/>
        <v>858.28679436187247</v>
      </c>
      <c r="U27" s="59">
        <f t="shared" si="10"/>
        <v>609915.83333333139</v>
      </c>
      <c r="V27" s="59">
        <f t="shared" si="11"/>
        <v>929.8106938920256</v>
      </c>
      <c r="W27" s="36" t="s">
        <v>6</v>
      </c>
      <c r="X27" s="65">
        <v>33</v>
      </c>
      <c r="Y27" s="66">
        <f>F27*35%*X27/12</f>
        <v>258720</v>
      </c>
      <c r="Z27" s="67">
        <f>+Y27/655.957</f>
        <v>394.41609739662812</v>
      </c>
      <c r="AA27" s="39">
        <f>+V27+Z27/X27</f>
        <v>941.76269684343856</v>
      </c>
      <c r="AB27" s="40"/>
      <c r="AC27" s="64"/>
      <c r="AD27" s="50"/>
      <c r="AE27" s="64">
        <v>500</v>
      </c>
      <c r="AF27" s="42">
        <f t="shared" si="16"/>
        <v>-429.8106938920256</v>
      </c>
      <c r="AH27" s="7">
        <f>AE27*36</f>
        <v>18000</v>
      </c>
      <c r="AI27" s="7">
        <f>AE27*33</f>
        <v>16500</v>
      </c>
      <c r="AJ27" s="43">
        <f t="shared" si="12"/>
        <v>1500</v>
      </c>
      <c r="AL27" s="48"/>
    </row>
    <row r="28" spans="1:38" s="1" customFormat="1" ht="15" thickBot="1" x14ac:dyDescent="0.35">
      <c r="A28" s="812" t="s">
        <v>79</v>
      </c>
      <c r="B28" s="813"/>
      <c r="C28" s="68" t="e">
        <f t="shared" ref="C28:AJ28" si="17">SUM(C6:C27)</f>
        <v>#REF!</v>
      </c>
      <c r="D28" s="68" t="e">
        <f t="shared" si="17"/>
        <v>#REF!</v>
      </c>
      <c r="E28" s="68" t="e">
        <f t="shared" si="17"/>
        <v>#REF!</v>
      </c>
      <c r="F28" s="68" t="e">
        <f t="shared" si="17"/>
        <v>#REF!</v>
      </c>
      <c r="G28" s="68">
        <f t="shared" si="17"/>
        <v>592329</v>
      </c>
      <c r="H28" s="68">
        <f t="shared" si="17"/>
        <v>46</v>
      </c>
      <c r="I28" s="68">
        <f t="shared" si="17"/>
        <v>880000</v>
      </c>
      <c r="J28" s="68">
        <f t="shared" si="17"/>
        <v>1455000</v>
      </c>
      <c r="K28" s="68">
        <f t="shared" si="17"/>
        <v>220000</v>
      </c>
      <c r="L28" s="68">
        <f t="shared" si="17"/>
        <v>40000</v>
      </c>
      <c r="M28" s="68" t="e">
        <f t="shared" si="17"/>
        <v>#REF!</v>
      </c>
      <c r="N28" s="68" t="e">
        <f t="shared" si="17"/>
        <v>#REF!</v>
      </c>
      <c r="O28" s="68" t="e">
        <f t="shared" si="17"/>
        <v>#REF!</v>
      </c>
      <c r="P28" s="68" t="e">
        <f t="shared" si="17"/>
        <v>#REF!</v>
      </c>
      <c r="Q28" s="68" t="e">
        <f t="shared" si="17"/>
        <v>#REF!</v>
      </c>
      <c r="R28" s="68">
        <f t="shared" si="17"/>
        <v>220000</v>
      </c>
      <c r="S28" s="68" t="e">
        <f t="shared" si="17"/>
        <v>#REF!</v>
      </c>
      <c r="T28" s="68" t="e">
        <f t="shared" si="17"/>
        <v>#REF!</v>
      </c>
      <c r="U28" s="68" t="e">
        <f t="shared" si="17"/>
        <v>#REF!</v>
      </c>
      <c r="V28" s="68" t="e">
        <f t="shared" si="17"/>
        <v>#REF!</v>
      </c>
      <c r="W28" s="68">
        <f t="shared" si="17"/>
        <v>0</v>
      </c>
      <c r="X28" s="68">
        <f t="shared" si="17"/>
        <v>231</v>
      </c>
      <c r="Y28" s="68">
        <f t="shared" si="17"/>
        <v>1404928</v>
      </c>
      <c r="Z28" s="68">
        <f t="shared" si="17"/>
        <v>2141.7989288932049</v>
      </c>
      <c r="AA28" s="68" t="e">
        <f t="shared" si="17"/>
        <v>#DIV/0!</v>
      </c>
      <c r="AB28" s="68">
        <f t="shared" si="17"/>
        <v>0</v>
      </c>
      <c r="AC28" s="68">
        <f t="shared" si="17"/>
        <v>2100</v>
      </c>
      <c r="AD28" s="68">
        <f t="shared" si="17"/>
        <v>314.39845396370549</v>
      </c>
      <c r="AE28" s="68">
        <f t="shared" si="17"/>
        <v>12895</v>
      </c>
      <c r="AF28" s="68" t="e">
        <f t="shared" si="17"/>
        <v>#REF!</v>
      </c>
      <c r="AG28" s="68">
        <f t="shared" si="17"/>
        <v>0</v>
      </c>
      <c r="AH28" s="68">
        <f t="shared" si="17"/>
        <v>340540</v>
      </c>
      <c r="AI28" s="68">
        <f t="shared" si="17"/>
        <v>328485</v>
      </c>
      <c r="AJ28" s="68">
        <f t="shared" si="17"/>
        <v>12055</v>
      </c>
      <c r="AL28" s="69"/>
    </row>
    <row r="29" spans="1:38" x14ac:dyDescent="0.3">
      <c r="A29" s="6"/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AA29" s="6"/>
      <c r="AB29" s="6"/>
      <c r="AC29" s="6"/>
      <c r="AD29" s="6"/>
    </row>
    <row r="30" spans="1:38" x14ac:dyDescent="0.3">
      <c r="A30" s="6"/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70"/>
      <c r="N30" s="70"/>
      <c r="O30" s="70">
        <f>+O23/655.957</f>
        <v>585.6328997175101</v>
      </c>
      <c r="P30" s="70"/>
      <c r="Q30" s="6"/>
      <c r="R30" s="6"/>
      <c r="S30" s="6"/>
      <c r="T30" s="71"/>
      <c r="U30" s="71"/>
      <c r="V30" s="71"/>
      <c r="AA30" s="71"/>
      <c r="AB30" s="71"/>
      <c r="AC30" s="71"/>
      <c r="AD30" s="71"/>
      <c r="AF30" s="3"/>
    </row>
    <row r="31" spans="1:38" x14ac:dyDescent="0.3">
      <c r="A31" s="6"/>
      <c r="B31" s="6"/>
      <c r="C31" s="72"/>
      <c r="D31" s="72"/>
      <c r="E31" s="72"/>
      <c r="F31" s="72"/>
      <c r="G31" s="6"/>
      <c r="H31" s="6"/>
      <c r="I31" s="6"/>
      <c r="J31" s="6"/>
      <c r="K31" s="6"/>
      <c r="L31" s="73"/>
      <c r="M31" s="73"/>
      <c r="N31" s="73"/>
      <c r="O31" s="73"/>
      <c r="P31" s="73"/>
      <c r="Q31" s="6"/>
      <c r="R31" s="6"/>
      <c r="S31" s="6"/>
      <c r="T31" s="6"/>
      <c r="U31" s="6"/>
      <c r="V31" s="6"/>
      <c r="AA31" s="6"/>
      <c r="AB31" s="6"/>
      <c r="AC31" s="6"/>
      <c r="AD31" s="6"/>
    </row>
    <row r="32" spans="1:38" x14ac:dyDescent="0.3">
      <c r="A32" s="6"/>
      <c r="B32" s="6"/>
      <c r="C32" s="814"/>
      <c r="D32" s="814"/>
      <c r="E32" s="814"/>
      <c r="F32" s="814"/>
      <c r="G32" s="6"/>
      <c r="H32" s="6"/>
      <c r="I32" s="5"/>
      <c r="J32" s="5"/>
      <c r="K32" s="5"/>
      <c r="L32" s="5"/>
      <c r="M32" s="5"/>
      <c r="N32" s="5"/>
      <c r="O32" s="5"/>
      <c r="P32" s="5"/>
      <c r="Q32" s="6"/>
      <c r="R32" s="6"/>
      <c r="S32" s="6"/>
      <c r="T32" s="6"/>
      <c r="U32" s="6"/>
      <c r="V32" s="6"/>
      <c r="AA32" s="6"/>
      <c r="AB32" s="6"/>
      <c r="AC32" s="6"/>
      <c r="AD32" s="6"/>
      <c r="AE32" s="2"/>
    </row>
    <row r="33" spans="1:30" x14ac:dyDescent="0.3">
      <c r="A33" s="6"/>
      <c r="B33" s="6"/>
      <c r="C33" s="74"/>
      <c r="D33" s="75"/>
      <c r="E33" s="75"/>
      <c r="F33" s="75"/>
      <c r="G33" s="6"/>
      <c r="H33" s="6"/>
      <c r="I33" s="6"/>
      <c r="J33" s="76"/>
      <c r="K33" s="76"/>
      <c r="L33" s="76"/>
      <c r="M33" s="76"/>
      <c r="N33" s="76"/>
      <c r="O33" s="76"/>
      <c r="P33" s="76"/>
      <c r="Q33" s="6"/>
      <c r="R33" s="6"/>
      <c r="S33" s="6"/>
      <c r="T33" s="6"/>
      <c r="U33" s="6"/>
      <c r="V33" s="6"/>
      <c r="AA33" s="6"/>
      <c r="AB33" s="6"/>
      <c r="AC33" s="6"/>
      <c r="AD33" s="6"/>
    </row>
    <row r="34" spans="1:30" x14ac:dyDescent="0.3">
      <c r="A34" s="6"/>
      <c r="B34" s="6"/>
      <c r="C34" s="74"/>
      <c r="D34" s="77"/>
      <c r="E34" s="77"/>
      <c r="F34" s="77"/>
      <c r="G34" s="6"/>
      <c r="H34" s="6"/>
      <c r="I34" s="6"/>
      <c r="J34" s="73"/>
      <c r="K34" s="73"/>
      <c r="L34" s="73"/>
      <c r="M34" s="73"/>
      <c r="N34" s="73"/>
      <c r="O34" s="73"/>
      <c r="P34" s="73"/>
      <c r="Q34" s="6"/>
      <c r="R34" s="6"/>
      <c r="S34" s="6"/>
      <c r="T34" s="6"/>
      <c r="U34" s="6"/>
      <c r="V34" s="6"/>
      <c r="AA34" s="6"/>
      <c r="AB34" s="6"/>
      <c r="AC34" s="6"/>
      <c r="AD34" s="6"/>
    </row>
    <row r="35" spans="1:30" x14ac:dyDescent="0.3">
      <c r="A35" s="6"/>
      <c r="B35" s="6"/>
      <c r="C35" s="74"/>
      <c r="D35" s="74"/>
      <c r="E35" s="77"/>
      <c r="F35" s="77"/>
      <c r="G35" s="6"/>
      <c r="H35" s="6"/>
      <c r="I35" s="6"/>
      <c r="J35" s="6"/>
      <c r="K35" s="6"/>
      <c r="L35" s="73"/>
      <c r="M35" s="73"/>
      <c r="N35" s="73"/>
      <c r="O35" s="73"/>
      <c r="P35" s="73"/>
      <c r="Q35" s="6"/>
      <c r="R35" s="6"/>
      <c r="S35" s="6"/>
      <c r="T35" s="6"/>
      <c r="U35" s="6"/>
      <c r="V35" s="6"/>
      <c r="AA35" s="6"/>
      <c r="AB35" s="6"/>
      <c r="AC35" s="6"/>
      <c r="AD35" s="6"/>
    </row>
    <row r="36" spans="1:30" x14ac:dyDescent="0.3">
      <c r="A36" s="6"/>
      <c r="B36" s="6"/>
      <c r="C36" s="74"/>
      <c r="D36" s="77"/>
      <c r="E36" s="74"/>
      <c r="F36" s="77"/>
      <c r="G36" s="6"/>
      <c r="H36" s="6"/>
      <c r="I36" s="6"/>
      <c r="J36" s="73"/>
      <c r="K36" s="73"/>
      <c r="L36" s="6"/>
      <c r="M36" s="73"/>
      <c r="N36" s="73"/>
      <c r="O36" s="73"/>
      <c r="P36" s="73"/>
      <c r="Q36" s="6"/>
      <c r="R36" s="6"/>
      <c r="S36" s="6"/>
      <c r="T36" s="6"/>
      <c r="U36" s="6"/>
      <c r="V36" s="6"/>
      <c r="AA36" s="6"/>
      <c r="AB36" s="6"/>
      <c r="AC36" s="6"/>
      <c r="AD36" s="6"/>
    </row>
    <row r="37" spans="1:30" x14ac:dyDescent="0.3">
      <c r="A37" s="6"/>
      <c r="B37" s="6"/>
      <c r="C37" s="74"/>
      <c r="D37" s="77"/>
      <c r="E37" s="74"/>
      <c r="F37" s="77"/>
      <c r="G37" s="6"/>
      <c r="H37" s="6"/>
      <c r="I37" s="6"/>
      <c r="J37" s="73"/>
      <c r="K37" s="73"/>
      <c r="L37" s="6"/>
      <c r="M37" s="73"/>
      <c r="N37" s="73"/>
      <c r="O37" s="73"/>
      <c r="P37" s="73"/>
      <c r="Q37" s="6"/>
      <c r="R37" s="6"/>
      <c r="S37" s="6"/>
      <c r="T37" s="6"/>
      <c r="U37" s="6"/>
      <c r="V37" s="6"/>
      <c r="AA37" s="6"/>
      <c r="AB37" s="6"/>
      <c r="AC37" s="6"/>
      <c r="AD37" s="6"/>
    </row>
    <row r="38" spans="1:30" x14ac:dyDescent="0.3">
      <c r="A38" s="6"/>
      <c r="B38" s="6"/>
      <c r="C38" s="78"/>
      <c r="D38" s="79"/>
      <c r="E38" s="79"/>
      <c r="F38" s="79"/>
      <c r="G38" s="6"/>
      <c r="H38" s="6"/>
      <c r="I38" s="5"/>
      <c r="J38" s="80"/>
      <c r="K38" s="80"/>
      <c r="L38" s="80"/>
      <c r="M38" s="80"/>
      <c r="N38" s="80"/>
      <c r="O38" s="80"/>
      <c r="P38" s="80"/>
      <c r="Q38" s="6"/>
      <c r="R38" s="6"/>
      <c r="S38" s="6"/>
      <c r="T38" s="6"/>
      <c r="U38" s="6"/>
      <c r="V38" s="6"/>
      <c r="AA38" s="6"/>
      <c r="AB38" s="6"/>
      <c r="AC38" s="6"/>
      <c r="AD38" s="6"/>
    </row>
    <row r="39" spans="1:30" x14ac:dyDescent="0.3">
      <c r="C39" s="81"/>
      <c r="D39" s="81"/>
      <c r="E39" s="81"/>
      <c r="F39" s="81"/>
    </row>
    <row r="40" spans="1:30" x14ac:dyDescent="0.3">
      <c r="C40" s="81"/>
      <c r="D40" s="81"/>
      <c r="E40" s="81"/>
      <c r="F40" s="81"/>
    </row>
  </sheetData>
  <mergeCells count="26">
    <mergeCell ref="AC3:AF3"/>
    <mergeCell ref="A4:A5"/>
    <mergeCell ref="B4:B5"/>
    <mergeCell ref="C4:C5"/>
    <mergeCell ref="D4:E4"/>
    <mergeCell ref="H4:H5"/>
    <mergeCell ref="I4:L4"/>
    <mergeCell ref="M4:M5"/>
    <mergeCell ref="N4:N5"/>
    <mergeCell ref="O4:P4"/>
    <mergeCell ref="AK4:AK5"/>
    <mergeCell ref="AL4:AL5"/>
    <mergeCell ref="A28:B28"/>
    <mergeCell ref="C32:F32"/>
    <mergeCell ref="AA4:AA5"/>
    <mergeCell ref="AC4:AD4"/>
    <mergeCell ref="AE4:AF4"/>
    <mergeCell ref="AH4:AH5"/>
    <mergeCell ref="AI4:AI5"/>
    <mergeCell ref="AJ4:AJ5"/>
    <mergeCell ref="R4:R5"/>
    <mergeCell ref="S4:T4"/>
    <mergeCell ref="U4:V4"/>
    <mergeCell ref="W4:W5"/>
    <mergeCell ref="X4:X5"/>
    <mergeCell ref="Y4:Z4"/>
  </mergeCells>
  <pageMargins left="0.31496062992125984" right="0.19" top="0.74803149606299213" bottom="0.74803149606299213" header="0.31496062992125984" footer="0.31496062992125984"/>
  <pageSetup paperSize="9" scale="7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4"/>
  <dimension ref="A1:O15"/>
  <sheetViews>
    <sheetView workbookViewId="0">
      <selection sqref="A1:O11"/>
    </sheetView>
  </sheetViews>
  <sheetFormatPr baseColWidth="10" defaultColWidth="11.44140625" defaultRowHeight="14.4" x14ac:dyDescent="0.3"/>
  <cols>
    <col min="1" max="1" width="29.5546875" customWidth="1"/>
    <col min="2" max="3" width="15.44140625" customWidth="1"/>
    <col min="4" max="4" width="16.21875" customWidth="1"/>
    <col min="5" max="5" width="14.21875" customWidth="1"/>
    <col min="6" max="6" width="14.5546875" customWidth="1"/>
    <col min="14" max="14" width="14.21875" customWidth="1"/>
    <col min="15" max="15" width="12.5546875" bestFit="1" customWidth="1"/>
  </cols>
  <sheetData>
    <row r="1" spans="1:15" x14ac:dyDescent="0.3">
      <c r="B1" s="309" t="s">
        <v>179</v>
      </c>
      <c r="C1" s="309" t="s">
        <v>180</v>
      </c>
      <c r="D1" s="309" t="s">
        <v>177</v>
      </c>
      <c r="E1" s="309" t="s">
        <v>178</v>
      </c>
    </row>
    <row r="3" spans="1:15" ht="15" thickBot="1" x14ac:dyDescent="0.35"/>
    <row r="4" spans="1:15" ht="42" thickBot="1" x14ac:dyDescent="0.35">
      <c r="A4" s="317"/>
      <c r="B4" s="318" t="s">
        <v>182</v>
      </c>
      <c r="C4" s="318" t="s">
        <v>183</v>
      </c>
      <c r="D4" s="318" t="s">
        <v>184</v>
      </c>
      <c r="E4" s="318" t="s">
        <v>185</v>
      </c>
      <c r="F4" s="318" t="s">
        <v>186</v>
      </c>
      <c r="G4" s="318" t="s">
        <v>187</v>
      </c>
      <c r="H4" s="318" t="s">
        <v>188</v>
      </c>
      <c r="I4" s="319" t="s">
        <v>189</v>
      </c>
      <c r="J4" s="320" t="s">
        <v>190</v>
      </c>
      <c r="K4" s="320">
        <v>3.75</v>
      </c>
      <c r="L4" s="318" t="s">
        <v>191</v>
      </c>
      <c r="M4" s="320" t="s">
        <v>192</v>
      </c>
      <c r="N4" s="324" t="s">
        <v>193</v>
      </c>
      <c r="O4" s="325" t="s">
        <v>194</v>
      </c>
    </row>
    <row r="5" spans="1:15" x14ac:dyDescent="0.3">
      <c r="A5" s="313" t="s">
        <v>169</v>
      </c>
      <c r="B5" s="314">
        <v>9508615.1999999993</v>
      </c>
      <c r="C5" s="314">
        <v>51373.212064153195</v>
      </c>
      <c r="D5" s="314">
        <f>B5-C5</f>
        <v>9457241.9879358467</v>
      </c>
      <c r="E5" s="321" t="e">
        <f>#REF!</f>
        <v>#REF!</v>
      </c>
      <c r="F5" s="314" t="e">
        <f>E5*24</f>
        <v>#REF!</v>
      </c>
      <c r="G5" s="314">
        <v>820534</v>
      </c>
      <c r="H5" s="314">
        <f>I5*35%*K4+L5+M5</f>
        <v>394575.02239999996</v>
      </c>
      <c r="I5" s="314">
        <v>248176</v>
      </c>
      <c r="J5" s="315"/>
      <c r="K5" s="315">
        <f>9/12</f>
        <v>0.75</v>
      </c>
      <c r="L5" s="316">
        <f>I5*20.24%</f>
        <v>50230.822399999997</v>
      </c>
      <c r="M5" s="316">
        <f>I5*7.5%</f>
        <v>18613.2</v>
      </c>
      <c r="N5" s="312" t="e">
        <f>F5+G5+H5</f>
        <v>#REF!</v>
      </c>
      <c r="O5" s="312" t="e">
        <f>D5-N5</f>
        <v>#REF!</v>
      </c>
    </row>
    <row r="6" spans="1:15" x14ac:dyDescent="0.3">
      <c r="A6" s="308" t="s">
        <v>170</v>
      </c>
      <c r="B6" s="310">
        <v>8604041</v>
      </c>
      <c r="C6" s="310">
        <v>0</v>
      </c>
      <c r="D6" s="310">
        <f t="shared" ref="D6:D11" si="0">B6-C6</f>
        <v>8604041</v>
      </c>
      <c r="E6" s="326">
        <v>397220</v>
      </c>
      <c r="F6" s="310">
        <f>E6*12</f>
        <v>4766640</v>
      </c>
      <c r="G6" s="310">
        <v>507365</v>
      </c>
      <c r="H6" s="310">
        <f>I6*35%*K4+L6+M6</f>
        <v>494656.04759999999</v>
      </c>
      <c r="I6" s="310">
        <v>311124</v>
      </c>
      <c r="J6" s="311"/>
      <c r="K6" s="311"/>
      <c r="L6" s="312">
        <f t="shared" ref="L6:L11" si="1">I6*20.24%</f>
        <v>62971.497600000002</v>
      </c>
      <c r="M6" s="312">
        <f t="shared" ref="M6:M11" si="2">I6*7.5%</f>
        <v>23334.3</v>
      </c>
      <c r="N6" s="312">
        <f t="shared" ref="N6:N11" si="3">F6+G6+H6</f>
        <v>5768661.0476000002</v>
      </c>
      <c r="O6" s="312">
        <f t="shared" ref="O6:O11" si="4">D6-N6</f>
        <v>2835379.9523999998</v>
      </c>
    </row>
    <row r="7" spans="1:15" x14ac:dyDescent="0.3">
      <c r="A7" s="308" t="s">
        <v>171</v>
      </c>
      <c r="B7" s="310">
        <v>9946089.4000000004</v>
      </c>
      <c r="C7" s="310">
        <v>84739.922642740421</v>
      </c>
      <c r="D7" s="310">
        <f t="shared" si="0"/>
        <v>9861349.4773572609</v>
      </c>
      <c r="E7" s="322" t="e">
        <f>#REF!</f>
        <v>#REF!</v>
      </c>
      <c r="F7" s="310" t="e">
        <f>E7*24</f>
        <v>#REF!</v>
      </c>
      <c r="G7" s="310">
        <v>564179</v>
      </c>
      <c r="H7" s="310">
        <f>I7*35%*K4+L7+M7</f>
        <v>270753.61040000001</v>
      </c>
      <c r="I7" s="310">
        <v>170296</v>
      </c>
      <c r="J7" s="311"/>
      <c r="K7" s="311"/>
      <c r="L7" s="312">
        <f t="shared" si="1"/>
        <v>34467.910400000001</v>
      </c>
      <c r="M7" s="312">
        <f t="shared" si="2"/>
        <v>12772.199999999999</v>
      </c>
      <c r="N7" s="312" t="e">
        <f t="shared" si="3"/>
        <v>#REF!</v>
      </c>
      <c r="O7" s="312" t="e">
        <f t="shared" si="4"/>
        <v>#REF!</v>
      </c>
    </row>
    <row r="8" spans="1:15" x14ac:dyDescent="0.3">
      <c r="A8" s="308" t="s">
        <v>172</v>
      </c>
      <c r="B8" s="310">
        <v>9293992</v>
      </c>
      <c r="C8" s="310">
        <v>205309.04014740139</v>
      </c>
      <c r="D8" s="310">
        <f t="shared" si="0"/>
        <v>9088682.9598525986</v>
      </c>
      <c r="E8" s="326" t="e">
        <f>#REF!</f>
        <v>#REF!</v>
      </c>
      <c r="F8" s="310" t="e">
        <f>E8*24</f>
        <v>#REF!</v>
      </c>
      <c r="G8" s="310">
        <v>1331238</v>
      </c>
      <c r="H8" s="310">
        <f>I8*35%*K4+L8+M8</f>
        <v>606799.64410000003</v>
      </c>
      <c r="I8" s="310">
        <v>381659</v>
      </c>
      <c r="J8" s="311"/>
      <c r="K8" s="311"/>
      <c r="L8" s="312">
        <f t="shared" si="1"/>
        <v>77247.781600000002</v>
      </c>
      <c r="M8" s="312">
        <f t="shared" si="2"/>
        <v>28624.424999999999</v>
      </c>
      <c r="N8" s="312" t="e">
        <f t="shared" si="3"/>
        <v>#REF!</v>
      </c>
      <c r="O8" s="312" t="e">
        <f>D8-N8</f>
        <v>#REF!</v>
      </c>
    </row>
    <row r="9" spans="1:15" x14ac:dyDescent="0.3">
      <c r="A9" s="308" t="s">
        <v>173</v>
      </c>
      <c r="B9" s="310">
        <v>16873792.199999999</v>
      </c>
      <c r="C9" s="310">
        <v>95697.590290522756</v>
      </c>
      <c r="D9" s="310">
        <f t="shared" si="0"/>
        <v>16778094.609709475</v>
      </c>
      <c r="E9" s="322" t="e">
        <f>#REF!</f>
        <v>#REF!</v>
      </c>
      <c r="F9" s="310" t="e">
        <f>E9*24</f>
        <v>#REF!</v>
      </c>
      <c r="G9" s="310">
        <v>920890</v>
      </c>
      <c r="H9" s="310">
        <f>I9*35%*K4+L9+M9</f>
        <v>443046.30369999993</v>
      </c>
      <c r="I9" s="310">
        <v>278663</v>
      </c>
      <c r="J9" s="311"/>
      <c r="K9" s="311"/>
      <c r="L9" s="312">
        <f t="shared" si="1"/>
        <v>56401.391199999998</v>
      </c>
      <c r="M9" s="312">
        <f t="shared" si="2"/>
        <v>20899.724999999999</v>
      </c>
      <c r="N9" s="312" t="e">
        <f t="shared" si="3"/>
        <v>#REF!</v>
      </c>
      <c r="O9" s="312" t="e">
        <f t="shared" si="4"/>
        <v>#REF!</v>
      </c>
    </row>
    <row r="10" spans="1:15" x14ac:dyDescent="0.3">
      <c r="A10" s="308" t="s">
        <v>174</v>
      </c>
      <c r="B10" s="310">
        <v>16873792.199999999</v>
      </c>
      <c r="C10" s="310">
        <v>63635.390290522861</v>
      </c>
      <c r="D10" s="310">
        <f t="shared" si="0"/>
        <v>16810156.809709478</v>
      </c>
      <c r="E10" s="322" t="e">
        <f>#REF!</f>
        <v>#REF!</v>
      </c>
      <c r="F10" s="310" t="e">
        <f>E10*24</f>
        <v>#REF!</v>
      </c>
      <c r="G10" s="310">
        <v>920890</v>
      </c>
      <c r="H10" s="310">
        <f>I10*35%*K4+L10+M10</f>
        <v>443046.30369999993</v>
      </c>
      <c r="I10" s="310">
        <v>278663</v>
      </c>
      <c r="J10" s="311"/>
      <c r="K10" s="311"/>
      <c r="L10" s="312">
        <f t="shared" si="1"/>
        <v>56401.391199999998</v>
      </c>
      <c r="M10" s="312">
        <f t="shared" si="2"/>
        <v>20899.724999999999</v>
      </c>
      <c r="N10" s="312" t="e">
        <f t="shared" si="3"/>
        <v>#REF!</v>
      </c>
      <c r="O10" s="312" t="e">
        <f t="shared" si="4"/>
        <v>#REF!</v>
      </c>
    </row>
    <row r="11" spans="1:15" x14ac:dyDescent="0.3">
      <c r="A11" s="308" t="s">
        <v>175</v>
      </c>
      <c r="B11" s="310">
        <v>24645483</v>
      </c>
      <c r="C11" s="310">
        <v>245717.67694740143</v>
      </c>
      <c r="D11" s="310">
        <f t="shared" si="0"/>
        <v>24399765.3230526</v>
      </c>
      <c r="E11" s="322" t="e">
        <f>#REF!</f>
        <v>#REF!</v>
      </c>
      <c r="F11" s="310" t="e">
        <f>E11*24</f>
        <v>#REF!</v>
      </c>
      <c r="G11" s="310">
        <v>1331238</v>
      </c>
      <c r="H11" s="310">
        <f>I11*35%*K4+L11+M11</f>
        <v>641246.41749999998</v>
      </c>
      <c r="I11" s="310">
        <v>403325</v>
      </c>
      <c r="J11" s="311"/>
      <c r="K11" s="311"/>
      <c r="L11" s="312">
        <f t="shared" si="1"/>
        <v>81632.98</v>
      </c>
      <c r="M11" s="312">
        <f t="shared" si="2"/>
        <v>30249.375</v>
      </c>
      <c r="N11" s="312" t="e">
        <f t="shared" si="3"/>
        <v>#REF!</v>
      </c>
      <c r="O11" s="312" t="e">
        <f t="shared" si="4"/>
        <v>#REF!</v>
      </c>
    </row>
    <row r="13" spans="1:15" x14ac:dyDescent="0.3">
      <c r="O13" s="3"/>
    </row>
    <row r="14" spans="1:15" x14ac:dyDescent="0.3">
      <c r="E14" s="323" t="e">
        <f>SUM(E5:E13)</f>
        <v>#REF!</v>
      </c>
    </row>
    <row r="15" spans="1:15" x14ac:dyDescent="0.3">
      <c r="O15" s="3"/>
    </row>
  </sheetData>
  <pageMargins left="0.7" right="0.7" top="0.75" bottom="0.75" header="0.3" footer="0.3"/>
  <pageSetup paperSize="9" orientation="portrait" horizontalDpi="4294967293" verticalDpi="4294967293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5">
    <tabColor rgb="FF92D050"/>
  </sheetPr>
  <dimension ref="A1:DV41"/>
  <sheetViews>
    <sheetView showGridLines="0" tabSelected="1" topLeftCell="A5" zoomScaleNormal="100" zoomScaleSheetLayoutView="80" workbookViewId="0">
      <pane xSplit="5" topLeftCell="F1" activePane="topRight" state="frozen"/>
      <selection pane="topRight" activeCell="M5" sqref="M5:M14"/>
    </sheetView>
  </sheetViews>
  <sheetFormatPr baseColWidth="10" defaultColWidth="11.5546875" defaultRowHeight="14.4" outlineLevelCol="1" x14ac:dyDescent="0.3"/>
  <cols>
    <col min="1" max="1" width="4.5546875" style="372" customWidth="1"/>
    <col min="2" max="2" width="12.109375" style="372" customWidth="1"/>
    <col min="3" max="3" width="21.77734375" style="477" customWidth="1"/>
    <col min="4" max="4" width="13.88671875" style="594" customWidth="1"/>
    <col min="5" max="5" width="15.109375" style="764" customWidth="1"/>
    <col min="6" max="6" width="16.77734375" style="484" customWidth="1"/>
    <col min="7" max="7" width="12.44140625" style="888" customWidth="1"/>
    <col min="8" max="8" width="14.6640625" style="603" customWidth="1"/>
    <col min="9" max="9" width="10.5546875" style="605" customWidth="1"/>
    <col min="10" max="10" width="15" style="605" customWidth="1"/>
    <col min="11" max="11" width="13.77734375" style="484" customWidth="1"/>
    <col min="12" max="15" width="14" style="332" customWidth="1"/>
    <col min="16" max="16" width="14.5546875" style="332" customWidth="1"/>
    <col min="17" max="17" width="7" style="327" customWidth="1"/>
    <col min="18" max="18" width="14.21875" style="327" customWidth="1"/>
    <col min="19" max="19" width="9.5546875" style="327" customWidth="1"/>
    <col min="20" max="20" width="2.5546875" style="327" customWidth="1"/>
    <col min="21" max="21" width="13.77734375" style="327" customWidth="1" outlineLevel="1"/>
    <col min="22" max="22" width="17" style="327" customWidth="1" outlineLevel="1"/>
    <col min="23" max="23" width="18.109375" style="327" customWidth="1" outlineLevel="1"/>
    <col min="24" max="24" width="13.77734375" style="327" customWidth="1" outlineLevel="1"/>
    <col min="25" max="25" width="15.77734375" style="327" customWidth="1" outlineLevel="1"/>
    <col min="26" max="26" width="13.44140625" style="327" customWidth="1" outlineLevel="1"/>
    <col min="27" max="27" width="15.21875" style="327" customWidth="1" outlineLevel="1"/>
    <col min="28" max="28" width="13.5546875" style="327" customWidth="1" outlineLevel="1"/>
    <col min="29" max="29" width="13.21875" style="327" customWidth="1" outlineLevel="1"/>
    <col min="30" max="30" width="11.77734375" style="327" customWidth="1" outlineLevel="1"/>
    <col min="31" max="31" width="10.77734375" style="327" customWidth="1" outlineLevel="1"/>
    <col min="32" max="33" width="16.21875" style="327" customWidth="1" outlineLevel="1"/>
    <col min="34" max="34" width="17.44140625" style="327" customWidth="1" outlineLevel="1"/>
    <col min="35" max="35" width="14" style="327" customWidth="1" outlineLevel="1"/>
    <col min="36" max="36" width="11.88671875" style="327" customWidth="1" outlineLevel="1"/>
    <col min="37" max="37" width="13.21875" style="327" customWidth="1" outlineLevel="1"/>
    <col min="38" max="38" width="16.44140625" style="327" customWidth="1" outlineLevel="1"/>
    <col min="39" max="39" width="0.77734375" style="327" customWidth="1"/>
    <col min="40" max="40" width="14.44140625" style="327" customWidth="1"/>
    <col min="41" max="41" width="10.77734375" style="327" customWidth="1"/>
    <col min="42" max="42" width="3.5546875" style="327" customWidth="1"/>
    <col min="43" max="43" width="17" style="327" customWidth="1"/>
    <col min="44" max="44" width="6.77734375" style="327" customWidth="1"/>
    <col min="45" max="45" width="14.77734375" style="331" customWidth="1" outlineLevel="1"/>
    <col min="46" max="46" width="15.88671875" style="331" customWidth="1" outlineLevel="1"/>
    <col min="47" max="47" width="12.33203125" style="331" customWidth="1" outlineLevel="1"/>
    <col min="48" max="48" width="15.33203125" style="331" customWidth="1" outlineLevel="1"/>
    <col min="49" max="49" width="14" style="331" customWidth="1" outlineLevel="1"/>
    <col min="50" max="50" width="14.88671875" style="331" customWidth="1" outlineLevel="1"/>
    <col min="51" max="51" width="14.44140625" style="331" customWidth="1" outlineLevel="1"/>
    <col min="52" max="52" width="15.77734375" style="331" customWidth="1" outlineLevel="1"/>
    <col min="53" max="53" width="14.77734375" style="331" customWidth="1"/>
    <col min="54" max="54" width="4.109375" style="327" customWidth="1"/>
    <col min="55" max="55" width="14.5546875" style="330" customWidth="1"/>
    <col min="56" max="56" width="12.21875" style="327" customWidth="1"/>
    <col min="57" max="57" width="3.21875" style="327" customWidth="1"/>
    <col min="58" max="58" width="8" style="603" customWidth="1"/>
    <col min="59" max="59" width="2.88671875" style="327" customWidth="1"/>
    <col min="60" max="60" width="12" style="327" customWidth="1"/>
    <col min="61" max="61" width="15.77734375" style="327" customWidth="1"/>
    <col min="62" max="62" width="12.5546875" style="327" customWidth="1"/>
    <col min="63" max="63" width="14.5546875" style="327" customWidth="1"/>
    <col min="64" max="64" width="11.88671875" style="327" customWidth="1"/>
    <col min="65" max="65" width="2.21875" style="327" customWidth="1"/>
    <col min="66" max="66" width="14.77734375" style="327" customWidth="1"/>
    <col min="67" max="67" width="12.21875" style="327" customWidth="1"/>
    <col min="68" max="68" width="13.77734375" style="327" customWidth="1"/>
    <col min="69" max="69" width="14.44140625" style="327" customWidth="1"/>
    <col min="70" max="70" width="12.88671875" style="327" customWidth="1"/>
    <col min="71" max="71" width="3.88671875" style="327" customWidth="1"/>
    <col min="72" max="72" width="12.88671875" style="327" customWidth="1"/>
    <col min="73" max="73" width="9.109375" style="327" customWidth="1"/>
    <col min="74" max="74" width="11" style="331" customWidth="1"/>
    <col min="75" max="75" width="4" style="327" customWidth="1"/>
    <col min="76" max="77" width="12.21875" style="484" customWidth="1"/>
    <col min="78" max="78" width="2.77734375" style="327" customWidth="1"/>
    <col min="79" max="79" width="14.77734375" style="327" customWidth="1"/>
    <col min="80" max="80" width="13" style="327" customWidth="1"/>
    <col min="81" max="81" width="11.44140625" style="327" customWidth="1"/>
    <col min="82" max="82" width="7.5546875" style="327" customWidth="1"/>
    <col min="83" max="83" width="3.6640625" style="327" customWidth="1"/>
    <col min="84" max="84" width="10.5546875" style="331" customWidth="1"/>
    <col min="85" max="85" width="6.77734375" style="331" customWidth="1"/>
    <col min="86" max="86" width="3.109375" style="327" customWidth="1"/>
    <col min="87" max="87" width="15.21875" style="327" customWidth="1"/>
    <col min="88" max="88" width="12.21875" style="327" customWidth="1"/>
    <col min="89" max="89" width="3.77734375" style="327" customWidth="1"/>
    <col min="90" max="90" width="12.77734375" style="327" customWidth="1"/>
    <col min="91" max="91" width="9.5546875" style="327" customWidth="1"/>
    <col min="92" max="92" width="2.21875" style="327" customWidth="1"/>
    <col min="93" max="93" width="14.21875" style="327" customWidth="1"/>
    <col min="94" max="94" width="10.77734375" style="327" customWidth="1"/>
    <col min="95" max="95" width="2.21875" style="327" customWidth="1"/>
    <col min="96" max="96" width="9.21875" style="327" customWidth="1"/>
    <col min="97" max="97" width="11.21875" style="327" customWidth="1"/>
    <col min="98" max="98" width="2.21875" style="327" customWidth="1"/>
    <col min="99" max="99" width="10.77734375" style="327" customWidth="1"/>
    <col min="100" max="100" width="12.21875" style="327" customWidth="1"/>
    <col min="101" max="101" width="1.44140625" style="327" customWidth="1"/>
    <col min="102" max="102" width="7.77734375" style="327" customWidth="1"/>
    <col min="103" max="103" width="12.21875" style="327" customWidth="1"/>
    <col min="104" max="104" width="1.44140625" style="327" customWidth="1"/>
    <col min="105" max="105" width="7.5546875" style="327" customWidth="1"/>
    <col min="106" max="106" width="11.77734375" style="327" customWidth="1"/>
    <col min="107" max="107" width="1.44140625" style="327" customWidth="1"/>
    <col min="108" max="108" width="9.44140625" style="327" customWidth="1"/>
    <col min="109" max="109" width="9.77734375" style="327" customWidth="1"/>
    <col min="110" max="110" width="1.44140625" style="327" customWidth="1"/>
    <col min="111" max="111" width="6.77734375" style="327" customWidth="1"/>
    <col min="112" max="112" width="10.21875" style="327" customWidth="1"/>
    <col min="113" max="113" width="1.44140625" style="327" customWidth="1"/>
    <col min="114" max="115" width="10.21875" style="327" customWidth="1"/>
    <col min="116" max="116" width="1.44140625" style="327" customWidth="1"/>
    <col min="117" max="117" width="7.44140625" style="327" customWidth="1"/>
    <col min="118" max="118" width="9" style="327" customWidth="1"/>
    <col min="119" max="119" width="1.44140625" style="327" customWidth="1"/>
    <col min="120" max="120" width="7.44140625" style="327" customWidth="1"/>
    <col min="121" max="121" width="9" style="327" customWidth="1"/>
    <col min="122" max="122" width="1.44140625" style="327" customWidth="1"/>
    <col min="123" max="123" width="7.44140625" style="327" customWidth="1"/>
    <col min="124" max="124" width="9" style="327" customWidth="1"/>
    <col min="125" max="125" width="1.44140625" style="327" customWidth="1"/>
    <col min="126" max="126" width="7.44140625" style="327" customWidth="1"/>
    <col min="127" max="127" width="1.5546875" style="327" customWidth="1"/>
    <col min="128" max="128" width="6.77734375" style="327" customWidth="1"/>
    <col min="129" max="129" width="9.5546875" style="327" customWidth="1"/>
    <col min="130" max="130" width="3.44140625" style="327" customWidth="1"/>
    <col min="131" max="131" width="7.5546875" style="327" customWidth="1"/>
    <col min="132" max="16384" width="11.5546875" style="327"/>
  </cols>
  <sheetData>
    <row r="1" spans="1:95" ht="60.75" customHeight="1" x14ac:dyDescent="0.3">
      <c r="C1" s="328"/>
      <c r="D1" s="884"/>
      <c r="E1" s="884"/>
      <c r="F1" s="328"/>
      <c r="G1" s="887"/>
      <c r="H1" s="593" t="s">
        <v>289</v>
      </c>
      <c r="I1" s="602"/>
      <c r="J1" s="593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  <c r="AF1" s="328"/>
      <c r="AG1" s="328"/>
      <c r="AH1" s="328"/>
      <c r="AI1" s="328"/>
      <c r="AJ1" s="328"/>
      <c r="AK1" s="328"/>
      <c r="AL1" s="328"/>
      <c r="AM1" s="328"/>
      <c r="AN1" s="328"/>
      <c r="AO1" s="328"/>
      <c r="AP1" s="328"/>
      <c r="AQ1" s="328"/>
      <c r="AR1" s="328"/>
      <c r="AS1" s="328"/>
      <c r="AT1" s="328"/>
      <c r="AU1" s="328"/>
      <c r="AV1" s="328"/>
      <c r="AW1" s="328"/>
      <c r="AX1" s="328"/>
      <c r="AY1" s="328"/>
      <c r="AZ1" s="328"/>
      <c r="BA1" s="328"/>
      <c r="BB1" s="328"/>
      <c r="BC1" s="329"/>
      <c r="BD1" s="328"/>
      <c r="BE1" s="328"/>
      <c r="BF1" s="593"/>
      <c r="BG1" s="328"/>
      <c r="BH1" s="328"/>
      <c r="BI1" s="328"/>
      <c r="BJ1" s="328"/>
      <c r="BK1" s="328"/>
      <c r="BL1" s="328"/>
      <c r="BM1" s="328"/>
      <c r="BN1" s="328"/>
      <c r="BO1" s="328"/>
      <c r="BP1" s="328"/>
      <c r="BQ1" s="328"/>
      <c r="BR1" s="328"/>
      <c r="BS1" s="328"/>
      <c r="BT1" s="328"/>
      <c r="BU1" s="328"/>
      <c r="BV1" s="328"/>
      <c r="BW1" s="328"/>
      <c r="BX1" s="328"/>
      <c r="BY1" s="328"/>
      <c r="BZ1" s="328"/>
      <c r="CA1" s="328"/>
      <c r="CB1" s="328"/>
      <c r="CC1" s="328"/>
      <c r="CD1" s="328"/>
      <c r="CE1" s="328"/>
      <c r="CF1" s="328"/>
      <c r="CG1" s="328"/>
      <c r="CH1" s="328"/>
      <c r="CI1" s="328"/>
      <c r="CJ1" s="328"/>
      <c r="CK1" s="328"/>
      <c r="CL1" s="328"/>
      <c r="CM1" s="328"/>
      <c r="CN1" s="328"/>
      <c r="CO1" s="328"/>
      <c r="CP1" s="328"/>
      <c r="CQ1" s="328"/>
    </row>
    <row r="2" spans="1:95" ht="11.55" customHeight="1" thickBot="1" x14ac:dyDescent="0.35">
      <c r="M2" s="753"/>
      <c r="Q2" s="332"/>
      <c r="R2" s="332"/>
      <c r="S2" s="332"/>
      <c r="AV2" s="506"/>
      <c r="BN2" s="327">
        <f>5000/26</f>
        <v>192.30769230769232</v>
      </c>
    </row>
    <row r="3" spans="1:95" s="330" customFormat="1" ht="27" customHeight="1" thickBot="1" x14ac:dyDescent="0.35">
      <c r="A3" s="477"/>
      <c r="B3" s="489"/>
      <c r="C3" s="489"/>
      <c r="D3" s="595"/>
      <c r="E3" s="765"/>
      <c r="F3" s="333"/>
      <c r="G3" s="889"/>
      <c r="H3" s="603"/>
      <c r="I3" s="885">
        <v>45688</v>
      </c>
      <c r="J3" s="599"/>
      <c r="K3" s="883"/>
      <c r="L3" s="487"/>
      <c r="M3" s="772"/>
      <c r="N3" s="487"/>
      <c r="O3" s="487"/>
      <c r="P3" s="487"/>
      <c r="Q3" s="333"/>
      <c r="R3" s="843" t="s">
        <v>150</v>
      </c>
      <c r="S3" s="844"/>
      <c r="T3" s="334"/>
      <c r="U3" s="852" t="s">
        <v>134</v>
      </c>
      <c r="V3" s="853"/>
      <c r="W3" s="853"/>
      <c r="X3" s="853"/>
      <c r="Y3" s="853"/>
      <c r="Z3" s="853"/>
      <c r="AA3" s="853"/>
      <c r="AB3" s="853"/>
      <c r="AC3" s="853"/>
      <c r="AD3" s="853"/>
      <c r="AE3" s="853"/>
      <c r="AF3" s="853"/>
      <c r="AG3" s="853"/>
      <c r="AH3" s="853"/>
      <c r="AI3" s="853"/>
      <c r="AJ3" s="853"/>
      <c r="AK3" s="853"/>
      <c r="AL3" s="854"/>
      <c r="AM3" s="335"/>
      <c r="AN3" s="848" t="s">
        <v>132</v>
      </c>
      <c r="AO3" s="849"/>
      <c r="AP3" s="335"/>
      <c r="AQ3" s="500" t="s">
        <v>195</v>
      </c>
      <c r="AR3" s="336"/>
      <c r="AS3" s="845" t="s">
        <v>130</v>
      </c>
      <c r="AT3" s="846"/>
      <c r="AU3" s="846"/>
      <c r="AV3" s="846"/>
      <c r="AW3" s="846"/>
      <c r="AX3" s="846"/>
      <c r="AY3" s="846"/>
      <c r="AZ3" s="846"/>
      <c r="BA3" s="847"/>
      <c r="BB3" s="335"/>
      <c r="BC3" s="859" t="s">
        <v>90</v>
      </c>
      <c r="BD3" s="860"/>
      <c r="BE3" s="333"/>
      <c r="BF3" s="613"/>
      <c r="BG3" s="335"/>
      <c r="BH3" s="868" t="s">
        <v>202</v>
      </c>
      <c r="BI3" s="869"/>
      <c r="BJ3" s="869"/>
      <c r="BK3" s="869"/>
      <c r="BL3" s="870"/>
      <c r="BM3" s="335"/>
      <c r="BN3" s="843" t="s">
        <v>136</v>
      </c>
      <c r="BO3" s="861"/>
      <c r="BP3" s="861"/>
      <c r="BQ3" s="861"/>
      <c r="BR3" s="844"/>
      <c r="BS3" s="335"/>
      <c r="BT3" s="335"/>
      <c r="BU3" s="335"/>
      <c r="BV3" s="331"/>
      <c r="BW3" s="335"/>
      <c r="BX3" s="862" t="s">
        <v>92</v>
      </c>
      <c r="BY3" s="863"/>
      <c r="BZ3" s="335"/>
      <c r="CA3" s="864" t="s">
        <v>93</v>
      </c>
      <c r="CB3" s="865"/>
      <c r="CC3" s="866" t="s">
        <v>94</v>
      </c>
      <c r="CD3" s="867"/>
      <c r="CE3" s="337"/>
      <c r="CF3" s="855" t="s">
        <v>95</v>
      </c>
      <c r="CG3" s="856"/>
      <c r="CH3" s="335"/>
      <c r="CI3" s="857" t="s">
        <v>143</v>
      </c>
      <c r="CJ3" s="858"/>
      <c r="CK3" s="338"/>
      <c r="CL3" s="848" t="s">
        <v>125</v>
      </c>
      <c r="CM3" s="849"/>
      <c r="CN3" s="339"/>
      <c r="CO3" s="850" t="s">
        <v>126</v>
      </c>
      <c r="CP3" s="851"/>
      <c r="CQ3" s="336"/>
    </row>
    <row r="4" spans="1:95" s="560" customFormat="1" ht="49.5" customHeight="1" thickBot="1" x14ac:dyDescent="0.35">
      <c r="A4" s="546" t="s">
        <v>249</v>
      </c>
      <c r="B4" s="546" t="s">
        <v>315</v>
      </c>
      <c r="C4" s="617" t="s">
        <v>88</v>
      </c>
      <c r="D4" s="548" t="s">
        <v>159</v>
      </c>
      <c r="E4" s="545" t="s">
        <v>254</v>
      </c>
      <c r="F4" s="546" t="s">
        <v>4</v>
      </c>
      <c r="G4" s="890" t="s">
        <v>144</v>
      </c>
      <c r="H4" s="546" t="s">
        <v>168</v>
      </c>
      <c r="I4" s="546" t="s">
        <v>253</v>
      </c>
      <c r="J4" s="546" t="s">
        <v>311</v>
      </c>
      <c r="K4" s="549" t="s">
        <v>24</v>
      </c>
      <c r="L4" s="550" t="s">
        <v>147</v>
      </c>
      <c r="M4" s="773" t="s">
        <v>270</v>
      </c>
      <c r="N4" s="550" t="s">
        <v>310</v>
      </c>
      <c r="O4" s="550" t="s">
        <v>312</v>
      </c>
      <c r="P4" s="551" t="s">
        <v>146</v>
      </c>
      <c r="Q4" s="552" t="s">
        <v>269</v>
      </c>
      <c r="R4" s="547" t="s">
        <v>255</v>
      </c>
      <c r="S4" s="553" t="s">
        <v>224</v>
      </c>
      <c r="T4" s="554" t="s">
        <v>208</v>
      </c>
      <c r="U4" s="555" t="s">
        <v>330</v>
      </c>
      <c r="V4" s="556" t="s">
        <v>320</v>
      </c>
      <c r="W4" s="747" t="s">
        <v>336</v>
      </c>
      <c r="X4" s="557" t="s">
        <v>335</v>
      </c>
      <c r="Y4" s="558" t="s">
        <v>256</v>
      </c>
      <c r="Z4" s="748" t="s">
        <v>338</v>
      </c>
      <c r="AA4" s="558" t="s">
        <v>257</v>
      </c>
      <c r="AB4" s="558" t="s">
        <v>258</v>
      </c>
      <c r="AC4" s="558" t="s">
        <v>265</v>
      </c>
      <c r="AD4" s="558" t="s">
        <v>259</v>
      </c>
      <c r="AE4" s="558" t="s">
        <v>260</v>
      </c>
      <c r="AF4" s="558" t="s">
        <v>261</v>
      </c>
      <c r="AG4" s="558" t="s">
        <v>321</v>
      </c>
      <c r="AH4" s="558" t="s">
        <v>322</v>
      </c>
      <c r="AI4" s="559" t="s">
        <v>262</v>
      </c>
      <c r="AJ4" s="559" t="s">
        <v>263</v>
      </c>
      <c r="AK4" s="559" t="s">
        <v>93</v>
      </c>
      <c r="AL4" s="559" t="s">
        <v>264</v>
      </c>
      <c r="AM4" s="560" t="s">
        <v>209</v>
      </c>
      <c r="AN4" s="547" t="s">
        <v>223</v>
      </c>
      <c r="AO4" s="561" t="s">
        <v>251</v>
      </c>
      <c r="AP4" s="560" t="s">
        <v>210</v>
      </c>
      <c r="AQ4" s="562" t="s">
        <v>225</v>
      </c>
      <c r="AR4" s="563" t="s">
        <v>211</v>
      </c>
      <c r="AS4" s="564" t="s">
        <v>226</v>
      </c>
      <c r="AT4" s="565" t="s">
        <v>227</v>
      </c>
      <c r="AU4" s="565" t="s">
        <v>228</v>
      </c>
      <c r="AV4" s="565" t="s">
        <v>272</v>
      </c>
      <c r="AW4" s="565" t="s">
        <v>273</v>
      </c>
      <c r="AX4" s="566" t="s">
        <v>229</v>
      </c>
      <c r="AY4" s="567" t="s">
        <v>230</v>
      </c>
      <c r="AZ4" s="568" t="s">
        <v>231</v>
      </c>
      <c r="BA4" s="569" t="s">
        <v>145</v>
      </c>
      <c r="BB4" s="560" t="s">
        <v>212</v>
      </c>
      <c r="BC4" s="547" t="s">
        <v>232</v>
      </c>
      <c r="BD4" s="553" t="s">
        <v>233</v>
      </c>
      <c r="BE4" s="560" t="s">
        <v>213</v>
      </c>
      <c r="BF4" s="570" t="s">
        <v>91</v>
      </c>
      <c r="BG4" s="560" t="s">
        <v>214</v>
      </c>
      <c r="BH4" s="571" t="s">
        <v>203</v>
      </c>
      <c r="BI4" s="572" t="s">
        <v>234</v>
      </c>
      <c r="BJ4" s="573" t="s">
        <v>117</v>
      </c>
      <c r="BK4" s="562" t="s">
        <v>271</v>
      </c>
      <c r="BL4" s="574" t="s">
        <v>176</v>
      </c>
      <c r="BM4" s="560" t="s">
        <v>215</v>
      </c>
      <c r="BN4" s="575" t="s">
        <v>323</v>
      </c>
      <c r="BO4" s="551" t="s">
        <v>324</v>
      </c>
      <c r="BP4" s="576" t="s">
        <v>325</v>
      </c>
      <c r="BQ4" s="576" t="s">
        <v>235</v>
      </c>
      <c r="BR4" s="577" t="s">
        <v>236</v>
      </c>
      <c r="BS4" s="560" t="s">
        <v>216</v>
      </c>
      <c r="BT4" s="578" t="s">
        <v>326</v>
      </c>
      <c r="BU4" s="578" t="s">
        <v>327</v>
      </c>
      <c r="BV4" s="578" t="s">
        <v>328</v>
      </c>
      <c r="BW4" s="560" t="s">
        <v>217</v>
      </c>
      <c r="BX4" s="588" t="s">
        <v>266</v>
      </c>
      <c r="BY4" s="589" t="s">
        <v>267</v>
      </c>
      <c r="BZ4" s="560" t="s">
        <v>218</v>
      </c>
      <c r="CA4" s="575" t="s">
        <v>237</v>
      </c>
      <c r="CB4" s="577" t="s">
        <v>238</v>
      </c>
      <c r="CC4" s="579" t="s">
        <v>239</v>
      </c>
      <c r="CD4" s="580" t="s">
        <v>240</v>
      </c>
      <c r="CE4" s="581" t="s">
        <v>219</v>
      </c>
      <c r="CF4" s="582" t="s">
        <v>241</v>
      </c>
      <c r="CG4" s="583" t="s">
        <v>242</v>
      </c>
      <c r="CH4" s="560" t="s">
        <v>220</v>
      </c>
      <c r="CI4" s="584" t="s">
        <v>243</v>
      </c>
      <c r="CJ4" s="585" t="s">
        <v>244</v>
      </c>
      <c r="CK4" s="560" t="s">
        <v>221</v>
      </c>
      <c r="CL4" s="547" t="s">
        <v>245</v>
      </c>
      <c r="CM4" s="553" t="s">
        <v>246</v>
      </c>
      <c r="CN4" s="560" t="s">
        <v>222</v>
      </c>
      <c r="CO4" s="586" t="s">
        <v>247</v>
      </c>
      <c r="CP4" s="587" t="s">
        <v>248</v>
      </c>
      <c r="CQ4" s="563"/>
    </row>
    <row r="5" spans="1:95" s="367" customFormat="1" ht="30" customHeight="1" thickBot="1" x14ac:dyDescent="0.35">
      <c r="A5" s="544">
        <f>ROW()-ROW(T_PAYROLL[[#Headers],[N°]])</f>
        <v>1</v>
      </c>
      <c r="B5" s="625" t="s">
        <v>317</v>
      </c>
      <c r="C5" s="592" t="s">
        <v>300</v>
      </c>
      <c r="D5" s="596" t="s">
        <v>279</v>
      </c>
      <c r="E5" s="766" t="s">
        <v>274</v>
      </c>
      <c r="F5" s="759" t="s">
        <v>290</v>
      </c>
      <c r="G5" s="886">
        <v>44956</v>
      </c>
      <c r="H5" s="755" t="s">
        <v>268</v>
      </c>
      <c r="I5" s="606">
        <v>1</v>
      </c>
      <c r="J5" s="606">
        <v>0</v>
      </c>
      <c r="K5" s="501" t="s">
        <v>5</v>
      </c>
      <c r="L5" s="540"/>
      <c r="M5" s="882">
        <f>IF(T_PAYROLL[[#This Row],[Date d''entrée]]="","",DATEDIF(T_PAYROLL[[#This Row],[Date d''entrée]],$I$3,"Y"))</f>
        <v>2</v>
      </c>
      <c r="N5" s="719"/>
      <c r="O5" s="540"/>
      <c r="P5" s="502">
        <v>1</v>
      </c>
      <c r="Q5" s="441"/>
      <c r="R5" s="503">
        <v>500000</v>
      </c>
      <c r="S5" s="503">
        <f t="shared" ref="S5:S14" si="0">R5/655.957</f>
        <v>762.24508618705192</v>
      </c>
      <c r="T5" s="443"/>
      <c r="U5" s="527"/>
      <c r="V5" s="527"/>
      <c r="W5" s="754">
        <f>R5*(2%+(M5-1)*1%)</f>
        <v>15000</v>
      </c>
      <c r="X5" s="527"/>
      <c r="Y5" s="527"/>
      <c r="Z5" s="527"/>
      <c r="AA5" s="527"/>
      <c r="AB5" s="527"/>
      <c r="AC5" s="527"/>
      <c r="AD5" s="527"/>
      <c r="AE5" s="527"/>
      <c r="AF5" s="527"/>
      <c r="AG5" s="527"/>
      <c r="AH5" s="527"/>
      <c r="AI5" s="527"/>
      <c r="AJ5" s="527"/>
      <c r="AK5" s="527"/>
      <c r="AL5" s="527"/>
      <c r="AM5" s="445"/>
      <c r="AN5" s="446">
        <f>SUM(T_PAYROLL[[#This Row],[SB FCFA]],T_PAYROLL[[#This Row],[Prime d encouragement]:[Regularisation]])*T_PAYROLL[[#This Row],[Temps de travail]]</f>
        <v>515000</v>
      </c>
      <c r="AO5" s="447">
        <f t="shared" ref="AO5:AO14" si="1">AN5/655.957</f>
        <v>785.1124387726635</v>
      </c>
      <c r="AP5" s="448"/>
      <c r="AQ5" s="416">
        <f t="shared" ref="AQ5:AQ14" si="2">IF(AN5&gt;1200000,48000,AN5*0.04)</f>
        <v>20600</v>
      </c>
      <c r="AR5" s="515"/>
      <c r="AS5" s="505">
        <f t="shared" ref="AS5:AS14" si="3">IF(AN5&gt;1200000,96000,AN5*0.08)</f>
        <v>41200</v>
      </c>
      <c r="AT5" s="538">
        <f t="shared" ref="AT5:AT14" si="4">IF(AN5&gt;600000,600000*12.28%,AN5*12.28%)</f>
        <v>63241.999999999993</v>
      </c>
      <c r="AU5" s="538">
        <f t="shared" ref="AU5:AU14" si="5">IF(AN5&gt;600000,600000*2.25%,AN5*2.25%)*0</f>
        <v>0</v>
      </c>
      <c r="AV5" s="539">
        <f t="shared" ref="AV5:AV14" si="6">AN5*4.125%</f>
        <v>21243.75</v>
      </c>
      <c r="AW5" s="539">
        <f t="shared" ref="AW5:AW14" si="7">AN5*3.375%</f>
        <v>17381.25</v>
      </c>
      <c r="AX5" s="539">
        <f t="shared" ref="AX5:AX14" si="8">AN5*10%*0</f>
        <v>0</v>
      </c>
      <c r="AY5" s="539"/>
      <c r="AZ5" s="541"/>
      <c r="BA5" s="539">
        <f t="shared" ref="BA5:BA14" si="9">SUM(AS5:AZ5)</f>
        <v>143067</v>
      </c>
      <c r="BB5" s="450"/>
      <c r="BC5" s="447">
        <f t="shared" ref="BC5:BC14" si="10">AN5-AQ5</f>
        <v>494400</v>
      </c>
      <c r="BD5" s="447">
        <f t="shared" ref="BD5:BD14" si="11">BH5/655.957</f>
        <v>7235.5962357288663</v>
      </c>
      <c r="BE5" s="341"/>
      <c r="BF5" s="614">
        <v>1</v>
      </c>
      <c r="BG5" s="451"/>
      <c r="BH5" s="469">
        <f t="shared" ref="BH5:BH14" si="12">((AN5*12)-(AQ5*12))*80%</f>
        <v>4746240</v>
      </c>
      <c r="BI5" s="470">
        <f t="shared" ref="BI5:BI14" si="13">BH5/BF5</f>
        <v>4746240</v>
      </c>
      <c r="BJ5" s="471">
        <f t="shared" ref="BJ5:BJ14" si="14">(IF(BI5&lt;464000,BF5*0.01*BI5,IF(BI5&lt;1000000,(4640+(BI5-464000)*0.1)*BF5,IF(BI5&lt;3000000,(4640+53600+(BI5-1000000)*0.25)*BF5,(4640+53600+500000+(BI5-3000000)*0.4)*BF5))))/12</f>
        <v>104728</v>
      </c>
      <c r="BK5" s="479">
        <f t="shared" ref="BK5:BK14" si="15">((AN5-AQ5)-500000)*0.5%*0</f>
        <v>0</v>
      </c>
      <c r="BL5" s="472">
        <v>1000</v>
      </c>
      <c r="BM5" s="534"/>
      <c r="BN5" s="342"/>
      <c r="BO5" s="452"/>
      <c r="BP5" s="342"/>
      <c r="BQ5" s="342"/>
      <c r="BR5" s="342"/>
      <c r="BS5" s="535"/>
      <c r="BT5" s="543"/>
      <c r="BU5" s="543"/>
      <c r="BV5" s="543"/>
      <c r="BW5" s="536"/>
      <c r="BX5" s="675">
        <f>(BC5-BJ5+SUM(BN5:BR5)-BV5-BL5)-T_PAYROLL[[#This Row],[Avant. Prix FCFA]]-T_PAYROLL[[#This Row],[Retenue Prêt ]]-T_PAYROLL[[#This Row],[Retenue Prêt Pharmacie]]</f>
        <v>388672</v>
      </c>
      <c r="BY5" s="673">
        <f>+BX5/655.957</f>
        <v>592.52664427698767</v>
      </c>
      <c r="BZ5" s="537"/>
      <c r="CA5" s="531">
        <f>(T_PAYROLL[[#This Row],[SB FCFA]]+T_PAYROLL[[#This Row],[Prime Ancienneté]])/12</f>
        <v>42916.666666666664</v>
      </c>
      <c r="CB5" s="531">
        <f t="shared" ref="CB5:CB14" si="16">+CA5/655.957</f>
        <v>65.426036564388625</v>
      </c>
      <c r="CC5" s="532">
        <f t="shared" ref="CC5:CC14" si="17">(CA5/12)+BX5</f>
        <v>392248.38888888888</v>
      </c>
      <c r="CD5" s="532">
        <f t="shared" ref="CD5:CD14" si="18">+CC5/655.957</f>
        <v>597.97881399068672</v>
      </c>
      <c r="CE5" s="341"/>
      <c r="CF5" s="456">
        <f t="shared" ref="CF5:CF14" si="19">((R5*13/12)*35%)/12</f>
        <v>15798.611111111109</v>
      </c>
      <c r="CG5" s="457">
        <f t="shared" ref="CG5:CG14" si="20">+CF5/655.957</f>
        <v>24.084827376049208</v>
      </c>
      <c r="CH5" s="458"/>
      <c r="CI5" s="459">
        <f t="shared" ref="CI5:CI14" si="21">AN5*0.02</f>
        <v>10300</v>
      </c>
      <c r="CJ5" s="460">
        <f t="shared" ref="CJ5:CJ14" si="22">CI5/655.957</f>
        <v>15.702248775453269</v>
      </c>
      <c r="CK5" s="341"/>
      <c r="CL5" s="461">
        <f t="shared" ref="CL5:CL14" si="23">(AN5+BA5+CF5+CI5)*(13/12)+SUM(BN5:BR5)</f>
        <v>741179.41203703696</v>
      </c>
      <c r="CM5" s="462">
        <f t="shared" ref="CM5:CM14" si="24">CL5/655.957</f>
        <v>1129.9207296164793</v>
      </c>
      <c r="CN5" s="463"/>
      <c r="CO5" s="464">
        <f>CL5*12</f>
        <v>8894152.944444444</v>
      </c>
      <c r="CP5" s="465">
        <f t="shared" ref="CP5:CP14" si="25">CO5/655.957</f>
        <v>13559.048755397753</v>
      </c>
      <c r="CQ5" s="368"/>
    </row>
    <row r="6" spans="1:95" s="341" customFormat="1" ht="30" customHeight="1" thickBot="1" x14ac:dyDescent="0.35">
      <c r="A6" s="418">
        <f>ROW()-ROW(T_PAYROLL[[#Headers],[N°]])</f>
        <v>2</v>
      </c>
      <c r="B6" s="625" t="s">
        <v>317</v>
      </c>
      <c r="C6" s="592" t="s">
        <v>301</v>
      </c>
      <c r="D6" s="596" t="s">
        <v>280</v>
      </c>
      <c r="E6" s="766" t="s">
        <v>274</v>
      </c>
      <c r="F6" s="759" t="s">
        <v>291</v>
      </c>
      <c r="G6" s="885">
        <v>43876</v>
      </c>
      <c r="H6" s="755" t="s">
        <v>268</v>
      </c>
      <c r="I6" s="606">
        <v>2</v>
      </c>
      <c r="J6" s="611">
        <v>0</v>
      </c>
      <c r="K6" s="501" t="s">
        <v>5</v>
      </c>
      <c r="L6" s="439"/>
      <c r="M6" s="882">
        <f>IF(T_PAYROLL[[#This Row],[Date d''entrée]]="","",DATEDIF(T_PAYROLL[[#This Row],[Date d''entrée]],$I$3,"Y"))</f>
        <v>4</v>
      </c>
      <c r="N6" s="721"/>
      <c r="O6" s="439"/>
      <c r="P6" s="440">
        <v>1</v>
      </c>
      <c r="Q6" s="441"/>
      <c r="R6" s="442"/>
      <c r="S6" s="442">
        <f t="shared" si="0"/>
        <v>0</v>
      </c>
      <c r="T6" s="443"/>
      <c r="U6" s="444"/>
      <c r="V6" s="444"/>
      <c r="W6" s="527">
        <f t="shared" ref="W6:W14" si="26">R6*(2%+(M6-1)*1%)</f>
        <v>0</v>
      </c>
      <c r="X6" s="444"/>
      <c r="Y6" s="444"/>
      <c r="Z6" s="444"/>
      <c r="AA6" s="444"/>
      <c r="AB6" s="444"/>
      <c r="AC6" s="444"/>
      <c r="AD6" s="527"/>
      <c r="AE6" s="504"/>
      <c r="AF6" s="504"/>
      <c r="AG6" s="444"/>
      <c r="AH6" s="444"/>
      <c r="AI6" s="444"/>
      <c r="AJ6" s="444"/>
      <c r="AK6" s="444"/>
      <c r="AL6" s="444"/>
      <c r="AM6" s="445"/>
      <c r="AN6" s="446">
        <f>SUM(T_PAYROLL[[#This Row],[SB FCFA]],T_PAYROLL[[#This Row],[Prime d encouragement]:[Regularisation]])*T_PAYROLL[[#This Row],[Temps de travail]]</f>
        <v>0</v>
      </c>
      <c r="AO6" s="447">
        <f t="shared" si="1"/>
        <v>0</v>
      </c>
      <c r="AP6" s="448"/>
      <c r="AQ6" s="416">
        <f t="shared" si="2"/>
        <v>0</v>
      </c>
      <c r="AR6" s="449"/>
      <c r="AS6" s="417">
        <f t="shared" si="3"/>
        <v>0</v>
      </c>
      <c r="AT6" s="507">
        <f t="shared" si="4"/>
        <v>0</v>
      </c>
      <c r="AU6" s="508">
        <f t="shared" si="5"/>
        <v>0</v>
      </c>
      <c r="AV6" s="539">
        <f t="shared" si="6"/>
        <v>0</v>
      </c>
      <c r="AW6" s="539">
        <f t="shared" si="7"/>
        <v>0</v>
      </c>
      <c r="AX6" s="509">
        <f t="shared" si="8"/>
        <v>0</v>
      </c>
      <c r="AY6" s="509"/>
      <c r="AZ6" s="516"/>
      <c r="BA6" s="509">
        <f t="shared" si="9"/>
        <v>0</v>
      </c>
      <c r="BB6" s="450"/>
      <c r="BC6" s="426">
        <f t="shared" si="10"/>
        <v>0</v>
      </c>
      <c r="BD6" s="447">
        <f t="shared" si="11"/>
        <v>0</v>
      </c>
      <c r="BF6" s="614">
        <v>1</v>
      </c>
      <c r="BG6" s="451"/>
      <c r="BH6" s="473">
        <f t="shared" si="12"/>
        <v>0</v>
      </c>
      <c r="BI6" s="466">
        <f t="shared" si="13"/>
        <v>0</v>
      </c>
      <c r="BJ6" s="417">
        <f t="shared" si="14"/>
        <v>0</v>
      </c>
      <c r="BK6" s="479">
        <f t="shared" si="15"/>
        <v>0</v>
      </c>
      <c r="BL6" s="472">
        <v>1000</v>
      </c>
      <c r="BM6" s="451"/>
      <c r="BN6" s="342"/>
      <c r="BO6" s="452"/>
      <c r="BP6" s="452"/>
      <c r="BQ6" s="342"/>
      <c r="BR6" s="342"/>
      <c r="BS6" s="453"/>
      <c r="BT6" s="543"/>
      <c r="BU6" s="543"/>
      <c r="BV6" s="543"/>
      <c r="BW6" s="453"/>
      <c r="BX6" s="676">
        <f>(BC6-BJ6+SUM(BN6:BR6)-BV6-BL6)-T_PAYROLL[[#This Row],[Avant. Prix FCFA]]-T_PAYROLL[[#This Row],[Retenue Prêt ]]-T_PAYROLL[[#This Row],[Retenue Prêt Pharmacie]]</f>
        <v>-1000</v>
      </c>
      <c r="BY6" s="674">
        <f t="shared" ref="BY6:BY14" si="27">+BX6/655.957</f>
        <v>-1.5244901723741038</v>
      </c>
      <c r="BZ6" s="450"/>
      <c r="CA6" s="531">
        <f>(T_PAYROLL[[#This Row],[SB FCFA]]+T_PAYROLL[[#This Row],[Prime Ancienneté]])/12</f>
        <v>0</v>
      </c>
      <c r="CB6" s="454">
        <f t="shared" si="16"/>
        <v>0</v>
      </c>
      <c r="CC6" s="455">
        <f t="shared" si="17"/>
        <v>-1000</v>
      </c>
      <c r="CD6" s="455">
        <f t="shared" si="18"/>
        <v>-1.5244901723741038</v>
      </c>
      <c r="CF6" s="456">
        <f t="shared" si="19"/>
        <v>0</v>
      </c>
      <c r="CG6" s="457">
        <f t="shared" si="20"/>
        <v>0</v>
      </c>
      <c r="CH6" s="458"/>
      <c r="CI6" s="459">
        <f t="shared" si="21"/>
        <v>0</v>
      </c>
      <c r="CJ6" s="460">
        <f t="shared" si="22"/>
        <v>0</v>
      </c>
      <c r="CL6" s="461">
        <f t="shared" si="23"/>
        <v>0</v>
      </c>
      <c r="CM6" s="462">
        <f t="shared" si="24"/>
        <v>0</v>
      </c>
      <c r="CN6" s="463"/>
      <c r="CO6" s="464">
        <f t="shared" ref="CO6:CO14" si="28">CL6*12</f>
        <v>0</v>
      </c>
      <c r="CP6" s="465">
        <f t="shared" si="25"/>
        <v>0</v>
      </c>
      <c r="CQ6" s="463"/>
    </row>
    <row r="7" spans="1:95" s="341" customFormat="1" ht="30" customHeight="1" thickBot="1" x14ac:dyDescent="0.35">
      <c r="A7" s="418">
        <f>ROW()-ROW(T_PAYROLL[[#Headers],[N°]])</f>
        <v>3</v>
      </c>
      <c r="B7" s="625" t="s">
        <v>317</v>
      </c>
      <c r="C7" s="592" t="s">
        <v>302</v>
      </c>
      <c r="D7" s="596" t="s">
        <v>281</v>
      </c>
      <c r="E7" s="766" t="s">
        <v>275</v>
      </c>
      <c r="F7" s="759" t="s">
        <v>292</v>
      </c>
      <c r="G7" s="885">
        <v>43511</v>
      </c>
      <c r="H7" s="755" t="s">
        <v>268</v>
      </c>
      <c r="I7" s="606">
        <v>2</v>
      </c>
      <c r="J7" s="611">
        <v>0</v>
      </c>
      <c r="K7" s="501" t="s">
        <v>5</v>
      </c>
      <c r="L7" s="419"/>
      <c r="M7" s="882">
        <f>IF(T_PAYROLL[[#This Row],[Date d''entrée]]="","",DATEDIF(T_PAYROLL[[#This Row],[Date d''entrée]],$I$3,"Y"))</f>
        <v>5</v>
      </c>
      <c r="N7" s="722"/>
      <c r="O7" s="419"/>
      <c r="P7" s="440">
        <v>1</v>
      </c>
      <c r="Q7" s="420"/>
      <c r="R7" s="442"/>
      <c r="S7" s="421">
        <f t="shared" si="0"/>
        <v>0</v>
      </c>
      <c r="T7" s="422"/>
      <c r="U7" s="423"/>
      <c r="V7" s="423"/>
      <c r="W7" s="527">
        <f t="shared" si="26"/>
        <v>0</v>
      </c>
      <c r="X7" s="423"/>
      <c r="Y7" s="423"/>
      <c r="Z7" s="423"/>
      <c r="AA7" s="423"/>
      <c r="AB7" s="423"/>
      <c r="AC7" s="423"/>
      <c r="AD7" s="527"/>
      <c r="AE7" s="504"/>
      <c r="AF7" s="504"/>
      <c r="AG7" s="423"/>
      <c r="AH7" s="423"/>
      <c r="AI7" s="423"/>
      <c r="AJ7" s="423"/>
      <c r="AK7" s="423"/>
      <c r="AL7" s="423"/>
      <c r="AM7" s="424"/>
      <c r="AN7" s="425">
        <f>SUM(T_PAYROLL[[#This Row],[SB FCFA]],T_PAYROLL[[#This Row],[Prime d encouragement]:[Regularisation]])*T_PAYROLL[[#This Row],[Temps de travail]]</f>
        <v>0</v>
      </c>
      <c r="AO7" s="426">
        <f t="shared" si="1"/>
        <v>0</v>
      </c>
      <c r="AP7" s="427"/>
      <c r="AQ7" s="416">
        <f t="shared" si="2"/>
        <v>0</v>
      </c>
      <c r="AR7" s="467"/>
      <c r="AS7" s="417">
        <f t="shared" si="3"/>
        <v>0</v>
      </c>
      <c r="AT7" s="507">
        <f t="shared" si="4"/>
        <v>0</v>
      </c>
      <c r="AU7" s="508">
        <f t="shared" si="5"/>
        <v>0</v>
      </c>
      <c r="AV7" s="539">
        <f t="shared" si="6"/>
        <v>0</v>
      </c>
      <c r="AW7" s="539">
        <f t="shared" si="7"/>
        <v>0</v>
      </c>
      <c r="AX7" s="510">
        <f t="shared" si="8"/>
        <v>0</v>
      </c>
      <c r="AY7" s="510"/>
      <c r="AZ7" s="511"/>
      <c r="BA7" s="510">
        <f t="shared" si="9"/>
        <v>0</v>
      </c>
      <c r="BB7" s="369"/>
      <c r="BC7" s="426">
        <f t="shared" si="10"/>
        <v>0</v>
      </c>
      <c r="BD7" s="426">
        <f t="shared" si="11"/>
        <v>0</v>
      </c>
      <c r="BE7" s="367"/>
      <c r="BF7" s="614">
        <v>1</v>
      </c>
      <c r="BG7" s="468"/>
      <c r="BH7" s="474">
        <f t="shared" si="12"/>
        <v>0</v>
      </c>
      <c r="BI7" s="475">
        <f t="shared" si="13"/>
        <v>0</v>
      </c>
      <c r="BJ7" s="476">
        <f t="shared" si="14"/>
        <v>0</v>
      </c>
      <c r="BK7" s="479">
        <f t="shared" si="15"/>
        <v>0</v>
      </c>
      <c r="BL7" s="472">
        <v>1000</v>
      </c>
      <c r="BM7" s="468"/>
      <c r="BN7" s="428"/>
      <c r="BO7" s="452"/>
      <c r="BP7" s="342"/>
      <c r="BQ7" s="342"/>
      <c r="BR7" s="428"/>
      <c r="BS7" s="542"/>
      <c r="BT7" s="543"/>
      <c r="BU7" s="543"/>
      <c r="BV7" s="543"/>
      <c r="BW7" s="542"/>
      <c r="BX7" s="676">
        <f>(BC7-BJ7+SUM(BN7:BR7)-BV7-BL7)-T_PAYROLL[[#This Row],[Avant. Prix FCFA]]-T_PAYROLL[[#This Row],[Retenue Prêt ]]-T_PAYROLL[[#This Row],[Retenue Prêt Pharmacie]]</f>
        <v>-1000</v>
      </c>
      <c r="BY7" s="674">
        <f t="shared" si="27"/>
        <v>-1.5244901723741038</v>
      </c>
      <c r="BZ7" s="369"/>
      <c r="CA7" s="531">
        <f>(T_PAYROLL[[#This Row],[SB FCFA]]+T_PAYROLL[[#This Row],[Prime Ancienneté]])/12</f>
        <v>0</v>
      </c>
      <c r="CB7" s="430">
        <f t="shared" si="16"/>
        <v>0</v>
      </c>
      <c r="CC7" s="429">
        <f t="shared" si="17"/>
        <v>-1000</v>
      </c>
      <c r="CD7" s="429">
        <f t="shared" si="18"/>
        <v>-1.5244901723741038</v>
      </c>
      <c r="CE7" s="367"/>
      <c r="CF7" s="431">
        <f t="shared" si="19"/>
        <v>0</v>
      </c>
      <c r="CG7" s="432">
        <f t="shared" si="20"/>
        <v>0</v>
      </c>
      <c r="CH7" s="370"/>
      <c r="CI7" s="433">
        <f t="shared" si="21"/>
        <v>0</v>
      </c>
      <c r="CJ7" s="434">
        <f t="shared" si="22"/>
        <v>0</v>
      </c>
      <c r="CK7" s="367"/>
      <c r="CL7" s="435">
        <f t="shared" si="23"/>
        <v>0</v>
      </c>
      <c r="CM7" s="436">
        <f t="shared" si="24"/>
        <v>0</v>
      </c>
      <c r="CN7" s="368"/>
      <c r="CO7" s="437">
        <f t="shared" si="28"/>
        <v>0</v>
      </c>
      <c r="CP7" s="438">
        <f t="shared" si="25"/>
        <v>0</v>
      </c>
      <c r="CQ7" s="463"/>
    </row>
    <row r="8" spans="1:95" s="341" customFormat="1" ht="30" customHeight="1" thickBot="1" x14ac:dyDescent="0.35">
      <c r="A8" s="418">
        <f>ROW()-ROW(T_PAYROLL[[#Headers],[N°]])</f>
        <v>4</v>
      </c>
      <c r="B8" s="625" t="s">
        <v>317</v>
      </c>
      <c r="C8" s="592" t="s">
        <v>303</v>
      </c>
      <c r="D8" s="596" t="s">
        <v>282</v>
      </c>
      <c r="E8" s="766" t="s">
        <v>274</v>
      </c>
      <c r="F8" s="759" t="s">
        <v>293</v>
      </c>
      <c r="G8" s="885">
        <v>43480</v>
      </c>
      <c r="H8" s="755" t="s">
        <v>268</v>
      </c>
      <c r="I8" s="606">
        <v>2</v>
      </c>
      <c r="J8" s="611">
        <v>0</v>
      </c>
      <c r="K8" s="501" t="s">
        <v>5</v>
      </c>
      <c r="L8" s="439"/>
      <c r="M8" s="882">
        <f>IF(T_PAYROLL[[#This Row],[Date d''entrée]]="","",DATEDIF(T_PAYROLL[[#This Row],[Date d''entrée]],$I$3,"Y"))</f>
        <v>6</v>
      </c>
      <c r="N8" s="721"/>
      <c r="O8" s="439"/>
      <c r="P8" s="440">
        <v>1</v>
      </c>
      <c r="Q8" s="441"/>
      <c r="R8" s="442"/>
      <c r="S8" s="442">
        <f t="shared" si="0"/>
        <v>0</v>
      </c>
      <c r="T8" s="443"/>
      <c r="U8" s="444"/>
      <c r="V8" s="444"/>
      <c r="W8" s="527">
        <f t="shared" si="26"/>
        <v>0</v>
      </c>
      <c r="X8" s="444"/>
      <c r="Y8" s="444"/>
      <c r="Z8" s="444"/>
      <c r="AA8" s="444"/>
      <c r="AB8" s="444"/>
      <c r="AC8" s="444"/>
      <c r="AD8" s="527"/>
      <c r="AE8" s="504"/>
      <c r="AF8" s="504"/>
      <c r="AG8" s="444"/>
      <c r="AH8" s="444"/>
      <c r="AI8" s="444"/>
      <c r="AJ8" s="444"/>
      <c r="AK8" s="444"/>
      <c r="AL8" s="444"/>
      <c r="AM8" s="445"/>
      <c r="AN8" s="446">
        <f>SUM(T_PAYROLL[[#This Row],[SB FCFA]],T_PAYROLL[[#This Row],[Prime d encouragement]:[Regularisation]])*T_PAYROLL[[#This Row],[Temps de travail]]</f>
        <v>0</v>
      </c>
      <c r="AO8" s="447">
        <f t="shared" si="1"/>
        <v>0</v>
      </c>
      <c r="AP8" s="448"/>
      <c r="AQ8" s="416">
        <f t="shared" si="2"/>
        <v>0</v>
      </c>
      <c r="AR8" s="515"/>
      <c r="AS8" s="417">
        <f t="shared" si="3"/>
        <v>0</v>
      </c>
      <c r="AT8" s="507">
        <f t="shared" si="4"/>
        <v>0</v>
      </c>
      <c r="AU8" s="508">
        <f t="shared" si="5"/>
        <v>0</v>
      </c>
      <c r="AV8" s="539">
        <f t="shared" si="6"/>
        <v>0</v>
      </c>
      <c r="AW8" s="539">
        <f t="shared" si="7"/>
        <v>0</v>
      </c>
      <c r="AX8" s="509">
        <f t="shared" si="8"/>
        <v>0</v>
      </c>
      <c r="AY8" s="509"/>
      <c r="AZ8" s="516"/>
      <c r="BA8" s="509">
        <f t="shared" si="9"/>
        <v>0</v>
      </c>
      <c r="BB8" s="450"/>
      <c r="BC8" s="426">
        <f t="shared" si="10"/>
        <v>0</v>
      </c>
      <c r="BD8" s="447">
        <f t="shared" si="11"/>
        <v>0</v>
      </c>
      <c r="BF8" s="614">
        <v>1</v>
      </c>
      <c r="BG8" s="451"/>
      <c r="BH8" s="474">
        <f t="shared" si="12"/>
        <v>0</v>
      </c>
      <c r="BI8" s="475">
        <f t="shared" si="13"/>
        <v>0</v>
      </c>
      <c r="BJ8" s="476">
        <f t="shared" si="14"/>
        <v>0</v>
      </c>
      <c r="BK8" s="479">
        <f t="shared" si="15"/>
        <v>0</v>
      </c>
      <c r="BL8" s="472">
        <v>1000</v>
      </c>
      <c r="BM8" s="451"/>
      <c r="BN8" s="342"/>
      <c r="BO8" s="452"/>
      <c r="BP8" s="452"/>
      <c r="BQ8" s="342"/>
      <c r="BR8" s="342"/>
      <c r="BS8" s="453"/>
      <c r="BT8" s="543"/>
      <c r="BU8" s="543"/>
      <c r="BV8" s="543"/>
      <c r="BW8" s="453"/>
      <c r="BX8" s="676">
        <f>(BC8-BJ8+SUM(BN8:BR8)-BV8-BL8)-T_PAYROLL[[#This Row],[Avant. Prix FCFA]]-T_PAYROLL[[#This Row],[Retenue Prêt ]]-T_PAYROLL[[#This Row],[Retenue Prêt Pharmacie]]</f>
        <v>-1000</v>
      </c>
      <c r="BY8" s="674">
        <f t="shared" si="27"/>
        <v>-1.5244901723741038</v>
      </c>
      <c r="BZ8" s="450"/>
      <c r="CA8" s="531">
        <f>(T_PAYROLL[[#This Row],[SB FCFA]]+T_PAYROLL[[#This Row],[Prime Ancienneté]])/12</f>
        <v>0</v>
      </c>
      <c r="CB8" s="454">
        <f t="shared" si="16"/>
        <v>0</v>
      </c>
      <c r="CC8" s="455">
        <f t="shared" si="17"/>
        <v>-1000</v>
      </c>
      <c r="CD8" s="455">
        <f t="shared" si="18"/>
        <v>-1.5244901723741038</v>
      </c>
      <c r="CF8" s="456">
        <f t="shared" si="19"/>
        <v>0</v>
      </c>
      <c r="CG8" s="457">
        <f t="shared" si="20"/>
        <v>0</v>
      </c>
      <c r="CH8" s="458"/>
      <c r="CI8" s="459">
        <f t="shared" si="21"/>
        <v>0</v>
      </c>
      <c r="CJ8" s="460">
        <f t="shared" si="22"/>
        <v>0</v>
      </c>
      <c r="CL8" s="461">
        <f t="shared" si="23"/>
        <v>0</v>
      </c>
      <c r="CM8" s="462">
        <f t="shared" si="24"/>
        <v>0</v>
      </c>
      <c r="CN8" s="463"/>
      <c r="CO8" s="464">
        <f t="shared" si="28"/>
        <v>0</v>
      </c>
      <c r="CP8" s="465">
        <f t="shared" si="25"/>
        <v>0</v>
      </c>
      <c r="CQ8" s="463"/>
    </row>
    <row r="9" spans="1:95" s="341" customFormat="1" ht="30" customHeight="1" thickBot="1" x14ac:dyDescent="0.35">
      <c r="A9" s="418">
        <f>ROW()-ROW(T_PAYROLL[[#Headers],[N°]])</f>
        <v>5</v>
      </c>
      <c r="B9" s="625" t="s">
        <v>317</v>
      </c>
      <c r="C9" s="592" t="s">
        <v>304</v>
      </c>
      <c r="D9" s="596" t="s">
        <v>283</v>
      </c>
      <c r="E9" s="766" t="s">
        <v>274</v>
      </c>
      <c r="F9" s="759" t="s">
        <v>294</v>
      </c>
      <c r="G9" s="891"/>
      <c r="H9" s="755" t="s">
        <v>268</v>
      </c>
      <c r="I9" s="606">
        <v>1</v>
      </c>
      <c r="J9" s="611">
        <v>0</v>
      </c>
      <c r="K9" s="501" t="s">
        <v>5</v>
      </c>
      <c r="L9" s="439"/>
      <c r="M9" s="882" t="str">
        <f>IF(T_PAYROLL[[#This Row],[Date d''entrée]]="","",DATEDIF(T_PAYROLL[[#This Row],[Date d''entrée]],$I$3,"Y"))</f>
        <v/>
      </c>
      <c r="N9" s="721"/>
      <c r="O9" s="439"/>
      <c r="P9" s="440">
        <v>1</v>
      </c>
      <c r="Q9" s="441"/>
      <c r="R9" s="442"/>
      <c r="S9" s="442">
        <f t="shared" si="0"/>
        <v>0</v>
      </c>
      <c r="T9" s="443"/>
      <c r="U9" s="444"/>
      <c r="V9" s="444"/>
      <c r="W9" s="527" t="e">
        <f t="shared" si="26"/>
        <v>#VALUE!</v>
      </c>
      <c r="X9" s="444"/>
      <c r="Y9" s="444"/>
      <c r="Z9" s="444"/>
      <c r="AA9" s="444"/>
      <c r="AB9" s="444"/>
      <c r="AC9" s="444"/>
      <c r="AD9" s="527"/>
      <c r="AE9" s="504"/>
      <c r="AF9" s="504"/>
      <c r="AG9" s="444"/>
      <c r="AH9" s="444"/>
      <c r="AI9" s="444"/>
      <c r="AJ9" s="444"/>
      <c r="AK9" s="444"/>
      <c r="AL9" s="444"/>
      <c r="AM9" s="445"/>
      <c r="AN9" s="446" t="e">
        <f>SUM(T_PAYROLL[[#This Row],[SB FCFA]],T_PAYROLL[[#This Row],[Prime d encouragement]:[Regularisation]])*T_PAYROLL[[#This Row],[Temps de travail]]</f>
        <v>#VALUE!</v>
      </c>
      <c r="AO9" s="447" t="e">
        <f t="shared" si="1"/>
        <v>#VALUE!</v>
      </c>
      <c r="AP9" s="448"/>
      <c r="AQ9" s="416" t="e">
        <f t="shared" si="2"/>
        <v>#VALUE!</v>
      </c>
      <c r="AR9" s="515"/>
      <c r="AS9" s="417" t="e">
        <f t="shared" si="3"/>
        <v>#VALUE!</v>
      </c>
      <c r="AT9" s="507" t="e">
        <f t="shared" si="4"/>
        <v>#VALUE!</v>
      </c>
      <c r="AU9" s="508" t="e">
        <f t="shared" si="5"/>
        <v>#VALUE!</v>
      </c>
      <c r="AV9" s="539" t="e">
        <f t="shared" si="6"/>
        <v>#VALUE!</v>
      </c>
      <c r="AW9" s="539" t="e">
        <f t="shared" si="7"/>
        <v>#VALUE!</v>
      </c>
      <c r="AX9" s="509" t="e">
        <f t="shared" si="8"/>
        <v>#VALUE!</v>
      </c>
      <c r="AY9" s="509"/>
      <c r="AZ9" s="516"/>
      <c r="BA9" s="509" t="e">
        <f t="shared" si="9"/>
        <v>#VALUE!</v>
      </c>
      <c r="BB9" s="450"/>
      <c r="BC9" s="426" t="e">
        <f t="shared" si="10"/>
        <v>#VALUE!</v>
      </c>
      <c r="BD9" s="447" t="e">
        <f t="shared" si="11"/>
        <v>#VALUE!</v>
      </c>
      <c r="BF9" s="614">
        <v>1</v>
      </c>
      <c r="BG9" s="451"/>
      <c r="BH9" s="474" t="e">
        <f t="shared" si="12"/>
        <v>#VALUE!</v>
      </c>
      <c r="BI9" s="475" t="e">
        <f t="shared" si="13"/>
        <v>#VALUE!</v>
      </c>
      <c r="BJ9" s="476" t="e">
        <f t="shared" si="14"/>
        <v>#VALUE!</v>
      </c>
      <c r="BK9" s="479" t="e">
        <f t="shared" si="15"/>
        <v>#VALUE!</v>
      </c>
      <c r="BL9" s="472">
        <v>1000</v>
      </c>
      <c r="BM9" s="451"/>
      <c r="BN9" s="342"/>
      <c r="BO9" s="452"/>
      <c r="BP9" s="452"/>
      <c r="BQ9" s="342"/>
      <c r="BR9" s="342"/>
      <c r="BS9" s="453"/>
      <c r="BT9" s="543"/>
      <c r="BU9" s="543"/>
      <c r="BV9" s="543"/>
      <c r="BW9" s="453"/>
      <c r="BX9" s="676" t="e">
        <f>(BC9-BJ9+SUM(BN9:BR9)-BV9-BL9)-T_PAYROLL[[#This Row],[Avant. Prix FCFA]]-T_PAYROLL[[#This Row],[Retenue Prêt ]]-T_PAYROLL[[#This Row],[Retenue Prêt Pharmacie]]</f>
        <v>#VALUE!</v>
      </c>
      <c r="BY9" s="674" t="e">
        <f t="shared" si="27"/>
        <v>#VALUE!</v>
      </c>
      <c r="BZ9" s="450"/>
      <c r="CA9" s="531" t="e">
        <f>(T_PAYROLL[[#This Row],[SB FCFA]]+T_PAYROLL[[#This Row],[Prime Ancienneté]])/12</f>
        <v>#VALUE!</v>
      </c>
      <c r="CB9" s="454" t="e">
        <f t="shared" si="16"/>
        <v>#VALUE!</v>
      </c>
      <c r="CC9" s="455" t="e">
        <f t="shared" si="17"/>
        <v>#VALUE!</v>
      </c>
      <c r="CD9" s="455" t="e">
        <f t="shared" si="18"/>
        <v>#VALUE!</v>
      </c>
      <c r="CF9" s="456">
        <f t="shared" si="19"/>
        <v>0</v>
      </c>
      <c r="CG9" s="457">
        <f t="shared" si="20"/>
        <v>0</v>
      </c>
      <c r="CH9" s="458"/>
      <c r="CI9" s="459" t="e">
        <f t="shared" si="21"/>
        <v>#VALUE!</v>
      </c>
      <c r="CJ9" s="460" t="e">
        <f t="shared" si="22"/>
        <v>#VALUE!</v>
      </c>
      <c r="CL9" s="461" t="e">
        <f t="shared" si="23"/>
        <v>#VALUE!</v>
      </c>
      <c r="CM9" s="462" t="e">
        <f t="shared" si="24"/>
        <v>#VALUE!</v>
      </c>
      <c r="CN9" s="463"/>
      <c r="CO9" s="464" t="e">
        <f t="shared" si="28"/>
        <v>#VALUE!</v>
      </c>
      <c r="CP9" s="465" t="e">
        <f t="shared" si="25"/>
        <v>#VALUE!</v>
      </c>
      <c r="CQ9" s="463"/>
    </row>
    <row r="10" spans="1:95" s="341" customFormat="1" ht="30" customHeight="1" thickBot="1" x14ac:dyDescent="0.35">
      <c r="A10" s="418">
        <f>ROW()-ROW(T_PAYROLL[[#Headers],[N°]])</f>
        <v>6</v>
      </c>
      <c r="B10" s="625" t="s">
        <v>317</v>
      </c>
      <c r="C10" s="592" t="s">
        <v>305</v>
      </c>
      <c r="D10" s="596" t="s">
        <v>284</v>
      </c>
      <c r="E10" s="766" t="s">
        <v>274</v>
      </c>
      <c r="F10" s="759" t="s">
        <v>295</v>
      </c>
      <c r="G10" s="891"/>
      <c r="H10" s="755" t="s">
        <v>268</v>
      </c>
      <c r="I10" s="606">
        <v>1</v>
      </c>
      <c r="J10" s="611">
        <v>0</v>
      </c>
      <c r="K10" s="501" t="s">
        <v>5</v>
      </c>
      <c r="L10" s="439"/>
      <c r="M10" s="882" t="str">
        <f>IF(T_PAYROLL[[#This Row],[Date d''entrée]]="","",DATEDIF(T_PAYROLL[[#This Row],[Date d''entrée]],$I$3,"Y"))</f>
        <v/>
      </c>
      <c r="N10" s="721"/>
      <c r="O10" s="439"/>
      <c r="P10" s="440">
        <v>1</v>
      </c>
      <c r="Q10" s="441"/>
      <c r="R10" s="442"/>
      <c r="S10" s="442">
        <f t="shared" si="0"/>
        <v>0</v>
      </c>
      <c r="T10" s="443"/>
      <c r="U10" s="444"/>
      <c r="V10" s="444"/>
      <c r="W10" s="527" t="e">
        <f t="shared" si="26"/>
        <v>#VALUE!</v>
      </c>
      <c r="X10" s="444"/>
      <c r="Y10" s="444"/>
      <c r="Z10" s="444"/>
      <c r="AA10" s="444"/>
      <c r="AB10" s="444"/>
      <c r="AC10" s="444"/>
      <c r="AD10" s="527"/>
      <c r="AE10" s="504"/>
      <c r="AF10" s="504"/>
      <c r="AG10" s="444"/>
      <c r="AH10" s="444"/>
      <c r="AI10" s="444"/>
      <c r="AJ10" s="444"/>
      <c r="AK10" s="444"/>
      <c r="AL10" s="444"/>
      <c r="AM10" s="445"/>
      <c r="AN10" s="446" t="e">
        <f>SUM(T_PAYROLL[[#This Row],[SB FCFA]],T_PAYROLL[[#This Row],[Prime d encouragement]:[Regularisation]])*T_PAYROLL[[#This Row],[Temps de travail]]</f>
        <v>#VALUE!</v>
      </c>
      <c r="AO10" s="447" t="e">
        <f t="shared" si="1"/>
        <v>#VALUE!</v>
      </c>
      <c r="AP10" s="448"/>
      <c r="AQ10" s="416" t="e">
        <f t="shared" si="2"/>
        <v>#VALUE!</v>
      </c>
      <c r="AR10" s="515"/>
      <c r="AS10" s="417" t="e">
        <f t="shared" si="3"/>
        <v>#VALUE!</v>
      </c>
      <c r="AT10" s="507" t="e">
        <f t="shared" si="4"/>
        <v>#VALUE!</v>
      </c>
      <c r="AU10" s="508" t="e">
        <f t="shared" si="5"/>
        <v>#VALUE!</v>
      </c>
      <c r="AV10" s="539" t="e">
        <f t="shared" si="6"/>
        <v>#VALUE!</v>
      </c>
      <c r="AW10" s="539" t="e">
        <f t="shared" si="7"/>
        <v>#VALUE!</v>
      </c>
      <c r="AX10" s="509" t="e">
        <f t="shared" si="8"/>
        <v>#VALUE!</v>
      </c>
      <c r="AY10" s="509"/>
      <c r="AZ10" s="516"/>
      <c r="BA10" s="509" t="e">
        <f t="shared" si="9"/>
        <v>#VALUE!</v>
      </c>
      <c r="BB10" s="450"/>
      <c r="BC10" s="426" t="e">
        <f t="shared" si="10"/>
        <v>#VALUE!</v>
      </c>
      <c r="BD10" s="447" t="e">
        <f t="shared" si="11"/>
        <v>#VALUE!</v>
      </c>
      <c r="BF10" s="614">
        <v>1</v>
      </c>
      <c r="BG10" s="451"/>
      <c r="BH10" s="474" t="e">
        <f t="shared" si="12"/>
        <v>#VALUE!</v>
      </c>
      <c r="BI10" s="475" t="e">
        <f t="shared" si="13"/>
        <v>#VALUE!</v>
      </c>
      <c r="BJ10" s="476" t="e">
        <f t="shared" si="14"/>
        <v>#VALUE!</v>
      </c>
      <c r="BK10" s="479" t="e">
        <f t="shared" si="15"/>
        <v>#VALUE!</v>
      </c>
      <c r="BL10" s="472">
        <v>1000</v>
      </c>
      <c r="BM10" s="451"/>
      <c r="BN10" s="342"/>
      <c r="BO10" s="452"/>
      <c r="BP10" s="452"/>
      <c r="BQ10" s="342"/>
      <c r="BR10" s="342"/>
      <c r="BS10" s="453"/>
      <c r="BT10" s="543"/>
      <c r="BU10" s="543"/>
      <c r="BV10" s="543"/>
      <c r="BW10" s="453"/>
      <c r="BX10" s="676" t="e">
        <f>(BC10-BJ10+SUM(BN10:BR10)-BV10-BL10)-T_PAYROLL[[#This Row],[Avant. Prix FCFA]]-T_PAYROLL[[#This Row],[Retenue Prêt ]]-T_PAYROLL[[#This Row],[Retenue Prêt Pharmacie]]</f>
        <v>#VALUE!</v>
      </c>
      <c r="BY10" s="674" t="e">
        <f t="shared" si="27"/>
        <v>#VALUE!</v>
      </c>
      <c r="BZ10" s="450"/>
      <c r="CA10" s="531" t="e">
        <f>(T_PAYROLL[[#This Row],[SB FCFA]]+T_PAYROLL[[#This Row],[Prime Ancienneté]])/12</f>
        <v>#VALUE!</v>
      </c>
      <c r="CB10" s="454" t="e">
        <f t="shared" si="16"/>
        <v>#VALUE!</v>
      </c>
      <c r="CC10" s="455" t="e">
        <f t="shared" si="17"/>
        <v>#VALUE!</v>
      </c>
      <c r="CD10" s="455" t="e">
        <f t="shared" si="18"/>
        <v>#VALUE!</v>
      </c>
      <c r="CF10" s="456">
        <f t="shared" si="19"/>
        <v>0</v>
      </c>
      <c r="CG10" s="457">
        <f t="shared" si="20"/>
        <v>0</v>
      </c>
      <c r="CH10" s="458"/>
      <c r="CI10" s="459" t="e">
        <f t="shared" si="21"/>
        <v>#VALUE!</v>
      </c>
      <c r="CJ10" s="460" t="e">
        <f t="shared" si="22"/>
        <v>#VALUE!</v>
      </c>
      <c r="CL10" s="461" t="e">
        <f t="shared" si="23"/>
        <v>#VALUE!</v>
      </c>
      <c r="CM10" s="462" t="e">
        <f t="shared" si="24"/>
        <v>#VALUE!</v>
      </c>
      <c r="CN10" s="463"/>
      <c r="CO10" s="464" t="e">
        <f t="shared" si="28"/>
        <v>#VALUE!</v>
      </c>
      <c r="CP10" s="465" t="e">
        <f t="shared" si="25"/>
        <v>#VALUE!</v>
      </c>
      <c r="CQ10" s="463"/>
    </row>
    <row r="11" spans="1:95" s="341" customFormat="1" ht="30" customHeight="1" thickBot="1" x14ac:dyDescent="0.35">
      <c r="A11" s="418">
        <f>ROW()-ROW(T_PAYROLL[[#Headers],[N°]])</f>
        <v>7</v>
      </c>
      <c r="B11" s="625" t="s">
        <v>317</v>
      </c>
      <c r="C11" s="592" t="s">
        <v>306</v>
      </c>
      <c r="D11" s="596" t="s">
        <v>285</v>
      </c>
      <c r="E11" s="766" t="s">
        <v>276</v>
      </c>
      <c r="F11" s="759" t="s">
        <v>296</v>
      </c>
      <c r="G11" s="891"/>
      <c r="H11" s="755" t="s">
        <v>268</v>
      </c>
      <c r="I11" s="606">
        <v>1</v>
      </c>
      <c r="J11" s="611">
        <v>0</v>
      </c>
      <c r="K11" s="501" t="s">
        <v>5</v>
      </c>
      <c r="L11" s="439"/>
      <c r="M11" s="882" t="str">
        <f>IF(T_PAYROLL[[#This Row],[Date d''entrée]]="","",DATEDIF(T_PAYROLL[[#This Row],[Date d''entrée]],$I$3,"Y"))</f>
        <v/>
      </c>
      <c r="N11" s="721"/>
      <c r="O11" s="439"/>
      <c r="P11" s="440">
        <v>1</v>
      </c>
      <c r="Q11" s="441"/>
      <c r="R11" s="442"/>
      <c r="S11" s="442">
        <f t="shared" si="0"/>
        <v>0</v>
      </c>
      <c r="T11" s="443"/>
      <c r="U11" s="444"/>
      <c r="V11" s="444"/>
      <c r="W11" s="527" t="e">
        <f t="shared" si="26"/>
        <v>#VALUE!</v>
      </c>
      <c r="X11" s="444"/>
      <c r="Y11" s="444"/>
      <c r="Z11" s="444"/>
      <c r="AA11" s="444"/>
      <c r="AB11" s="444"/>
      <c r="AC11" s="444"/>
      <c r="AD11" s="527"/>
      <c r="AE11" s="504"/>
      <c r="AF11" s="504"/>
      <c r="AG11" s="444"/>
      <c r="AH11" s="444"/>
      <c r="AI11" s="444"/>
      <c r="AJ11" s="444"/>
      <c r="AK11" s="444"/>
      <c r="AL11" s="444"/>
      <c r="AM11" s="445"/>
      <c r="AN11" s="446" t="e">
        <f>SUM(T_PAYROLL[[#This Row],[SB FCFA]],T_PAYROLL[[#This Row],[Prime d encouragement]:[Regularisation]])*T_PAYROLL[[#This Row],[Temps de travail]]</f>
        <v>#VALUE!</v>
      </c>
      <c r="AO11" s="447" t="e">
        <f t="shared" si="1"/>
        <v>#VALUE!</v>
      </c>
      <c r="AP11" s="448"/>
      <c r="AQ11" s="416" t="e">
        <f t="shared" si="2"/>
        <v>#VALUE!</v>
      </c>
      <c r="AR11" s="515"/>
      <c r="AS11" s="417" t="e">
        <f t="shared" si="3"/>
        <v>#VALUE!</v>
      </c>
      <c r="AT11" s="507" t="e">
        <f t="shared" si="4"/>
        <v>#VALUE!</v>
      </c>
      <c r="AU11" s="508" t="e">
        <f t="shared" si="5"/>
        <v>#VALUE!</v>
      </c>
      <c r="AV11" s="539" t="e">
        <f t="shared" si="6"/>
        <v>#VALUE!</v>
      </c>
      <c r="AW11" s="539" t="e">
        <f t="shared" si="7"/>
        <v>#VALUE!</v>
      </c>
      <c r="AX11" s="509" t="e">
        <f t="shared" si="8"/>
        <v>#VALUE!</v>
      </c>
      <c r="AY11" s="509"/>
      <c r="AZ11" s="516"/>
      <c r="BA11" s="509" t="e">
        <f t="shared" si="9"/>
        <v>#VALUE!</v>
      </c>
      <c r="BB11" s="450"/>
      <c r="BC11" s="426" t="e">
        <f t="shared" si="10"/>
        <v>#VALUE!</v>
      </c>
      <c r="BD11" s="447" t="e">
        <f t="shared" si="11"/>
        <v>#VALUE!</v>
      </c>
      <c r="BF11" s="614">
        <v>1</v>
      </c>
      <c r="BG11" s="451"/>
      <c r="BH11" s="474" t="e">
        <f t="shared" si="12"/>
        <v>#VALUE!</v>
      </c>
      <c r="BI11" s="475" t="e">
        <f t="shared" si="13"/>
        <v>#VALUE!</v>
      </c>
      <c r="BJ11" s="476" t="e">
        <f t="shared" si="14"/>
        <v>#VALUE!</v>
      </c>
      <c r="BK11" s="479" t="e">
        <f t="shared" si="15"/>
        <v>#VALUE!</v>
      </c>
      <c r="BL11" s="472">
        <v>1000</v>
      </c>
      <c r="BM11" s="451"/>
      <c r="BN11" s="342"/>
      <c r="BO11" s="452"/>
      <c r="BP11" s="452"/>
      <c r="BQ11" s="342"/>
      <c r="BR11" s="342"/>
      <c r="BS11" s="453"/>
      <c r="BT11" s="543"/>
      <c r="BU11" s="543"/>
      <c r="BV11" s="543"/>
      <c r="BW11" s="453"/>
      <c r="BX11" s="676" t="e">
        <f>(BC11-BJ11+SUM(BN11:BR11)-BV11-BL11)-T_PAYROLL[[#This Row],[Avant. Prix FCFA]]-T_PAYROLL[[#This Row],[Retenue Prêt ]]-T_PAYROLL[[#This Row],[Retenue Prêt Pharmacie]]</f>
        <v>#VALUE!</v>
      </c>
      <c r="BY11" s="674" t="e">
        <f t="shared" si="27"/>
        <v>#VALUE!</v>
      </c>
      <c r="BZ11" s="450"/>
      <c r="CA11" s="531" t="e">
        <f>(T_PAYROLL[[#This Row],[SB FCFA]]+T_PAYROLL[[#This Row],[Prime Ancienneté]])/12</f>
        <v>#VALUE!</v>
      </c>
      <c r="CB11" s="454" t="e">
        <f t="shared" si="16"/>
        <v>#VALUE!</v>
      </c>
      <c r="CC11" s="455" t="e">
        <f t="shared" si="17"/>
        <v>#VALUE!</v>
      </c>
      <c r="CD11" s="455" t="e">
        <f t="shared" si="18"/>
        <v>#VALUE!</v>
      </c>
      <c r="CF11" s="456">
        <f t="shared" si="19"/>
        <v>0</v>
      </c>
      <c r="CG11" s="457">
        <f t="shared" si="20"/>
        <v>0</v>
      </c>
      <c r="CH11" s="458"/>
      <c r="CI11" s="459" t="e">
        <f t="shared" si="21"/>
        <v>#VALUE!</v>
      </c>
      <c r="CJ11" s="460" t="e">
        <f t="shared" si="22"/>
        <v>#VALUE!</v>
      </c>
      <c r="CL11" s="461" t="e">
        <f t="shared" si="23"/>
        <v>#VALUE!</v>
      </c>
      <c r="CM11" s="462" t="e">
        <f t="shared" si="24"/>
        <v>#VALUE!</v>
      </c>
      <c r="CN11" s="463"/>
      <c r="CO11" s="464" t="e">
        <f t="shared" si="28"/>
        <v>#VALUE!</v>
      </c>
      <c r="CP11" s="465" t="e">
        <f t="shared" si="25"/>
        <v>#VALUE!</v>
      </c>
      <c r="CQ11" s="463"/>
    </row>
    <row r="12" spans="1:95" s="341" customFormat="1" ht="30" customHeight="1" thickBot="1" x14ac:dyDescent="0.35">
      <c r="A12" s="418">
        <f>ROW()-ROW(T_PAYROLL[[#Headers],[N°]])</f>
        <v>8</v>
      </c>
      <c r="B12" s="625" t="s">
        <v>317</v>
      </c>
      <c r="C12" s="592" t="s">
        <v>307</v>
      </c>
      <c r="D12" s="596" t="s">
        <v>286</v>
      </c>
      <c r="E12" s="766" t="s">
        <v>275</v>
      </c>
      <c r="F12" s="759" t="s">
        <v>297</v>
      </c>
      <c r="G12" s="892"/>
      <c r="H12" s="755" t="s">
        <v>268</v>
      </c>
      <c r="I12" s="606">
        <v>2</v>
      </c>
      <c r="J12" s="611">
        <v>0</v>
      </c>
      <c r="K12" s="501" t="s">
        <v>5</v>
      </c>
      <c r="L12" s="439"/>
      <c r="M12" s="882" t="str">
        <f>IF(T_PAYROLL[[#This Row],[Date d''entrée]]="","",DATEDIF(T_PAYROLL[[#This Row],[Date d''entrée]],$I$3,"Y"))</f>
        <v/>
      </c>
      <c r="N12" s="721"/>
      <c r="O12" s="439"/>
      <c r="P12" s="440">
        <v>1</v>
      </c>
      <c r="Q12" s="441"/>
      <c r="R12" s="442"/>
      <c r="S12" s="442">
        <f t="shared" si="0"/>
        <v>0</v>
      </c>
      <c r="T12" s="443"/>
      <c r="U12" s="444"/>
      <c r="V12" s="444"/>
      <c r="W12" s="527" t="e">
        <f t="shared" si="26"/>
        <v>#VALUE!</v>
      </c>
      <c r="X12" s="444"/>
      <c r="Y12" s="444"/>
      <c r="Z12" s="444"/>
      <c r="AA12" s="444"/>
      <c r="AB12" s="444"/>
      <c r="AC12" s="444"/>
      <c r="AD12" s="527"/>
      <c r="AE12" s="504"/>
      <c r="AF12" s="504"/>
      <c r="AG12" s="444"/>
      <c r="AH12" s="444"/>
      <c r="AI12" s="444"/>
      <c r="AJ12" s="444"/>
      <c r="AK12" s="444"/>
      <c r="AL12" s="444"/>
      <c r="AM12" s="445"/>
      <c r="AN12" s="446" t="e">
        <f>SUM(T_PAYROLL[[#This Row],[SB FCFA]],T_PAYROLL[[#This Row],[Prime d encouragement]:[Regularisation]])*T_PAYROLL[[#This Row],[Temps de travail]]</f>
        <v>#VALUE!</v>
      </c>
      <c r="AO12" s="447" t="e">
        <f t="shared" si="1"/>
        <v>#VALUE!</v>
      </c>
      <c r="AP12" s="448"/>
      <c r="AQ12" s="416" t="e">
        <f t="shared" si="2"/>
        <v>#VALUE!</v>
      </c>
      <c r="AR12" s="515"/>
      <c r="AS12" s="417" t="e">
        <f t="shared" si="3"/>
        <v>#VALUE!</v>
      </c>
      <c r="AT12" s="507" t="e">
        <f t="shared" si="4"/>
        <v>#VALUE!</v>
      </c>
      <c r="AU12" s="508" t="e">
        <f t="shared" si="5"/>
        <v>#VALUE!</v>
      </c>
      <c r="AV12" s="539" t="e">
        <f t="shared" si="6"/>
        <v>#VALUE!</v>
      </c>
      <c r="AW12" s="539" t="e">
        <f t="shared" si="7"/>
        <v>#VALUE!</v>
      </c>
      <c r="AX12" s="509" t="e">
        <f t="shared" si="8"/>
        <v>#VALUE!</v>
      </c>
      <c r="AY12" s="509"/>
      <c r="AZ12" s="516"/>
      <c r="BA12" s="509" t="e">
        <f t="shared" si="9"/>
        <v>#VALUE!</v>
      </c>
      <c r="BB12" s="450"/>
      <c r="BC12" s="426" t="e">
        <f t="shared" si="10"/>
        <v>#VALUE!</v>
      </c>
      <c r="BD12" s="447" t="e">
        <f t="shared" si="11"/>
        <v>#VALUE!</v>
      </c>
      <c r="BF12" s="614">
        <v>1</v>
      </c>
      <c r="BG12" s="451"/>
      <c r="BH12" s="474" t="e">
        <f t="shared" si="12"/>
        <v>#VALUE!</v>
      </c>
      <c r="BI12" s="475" t="e">
        <f t="shared" si="13"/>
        <v>#VALUE!</v>
      </c>
      <c r="BJ12" s="476" t="e">
        <f t="shared" si="14"/>
        <v>#VALUE!</v>
      </c>
      <c r="BK12" s="479" t="e">
        <f t="shared" si="15"/>
        <v>#VALUE!</v>
      </c>
      <c r="BL12" s="472">
        <v>1000</v>
      </c>
      <c r="BM12" s="451"/>
      <c r="BN12" s="342"/>
      <c r="BO12" s="452"/>
      <c r="BP12" s="452"/>
      <c r="BQ12" s="342"/>
      <c r="BR12" s="342"/>
      <c r="BS12" s="453"/>
      <c r="BT12" s="543"/>
      <c r="BU12" s="543"/>
      <c r="BV12" s="543"/>
      <c r="BW12" s="453"/>
      <c r="BX12" s="676" t="e">
        <f>(BC12-BJ12+SUM(BN12:BR12)-BV12-BL12)-T_PAYROLL[[#This Row],[Avant. Prix FCFA]]-T_PAYROLL[[#This Row],[Retenue Prêt ]]-T_PAYROLL[[#This Row],[Retenue Prêt Pharmacie]]</f>
        <v>#VALUE!</v>
      </c>
      <c r="BY12" s="674" t="e">
        <f t="shared" si="27"/>
        <v>#VALUE!</v>
      </c>
      <c r="BZ12" s="450"/>
      <c r="CA12" s="531" t="e">
        <f>(T_PAYROLL[[#This Row],[SB FCFA]]+T_PAYROLL[[#This Row],[Prime Ancienneté]])/12</f>
        <v>#VALUE!</v>
      </c>
      <c r="CB12" s="454" t="e">
        <f t="shared" si="16"/>
        <v>#VALUE!</v>
      </c>
      <c r="CC12" s="455" t="e">
        <f t="shared" si="17"/>
        <v>#VALUE!</v>
      </c>
      <c r="CD12" s="455" t="e">
        <f t="shared" si="18"/>
        <v>#VALUE!</v>
      </c>
      <c r="CF12" s="456">
        <f t="shared" si="19"/>
        <v>0</v>
      </c>
      <c r="CG12" s="457">
        <f t="shared" si="20"/>
        <v>0</v>
      </c>
      <c r="CH12" s="458"/>
      <c r="CI12" s="459" t="e">
        <f t="shared" si="21"/>
        <v>#VALUE!</v>
      </c>
      <c r="CJ12" s="460" t="e">
        <f t="shared" si="22"/>
        <v>#VALUE!</v>
      </c>
      <c r="CL12" s="461" t="e">
        <f t="shared" si="23"/>
        <v>#VALUE!</v>
      </c>
      <c r="CM12" s="462" t="e">
        <f t="shared" si="24"/>
        <v>#VALUE!</v>
      </c>
      <c r="CN12" s="463"/>
      <c r="CO12" s="464" t="e">
        <f t="shared" si="28"/>
        <v>#VALUE!</v>
      </c>
      <c r="CP12" s="465" t="e">
        <f t="shared" si="25"/>
        <v>#VALUE!</v>
      </c>
      <c r="CQ12" s="463"/>
    </row>
    <row r="13" spans="1:95" s="341" customFormat="1" ht="30" customHeight="1" thickBot="1" x14ac:dyDescent="0.35">
      <c r="A13" s="418">
        <f>ROW()-ROW(T_PAYROLL[[#Headers],[N°]])</f>
        <v>9</v>
      </c>
      <c r="B13" s="625" t="s">
        <v>317</v>
      </c>
      <c r="C13" s="592" t="s">
        <v>308</v>
      </c>
      <c r="D13" s="596" t="s">
        <v>287</v>
      </c>
      <c r="E13" s="766" t="s">
        <v>275</v>
      </c>
      <c r="F13" s="759" t="s">
        <v>298</v>
      </c>
      <c r="G13" s="892"/>
      <c r="H13" s="755" t="s">
        <v>268</v>
      </c>
      <c r="I13" s="606">
        <v>2</v>
      </c>
      <c r="J13" s="611">
        <v>0</v>
      </c>
      <c r="K13" s="501" t="s">
        <v>5</v>
      </c>
      <c r="L13" s="439"/>
      <c r="M13" s="882" t="str">
        <f>IF(T_PAYROLL[[#This Row],[Date d''entrée]]="","",DATEDIF(T_PAYROLL[[#This Row],[Date d''entrée]],$I$3,"Y"))</f>
        <v/>
      </c>
      <c r="N13" s="721"/>
      <c r="O13" s="439"/>
      <c r="P13" s="440">
        <v>1</v>
      </c>
      <c r="Q13" s="441"/>
      <c r="R13" s="442"/>
      <c r="S13" s="442">
        <f t="shared" si="0"/>
        <v>0</v>
      </c>
      <c r="T13" s="443"/>
      <c r="U13" s="444"/>
      <c r="V13" s="444"/>
      <c r="W13" s="527" t="e">
        <f t="shared" si="26"/>
        <v>#VALUE!</v>
      </c>
      <c r="X13" s="444"/>
      <c r="Y13" s="444"/>
      <c r="Z13" s="444"/>
      <c r="AA13" s="444"/>
      <c r="AB13" s="444"/>
      <c r="AC13" s="444"/>
      <c r="AD13" s="527"/>
      <c r="AE13" s="504"/>
      <c r="AF13" s="504"/>
      <c r="AG13" s="444"/>
      <c r="AH13" s="444"/>
      <c r="AI13" s="444"/>
      <c r="AJ13" s="444"/>
      <c r="AK13" s="444"/>
      <c r="AL13" s="444"/>
      <c r="AM13" s="445"/>
      <c r="AN13" s="446" t="e">
        <f>SUM(T_PAYROLL[[#This Row],[SB FCFA]],T_PAYROLL[[#This Row],[Prime d encouragement]:[Regularisation]])*T_PAYROLL[[#This Row],[Temps de travail]]</f>
        <v>#VALUE!</v>
      </c>
      <c r="AO13" s="447" t="e">
        <f t="shared" si="1"/>
        <v>#VALUE!</v>
      </c>
      <c r="AP13" s="448"/>
      <c r="AQ13" s="416" t="e">
        <f t="shared" si="2"/>
        <v>#VALUE!</v>
      </c>
      <c r="AR13" s="515"/>
      <c r="AS13" s="417" t="e">
        <f t="shared" si="3"/>
        <v>#VALUE!</v>
      </c>
      <c r="AT13" s="507" t="e">
        <f t="shared" si="4"/>
        <v>#VALUE!</v>
      </c>
      <c r="AU13" s="508" t="e">
        <f t="shared" si="5"/>
        <v>#VALUE!</v>
      </c>
      <c r="AV13" s="539" t="e">
        <f t="shared" si="6"/>
        <v>#VALUE!</v>
      </c>
      <c r="AW13" s="539" t="e">
        <f t="shared" si="7"/>
        <v>#VALUE!</v>
      </c>
      <c r="AX13" s="509" t="e">
        <f t="shared" si="8"/>
        <v>#VALUE!</v>
      </c>
      <c r="AY13" s="509"/>
      <c r="AZ13" s="516"/>
      <c r="BA13" s="509" t="e">
        <f t="shared" si="9"/>
        <v>#VALUE!</v>
      </c>
      <c r="BB13" s="450"/>
      <c r="BC13" s="426" t="e">
        <f t="shared" si="10"/>
        <v>#VALUE!</v>
      </c>
      <c r="BD13" s="447" t="e">
        <f t="shared" si="11"/>
        <v>#VALUE!</v>
      </c>
      <c r="BF13" s="614">
        <v>1</v>
      </c>
      <c r="BG13" s="451"/>
      <c r="BH13" s="474" t="e">
        <f t="shared" si="12"/>
        <v>#VALUE!</v>
      </c>
      <c r="BI13" s="475" t="e">
        <f t="shared" si="13"/>
        <v>#VALUE!</v>
      </c>
      <c r="BJ13" s="476" t="e">
        <f t="shared" si="14"/>
        <v>#VALUE!</v>
      </c>
      <c r="BK13" s="479" t="e">
        <f t="shared" si="15"/>
        <v>#VALUE!</v>
      </c>
      <c r="BL13" s="472">
        <v>1000</v>
      </c>
      <c r="BM13" s="451"/>
      <c r="BN13" s="342"/>
      <c r="BO13" s="452"/>
      <c r="BP13" s="452"/>
      <c r="BQ13" s="342"/>
      <c r="BR13" s="342"/>
      <c r="BS13" s="453"/>
      <c r="BT13" s="543"/>
      <c r="BU13" s="543"/>
      <c r="BV13" s="543"/>
      <c r="BW13" s="453"/>
      <c r="BX13" s="676" t="e">
        <f>(BC13-BJ13+SUM(BN13:BR13)-BV13-BL13)-T_PAYROLL[[#This Row],[Avant. Prix FCFA]]-T_PAYROLL[[#This Row],[Retenue Prêt ]]-T_PAYROLL[[#This Row],[Retenue Prêt Pharmacie]]</f>
        <v>#VALUE!</v>
      </c>
      <c r="BY13" s="674" t="e">
        <f t="shared" si="27"/>
        <v>#VALUE!</v>
      </c>
      <c r="BZ13" s="450"/>
      <c r="CA13" s="531" t="e">
        <f>(T_PAYROLL[[#This Row],[SB FCFA]]+T_PAYROLL[[#This Row],[Prime Ancienneté]])/12</f>
        <v>#VALUE!</v>
      </c>
      <c r="CB13" s="454" t="e">
        <f t="shared" si="16"/>
        <v>#VALUE!</v>
      </c>
      <c r="CC13" s="455" t="e">
        <f t="shared" si="17"/>
        <v>#VALUE!</v>
      </c>
      <c r="CD13" s="455" t="e">
        <f t="shared" si="18"/>
        <v>#VALUE!</v>
      </c>
      <c r="CF13" s="456">
        <f t="shared" si="19"/>
        <v>0</v>
      </c>
      <c r="CG13" s="457">
        <f t="shared" si="20"/>
        <v>0</v>
      </c>
      <c r="CH13" s="458"/>
      <c r="CI13" s="459" t="e">
        <f t="shared" si="21"/>
        <v>#VALUE!</v>
      </c>
      <c r="CJ13" s="460" t="e">
        <f t="shared" si="22"/>
        <v>#VALUE!</v>
      </c>
      <c r="CL13" s="461" t="e">
        <f t="shared" si="23"/>
        <v>#VALUE!</v>
      </c>
      <c r="CM13" s="462" t="e">
        <f t="shared" si="24"/>
        <v>#VALUE!</v>
      </c>
      <c r="CN13" s="463"/>
      <c r="CO13" s="464" t="e">
        <f t="shared" si="28"/>
        <v>#VALUE!</v>
      </c>
      <c r="CP13" s="465" t="e">
        <f t="shared" si="25"/>
        <v>#VALUE!</v>
      </c>
      <c r="CQ13" s="463"/>
    </row>
    <row r="14" spans="1:95" s="341" customFormat="1" ht="30" customHeight="1" thickBot="1" x14ac:dyDescent="0.35">
      <c r="A14" s="418">
        <f>ROW()-ROW(T_PAYROLL[[#Headers],[N°]])</f>
        <v>10</v>
      </c>
      <c r="B14" s="625" t="s">
        <v>317</v>
      </c>
      <c r="C14" s="592" t="s">
        <v>309</v>
      </c>
      <c r="D14" s="596" t="s">
        <v>288</v>
      </c>
      <c r="E14" s="766" t="s">
        <v>274</v>
      </c>
      <c r="F14" s="759" t="s">
        <v>299</v>
      </c>
      <c r="G14" s="892"/>
      <c r="H14" s="755" t="s">
        <v>268</v>
      </c>
      <c r="I14" s="606">
        <v>1</v>
      </c>
      <c r="J14" s="611">
        <v>0</v>
      </c>
      <c r="K14" s="501" t="s">
        <v>5</v>
      </c>
      <c r="L14" s="439"/>
      <c r="M14" s="882" t="str">
        <f>IF(T_PAYROLL[[#This Row],[Date d''entrée]]="","",DATEDIF(T_PAYROLL[[#This Row],[Date d''entrée]],$I$3,"Y"))</f>
        <v/>
      </c>
      <c r="N14" s="721"/>
      <c r="O14" s="439"/>
      <c r="P14" s="440">
        <v>1</v>
      </c>
      <c r="Q14" s="441"/>
      <c r="R14" s="442"/>
      <c r="S14" s="442">
        <f t="shared" si="0"/>
        <v>0</v>
      </c>
      <c r="T14" s="443"/>
      <c r="U14" s="444"/>
      <c r="V14" s="444"/>
      <c r="W14" s="527" t="e">
        <f t="shared" si="26"/>
        <v>#VALUE!</v>
      </c>
      <c r="X14" s="444"/>
      <c r="Y14" s="444"/>
      <c r="Z14" s="444"/>
      <c r="AA14" s="444"/>
      <c r="AB14" s="444"/>
      <c r="AC14" s="444"/>
      <c r="AD14" s="527"/>
      <c r="AE14" s="504"/>
      <c r="AF14" s="504"/>
      <c r="AG14" s="444"/>
      <c r="AH14" s="444"/>
      <c r="AI14" s="444"/>
      <c r="AJ14" s="444"/>
      <c r="AK14" s="444"/>
      <c r="AL14" s="444"/>
      <c r="AM14" s="445"/>
      <c r="AN14" s="446" t="e">
        <f>SUM(T_PAYROLL[[#This Row],[SB FCFA]],T_PAYROLL[[#This Row],[Prime d encouragement]:[Regularisation]])*T_PAYROLL[[#This Row],[Temps de travail]]</f>
        <v>#VALUE!</v>
      </c>
      <c r="AO14" s="447" t="e">
        <f t="shared" si="1"/>
        <v>#VALUE!</v>
      </c>
      <c r="AP14" s="448"/>
      <c r="AQ14" s="416" t="e">
        <f t="shared" si="2"/>
        <v>#VALUE!</v>
      </c>
      <c r="AR14" s="515"/>
      <c r="AS14" s="417" t="e">
        <f t="shared" si="3"/>
        <v>#VALUE!</v>
      </c>
      <c r="AT14" s="507" t="e">
        <f t="shared" si="4"/>
        <v>#VALUE!</v>
      </c>
      <c r="AU14" s="508" t="e">
        <f t="shared" si="5"/>
        <v>#VALUE!</v>
      </c>
      <c r="AV14" s="539" t="e">
        <f t="shared" si="6"/>
        <v>#VALUE!</v>
      </c>
      <c r="AW14" s="539" t="e">
        <f t="shared" si="7"/>
        <v>#VALUE!</v>
      </c>
      <c r="AX14" s="509" t="e">
        <f t="shared" si="8"/>
        <v>#VALUE!</v>
      </c>
      <c r="AY14" s="509"/>
      <c r="AZ14" s="516"/>
      <c r="BA14" s="509" t="e">
        <f t="shared" si="9"/>
        <v>#VALUE!</v>
      </c>
      <c r="BB14" s="450"/>
      <c r="BC14" s="426" t="e">
        <f t="shared" si="10"/>
        <v>#VALUE!</v>
      </c>
      <c r="BD14" s="447" t="e">
        <f t="shared" si="11"/>
        <v>#VALUE!</v>
      </c>
      <c r="BF14" s="614">
        <v>1</v>
      </c>
      <c r="BG14" s="451"/>
      <c r="BH14" s="474" t="e">
        <f t="shared" si="12"/>
        <v>#VALUE!</v>
      </c>
      <c r="BI14" s="475" t="e">
        <f t="shared" si="13"/>
        <v>#VALUE!</v>
      </c>
      <c r="BJ14" s="476" t="e">
        <f t="shared" si="14"/>
        <v>#VALUE!</v>
      </c>
      <c r="BK14" s="479" t="e">
        <f t="shared" si="15"/>
        <v>#VALUE!</v>
      </c>
      <c r="BL14" s="472">
        <v>1000</v>
      </c>
      <c r="BM14" s="451"/>
      <c r="BN14" s="342"/>
      <c r="BO14" s="452"/>
      <c r="BP14" s="452"/>
      <c r="BQ14" s="342"/>
      <c r="BR14" s="342"/>
      <c r="BS14" s="453"/>
      <c r="BT14" s="543"/>
      <c r="BU14" s="543"/>
      <c r="BV14" s="543"/>
      <c r="BW14" s="453"/>
      <c r="BX14" s="676" t="e">
        <f>(BC14-BJ14+SUM(BN14:BR14)-BV14-BL14)-T_PAYROLL[[#This Row],[Avant. Prix FCFA]]-T_PAYROLL[[#This Row],[Retenue Prêt ]]-T_PAYROLL[[#This Row],[Retenue Prêt Pharmacie]]</f>
        <v>#VALUE!</v>
      </c>
      <c r="BY14" s="674" t="e">
        <f t="shared" si="27"/>
        <v>#VALUE!</v>
      </c>
      <c r="BZ14" s="450"/>
      <c r="CA14" s="531" t="e">
        <f>(T_PAYROLL[[#This Row],[SB FCFA]]+T_PAYROLL[[#This Row],[Prime Ancienneté]])/12</f>
        <v>#VALUE!</v>
      </c>
      <c r="CB14" s="454" t="e">
        <f t="shared" si="16"/>
        <v>#VALUE!</v>
      </c>
      <c r="CC14" s="455" t="e">
        <f t="shared" si="17"/>
        <v>#VALUE!</v>
      </c>
      <c r="CD14" s="455" t="e">
        <f t="shared" si="18"/>
        <v>#VALUE!</v>
      </c>
      <c r="CF14" s="456">
        <f t="shared" si="19"/>
        <v>0</v>
      </c>
      <c r="CG14" s="457">
        <f t="shared" si="20"/>
        <v>0</v>
      </c>
      <c r="CH14" s="458"/>
      <c r="CI14" s="459" t="e">
        <f t="shared" si="21"/>
        <v>#VALUE!</v>
      </c>
      <c r="CJ14" s="460" t="e">
        <f t="shared" si="22"/>
        <v>#VALUE!</v>
      </c>
      <c r="CL14" s="461" t="e">
        <f t="shared" si="23"/>
        <v>#VALUE!</v>
      </c>
      <c r="CM14" s="462" t="e">
        <f t="shared" si="24"/>
        <v>#VALUE!</v>
      </c>
      <c r="CN14" s="463"/>
      <c r="CO14" s="464" t="e">
        <f t="shared" si="28"/>
        <v>#VALUE!</v>
      </c>
      <c r="CP14" s="465" t="e">
        <f t="shared" si="25"/>
        <v>#VALUE!</v>
      </c>
      <c r="CQ14" s="463"/>
    </row>
    <row r="15" spans="1:95" s="477" customFormat="1" ht="27" customHeight="1" thickBot="1" x14ac:dyDescent="0.3">
      <c r="A15" s="514" t="s">
        <v>181</v>
      </c>
      <c r="B15" s="517"/>
      <c r="C15" s="637" t="s">
        <v>181</v>
      </c>
      <c r="D15" s="586"/>
      <c r="E15" s="767"/>
      <c r="F15" s="760"/>
      <c r="G15" s="893"/>
      <c r="H15" s="639"/>
      <c r="I15" s="639"/>
      <c r="J15" s="638"/>
      <c r="K15" s="640"/>
      <c r="L15" s="641"/>
      <c r="M15" s="641"/>
      <c r="N15" s="641"/>
      <c r="O15" s="641"/>
      <c r="P15" s="642"/>
      <c r="Q15" s="487"/>
      <c r="R15" s="530">
        <f>SUBTOTAL(109,T_PAYROLL[SB FCFA])</f>
        <v>500000</v>
      </c>
      <c r="S15" s="530">
        <f>SUBTOTAL(109,T_PAYROLL[SB €])</f>
        <v>762.24508618705192</v>
      </c>
      <c r="T15" s="518"/>
      <c r="U15" s="644">
        <f>SUBTOTAL(109,T_PAYROLL[Prime d encouragement])</f>
        <v>0</v>
      </c>
      <c r="V15" s="645">
        <f>SUBTOTAL(109,T_PAYROLL[Prime de rendement])</f>
        <v>0</v>
      </c>
      <c r="W15" s="645"/>
      <c r="X15" s="645">
        <f>SUBTOTAL(109,T_PAYROLL[Sursalaire])</f>
        <v>0</v>
      </c>
      <c r="Y15" s="645">
        <f>SUBTOTAL(109,T_PAYROLL[[ Prime de responsabilité]])</f>
        <v>0</v>
      </c>
      <c r="Z15" s="645">
        <f>SUBTOTAL(109,T_PAYROLL[[ Forfait HS ]])</f>
        <v>0</v>
      </c>
      <c r="AA15" s="645">
        <f>SUBTOTAL(109,T_PAYROLL[[ Prime individuelle]])</f>
        <v>0</v>
      </c>
      <c r="AB15" s="645">
        <f>SUBTOTAL(109,T_PAYROLL[[ Prime Risque]])</f>
        <v>0</v>
      </c>
      <c r="AC15" s="645">
        <f>SUBTOTAL(109,T_PAYROLL[[ Prime astreinte]])</f>
        <v>0</v>
      </c>
      <c r="AD15" s="645">
        <f>SUBTOTAL(109,T_PAYROLL[HS
6 premières heures
10% ])</f>
        <v>0</v>
      </c>
      <c r="AE15" s="645">
        <f>SUBTOTAL(109,T_PAYROLL[ HS
à partir de la 7ème heure
25% ])</f>
        <v>0</v>
      </c>
      <c r="AF15" s="645">
        <f>SUBTOTAL(109,T_PAYROLL[ HS  de nuit et h supp sur tps de repos et h sur jour férié
50% ])</f>
        <v>0</v>
      </c>
      <c r="AG15" s="645">
        <f>SUBTOTAL(109,T_PAYROLL[Prime Diplôme])</f>
        <v>0</v>
      </c>
      <c r="AH15" s="645">
        <f>SUBTOTAL(109,T_PAYROLL[[  Prime de Caisse]])</f>
        <v>0</v>
      </c>
      <c r="AI15" s="645">
        <f>SUBTOTAL(109,T_PAYROLL[[ STC]])</f>
        <v>0</v>
      </c>
      <c r="AJ15" s="645">
        <f>SUBTOTAL(109,T_PAYROLL[Prime de chantier])</f>
        <v>0</v>
      </c>
      <c r="AK15" s="645">
        <f>SUBTOTAL(109,T_PAYROLL[13e mois])</f>
        <v>0</v>
      </c>
      <c r="AL15" s="646">
        <f>SUBTOTAL(109,T_PAYROLL[Regularisation])</f>
        <v>0</v>
      </c>
      <c r="AM15" s="487"/>
      <c r="AN15" s="647" t="e">
        <f>SUBTOTAL(109,T_PAYROLL[SB XAF])</f>
        <v>#VALUE!</v>
      </c>
      <c r="AO15" s="648" t="e">
        <f>SUBTOTAL(109,T_PAYROLL[SB €2])</f>
        <v>#VALUE!</v>
      </c>
      <c r="AP15" s="649"/>
      <c r="AQ15" s="643" t="e">
        <f>SUBTOTAL(109,T_PAYROLL[Charges Sal. Cnss employé 4%])</f>
        <v>#VALUE!</v>
      </c>
      <c r="AR15" s="650"/>
      <c r="AS15" s="651" t="e">
        <f>SUBTOTAL(109,T_PAYROLL[Charges Emp. Cnss 8%])</f>
        <v>#VALUE!</v>
      </c>
      <c r="AT15" s="652" t="e">
        <f>SUBTOTAL(109,T_PAYROLL[Charges Emp. Cnss 12,28%])</f>
        <v>#VALUE!</v>
      </c>
      <c r="AU15" s="653" t="e">
        <f>SUBTOTAL(109,T_PAYROLL[Charges Emp. Cnss AT/MP 2,25%])</f>
        <v>#VALUE!</v>
      </c>
      <c r="AV15" s="654" t="e">
        <f>SUBTOTAL(109,T_PAYROLL[Charges Emp. TUS IMPOT 4,125%])</f>
        <v>#VALUE!</v>
      </c>
      <c r="AW15" s="654" t="e">
        <f>SUBTOTAL(109,T_PAYROLL[Charges Emp. TUS CNSS 3,375%])</f>
        <v>#VALUE!</v>
      </c>
      <c r="AX15" s="654" t="e">
        <f>SUBTOTAL(109,T_PAYROLL[Charges Emp. RAS 10%])</f>
        <v>#VALUE!</v>
      </c>
      <c r="AY15" s="654">
        <f>SUBTOTAL(109,T_PAYROLL[Charges Emp. Assurance expatriation])</f>
        <v>0</v>
      </c>
      <c r="AZ15" s="655"/>
      <c r="BA15" s="656" t="e">
        <f>SUBTOTAL(109,T_PAYROLL[Total charge employeur])</f>
        <v>#VALUE!</v>
      </c>
      <c r="BB15" s="489"/>
      <c r="BC15" s="657" t="e">
        <f>SUBTOTAL(109,T_PAYROLL[SN XAF])</f>
        <v>#VALUE!</v>
      </c>
      <c r="BD15" s="648" t="e">
        <f>SUBTOTAL(109,T_PAYROLL[SN €])</f>
        <v>#VALUE!</v>
      </c>
      <c r="BF15" s="658">
        <f>SUBTOTAL(109,T_PAYROLL[nb parts])</f>
        <v>10</v>
      </c>
      <c r="BG15" s="333"/>
      <c r="BH15" s="661" t="e">
        <f>SUBTOTAL(109,T_PAYROLL[base IRPP])</f>
        <v>#VALUE!</v>
      </c>
      <c r="BI15" s="662" t="e">
        <f>SUBTOTAL(109,T_PAYROLL[[IRPP Quotion familial ]])</f>
        <v>#VALUE!</v>
      </c>
      <c r="BJ15" s="659" t="e">
        <f>SUBTOTAL(109,T_PAYROLL[IRPP employé])</f>
        <v>#VALUE!</v>
      </c>
      <c r="BK15" s="660" t="e">
        <f>SUBTOTAL(109,T_PAYROLL[ CAMU0,5%])</f>
        <v>#VALUE!</v>
      </c>
      <c r="BL15" s="663">
        <f>SUBTOTAL(109,T_PAYROLL[TOL])</f>
        <v>10000</v>
      </c>
      <c r="BM15" s="333"/>
      <c r="BN15" s="664">
        <f>SUBTOTAL(109,T_PAYROLL[Indemnité. Transport])</f>
        <v>0</v>
      </c>
      <c r="BO15" s="665">
        <f>SUBTOTAL(109,T_PAYROLL[Indemnité. Panier])</f>
        <v>0</v>
      </c>
      <c r="BP15" s="665">
        <f>SUBTOTAL(109,T_PAYROLL[Indemnité. Salissure])</f>
        <v>0</v>
      </c>
      <c r="BQ15" s="665">
        <f>SUBTOTAL(109,T_PAYROLL[Avant. Prix FCFA])</f>
        <v>0</v>
      </c>
      <c r="BR15" s="666">
        <f>SUBTOTAL(109,T_PAYROLL[Avant. Reponsabilité])</f>
        <v>0</v>
      </c>
      <c r="BS15" s="489"/>
      <c r="BT15" s="667">
        <f>SUBTOTAL(109,T_PAYROLL[Avance quinzaine])</f>
        <v>0</v>
      </c>
      <c r="BU15" s="667">
        <f>SUBTOTAL(109,T_PAYROLL[Avance quinzaine])</f>
        <v>0</v>
      </c>
      <c r="BV15" s="667">
        <f>SUBTOTAL(109,T_PAYROLL[Avance quinzaine])</f>
        <v>0</v>
      </c>
      <c r="BW15" s="489"/>
      <c r="BX15" s="672" t="e">
        <f>SUBTOTAL(109,T_PAYROLL[Net a Payer XAF])</f>
        <v>#VALUE!</v>
      </c>
      <c r="BY15" s="590" t="e">
        <f>SUBTOTAL(109,T_PAYROLL[Net a Payer  €])</f>
        <v>#VALUE!</v>
      </c>
      <c r="BZ15" s="519"/>
      <c r="CA15" s="668" t="e">
        <f>SUBTOTAL(109,T_PAYROLL[13ème mois XAF])</f>
        <v>#VALUE!</v>
      </c>
      <c r="CB15" s="669" t="e">
        <f>SUBTOTAL(109,T_PAYROLL[13ème mois €])</f>
        <v>#VALUE!</v>
      </c>
      <c r="CC15" s="670" t="e">
        <f>SUBTOTAL(109,T_PAYROLL[SN13 XAF])</f>
        <v>#VALUE!</v>
      </c>
      <c r="CD15" s="671" t="e">
        <f>SUBTOTAL(109,T_PAYROLL[SN13€])</f>
        <v>#VALUE!</v>
      </c>
      <c r="CF15" s="520">
        <f>SUBTOTAL(109,T_PAYROLL[IFC F CFA])</f>
        <v>15798.611111111109</v>
      </c>
      <c r="CG15" s="521">
        <f>SUBTOTAL(109,T_PAYROLL[IFC €])</f>
        <v>24.084827376049208</v>
      </c>
      <c r="CH15" s="489"/>
      <c r="CI15" s="522" t="e">
        <f>SUBTOTAL(109,T_PAYROLL[Prov. Form.F CFA ])</f>
        <v>#VALUE!</v>
      </c>
      <c r="CJ15" s="523" t="e">
        <f>SUBTOTAL(109,T_PAYROLL[Prov. Form. €])</f>
        <v>#VALUE!</v>
      </c>
      <c r="CL15" s="524" t="e">
        <f>SUBTOTAL(109,T_PAYROLL[CSGM (F CFA)])</f>
        <v>#VALUE!</v>
      </c>
      <c r="CM15" s="524" t="e">
        <f>SUBTOTAL(109,T_PAYROLL[CSGM (€)])</f>
        <v>#VALUE!</v>
      </c>
      <c r="CN15" s="489"/>
      <c r="CO15" s="525" t="e">
        <f>SUBTOTAL(109,T_PAYROLL[CSGA (F CFA)])</f>
        <v>#VALUE!</v>
      </c>
      <c r="CP15" s="525" t="e">
        <f>SUBTOTAL(109,T_PAYROLL[CSGA (€)])</f>
        <v>#VALUE!</v>
      </c>
      <c r="CQ15" s="489"/>
    </row>
    <row r="16" spans="1:95" ht="19.2" customHeight="1" x14ac:dyDescent="0.3">
      <c r="A16" s="478"/>
      <c r="B16" s="478"/>
      <c r="C16" s="486"/>
      <c r="D16" s="597"/>
      <c r="E16" s="768"/>
      <c r="F16" s="761"/>
      <c r="G16" s="894"/>
      <c r="H16" s="756"/>
      <c r="I16" s="607"/>
      <c r="J16" s="607"/>
      <c r="K16" s="488"/>
      <c r="L16" s="362"/>
      <c r="M16" s="362"/>
      <c r="N16" s="362"/>
      <c r="O16" s="362"/>
      <c r="P16" s="362"/>
      <c r="Q16" s="355"/>
      <c r="R16" s="355"/>
      <c r="S16" s="355"/>
      <c r="T16" s="355"/>
      <c r="U16" s="355"/>
      <c r="V16" s="355"/>
      <c r="W16" s="355"/>
      <c r="X16" s="355"/>
      <c r="Y16" s="355"/>
      <c r="Z16" s="355"/>
      <c r="AA16" s="355"/>
      <c r="AB16" s="355"/>
      <c r="AC16" s="355"/>
      <c r="AD16" s="355"/>
      <c r="AE16" s="355"/>
      <c r="AF16" s="355"/>
      <c r="AG16" s="355"/>
      <c r="AH16" s="355"/>
      <c r="AI16" s="355"/>
      <c r="AJ16" s="355"/>
      <c r="AK16" s="355"/>
      <c r="AL16" s="355"/>
      <c r="AM16" s="355"/>
      <c r="AN16" s="363"/>
      <c r="AO16" s="363"/>
      <c r="AP16" s="363"/>
      <c r="AQ16" s="364"/>
      <c r="AR16" s="364"/>
      <c r="AS16" s="362"/>
      <c r="AT16" s="362"/>
      <c r="AU16" s="362"/>
      <c r="AV16" s="362"/>
      <c r="AW16" s="362"/>
      <c r="AX16" s="362"/>
      <c r="AY16" s="362"/>
      <c r="AZ16" s="362"/>
      <c r="BA16" s="362"/>
      <c r="BB16" s="364"/>
      <c r="BC16" s="364"/>
      <c r="BD16" s="364"/>
      <c r="BE16" s="364"/>
      <c r="BF16" s="615"/>
      <c r="BG16" s="365"/>
      <c r="BH16" s="364"/>
      <c r="BI16" s="364"/>
      <c r="BJ16" s="364"/>
      <c r="BK16" s="364"/>
      <c r="BL16" s="364"/>
      <c r="BM16" s="365"/>
      <c r="BN16" s="364"/>
      <c r="BO16" s="364"/>
      <c r="BP16" s="364"/>
      <c r="BQ16" s="364"/>
      <c r="BR16" s="364"/>
      <c r="BS16" s="364"/>
      <c r="BT16" s="364"/>
      <c r="BU16" s="364"/>
      <c r="BV16" s="362"/>
      <c r="BW16" s="364"/>
      <c r="BX16" s="488"/>
      <c r="BY16" s="488"/>
      <c r="BZ16" s="364"/>
      <c r="CA16" s="364"/>
      <c r="CB16" s="364"/>
      <c r="CC16" s="364"/>
      <c r="CD16" s="364"/>
      <c r="CE16" s="364"/>
      <c r="CF16" s="362"/>
      <c r="CG16" s="362"/>
      <c r="CH16" s="366"/>
      <c r="CI16" s="364"/>
      <c r="CJ16" s="364"/>
      <c r="CK16" s="364"/>
      <c r="CL16" s="364"/>
      <c r="CM16" s="364"/>
      <c r="CN16" s="364"/>
      <c r="CO16" s="364"/>
      <c r="CP16" s="364"/>
      <c r="CQ16" s="339"/>
    </row>
    <row r="17" spans="3:126" ht="19.2" customHeight="1" thickBot="1" x14ac:dyDescent="0.35">
      <c r="C17" s="345" t="s">
        <v>138</v>
      </c>
      <c r="D17" s="598"/>
      <c r="E17" s="769"/>
      <c r="F17" s="485"/>
      <c r="G17" s="895"/>
      <c r="H17" s="604"/>
      <c r="I17" s="608"/>
      <c r="J17" s="608"/>
      <c r="K17" s="485"/>
      <c r="L17" s="346"/>
      <c r="M17" s="346"/>
      <c r="N17" s="346"/>
      <c r="O17" s="346"/>
      <c r="P17" s="346"/>
      <c r="Q17" s="346"/>
      <c r="R17" s="346"/>
      <c r="S17" s="346"/>
      <c r="T17" s="346"/>
      <c r="U17" s="346"/>
      <c r="V17" s="346"/>
      <c r="W17" s="346"/>
      <c r="X17" s="346"/>
      <c r="Y17" s="346"/>
      <c r="Z17" s="346"/>
      <c r="AA17" s="346"/>
      <c r="AB17" s="346"/>
      <c r="AC17" s="346"/>
      <c r="AD17" s="346"/>
      <c r="AE17" s="346"/>
      <c r="AF17" s="346"/>
      <c r="AG17" s="346"/>
      <c r="AH17" s="346"/>
      <c r="AI17" s="346"/>
      <c r="AJ17" s="346"/>
      <c r="AK17" s="346"/>
      <c r="AL17" s="346"/>
      <c r="AM17" s="346"/>
      <c r="AN17" s="346"/>
      <c r="AO17" s="346"/>
      <c r="AP17" s="346"/>
      <c r="AQ17" s="346"/>
      <c r="AR17" s="346"/>
      <c r="AS17" s="347"/>
      <c r="AT17" s="347"/>
      <c r="AU17" s="347"/>
      <c r="AV17" s="512"/>
      <c r="AW17" s="347"/>
      <c r="AX17" s="347"/>
      <c r="AY17" s="347"/>
      <c r="AZ17" s="347"/>
      <c r="BA17" s="347"/>
      <c r="BB17" s="346"/>
      <c r="BC17" s="346"/>
      <c r="BD17" s="346"/>
      <c r="BE17" s="346"/>
      <c r="BF17" s="604"/>
      <c r="BG17" s="346"/>
      <c r="BH17" s="346"/>
      <c r="BI17" s="346"/>
      <c r="BJ17" s="346"/>
      <c r="BK17" s="480"/>
      <c r="BL17" s="342"/>
      <c r="BM17" s="346"/>
      <c r="BN17" s="346"/>
      <c r="BO17" s="346"/>
      <c r="BP17" s="346"/>
      <c r="BQ17" s="346"/>
      <c r="BR17" s="346"/>
      <c r="BS17" s="346"/>
      <c r="BT17" s="346"/>
      <c r="BU17" s="346"/>
      <c r="BV17" s="347"/>
      <c r="BW17" s="346"/>
      <c r="BX17" s="485"/>
      <c r="BY17" s="485"/>
      <c r="BZ17" s="346"/>
      <c r="CA17" s="346"/>
      <c r="CB17" s="346"/>
      <c r="CC17" s="346"/>
      <c r="CD17" s="346"/>
      <c r="CE17" s="346"/>
      <c r="CF17" s="347"/>
      <c r="CG17" s="347"/>
      <c r="CH17" s="346"/>
      <c r="CI17" s="346"/>
      <c r="CJ17" s="346"/>
      <c r="CK17" s="341"/>
      <c r="CL17" s="348"/>
      <c r="CM17" s="348"/>
      <c r="CN17" s="349"/>
      <c r="CO17" s="348"/>
      <c r="CP17" s="348"/>
      <c r="CQ17" s="339"/>
      <c r="CX17" s="351"/>
      <c r="CY17" s="351"/>
      <c r="CZ17" s="352"/>
      <c r="DA17" s="351"/>
      <c r="DB17" s="351"/>
      <c r="DC17" s="351"/>
      <c r="DD17" s="351"/>
      <c r="DE17" s="351"/>
      <c r="DF17" s="351"/>
      <c r="DG17" s="351"/>
      <c r="DH17" s="351"/>
      <c r="DI17" s="351"/>
      <c r="DJ17" s="351"/>
      <c r="DK17" s="351"/>
      <c r="DL17" s="351"/>
      <c r="DM17" s="351"/>
      <c r="DN17" s="351"/>
      <c r="DO17" s="351"/>
      <c r="DP17" s="351"/>
      <c r="DQ17" s="351"/>
      <c r="DR17" s="351"/>
      <c r="DS17" s="351"/>
      <c r="DT17" s="351"/>
      <c r="DU17" s="351"/>
      <c r="DV17" s="351"/>
    </row>
    <row r="18" spans="3:126" ht="15" thickTop="1" x14ac:dyDescent="0.3">
      <c r="C18" s="487"/>
      <c r="D18" s="599"/>
      <c r="E18" s="770"/>
      <c r="F18" s="762"/>
      <c r="G18" s="896"/>
      <c r="H18" s="757"/>
      <c r="I18" s="609"/>
      <c r="J18" s="609"/>
      <c r="K18" s="333"/>
      <c r="L18" s="338"/>
      <c r="M18" s="338"/>
      <c r="N18" s="338"/>
      <c r="O18" s="338"/>
      <c r="P18" s="338"/>
      <c r="Q18" s="356"/>
      <c r="R18" s="355"/>
      <c r="S18" s="355"/>
      <c r="T18" s="355"/>
      <c r="U18" s="355"/>
      <c r="V18" s="355"/>
      <c r="W18" s="355"/>
      <c r="X18" s="355"/>
      <c r="Y18" s="355"/>
      <c r="Z18" s="355"/>
      <c r="AA18" s="355"/>
      <c r="AB18" s="355"/>
      <c r="AC18" s="355"/>
      <c r="AD18" s="355"/>
      <c r="AE18" s="355"/>
      <c r="AF18" s="355"/>
      <c r="AG18" s="355"/>
      <c r="AH18" s="355"/>
      <c r="AI18" s="355"/>
      <c r="AJ18" s="355"/>
      <c r="AK18" s="355"/>
      <c r="AL18" s="355"/>
      <c r="AM18" s="355"/>
      <c r="AN18" s="350"/>
      <c r="AO18" s="343"/>
      <c r="AP18" s="343"/>
      <c r="AQ18" s="339"/>
      <c r="AR18" s="339"/>
      <c r="AS18" s="338"/>
      <c r="AT18" s="513">
        <f>AS16+AT16</f>
        <v>0</v>
      </c>
      <c r="AU18" s="338"/>
      <c r="AV18" s="338"/>
      <c r="AW18" s="338"/>
      <c r="AX18" s="338"/>
      <c r="AY18" s="338"/>
      <c r="AZ18" s="338"/>
      <c r="BA18" s="338"/>
      <c r="BB18" s="339"/>
      <c r="BC18" s="344"/>
      <c r="BD18" s="339"/>
      <c r="BE18" s="339"/>
      <c r="BF18" s="616"/>
      <c r="BG18" s="338"/>
      <c r="BH18" s="339"/>
      <c r="BI18" s="339"/>
      <c r="BJ18" s="339"/>
      <c r="BK18" s="339"/>
      <c r="BL18" s="339"/>
      <c r="BM18" s="338"/>
      <c r="BN18" s="339"/>
      <c r="BO18" s="339"/>
      <c r="BP18" s="339"/>
      <c r="BQ18" s="339"/>
      <c r="BR18" s="339"/>
      <c r="BS18" s="339"/>
      <c r="BT18" s="339"/>
      <c r="BU18" s="339"/>
      <c r="BV18" s="338"/>
      <c r="BW18" s="339"/>
      <c r="BX18" s="526"/>
      <c r="BY18" s="333"/>
      <c r="BZ18" s="339"/>
      <c r="CA18" s="339"/>
      <c r="CB18" s="339"/>
      <c r="CC18" s="339"/>
      <c r="CD18" s="339"/>
      <c r="CE18" s="339"/>
      <c r="CF18" s="338"/>
      <c r="CG18" s="338"/>
      <c r="CH18" s="339"/>
      <c r="CI18" s="339"/>
      <c r="CJ18" s="339"/>
      <c r="CK18" s="341"/>
      <c r="CL18" s="339"/>
      <c r="CM18" s="339"/>
      <c r="CN18" s="339"/>
      <c r="CO18" s="339"/>
      <c r="CP18" s="339"/>
      <c r="CY18" s="353"/>
    </row>
    <row r="19" spans="3:126" x14ac:dyDescent="0.3">
      <c r="AT19" s="361"/>
      <c r="BC19" s="371"/>
      <c r="BV19" s="338"/>
      <c r="BW19" s="339"/>
      <c r="BX19" s="526"/>
    </row>
    <row r="20" spans="3:126" x14ac:dyDescent="0.3">
      <c r="AC20" s="340" t="e">
        <f>#REF!+#REF!+#REF!+#REF!+#REF!+#REF!+#REF!+#REF!+#REF!+#REF!+#REF!</f>
        <v>#REF!</v>
      </c>
      <c r="BV20" s="338"/>
      <c r="BX20" s="526"/>
    </row>
    <row r="21" spans="3:126" x14ac:dyDescent="0.3">
      <c r="AV21" s="361"/>
      <c r="CO21" s="340"/>
    </row>
    <row r="22" spans="3:126" x14ac:dyDescent="0.3">
      <c r="E22" s="771"/>
      <c r="F22" s="763"/>
      <c r="G22" s="897"/>
      <c r="H22" s="758"/>
      <c r="I22" s="610"/>
      <c r="J22" s="612"/>
      <c r="R22" s="333"/>
      <c r="CF22" s="360"/>
    </row>
    <row r="23" spans="3:126" x14ac:dyDescent="0.3">
      <c r="E23" s="771"/>
      <c r="F23" s="763"/>
      <c r="G23" s="897"/>
      <c r="H23" s="758"/>
      <c r="I23" s="610"/>
      <c r="J23" s="610"/>
      <c r="CF23" s="361"/>
    </row>
    <row r="24" spans="3:126" x14ac:dyDescent="0.3">
      <c r="E24" s="771"/>
      <c r="F24" s="763"/>
      <c r="G24" s="897"/>
      <c r="H24" s="758"/>
      <c r="I24" s="610"/>
      <c r="J24" s="610"/>
    </row>
    <row r="25" spans="3:126" x14ac:dyDescent="0.3">
      <c r="E25" s="771"/>
      <c r="F25" s="763"/>
      <c r="G25" s="897"/>
      <c r="H25" s="758"/>
      <c r="I25" s="610"/>
      <c r="J25" s="610"/>
    </row>
    <row r="26" spans="3:126" x14ac:dyDescent="0.3">
      <c r="E26" s="771"/>
      <c r="F26" s="763"/>
      <c r="G26" s="897"/>
      <c r="H26" s="758"/>
      <c r="I26" s="610"/>
      <c r="J26" s="610"/>
    </row>
    <row r="27" spans="3:126" x14ac:dyDescent="0.3">
      <c r="E27" s="771"/>
      <c r="F27" s="763"/>
      <c r="G27" s="897"/>
      <c r="H27" s="758"/>
      <c r="I27" s="610"/>
      <c r="J27" s="610"/>
    </row>
    <row r="28" spans="3:126" x14ac:dyDescent="0.3">
      <c r="C28" s="354"/>
      <c r="D28" s="600"/>
    </row>
    <row r="29" spans="3:126" x14ac:dyDescent="0.3">
      <c r="C29" s="354"/>
      <c r="D29" s="601"/>
      <c r="R29" s="340"/>
      <c r="CI29" s="340"/>
      <c r="CJ29" s="340"/>
    </row>
    <row r="30" spans="3:126" x14ac:dyDescent="0.3">
      <c r="CL30" s="340"/>
    </row>
    <row r="41" spans="56:56" x14ac:dyDescent="0.3">
      <c r="BD41" s="327">
        <f>6000+6800+7000+1000+1000</f>
        <v>21800</v>
      </c>
    </row>
  </sheetData>
  <mergeCells count="14">
    <mergeCell ref="R3:S3"/>
    <mergeCell ref="AS3:BA3"/>
    <mergeCell ref="CL3:CM3"/>
    <mergeCell ref="CO3:CP3"/>
    <mergeCell ref="U3:AL3"/>
    <mergeCell ref="CF3:CG3"/>
    <mergeCell ref="CI3:CJ3"/>
    <mergeCell ref="BC3:BD3"/>
    <mergeCell ref="BN3:BR3"/>
    <mergeCell ref="BX3:BY3"/>
    <mergeCell ref="CA3:CB3"/>
    <mergeCell ref="CC3:CD3"/>
    <mergeCell ref="BH3:BL3"/>
    <mergeCell ref="AN3:AO3"/>
  </mergeCells>
  <phoneticPr fontId="79" type="noConversion"/>
  <pageMargins left="0.15748031496062992" right="0.15748031496062992" top="0.43307086614173229" bottom="0.47244094488188981" header="0.23622047244094491" footer="0.23622047244094491"/>
  <pageSetup paperSize="9" scale="47" fitToWidth="0" orientation="landscape" horizontalDpi="360" verticalDpi="360" r:id="rId1"/>
  <colBreaks count="1" manualBreakCount="1">
    <brk id="95" max="1048575" man="1"/>
  </colBreaks>
  <legacyDrawing r:id="rId2"/>
  <tableParts count="1">
    <tablePart r:id="rId3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7">
    <tabColor theme="3" tint="0.39997558519241921"/>
  </sheetPr>
  <dimension ref="B1:R66"/>
  <sheetViews>
    <sheetView view="pageLayout" zoomScaleNormal="100" workbookViewId="0">
      <selection activeCell="F19" sqref="F19"/>
    </sheetView>
  </sheetViews>
  <sheetFormatPr baseColWidth="10" defaultColWidth="10.77734375" defaultRowHeight="14.4" x14ac:dyDescent="0.3"/>
  <cols>
    <col min="1" max="1" width="0.6640625" customWidth="1"/>
    <col min="2" max="2" width="2.77734375" style="81" customWidth="1"/>
    <col min="3" max="3" width="6.21875" style="691" customWidth="1"/>
    <col min="4" max="4" width="15.5546875" customWidth="1"/>
    <col min="5" max="5" width="23.109375" customWidth="1"/>
    <col min="6" max="6" width="8.77734375" customWidth="1"/>
    <col min="7" max="7" width="16.21875" customWidth="1"/>
    <col min="8" max="8" width="19.77734375" customWidth="1"/>
    <col min="9" max="9" width="12.21875" customWidth="1"/>
    <col min="10" max="10" width="12.5546875" customWidth="1"/>
  </cols>
  <sheetData>
    <row r="1" spans="2:18" ht="9" customHeight="1" thickBot="1" x14ac:dyDescent="0.35"/>
    <row r="2" spans="2:18" ht="16.8" customHeight="1" x14ac:dyDescent="0.35">
      <c r="B2" s="681"/>
      <c r="C2" s="695"/>
      <c r="D2" s="629"/>
      <c r="E2" s="630"/>
      <c r="F2" s="631"/>
      <c r="G2" s="631"/>
      <c r="H2" s="631"/>
      <c r="I2" s="631"/>
      <c r="J2" s="632"/>
      <c r="M2" t="s">
        <v>250</v>
      </c>
    </row>
    <row r="3" spans="2:18" ht="12.6" customHeight="1" x14ac:dyDescent="0.3">
      <c r="B3" s="415"/>
      <c r="C3" s="696"/>
      <c r="D3" s="633"/>
      <c r="E3" s="634"/>
      <c r="F3" s="635"/>
      <c r="G3" s="871" t="s">
        <v>314</v>
      </c>
      <c r="H3" s="871"/>
      <c r="I3" s="871"/>
      <c r="J3" s="624"/>
      <c r="K3" s="623"/>
      <c r="L3" s="623"/>
      <c r="M3" s="623"/>
      <c r="N3" s="623"/>
      <c r="O3" s="623"/>
      <c r="P3" s="623"/>
      <c r="Q3" s="623"/>
      <c r="R3" s="624"/>
    </row>
    <row r="4" spans="2:18" ht="12" customHeight="1" x14ac:dyDescent="0.3">
      <c r="B4" s="415"/>
      <c r="C4" s="696"/>
      <c r="D4" s="633"/>
      <c r="E4" s="634"/>
      <c r="F4" s="635"/>
      <c r="G4" s="871"/>
      <c r="H4" s="871"/>
      <c r="I4" s="871"/>
      <c r="J4" s="624"/>
      <c r="K4" s="623"/>
      <c r="L4" s="623"/>
      <c r="M4" s="623"/>
      <c r="N4" s="623"/>
      <c r="O4" s="623"/>
      <c r="P4" s="623"/>
      <c r="Q4" s="623"/>
      <c r="R4" s="624"/>
    </row>
    <row r="5" spans="2:18" ht="12" customHeight="1" thickBot="1" x14ac:dyDescent="0.35">
      <c r="B5" s="415"/>
      <c r="C5" s="696"/>
      <c r="D5" s="633"/>
      <c r="E5" s="634" t="s">
        <v>313</v>
      </c>
      <c r="F5" s="635"/>
      <c r="G5" s="635"/>
      <c r="H5" s="635"/>
      <c r="I5" s="635"/>
      <c r="J5" s="636"/>
    </row>
    <row r="6" spans="2:18" ht="16.2" customHeight="1" thickBot="1" x14ac:dyDescent="0.35">
      <c r="B6" s="415"/>
      <c r="C6" s="723" t="s">
        <v>329</v>
      </c>
      <c r="D6" s="876" t="str">
        <f>Payroll!H1</f>
        <v>Période: du 01/01 au 31/01/2025</v>
      </c>
      <c r="E6" s="877"/>
      <c r="F6" s="877"/>
      <c r="G6" s="877"/>
      <c r="H6" s="877"/>
      <c r="I6" s="877"/>
      <c r="J6" s="878"/>
      <c r="M6" s="490">
        <f>MATCH(E8,T_PAYROLL[Noms et prénoms],0)</f>
        <v>1</v>
      </c>
    </row>
    <row r="7" spans="2:18" ht="17.399999999999999" customHeight="1" x14ac:dyDescent="0.3">
      <c r="B7" s="415"/>
      <c r="C7" s="692"/>
      <c r="D7" s="729" t="s">
        <v>333</v>
      </c>
      <c r="E7" s="742"/>
      <c r="F7" s="743"/>
      <c r="G7" s="743"/>
      <c r="H7" s="728"/>
      <c r="I7" s="709"/>
      <c r="J7" s="728"/>
    </row>
    <row r="8" spans="2:18" s="357" customFormat="1" ht="13.8" x14ac:dyDescent="0.25">
      <c r="B8" s="391"/>
      <c r="C8" s="692"/>
      <c r="D8" s="375" t="s">
        <v>334</v>
      </c>
      <c r="E8" s="618" t="s">
        <v>300</v>
      </c>
      <c r="F8" s="620"/>
      <c r="G8" s="376" t="s">
        <v>198</v>
      </c>
      <c r="H8" s="498" t="str">
        <f>INDEX(T_PAYROLL[Situation matrimoniale],V_LIG_PAYROLL)</f>
        <v>Célibataire</v>
      </c>
      <c r="I8" s="619" t="s">
        <v>148</v>
      </c>
      <c r="J8" s="528" t="s">
        <v>148</v>
      </c>
    </row>
    <row r="9" spans="2:18" s="357" customFormat="1" ht="13.8" x14ac:dyDescent="0.25">
      <c r="B9" s="391"/>
      <c r="C9" s="692"/>
      <c r="D9" s="375" t="s">
        <v>337</v>
      </c>
      <c r="E9" s="621" t="str">
        <f>INDEX(T_PAYROLL[Fonction],V_LIG_PAYROLL)</f>
        <v>Directeur</v>
      </c>
      <c r="F9" s="620"/>
      <c r="G9" s="376" t="s">
        <v>199</v>
      </c>
      <c r="H9" s="498">
        <f>INDEX(T_PAYROLL[Nbr enfants],V_LIG_PAYROLL)</f>
        <v>1</v>
      </c>
      <c r="I9" s="619" t="s">
        <v>1</v>
      </c>
      <c r="J9" s="528" t="s">
        <v>149</v>
      </c>
    </row>
    <row r="10" spans="2:18" s="357" customFormat="1" ht="13.8" x14ac:dyDescent="0.25">
      <c r="B10" s="391"/>
      <c r="C10" s="692"/>
      <c r="D10" s="375" t="s">
        <v>331</v>
      </c>
      <c r="E10" s="626">
        <f>INDEX(T_PAYROLL[Date d''entrée],V_LIG_PAYROLL)</f>
        <v>44956</v>
      </c>
      <c r="F10" s="618"/>
      <c r="G10" s="376" t="s">
        <v>252</v>
      </c>
      <c r="H10" s="498" t="str">
        <f>INDEX(T_PAYROLL[type de contrat],V_LIG_PAYROLL)</f>
        <v>CDI</v>
      </c>
      <c r="I10" s="619"/>
      <c r="J10" s="528"/>
    </row>
    <row r="11" spans="2:18" s="357" customFormat="1" ht="13.8" x14ac:dyDescent="0.25">
      <c r="B11" s="391"/>
      <c r="C11" s="692"/>
      <c r="D11" s="375" t="s">
        <v>332</v>
      </c>
      <c r="E11" s="622" t="str">
        <f>INDEX(T_PAYROLL[Matricule],V_LIG_PAYROLL)</f>
        <v>HR001</v>
      </c>
      <c r="F11" s="618"/>
      <c r="G11" s="376" t="s">
        <v>200</v>
      </c>
      <c r="H11" s="498">
        <f>INDEX(T_PAYROLL[nb parts],V_LIG_PAYROLL)</f>
        <v>1</v>
      </c>
      <c r="I11" s="619"/>
      <c r="J11" s="528"/>
    </row>
    <row r="12" spans="2:18" s="357" customFormat="1" ht="13.8" x14ac:dyDescent="0.25">
      <c r="B12" s="391"/>
      <c r="C12" s="692"/>
      <c r="D12" s="375" t="s">
        <v>316</v>
      </c>
      <c r="E12" s="626" t="str">
        <f>INDEX(T_PAYROLL[Section],V_LIG_PAYROLL)</f>
        <v>Direction</v>
      </c>
      <c r="F12" s="618"/>
      <c r="G12" s="376" t="s">
        <v>207</v>
      </c>
      <c r="H12" s="498" t="str">
        <f>INDEX(T_PAYROLL[Categorie/Echelon],V_LIG_PAYROLL)</f>
        <v>Cat1.1</v>
      </c>
      <c r="I12" s="619"/>
      <c r="J12" s="528"/>
    </row>
    <row r="13" spans="2:18" s="357" customFormat="1" x14ac:dyDescent="0.3">
      <c r="B13" s="391"/>
      <c r="C13" s="692"/>
      <c r="D13" s="375" t="str">
        <f>T_PAYROLL[[#Headers],[N°CNSS]]</f>
        <v>N°CNSS</v>
      </c>
      <c r="E13" s="627">
        <f>INDEX(T_PAYROLL[N°CNSS],V_LIG_PAYROLL)</f>
        <v>0</v>
      </c>
      <c r="F13" s="618"/>
      <c r="G13" s="376" t="str">
        <f>T_PAYROLL[[#Headers],[N° Cpte Bancaire]]</f>
        <v>N° Cpte Bancaire</v>
      </c>
      <c r="H13" s="720">
        <f>INDEX(T_PAYROLL[N° Cpte Bancaire],V_LIG_PAYROLL)</f>
        <v>0</v>
      </c>
      <c r="I13" s="619"/>
      <c r="J13" s="528"/>
    </row>
    <row r="14" spans="2:18" s="357" customFormat="1" thickBot="1" x14ac:dyDescent="0.3">
      <c r="B14" s="391"/>
      <c r="C14" s="692"/>
      <c r="D14" s="481" t="str">
        <f>T_PAYROLL[[#Headers],[Adresse]]</f>
        <v>Adresse</v>
      </c>
      <c r="E14" s="628">
        <f>INDEX(T_PAYROLL[Adresse],V_LIG_PAYROLL)</f>
        <v>0</v>
      </c>
      <c r="F14" s="482"/>
      <c r="G14" s="377" t="s">
        <v>318</v>
      </c>
      <c r="H14" s="499" t="s">
        <v>319</v>
      </c>
      <c r="I14" s="483"/>
      <c r="J14" s="529"/>
    </row>
    <row r="15" spans="2:18" x14ac:dyDescent="0.3">
      <c r="B15" s="415"/>
      <c r="C15" s="692">
        <v>1105</v>
      </c>
      <c r="D15" s="380" t="str">
        <f>Payroll!R3</f>
        <v>Salaire de base</v>
      </c>
      <c r="E15" s="620"/>
      <c r="F15" s="381">
        <v>26</v>
      </c>
      <c r="G15" s="724">
        <f>H15/F15</f>
        <v>19230.76923076923</v>
      </c>
      <c r="H15" s="383">
        <f>INDEX(T_PAYROLL[SB FCFA],V_LIG_PAYROLL)</f>
        <v>500000</v>
      </c>
      <c r="I15" s="389"/>
      <c r="J15" s="390"/>
      <c r="L15" s="357"/>
    </row>
    <row r="16" spans="2:18" x14ac:dyDescent="0.3">
      <c r="B16" s="415"/>
      <c r="C16" s="692"/>
      <c r="D16" s="380" t="str">
        <f>T_PAYROLL[[#Headers],[Prime d encouragement]]</f>
        <v>Prime d encouragement</v>
      </c>
      <c r="E16" s="620"/>
      <c r="F16" s="381"/>
      <c r="G16" s="724"/>
      <c r="H16" s="383">
        <f>INDEX(T_PAYROLL[Prime d encouragement],V_LIG_PAYROLL)</f>
        <v>0</v>
      </c>
      <c r="I16" s="389"/>
      <c r="J16" s="390"/>
      <c r="L16" s="357"/>
    </row>
    <row r="17" spans="2:12" x14ac:dyDescent="0.3">
      <c r="B17" s="415"/>
      <c r="C17" s="692"/>
      <c r="D17" s="380" t="str">
        <f>Payroll!$V$4</f>
        <v>Prime de rendement</v>
      </c>
      <c r="E17" s="620"/>
      <c r="F17" s="381"/>
      <c r="G17" s="382"/>
      <c r="H17" s="383">
        <f>INDEX(T_PAYROLL[Prime de rendement],V_LIG_PAYROLL)</f>
        <v>0</v>
      </c>
      <c r="I17" s="389"/>
      <c r="J17" s="390"/>
      <c r="L17" s="357"/>
    </row>
    <row r="18" spans="2:12" x14ac:dyDescent="0.3">
      <c r="B18" s="415"/>
      <c r="C18" s="692"/>
      <c r="D18" s="380" t="str">
        <f>Payroll!$Y$4</f>
        <v xml:space="preserve"> Prime de responsabilité</v>
      </c>
      <c r="E18" s="620"/>
      <c r="F18" s="381"/>
      <c r="G18" s="382"/>
      <c r="H18" s="383">
        <f>INDEX(T_PAYROLL[ [ Prime de responsabilité] ],V_LIG_PAYROLL)</f>
        <v>0</v>
      </c>
      <c r="I18" s="389"/>
      <c r="J18" s="390"/>
      <c r="L18" s="357"/>
    </row>
    <row r="19" spans="2:12" x14ac:dyDescent="0.3">
      <c r="B19" s="415"/>
      <c r="C19" s="692"/>
      <c r="D19" s="730" t="str">
        <f>T_PAYROLL[[#Headers],[Prime Ancienneté]]</f>
        <v>Prime Ancienneté</v>
      </c>
      <c r="E19" s="731"/>
      <c r="F19" s="749"/>
      <c r="G19" s="750"/>
      <c r="H19" s="383" t="e">
        <f>INDEX(T_PAYROLL #REF!,V_LIG_PAYROLL)</f>
        <v>#NAME?</v>
      </c>
      <c r="I19" s="389"/>
      <c r="J19" s="390"/>
      <c r="L19" s="357"/>
    </row>
    <row r="20" spans="2:12" x14ac:dyDescent="0.3">
      <c r="B20" s="415"/>
      <c r="C20" s="692"/>
      <c r="D20" s="380" t="str">
        <f>T_PAYROLL[[#Headers],[Sursalaire]]</f>
        <v>Sursalaire</v>
      </c>
      <c r="E20" s="620"/>
      <c r="F20" s="381"/>
      <c r="G20" s="682"/>
      <c r="H20" s="383">
        <f>INDEX(T_PAYROLL[Sursalaire],V_LIG_PAYROLL)</f>
        <v>0</v>
      </c>
      <c r="I20" s="389"/>
      <c r="J20" s="390"/>
      <c r="L20" s="357"/>
    </row>
    <row r="21" spans="2:12" x14ac:dyDescent="0.3">
      <c r="B21" s="415"/>
      <c r="C21" s="692"/>
      <c r="D21" s="732" t="str">
        <f>Payroll!$Z$4</f>
        <v xml:space="preserve"> Forfait HS </v>
      </c>
      <c r="E21" s="733"/>
      <c r="F21" s="744"/>
      <c r="G21" s="745"/>
      <c r="H21" s="737">
        <f>INDEX(T_PAYROLL[ [ Forfait HS ] ],V_LIG_PAYROLL)</f>
        <v>0</v>
      </c>
      <c r="I21" s="736"/>
      <c r="J21" s="746"/>
      <c r="L21" s="357"/>
    </row>
    <row r="22" spans="2:12" x14ac:dyDescent="0.3">
      <c r="B22" s="415"/>
      <c r="C22" s="692"/>
      <c r="D22" s="380" t="str">
        <f>Payroll!$AA$4</f>
        <v xml:space="preserve"> Prime individuelle</v>
      </c>
      <c r="E22" s="620"/>
      <c r="F22" s="381"/>
      <c r="G22" s="682"/>
      <c r="H22" s="383">
        <f>INDEX(T_PAYROLL[[ Prime individuelle]],V_LIG_PAYROLL)</f>
        <v>0</v>
      </c>
      <c r="I22" s="389"/>
      <c r="J22" s="390"/>
      <c r="L22" s="357"/>
    </row>
    <row r="23" spans="2:12" x14ac:dyDescent="0.3">
      <c r="B23" s="415"/>
      <c r="C23" s="692"/>
      <c r="D23" s="380" t="str">
        <f>Payroll!$AB$4</f>
        <v xml:space="preserve"> Prime Risque</v>
      </c>
      <c r="E23" s="620"/>
      <c r="F23" s="381"/>
      <c r="G23" s="682"/>
      <c r="H23" s="383">
        <f>INDEX(T_PAYROLL[[ Prime Risque]],V_LIG_PAYROLL)</f>
        <v>0</v>
      </c>
      <c r="I23" s="389"/>
      <c r="J23" s="390"/>
      <c r="L23" s="357"/>
    </row>
    <row r="24" spans="2:12" x14ac:dyDescent="0.3">
      <c r="B24" s="415"/>
      <c r="C24" s="692"/>
      <c r="D24" s="380" t="str">
        <f>Payroll!$AC$4</f>
        <v xml:space="preserve"> Prime astreinte</v>
      </c>
      <c r="E24" s="620"/>
      <c r="F24" s="381"/>
      <c r="G24" s="682"/>
      <c r="H24" s="383">
        <f>INDEX(T_PAYROLL[[ Prime astreinte]],V_LIG_PAYROLL)</f>
        <v>0</v>
      </c>
      <c r="I24" s="389"/>
      <c r="J24" s="390"/>
      <c r="L24" s="357"/>
    </row>
    <row r="25" spans="2:12" ht="14.55" customHeight="1" x14ac:dyDescent="0.3">
      <c r="B25" s="415"/>
      <c r="C25" s="692"/>
      <c r="D25" s="591" t="str">
        <f>Payroll!$AH$4</f>
        <v xml:space="preserve">  Prime de Caisse</v>
      </c>
      <c r="E25" s="620"/>
      <c r="F25" s="381"/>
      <c r="G25" s="682"/>
      <c r="H25" s="383">
        <f>INDEX(T_PAYROLL[ [  Prime de Caisse] ],V_LIG_PAYROLL)</f>
        <v>0</v>
      </c>
      <c r="I25" s="389"/>
      <c r="J25" s="390"/>
      <c r="L25" s="357"/>
    </row>
    <row r="26" spans="2:12" s="327" customFormat="1" ht="14.55" customHeight="1" x14ac:dyDescent="0.3">
      <c r="B26" s="373"/>
      <c r="C26" s="725"/>
      <c r="D26" s="380" t="str">
        <f>T_PAYROLL[[#Headers],[Prime Diplôme]]</f>
        <v>Prime Diplôme</v>
      </c>
      <c r="E26" s="620"/>
      <c r="F26" s="381"/>
      <c r="G26" s="682"/>
      <c r="H26" s="383">
        <f>INDEX(T_PAYROLL[Prime Diplôme],V_LIG_PAYROLL)</f>
        <v>0</v>
      </c>
      <c r="I26" s="389"/>
      <c r="J26" s="390"/>
      <c r="L26" s="533"/>
    </row>
    <row r="27" spans="2:12" s="327" customFormat="1" ht="14.55" customHeight="1" x14ac:dyDescent="0.3">
      <c r="B27" s="373"/>
      <c r="C27" s="725"/>
      <c r="D27" s="732" t="str">
        <f>T_PAYROLL[[#Headers],[HS
6 premières heures
10% ]]</f>
        <v xml:space="preserve">HS
6 premières heures
10% </v>
      </c>
      <c r="E27" s="733"/>
      <c r="F27" s="744"/>
      <c r="G27" s="745"/>
      <c r="H27" s="737">
        <f>INDEX(T_PAYROLL[HS
6 premières heures
10% ],V_LIG_PAYROLL)</f>
        <v>0</v>
      </c>
      <c r="I27" s="736"/>
      <c r="J27" s="746"/>
      <c r="L27" s="533"/>
    </row>
    <row r="28" spans="2:12" s="327" customFormat="1" ht="14.55" customHeight="1" x14ac:dyDescent="0.3">
      <c r="B28" s="373"/>
      <c r="C28" s="725"/>
      <c r="D28" s="751" t="str">
        <f>T_PAYROLL[[#Headers],[ HS
à partir de la 7ème heure
25% ]]</f>
        <v xml:space="preserve"> HS
à partir de la 7ème heure
25% </v>
      </c>
      <c r="E28" s="752"/>
      <c r="F28" s="744"/>
      <c r="G28" s="745"/>
      <c r="H28" s="737">
        <f>INDEX(T_PAYROLL[HS
6 premières heures
10% ],V_LIG_PAYROLL)</f>
        <v>0</v>
      </c>
      <c r="I28" s="736"/>
      <c r="J28" s="746"/>
      <c r="L28" s="533"/>
    </row>
    <row r="29" spans="2:12" s="327" customFormat="1" ht="14.55" customHeight="1" thickBot="1" x14ac:dyDescent="0.35">
      <c r="B29" s="373"/>
      <c r="C29" s="725"/>
      <c r="D29" s="732" t="str">
        <f>T_PAYROLL[[#Headers],[ HS  de nuit et h supp sur tps de repos et h sur jour férié
50% ]]</f>
        <v xml:space="preserve"> HS  de nuit et h supp sur tps de repos et h sur jour férié
50% </v>
      </c>
      <c r="E29" s="733"/>
      <c r="F29" s="744"/>
      <c r="G29" s="745"/>
      <c r="H29" s="737">
        <f>INDEX(T_PAYROLL[HS
6 premières heures
10% ],V_LIG_PAYROLL)</f>
        <v>0</v>
      </c>
      <c r="I29" s="736"/>
      <c r="J29" s="746"/>
      <c r="L29" s="533"/>
    </row>
    <row r="30" spans="2:12" s="358" customFormat="1" ht="16.2" thickBot="1" x14ac:dyDescent="0.35">
      <c r="B30" s="683"/>
      <c r="C30" s="693"/>
      <c r="D30" s="384" t="s">
        <v>151</v>
      </c>
      <c r="E30" s="684"/>
      <c r="F30" s="679"/>
      <c r="G30" s="680"/>
      <c r="H30" s="406" t="e">
        <f>SUM(H15:H29)</f>
        <v>#NAME?</v>
      </c>
      <c r="I30" s="386"/>
      <c r="J30" s="387"/>
    </row>
    <row r="31" spans="2:12" s="357" customFormat="1" thickBot="1" x14ac:dyDescent="0.3">
      <c r="B31" s="391"/>
      <c r="C31" s="692"/>
      <c r="D31" s="375" t="s">
        <v>167</v>
      </c>
      <c r="E31" s="620"/>
      <c r="F31" s="677" t="s">
        <v>165</v>
      </c>
      <c r="G31" s="678" t="s">
        <v>13</v>
      </c>
      <c r="H31" s="388"/>
      <c r="I31" s="389"/>
      <c r="J31" s="390"/>
    </row>
    <row r="32" spans="2:12" s="357" customFormat="1" ht="13.8" x14ac:dyDescent="0.25">
      <c r="B32" s="391"/>
      <c r="C32" s="692"/>
      <c r="D32" s="391" t="s">
        <v>201</v>
      </c>
      <c r="E32" s="620"/>
      <c r="F32" s="685">
        <v>4.1250000000000002E-2</v>
      </c>
      <c r="G32" s="388" t="e">
        <f>H30</f>
        <v>#NAME?</v>
      </c>
      <c r="H32" s="389"/>
      <c r="I32" s="389"/>
      <c r="J32" s="383" t="e">
        <f>G32*F32</f>
        <v>#NAME?</v>
      </c>
    </row>
    <row r="33" spans="2:10" s="357" customFormat="1" ht="13.8" x14ac:dyDescent="0.25">
      <c r="B33" s="391"/>
      <c r="C33" s="692"/>
      <c r="D33" s="732" t="s">
        <v>204</v>
      </c>
      <c r="E33" s="733"/>
      <c r="F33" s="734">
        <v>0.08</v>
      </c>
      <c r="G33" s="735" t="e">
        <f>H30</f>
        <v>#NAME?</v>
      </c>
      <c r="H33" s="736"/>
      <c r="I33" s="736"/>
      <c r="J33" s="737">
        <f>INDEX(T_PAYROLL[Charges Emp. Cnss 8%],V_LIG_PAYROLL)</f>
        <v>41200</v>
      </c>
    </row>
    <row r="34" spans="2:10" s="357" customFormat="1" ht="13.8" x14ac:dyDescent="0.25">
      <c r="B34" s="391"/>
      <c r="C34" s="692"/>
      <c r="D34" s="732" t="s">
        <v>152</v>
      </c>
      <c r="E34" s="733"/>
      <c r="F34" s="734">
        <v>0.12280000000000001</v>
      </c>
      <c r="G34" s="735" t="e">
        <f>H30</f>
        <v>#NAME?</v>
      </c>
      <c r="H34" s="736"/>
      <c r="I34" s="736"/>
      <c r="J34" s="737">
        <f>INDEX(T_PAYROLL[Charges Emp. Cnss 12,28%],V_LIG_PAYROLL)</f>
        <v>63241.999999999993</v>
      </c>
    </row>
    <row r="35" spans="2:10" s="357" customFormat="1" ht="13.8" x14ac:dyDescent="0.25">
      <c r="B35" s="391"/>
      <c r="C35" s="692"/>
      <c r="D35" s="738" t="s">
        <v>206</v>
      </c>
      <c r="E35" s="739"/>
      <c r="F35" s="740">
        <v>3.3750000000000002E-2</v>
      </c>
      <c r="G35" s="735" t="e">
        <f>H30</f>
        <v>#NAME?</v>
      </c>
      <c r="H35" s="736"/>
      <c r="I35" s="736"/>
      <c r="J35" s="737" t="e">
        <f>G35*F35</f>
        <v>#NAME?</v>
      </c>
    </row>
    <row r="36" spans="2:10" s="357" customFormat="1" ht="13.8" x14ac:dyDescent="0.25">
      <c r="B36" s="391"/>
      <c r="C36" s="692"/>
      <c r="D36" s="732" t="s">
        <v>205</v>
      </c>
      <c r="E36" s="733"/>
      <c r="F36" s="741">
        <v>0.04</v>
      </c>
      <c r="G36" s="735" t="e">
        <f>H30</f>
        <v>#NAME?</v>
      </c>
      <c r="H36" s="736"/>
      <c r="I36" s="737">
        <f>INDEX(T_PAYROLL[Charges Sal. Cnss employé 4%],V_LIG_PAYROLL)</f>
        <v>20600</v>
      </c>
      <c r="J36" s="737"/>
    </row>
    <row r="37" spans="2:10" s="357" customFormat="1" thickBot="1" x14ac:dyDescent="0.3">
      <c r="B37" s="391"/>
      <c r="C37" s="692"/>
      <c r="D37" s="375" t="s">
        <v>160</v>
      </c>
      <c r="E37" s="620"/>
      <c r="F37" s="686"/>
      <c r="G37" s="388"/>
      <c r="H37" s="392" t="e">
        <f>H30-I36</f>
        <v>#NAME?</v>
      </c>
      <c r="I37" s="389"/>
      <c r="J37" s="383"/>
    </row>
    <row r="38" spans="2:10" s="357" customFormat="1" thickBot="1" x14ac:dyDescent="0.3">
      <c r="B38" s="391"/>
      <c r="C38" s="692"/>
      <c r="D38" s="375"/>
      <c r="E38" s="620"/>
      <c r="F38" s="393" t="s">
        <v>163</v>
      </c>
      <c r="G38" s="394"/>
      <c r="H38" s="395"/>
      <c r="I38" s="395">
        <f>SUM(I31:I37)</f>
        <v>20600</v>
      </c>
      <c r="J38" s="396" t="e">
        <f>SUM(J30:J36)</f>
        <v>#NAME?</v>
      </c>
    </row>
    <row r="39" spans="2:10" s="357" customFormat="1" ht="13.8" x14ac:dyDescent="0.25">
      <c r="B39" s="391"/>
      <c r="C39" s="692"/>
      <c r="D39" s="380" t="s">
        <v>35</v>
      </c>
      <c r="E39" s="620"/>
      <c r="F39" s="687"/>
      <c r="G39" s="495">
        <f>(INDEX(T_PAYROLL[base IRPP],V_LIG_PAYROLL))/12</f>
        <v>395520</v>
      </c>
      <c r="H39" s="492" t="s">
        <v>153</v>
      </c>
      <c r="I39" s="383">
        <f>INDEX(T_PAYROLL[IRPP employé],V_LIG_PAYROLL)</f>
        <v>104728</v>
      </c>
      <c r="J39" s="496"/>
    </row>
    <row r="40" spans="2:10" s="357" customFormat="1" ht="13.8" x14ac:dyDescent="0.25">
      <c r="B40" s="391"/>
      <c r="C40" s="692"/>
      <c r="D40" s="380" t="str">
        <f>T_PAYROLL[[#Headers],[TOL]]</f>
        <v>TOL</v>
      </c>
      <c r="E40" s="620"/>
      <c r="F40" s="397"/>
      <c r="G40" s="620"/>
      <c r="H40" s="492"/>
      <c r="I40" s="383">
        <f>INDEX(T_PAYROLL[TOL],V_LIG_PAYROLL)</f>
        <v>1000</v>
      </c>
      <c r="J40" s="491"/>
    </row>
    <row r="41" spans="2:10" s="357" customFormat="1" thickBot="1" x14ac:dyDescent="0.3">
      <c r="B41" s="391"/>
      <c r="C41" s="692"/>
      <c r="D41" s="380" t="str">
        <f>T_PAYROLL[[#Headers],[Charges Emp. Taxe régionale]]</f>
        <v>Charges Emp. Taxe régionale</v>
      </c>
      <c r="E41" s="620"/>
      <c r="F41" s="397"/>
      <c r="G41" s="620"/>
      <c r="H41" s="492"/>
      <c r="I41" s="383">
        <f>INDEX(T_PAYROLL[Charges Emp. Taxe régionale],V_LIG_PAYROLL)</f>
        <v>0</v>
      </c>
      <c r="J41" s="491"/>
    </row>
    <row r="42" spans="2:10" s="357" customFormat="1" thickBot="1" x14ac:dyDescent="0.3">
      <c r="B42" s="391"/>
      <c r="C42" s="692"/>
      <c r="D42" s="380"/>
      <c r="E42" s="620"/>
      <c r="F42" s="393" t="s">
        <v>197</v>
      </c>
      <c r="G42" s="394"/>
      <c r="H42" s="395"/>
      <c r="I42" s="395">
        <f>SUM(I39:I40)</f>
        <v>105728</v>
      </c>
      <c r="J42" s="398" t="e">
        <f>SUM(J38:J40)</f>
        <v>#NAME?</v>
      </c>
    </row>
    <row r="43" spans="2:10" s="358" customFormat="1" ht="16.2" thickBot="1" x14ac:dyDescent="0.35">
      <c r="B43" s="683"/>
      <c r="C43" s="693"/>
      <c r="D43" s="384" t="s">
        <v>196</v>
      </c>
      <c r="E43" s="688"/>
      <c r="F43" s="688"/>
      <c r="G43" s="399"/>
      <c r="H43" s="400" t="e">
        <f>H30-(I42+I38)</f>
        <v>#NAME?</v>
      </c>
      <c r="I43" s="386"/>
      <c r="J43" s="401"/>
    </row>
    <row r="44" spans="2:10" ht="15" thickBot="1" x14ac:dyDescent="0.35">
      <c r="B44" s="415"/>
      <c r="C44" s="692"/>
      <c r="D44" s="380"/>
      <c r="E44" s="620"/>
      <c r="F44" s="393" t="s">
        <v>164</v>
      </c>
      <c r="G44" s="394"/>
      <c r="H44" s="395"/>
      <c r="I44" s="395"/>
      <c r="J44" s="402">
        <f>SUM(J43:J43)</f>
        <v>0</v>
      </c>
    </row>
    <row r="45" spans="2:10" s="358" customFormat="1" ht="15.6" x14ac:dyDescent="0.3">
      <c r="B45" s="683"/>
      <c r="C45" s="693"/>
      <c r="D45" s="384" t="s">
        <v>162</v>
      </c>
      <c r="E45" s="688"/>
      <c r="F45" s="688"/>
      <c r="G45" s="494"/>
      <c r="H45" s="493"/>
      <c r="I45" s="386"/>
      <c r="J45" s="387"/>
    </row>
    <row r="46" spans="2:10" ht="18" customHeight="1" x14ac:dyDescent="0.3">
      <c r="B46" s="415"/>
      <c r="C46" s="692"/>
      <c r="D46" s="380" t="str">
        <f>T_PAYROLL[[#Headers],[Indemnité. Transport]]</f>
        <v>Indemnité. Transport</v>
      </c>
      <c r="E46" s="618"/>
      <c r="F46" s="618"/>
      <c r="G46" s="497">
        <f>INDEX(T_PAYROLL[Indemnité. Transport],V_LIG_PAYROLL)</f>
        <v>0</v>
      </c>
      <c r="H46" s="726"/>
      <c r="I46" s="389"/>
      <c r="J46" s="390"/>
    </row>
    <row r="47" spans="2:10" s="357" customFormat="1" ht="13.8" x14ac:dyDescent="0.25">
      <c r="B47" s="391"/>
      <c r="C47" s="692"/>
      <c r="D47" s="380" t="str">
        <f>T_PAYROLL[[#Headers],[Indemnité. Panier]]</f>
        <v>Indemnité. Panier</v>
      </c>
      <c r="E47" s="620"/>
      <c r="F47" s="620"/>
      <c r="G47" s="497">
        <f>INDEX(T_PAYROLL[Indemnité. Panier],V_LIG_PAYROLL)</f>
        <v>0</v>
      </c>
      <c r="H47" s="388"/>
      <c r="I47" s="389"/>
      <c r="J47" s="390"/>
    </row>
    <row r="48" spans="2:10" s="357" customFormat="1" ht="13.8" x14ac:dyDescent="0.25">
      <c r="B48" s="391"/>
      <c r="C48" s="692"/>
      <c r="D48" s="380" t="str">
        <f>T_PAYROLL[[#Headers],[Indemnité. Salissure]]</f>
        <v>Indemnité. Salissure</v>
      </c>
      <c r="E48" s="620"/>
      <c r="F48" s="620"/>
      <c r="G48" s="497">
        <f>INDEX(T_PAYROLL[Indemnité. Salissure],V_LIG_PAYROLL)</f>
        <v>0</v>
      </c>
      <c r="H48" s="388"/>
      <c r="I48" s="389"/>
      <c r="J48" s="390"/>
    </row>
    <row r="49" spans="2:17" s="357" customFormat="1" thickBot="1" x14ac:dyDescent="0.3">
      <c r="B49" s="391"/>
      <c r="C49" s="692"/>
      <c r="D49" s="380" t="str">
        <f>T_PAYROLL[[#Headers],[Avant. Reponsabilité]]</f>
        <v>Avant. Reponsabilité</v>
      </c>
      <c r="E49" s="620"/>
      <c r="F49" s="620"/>
      <c r="G49" s="497">
        <f>INDEX(T_PAYROLL[Avant. Reponsabilité],V_LIG_PAYROLL)</f>
        <v>0</v>
      </c>
      <c r="H49" s="388"/>
      <c r="I49" s="389"/>
      <c r="J49" s="390"/>
    </row>
    <row r="50" spans="2:17" s="357" customFormat="1" thickBot="1" x14ac:dyDescent="0.3">
      <c r="B50" s="391"/>
      <c r="C50" s="692"/>
      <c r="D50" s="380"/>
      <c r="E50" s="620"/>
      <c r="F50" s="393" t="s">
        <v>154</v>
      </c>
      <c r="G50" s="394">
        <f>SUM(G46:G49)</f>
        <v>0</v>
      </c>
      <c r="H50" s="395"/>
      <c r="I50" s="395"/>
      <c r="J50" s="402"/>
    </row>
    <row r="51" spans="2:17" s="358" customFormat="1" ht="15.6" x14ac:dyDescent="0.3">
      <c r="B51" s="683"/>
      <c r="C51" s="693"/>
      <c r="D51" s="384" t="s">
        <v>161</v>
      </c>
      <c r="E51" s="684"/>
      <c r="F51" s="684"/>
      <c r="G51" s="399"/>
      <c r="H51" s="385" t="e">
        <f>H43+G50</f>
        <v>#NAME?</v>
      </c>
      <c r="I51" s="386"/>
      <c r="J51" s="387"/>
    </row>
    <row r="52" spans="2:17" s="357" customFormat="1" ht="13.8" x14ac:dyDescent="0.25">
      <c r="B52" s="391"/>
      <c r="C52" s="692"/>
      <c r="D52" s="380" t="str">
        <f>T_PAYROLL[[#Headers],[Avance quinzaine]]</f>
        <v>Avance quinzaine</v>
      </c>
      <c r="E52" s="620"/>
      <c r="F52" s="620"/>
      <c r="G52" s="388"/>
      <c r="H52" s="389"/>
      <c r="I52" s="383">
        <f>INDEX(T_PAYROLL[Avance quinzaine],V_LIG_PAYROLL)</f>
        <v>0</v>
      </c>
      <c r="J52" s="390"/>
    </row>
    <row r="53" spans="2:17" s="357" customFormat="1" ht="13.8" x14ac:dyDescent="0.25">
      <c r="B53" s="391"/>
      <c r="C53" s="692"/>
      <c r="D53" s="380" t="str">
        <f>T_PAYROLL[[#Headers],[Retenue Prêt Pharmacie]]</f>
        <v>Retenue Prêt Pharmacie</v>
      </c>
      <c r="E53" s="620"/>
      <c r="F53" s="620"/>
      <c r="G53" s="388"/>
      <c r="H53" s="389"/>
      <c r="I53" s="383">
        <f>INDEX(T_PAYROLL[Retenue Prêt Pharmacie],V_LIG_PAYROLL)</f>
        <v>0</v>
      </c>
      <c r="J53" s="390"/>
    </row>
    <row r="54" spans="2:17" s="357" customFormat="1" thickBot="1" x14ac:dyDescent="0.3">
      <c r="B54" s="391"/>
      <c r="C54" s="692"/>
      <c r="D54" s="380" t="str">
        <f>T_PAYROLL[[#Headers],[Retenue Prêt ]]</f>
        <v xml:space="preserve">Retenue Prêt </v>
      </c>
      <c r="E54" s="620"/>
      <c r="F54" s="620"/>
      <c r="G54" s="388"/>
      <c r="H54" s="389"/>
      <c r="I54" s="383">
        <f>INDEX(T_PAYROLL[[Retenue Prêt ]],V_LIG_PAYROLL)</f>
        <v>0</v>
      </c>
      <c r="J54" s="390"/>
      <c r="L54" s="712"/>
      <c r="M54" s="712"/>
      <c r="N54" s="712"/>
      <c r="O54" s="712"/>
      <c r="P54" s="712"/>
      <c r="Q54" s="712"/>
    </row>
    <row r="55" spans="2:17" s="357" customFormat="1" thickBot="1" x14ac:dyDescent="0.3">
      <c r="B55" s="391"/>
      <c r="C55" s="692"/>
      <c r="D55" s="380"/>
      <c r="E55" s="620"/>
      <c r="F55" s="393" t="s">
        <v>155</v>
      </c>
      <c r="G55" s="394"/>
      <c r="H55" s="395"/>
      <c r="I55" s="395">
        <f>SUM(I52:I52)</f>
        <v>0</v>
      </c>
      <c r="J55" s="402"/>
      <c r="L55" s="712"/>
      <c r="M55" s="712"/>
      <c r="N55" s="712"/>
      <c r="O55" s="712"/>
      <c r="P55" s="712"/>
      <c r="Q55" s="712"/>
    </row>
    <row r="56" spans="2:17" s="358" customFormat="1" ht="18" thickBot="1" x14ac:dyDescent="0.5">
      <c r="B56" s="683"/>
      <c r="C56" s="694"/>
      <c r="D56" s="403" t="s">
        <v>156</v>
      </c>
      <c r="E56" s="404"/>
      <c r="F56" s="404"/>
      <c r="G56" s="405"/>
      <c r="H56" s="406" t="e">
        <f>H51-I55</f>
        <v>#NAME?</v>
      </c>
      <c r="I56" s="405"/>
      <c r="J56" s="690"/>
      <c r="L56" s="620"/>
      <c r="M56" s="689"/>
      <c r="N56" s="689"/>
      <c r="O56" s="713"/>
      <c r="P56" s="714"/>
      <c r="Q56" s="715"/>
    </row>
    <row r="57" spans="2:17" s="359" customFormat="1" ht="18.600000000000001" thickBot="1" x14ac:dyDescent="0.4">
      <c r="B57" s="697"/>
      <c r="C57" s="698"/>
      <c r="D57" s="879" t="s">
        <v>278</v>
      </c>
      <c r="E57" s="880"/>
      <c r="F57" s="880"/>
      <c r="G57" s="881"/>
      <c r="H57" s="727">
        <f>INDEX(T_PAYROLL[Net a Payer XAF],V_LIG_PAYROLL)</f>
        <v>388672</v>
      </c>
      <c r="I57" s="407"/>
      <c r="J57" s="408"/>
      <c r="L57" s="689"/>
      <c r="M57" s="700"/>
      <c r="N57" s="700"/>
      <c r="O57" s="374"/>
      <c r="P57" s="414"/>
      <c r="Q57" s="716"/>
    </row>
    <row r="58" spans="2:17" s="357" customFormat="1" ht="16.8" thickBot="1" x14ac:dyDescent="0.5">
      <c r="B58" s="391"/>
      <c r="C58" s="699"/>
      <c r="D58" s="378"/>
      <c r="E58" s="409" t="s">
        <v>166</v>
      </c>
      <c r="F58" s="379"/>
      <c r="G58" s="410"/>
      <c r="H58" s="411"/>
      <c r="I58" s="412"/>
      <c r="J58" s="413" t="e">
        <f>H57+J42</f>
        <v>#NAME?</v>
      </c>
      <c r="L58" s="712"/>
      <c r="M58" s="712"/>
      <c r="N58" s="712"/>
      <c r="O58" s="712"/>
      <c r="P58" s="712"/>
      <c r="Q58" s="712"/>
    </row>
    <row r="59" spans="2:17" ht="20.55" customHeight="1" x14ac:dyDescent="0.3">
      <c r="B59" s="415"/>
      <c r="C59" s="699"/>
      <c r="D59" s="708" t="s">
        <v>277</v>
      </c>
      <c r="E59" s="709"/>
      <c r="F59" s="709"/>
      <c r="G59" s="709"/>
      <c r="H59" s="709"/>
      <c r="I59" s="709"/>
      <c r="J59" s="710"/>
      <c r="L59" s="635"/>
      <c r="M59" s="635"/>
      <c r="N59" s="635"/>
      <c r="O59" s="635"/>
      <c r="P59" s="635"/>
      <c r="Q59" s="635"/>
    </row>
    <row r="60" spans="2:17" ht="24.6" customHeight="1" x14ac:dyDescent="0.3">
      <c r="B60" s="415"/>
      <c r="C60" s="699"/>
      <c r="D60" s="706"/>
      <c r="E60" s="707"/>
      <c r="F60" s="707"/>
      <c r="G60" s="707"/>
      <c r="H60" s="707"/>
      <c r="I60" s="707"/>
      <c r="J60" s="711"/>
    </row>
    <row r="61" spans="2:17" ht="58.2" customHeight="1" x14ac:dyDescent="0.3">
      <c r="B61" s="415"/>
      <c r="C61" s="699"/>
      <c r="D61" s="706"/>
      <c r="E61" s="717" t="s">
        <v>157</v>
      </c>
      <c r="F61" s="718"/>
      <c r="G61" s="718"/>
      <c r="H61" s="872" t="s">
        <v>158</v>
      </c>
      <c r="I61" s="873"/>
      <c r="J61" s="711"/>
    </row>
    <row r="62" spans="2:17" ht="19.95" customHeight="1" x14ac:dyDescent="0.3">
      <c r="B62" s="415"/>
      <c r="C62" s="696"/>
      <c r="D62" s="706"/>
      <c r="E62" s="707"/>
      <c r="F62" s="707"/>
      <c r="G62" s="707"/>
      <c r="H62" s="707"/>
      <c r="I62" s="707"/>
      <c r="J62" s="711"/>
      <c r="L62" s="875" t="s">
        <v>153</v>
      </c>
      <c r="M62" s="875"/>
      <c r="N62" s="875"/>
      <c r="O62" s="875"/>
      <c r="P62" s="875"/>
      <c r="Q62" s="875"/>
    </row>
    <row r="63" spans="2:17" ht="3" customHeight="1" x14ac:dyDescent="0.3">
      <c r="B63" s="415"/>
      <c r="C63" s="696"/>
      <c r="D63" s="706"/>
      <c r="E63" s="707"/>
      <c r="F63" s="707"/>
      <c r="G63" s="707"/>
      <c r="H63" s="707"/>
      <c r="I63" s="707"/>
      <c r="J63" s="711"/>
      <c r="L63" s="875"/>
      <c r="M63" s="875"/>
      <c r="N63" s="875"/>
      <c r="O63" s="875"/>
      <c r="P63" s="875"/>
      <c r="Q63" s="875"/>
    </row>
    <row r="64" spans="2:17" ht="13.5" customHeight="1" x14ac:dyDescent="0.3">
      <c r="B64" s="415"/>
      <c r="C64" s="696"/>
      <c r="D64" s="706"/>
      <c r="E64" s="874"/>
      <c r="F64" s="874"/>
      <c r="G64" s="874"/>
      <c r="H64" s="874"/>
      <c r="I64" s="707"/>
      <c r="J64" s="711"/>
    </row>
    <row r="65" spans="2:10" ht="6" customHeight="1" x14ac:dyDescent="0.3">
      <c r="B65" s="415"/>
      <c r="C65" s="696"/>
      <c r="D65" s="706"/>
      <c r="E65" s="707"/>
      <c r="F65" s="707"/>
      <c r="G65" s="707"/>
      <c r="H65" s="707"/>
      <c r="I65" s="707"/>
      <c r="J65" s="711"/>
    </row>
    <row r="66" spans="2:10" ht="2.5499999999999998" customHeight="1" thickBot="1" x14ac:dyDescent="0.35">
      <c r="B66" s="701"/>
      <c r="C66" s="702"/>
      <c r="D66" s="703"/>
      <c r="E66" s="704"/>
      <c r="F66" s="704"/>
      <c r="G66" s="704"/>
      <c r="H66" s="704"/>
      <c r="I66" s="704"/>
      <c r="J66" s="705"/>
    </row>
  </sheetData>
  <mergeCells count="6">
    <mergeCell ref="G3:I4"/>
    <mergeCell ref="H61:I61"/>
    <mergeCell ref="E64:H64"/>
    <mergeCell ref="L62:Q63"/>
    <mergeCell ref="D6:J6"/>
    <mergeCell ref="D57:G57"/>
  </mergeCells>
  <dataValidations count="1">
    <dataValidation type="list" allowBlank="1" showInputMessage="1" showErrorMessage="1" sqref="E8" xr:uid="{5C99A96A-741A-4085-B7F0-AE0484BDF36A}">
      <formula1>LST_PAYROLL_NOMS</formula1>
    </dataValidation>
  </dataValidations>
  <pageMargins left="0.59055118110236227" right="0.59055118110236227" top="0.35433070866141736" bottom="0.35433070866141736" header="0" footer="0"/>
  <pageSetup paperSize="9" scale="75" orientation="portrait" horizontalDpi="360" verticalDpi="360" r:id="rId1"/>
  <ignoredErrors>
    <ignoredError sqref="H18 H24 I53" formula="1"/>
    <ignoredError sqref="I42" evalError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2</vt:i4>
      </vt:variant>
    </vt:vector>
  </HeadingPairs>
  <TitlesOfParts>
    <vt:vector size="8" baseType="lpstr">
      <vt:lpstr>Positionnement</vt:lpstr>
      <vt:lpstr>Coûts salariaux actuels (ok)</vt:lpstr>
      <vt:lpstr>Coûts salariaux</vt:lpstr>
      <vt:lpstr>économie</vt:lpstr>
      <vt:lpstr>Payroll</vt:lpstr>
      <vt:lpstr>Bulletins</vt:lpstr>
      <vt:lpstr>LST_PAYROLL_NOMS</vt:lpstr>
      <vt:lpstr>V_LIG_PAYROLL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ruault_l</dc:creator>
  <cp:lastModifiedBy>François ROUZE</cp:lastModifiedBy>
  <cp:lastPrinted>2023-10-19T11:52:27Z</cp:lastPrinted>
  <dcterms:created xsi:type="dcterms:W3CDTF">2010-11-22T13:17:20Z</dcterms:created>
  <dcterms:modified xsi:type="dcterms:W3CDTF">2025-02-25T15:48:57Z</dcterms:modified>
</cp:coreProperties>
</file>