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F5BDBE27-4182-4EE7-8E40-F58FDC4AB494}" xr6:coauthVersionLast="36" xr6:coauthVersionMax="47" xr10:uidLastSave="{00000000-0000-0000-0000-000000000000}"/>
  <bookViews>
    <workbookView xWindow="-1596" yWindow="-14112" windowWidth="21600" windowHeight="11832" tabRatio="862" activeTab="2" xr2:uid="{4B92E2AA-46BA-49FC-92FA-4412C1311B41}"/>
  </bookViews>
  <sheets>
    <sheet name="MENU" sheetId="6" r:id="rId1"/>
    <sheet name="DONNEES" sheetId="7" r:id="rId2"/>
    <sheet name="EXCHANGE" sheetId="28" r:id="rId3"/>
    <sheet name="MOTOR WITH CONTACT" sheetId="50" r:id="rId4"/>
    <sheet name="RECAP CABLE" sheetId="10" r:id="rId5"/>
  </sheets>
  <definedNames>
    <definedName name="_Toc85181579" localSheetId="2">EXCHANGE!$B$1</definedName>
    <definedName name="section1">DONNEES!$L$2:$L$33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 i="10" l="1"/>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D289" i="50" l="1"/>
  <c r="C289" i="50"/>
  <c r="D289" i="28"/>
  <c r="C289" i="28"/>
  <c r="D262" i="28" l="1"/>
  <c r="D272" i="28"/>
  <c r="D272" i="50"/>
  <c r="C272" i="28"/>
  <c r="C272" i="50"/>
  <c r="C271" i="28"/>
  <c r="C271" i="50"/>
  <c r="D291" i="50" l="1"/>
  <c r="C291" i="50"/>
  <c r="D290" i="50"/>
  <c r="C290" i="50"/>
  <c r="D288" i="50"/>
  <c r="C288" i="50"/>
  <c r="D287" i="50"/>
  <c r="C287" i="50"/>
  <c r="D286" i="50"/>
  <c r="C286" i="50"/>
  <c r="D285" i="50"/>
  <c r="C285" i="50"/>
  <c r="D284" i="50"/>
  <c r="C284" i="50"/>
  <c r="D283" i="50"/>
  <c r="C283" i="50"/>
  <c r="D282" i="50"/>
  <c r="C282" i="50"/>
  <c r="D281" i="50"/>
  <c r="C281" i="50"/>
  <c r="D280" i="50"/>
  <c r="C280" i="50"/>
  <c r="D279" i="50"/>
  <c r="C279" i="50"/>
  <c r="D278" i="50"/>
  <c r="C278" i="50"/>
  <c r="D277" i="50"/>
  <c r="C277" i="50"/>
  <c r="D276" i="50"/>
  <c r="C276" i="50"/>
  <c r="D275" i="50"/>
  <c r="C275" i="50"/>
  <c r="D274" i="50"/>
  <c r="C274" i="50"/>
  <c r="D273" i="50"/>
  <c r="C273" i="50"/>
  <c r="D271" i="50"/>
  <c r="D270" i="50"/>
  <c r="C270" i="50"/>
  <c r="D269" i="50"/>
  <c r="C269" i="50"/>
  <c r="D268" i="50"/>
  <c r="C268" i="50"/>
  <c r="D267" i="50"/>
  <c r="C267" i="50"/>
  <c r="D266" i="50"/>
  <c r="C266" i="50"/>
  <c r="D265" i="50"/>
  <c r="C265" i="50"/>
  <c r="D264" i="50"/>
  <c r="C264" i="50"/>
  <c r="D263" i="50"/>
  <c r="C263" i="50"/>
  <c r="D262" i="50"/>
  <c r="C262" i="50"/>
  <c r="F45" i="50"/>
  <c r="F44" i="50"/>
  <c r="F43" i="50"/>
  <c r="F42" i="50"/>
  <c r="F41" i="50"/>
  <c r="F40" i="50"/>
  <c r="F39" i="50"/>
  <c r="F38" i="50"/>
  <c r="F37" i="50"/>
  <c r="F36" i="50"/>
  <c r="F35" i="50"/>
  <c r="F34" i="50"/>
  <c r="F5" i="28" l="1"/>
  <c r="F6" i="28"/>
  <c r="F7" i="28"/>
  <c r="F8" i="28"/>
  <c r="F9" i="28"/>
  <c r="F10" i="28"/>
  <c r="F11" i="28"/>
  <c r="F12" i="28"/>
  <c r="F13" i="28"/>
  <c r="F14" i="28"/>
  <c r="F15" i="28"/>
  <c r="F4" i="28"/>
  <c r="C290" i="28"/>
  <c r="E41" i="10" s="1"/>
  <c r="C288" i="28"/>
  <c r="E40" i="10" s="1"/>
  <c r="C287" i="28"/>
  <c r="C286" i="28"/>
  <c r="C285" i="28"/>
  <c r="C284" i="28"/>
  <c r="C283" i="28"/>
  <c r="C282" i="28"/>
  <c r="C281" i="28"/>
  <c r="C280" i="28"/>
  <c r="C279" i="28"/>
  <c r="C278" i="28"/>
  <c r="C277" i="28"/>
  <c r="C276" i="28"/>
  <c r="C275" i="28"/>
  <c r="C274" i="28"/>
  <c r="C273" i="28"/>
  <c r="C270" i="28"/>
  <c r="C269" i="28"/>
  <c r="C268" i="28"/>
  <c r="C266" i="28"/>
  <c r="C265" i="28"/>
  <c r="C264" i="28"/>
  <c r="C263" i="28"/>
  <c r="C262" i="28"/>
  <c r="E23" i="10" l="1"/>
  <c r="E36" i="10"/>
  <c r="E28" i="10"/>
  <c r="D291" i="28"/>
  <c r="C291" i="28"/>
  <c r="E42" i="10" s="1"/>
  <c r="D290" i="28"/>
  <c r="D288" i="28"/>
  <c r="D287" i="28"/>
  <c r="D286" i="28"/>
  <c r="E37" i="10" s="1"/>
  <c r="D285" i="28"/>
  <c r="D284" i="28"/>
  <c r="E35" i="10" s="1"/>
  <c r="D283" i="28"/>
  <c r="E34" i="10" s="1"/>
  <c r="D282" i="28"/>
  <c r="D281" i="28"/>
  <c r="D280" i="28"/>
  <c r="E31" i="10" s="1"/>
  <c r="D279" i="28"/>
  <c r="E30" i="10" s="1"/>
  <c r="D278" i="28"/>
  <c r="E29" i="10" s="1"/>
  <c r="D277" i="28"/>
  <c r="D276" i="28"/>
  <c r="D275" i="28"/>
  <c r="E26" i="10" s="1"/>
  <c r="D274" i="28"/>
  <c r="D273" i="28"/>
  <c r="E24" i="10" s="1"/>
  <c r="D271" i="28"/>
  <c r="D270" i="28"/>
  <c r="D269" i="28"/>
  <c r="E20" i="10" s="1"/>
  <c r="D268" i="28"/>
  <c r="D267" i="28"/>
  <c r="D266" i="28"/>
  <c r="E17" i="10" s="1"/>
  <c r="D265" i="28"/>
  <c r="D264" i="28"/>
  <c r="D263" i="28"/>
  <c r="E14" i="10" s="1"/>
  <c r="E13" i="10"/>
  <c r="A6" i="10"/>
  <c r="E21" i="10" l="1"/>
  <c r="E22" i="10"/>
  <c r="E39" i="10"/>
  <c r="E25" i="10"/>
  <c r="E33" i="10"/>
  <c r="E27" i="10"/>
  <c r="E32" i="10"/>
  <c r="E15" i="10"/>
  <c r="E16" i="10"/>
  <c r="E18" i="10"/>
  <c r="E19" i="10"/>
  <c r="E38" i="10"/>
</calcChain>
</file>

<file path=xl/sharedStrings.xml><?xml version="1.0" encoding="utf-8"?>
<sst xmlns="http://schemas.openxmlformats.org/spreadsheetml/2006/main" count="451" uniqueCount="218">
  <si>
    <t xml:space="preserve">From </t>
  </si>
  <si>
    <t xml:space="preserve">Terminal </t>
  </si>
  <si>
    <t xml:space="preserve">Cable Mark </t>
  </si>
  <si>
    <t xml:space="preserve">Wire number </t>
  </si>
  <si>
    <t xml:space="preserve">To </t>
  </si>
  <si>
    <t>Cable trays</t>
  </si>
  <si>
    <t>DATE</t>
  </si>
  <si>
    <t xml:space="preserve">Length of Cable </t>
  </si>
  <si>
    <t>GND</t>
  </si>
  <si>
    <t>MENU</t>
  </si>
  <si>
    <t>PG</t>
  </si>
  <si>
    <t>générality1</t>
  </si>
  <si>
    <t>architecture</t>
  </si>
  <si>
    <t>Electrical cabinet</t>
  </si>
  <si>
    <t>Operateur panel</t>
  </si>
  <si>
    <t>SHIELD</t>
  </si>
  <si>
    <t>Grey</t>
  </si>
  <si>
    <t>Black</t>
  </si>
  <si>
    <t>Brown</t>
  </si>
  <si>
    <t>Sandrine BAJAS</t>
  </si>
  <si>
    <t>Benoit LACROIX</t>
  </si>
  <si>
    <t>Emmanuel BERTHIER</t>
  </si>
  <si>
    <t xml:space="preserve">Augustin FERRAND </t>
  </si>
  <si>
    <t>H05VV5-F</t>
  </si>
  <si>
    <t>3G1 mm²</t>
  </si>
  <si>
    <t>2YSLCY-K</t>
  </si>
  <si>
    <t>5G1 mm²</t>
  </si>
  <si>
    <t>U1000-R2V</t>
  </si>
  <si>
    <t>7G1 mm²</t>
  </si>
  <si>
    <t>U1000-H07</t>
  </si>
  <si>
    <t>12G1 mm²</t>
  </si>
  <si>
    <t>PROFINET</t>
  </si>
  <si>
    <t>19G1 mm²</t>
  </si>
  <si>
    <t>27G1 mm²</t>
  </si>
  <si>
    <t>3G1,5 mm²</t>
  </si>
  <si>
    <t>3G2,5 mm²</t>
  </si>
  <si>
    <t>5G2,5 mm²</t>
  </si>
  <si>
    <t>4G1,5 mm²</t>
  </si>
  <si>
    <t>4G2,5 mm²</t>
  </si>
  <si>
    <t>4G1,5 mm² (Shield)</t>
  </si>
  <si>
    <t>4G2,5 mm² (Shield)</t>
  </si>
  <si>
    <t>4G4 mm² (Shield)</t>
  </si>
  <si>
    <t>4G6 mm² (Shield)</t>
  </si>
  <si>
    <t>6XV1840-2AH10</t>
  </si>
  <si>
    <t>3G1 mm² (Shield)</t>
  </si>
  <si>
    <t>Shielded cable
3 x 1,5mm² +
GND (1000V)</t>
  </si>
  <si>
    <t>Shielded cable
3 x 2,5mm² +
GND (1000V)</t>
  </si>
  <si>
    <t>Shielded cable
3 x 4mm² +
GND (1000V)</t>
  </si>
  <si>
    <t>3 x 1,5mm² +
GND (1000V)</t>
  </si>
  <si>
    <t>3 x 2,5mm² +
GND (1000V)</t>
  </si>
  <si>
    <t>3 x 4mm² +
GND (1000V)</t>
  </si>
  <si>
    <t>3 x 6mm² +
GND (1000V)</t>
  </si>
  <si>
    <t>3 x 10mm² +
GND (1000V)</t>
  </si>
  <si>
    <t>3 x 16mm² +
GND (1000V)</t>
  </si>
  <si>
    <t>3 x 25mm² +
GND (1000V)</t>
  </si>
  <si>
    <t>3 x 35mm² +
GND (1000V)</t>
  </si>
  <si>
    <t>3 x 50mm² +
GND (1000V)</t>
  </si>
  <si>
    <t>3 x 70mm² +
GND (1000V)</t>
  </si>
  <si>
    <t>Shielded cable
3 x 6mm² +
GND (1000V)</t>
  </si>
  <si>
    <t>Shielded cable
3 x 10mm² +
GND (1000V)</t>
  </si>
  <si>
    <t>Shielded cable
3 x 16mm² +
GND (1000V)</t>
  </si>
  <si>
    <t>Shielded cable
3 x 25mm² +
GND (1000V)</t>
  </si>
  <si>
    <t>Shielded cable
3 x 35mm² +
GND (1000V)</t>
  </si>
  <si>
    <t>Shielded cable
3 x 50mm² +
GND (1000V)</t>
  </si>
  <si>
    <t>Shielded cable
3 x 70mm² +
GND (1000V)</t>
  </si>
  <si>
    <t>Shielded cable
3 x 95mm² +
GND (1000V)</t>
  </si>
  <si>
    <t>Weighing feeder N°2</t>
  </si>
  <si>
    <t>Connecting box</t>
  </si>
  <si>
    <t>B3209-10204-05</t>
  </si>
  <si>
    <t>total cable</t>
  </si>
  <si>
    <t>Type</t>
  </si>
  <si>
    <t>Cross section</t>
  </si>
  <si>
    <t>Length [m]</t>
  </si>
  <si>
    <t>Bare copper</t>
  </si>
  <si>
    <t>Cu nu 25mm²</t>
  </si>
  <si>
    <t>Earthing  cable
25 mm²</t>
  </si>
  <si>
    <t>DONNEES</t>
  </si>
  <si>
    <t>COLLECTING CONVEYOR</t>
  </si>
  <si>
    <t>OILING DEVICE</t>
  </si>
  <si>
    <t>Type of cable</t>
  </si>
  <si>
    <t>U</t>
  </si>
  <si>
    <t>V</t>
  </si>
  <si>
    <t>W</t>
  </si>
  <si>
    <t>B</t>
  </si>
  <si>
    <t>T</t>
  </si>
  <si>
    <t>CHIMNEY</t>
  </si>
  <si>
    <t>4G4 mm²</t>
  </si>
  <si>
    <t>4G6 mm²</t>
  </si>
  <si>
    <t>4G10 mm²</t>
  </si>
  <si>
    <t>4G16 mm²</t>
  </si>
  <si>
    <t>4G25 mm²</t>
  </si>
  <si>
    <t>4G35 mm²</t>
  </si>
  <si>
    <t>4G50 mm²</t>
  </si>
  <si>
    <t>4G70 mm²</t>
  </si>
  <si>
    <t>4G10 mm² (Shield)</t>
  </si>
  <si>
    <t>4G16 mm² (Shield)</t>
  </si>
  <si>
    <t>4G25 mm² (Shield)</t>
  </si>
  <si>
    <t>4G35 mm² (Shield)</t>
  </si>
  <si>
    <t>4G50 mm² (Shield)</t>
  </si>
  <si>
    <t>4G70 mm² (Shield)</t>
  </si>
  <si>
    <t>4G95 mm² (Shield)</t>
  </si>
  <si>
    <t>VT560TRD</t>
  </si>
  <si>
    <t>FLAP CVO</t>
  </si>
  <si>
    <t>FLAP DTA</t>
  </si>
  <si>
    <t>FLAP DFL</t>
  </si>
  <si>
    <t>DMX</t>
  </si>
  <si>
    <t>WEIG.FEED 1</t>
  </si>
  <si>
    <t>OH1000 N°1</t>
  </si>
  <si>
    <t>SUPERMIX</t>
  </si>
  <si>
    <t>360°</t>
  </si>
  <si>
    <t>U2</t>
  </si>
  <si>
    <t>V2</t>
  </si>
  <si>
    <t>W2</t>
  </si>
  <si>
    <t>PE</t>
  </si>
  <si>
    <t>Shielded cable
2 x 1mm² +
GND (500V)</t>
  </si>
  <si>
    <t>L</t>
  </si>
  <si>
    <t>E</t>
  </si>
  <si>
    <t>Stand-by</t>
  </si>
  <si>
    <t>CHUTE FEED EXEL</t>
  </si>
  <si>
    <t>PROFINET CABLE</t>
  </si>
  <si>
    <t>PROFINET CABLE
6XV1840-2AH10</t>
  </si>
  <si>
    <r>
      <t xml:space="preserve">ELECTRICAL CABINET
10xxx90x
</t>
    </r>
    <r>
      <rPr>
        <b/>
        <i/>
        <u/>
        <sz val="12"/>
        <color rgb="FF002060"/>
        <rFont val="Calibri"/>
        <family val="2"/>
        <scheme val="minor"/>
      </rPr>
      <t xml:space="preserve">DOOR </t>
    </r>
    <r>
      <rPr>
        <b/>
        <u/>
        <sz val="12"/>
        <color rgb="FF002060"/>
        <rFont val="Calibri"/>
        <family val="2"/>
        <scheme val="minor"/>
      </rPr>
      <t xml:space="preserve">
</t>
    </r>
    <r>
      <rPr>
        <b/>
        <i/>
        <u/>
        <sz val="12"/>
        <color rgb="FF002060"/>
        <rFont val="Calibri"/>
        <family val="2"/>
        <scheme val="minor"/>
      </rPr>
      <t>X….</t>
    </r>
  </si>
  <si>
    <t>EXCHANGE</t>
  </si>
  <si>
    <t>NEXT MACHINE</t>
  </si>
  <si>
    <t>ELECTRICAL CABINET
CARDE</t>
  </si>
  <si>
    <t>W-CARD-01</t>
  </si>
  <si>
    <r>
      <t xml:space="preserve">ELECTRICAL CABINET
10xxx90x
</t>
    </r>
    <r>
      <rPr>
        <b/>
        <sz val="11"/>
        <color rgb="FF002060"/>
        <rFont val="Calibri"/>
        <family val="2"/>
        <scheme val="minor"/>
      </rPr>
      <t>CPU-S7-1515
X2-P1</t>
    </r>
  </si>
  <si>
    <t>FILTRATION</t>
  </si>
  <si>
    <t>A</t>
  </si>
  <si>
    <r>
      <t xml:space="preserve">ELECTRICAL CABINET
10xxx90x
</t>
    </r>
    <r>
      <rPr>
        <b/>
        <i/>
        <u/>
        <sz val="12"/>
        <color rgb="FF002060"/>
        <rFont val="Calibri"/>
        <family val="2"/>
        <scheme val="minor"/>
      </rPr>
      <t>DOOR 
Inverter Axxx</t>
    </r>
  </si>
  <si>
    <t>W-xx/1</t>
  </si>
  <si>
    <t>COD HPV</t>
  </si>
  <si>
    <t>COD FC</t>
  </si>
  <si>
    <t>EXEL CYL.1</t>
  </si>
  <si>
    <t>EXEL CYL.2</t>
  </si>
  <si>
    <t>MOTEUR ONLY</t>
  </si>
  <si>
    <t>MOTOR WITH CONTACT</t>
  </si>
  <si>
    <t>RECAP CABLE</t>
  </si>
  <si>
    <t>ETHERNET</t>
  </si>
  <si>
    <t>Customer: CUSTOMER (PAYS)</t>
  </si>
  <si>
    <t>VERTICAL RESERVE</t>
  </si>
  <si>
    <t>AIR-LAY</t>
  </si>
  <si>
    <t>C</t>
  </si>
  <si>
    <t>SEREL</t>
  </si>
  <si>
    <t>CUTTING SYSTEM</t>
  </si>
  <si>
    <t>MAT FORMER</t>
  </si>
  <si>
    <t>SUPERTRIM</t>
  </si>
  <si>
    <t>PO1000 N°1</t>
  </si>
  <si>
    <t>Nicolas POUILLON</t>
  </si>
  <si>
    <t>2 x 1mm² +
GND (500V)</t>
  </si>
  <si>
    <t>4 x 1mm² +
GND (500V)</t>
  </si>
  <si>
    <t>6 x 1mm² +
GND (500V)</t>
  </si>
  <si>
    <t>11 x 1mm² +
GND (500V)</t>
  </si>
  <si>
    <t>18 x 1mm² +
GND (500V)</t>
  </si>
  <si>
    <t>26 x 1mm² +
GND (500V)</t>
  </si>
  <si>
    <t>2 x 1,5mm² +
GND (500V)</t>
  </si>
  <si>
    <t>2 x 2,5mm² +
GND (500V)</t>
  </si>
  <si>
    <t>4 x 2,5mm² +
GND (500V)</t>
  </si>
  <si>
    <t>CONTACT ONLY</t>
  </si>
  <si>
    <t>DIVERTING SYSTEM</t>
  </si>
  <si>
    <t>BAGGING</t>
  </si>
  <si>
    <t>CHUTE FEED JUMBO</t>
  </si>
  <si>
    <t>JUMBO CYL.1</t>
  </si>
  <si>
    <t>JUMBO CYL.2</t>
  </si>
  <si>
    <t>CHUTE FEED STEP CLEANER</t>
  </si>
  <si>
    <t>STEP CLEANER</t>
  </si>
  <si>
    <t>BALE BUSTER</t>
  </si>
  <si>
    <t>NB CABLE</t>
  </si>
  <si>
    <t>All cable</t>
  </si>
  <si>
    <t>Electrical cabinet 10xxx901</t>
  </si>
  <si>
    <t>cable inverter</t>
  </si>
  <si>
    <t>VT540TR</t>
  </si>
  <si>
    <t>INDICE</t>
  </si>
  <si>
    <t>MODIFICATION</t>
  </si>
  <si>
    <t>MISE A JOUR NOM DE MACHINE</t>
  </si>
  <si>
    <t>Cable cross-section provided for information only, certain assumptions have been made, does not take into account special cases, installation method, environment, etc...
In all cases, it is the user's responsibility to ensure that all data is correct and that the cable used is suitable for its intended purpose.</t>
  </si>
  <si>
    <t>Section des câbles fournie à titre indicatif, certaines hypothèses ont été faites, ne prend pas en compte les cas particuliers, le mode de pose, l’environnement, etc...
Dans tous les cas, il incombe à l’utilisateur de s’assurer que toutes les données sont correctes et que le câble utilisé est adapté à sa destination.</t>
  </si>
  <si>
    <t>RECYCLING</t>
  </si>
  <si>
    <r>
      <t xml:space="preserve">ELECTRICAL CABINET
10xxx90x
</t>
    </r>
    <r>
      <rPr>
        <b/>
        <i/>
        <u/>
        <sz val="12"/>
        <color rgb="FF002060"/>
        <rFont val="Calibri"/>
        <family val="2"/>
        <scheme val="minor"/>
      </rPr>
      <t xml:space="preserve">DOOR </t>
    </r>
    <r>
      <rPr>
        <b/>
        <u/>
        <sz val="12"/>
        <color rgb="FF002060"/>
        <rFont val="Calibri"/>
        <family val="2"/>
        <scheme val="minor"/>
      </rPr>
      <t xml:space="preserve">
</t>
    </r>
    <r>
      <rPr>
        <b/>
        <i/>
        <u/>
        <sz val="12"/>
        <color rgb="FF002060"/>
        <rFont val="Calibri"/>
        <family val="2"/>
        <scheme val="minor"/>
      </rPr>
      <t>X,,,</t>
    </r>
  </si>
  <si>
    <t>AJOUT ONGLET RECYCLING</t>
  </si>
  <si>
    <t>mise a jour des COLONNE de cable de puissance</t>
  </si>
  <si>
    <t>STARCUT</t>
  </si>
  <si>
    <t>D</t>
  </si>
  <si>
    <t>BLENDING BOX SILO S</t>
  </si>
  <si>
    <t>BLENDING BOX DOUBLE 1</t>
  </si>
  <si>
    <t>BLENDING BOX DOUBLE 2</t>
  </si>
  <si>
    <t>AJOUT ONGLET STARCUT / SILO DOUBLE ET HOPPER FEEDER</t>
  </si>
  <si>
    <t>HOPP.FEED</t>
  </si>
  <si>
    <t>4x1 mm² (Shield)</t>
  </si>
  <si>
    <t>4x0,5 mm²</t>
  </si>
  <si>
    <t>Shielded cable
4 x 0,5mm² (500V)</t>
  </si>
  <si>
    <r>
      <rPr>
        <b/>
        <sz val="12"/>
        <color theme="1"/>
        <rFont val="Times New Roman"/>
        <family val="1"/>
      </rPr>
      <t>Shielded cable</t>
    </r>
    <r>
      <rPr>
        <sz val="12"/>
        <color theme="1"/>
        <rFont val="Times New Roman"/>
        <family val="1"/>
      </rPr>
      <t xml:space="preserve">
4 x 0,5mm² (500V)</t>
    </r>
  </si>
  <si>
    <t>COD SP</t>
  </si>
  <si>
    <t>COD BWC</t>
  </si>
  <si>
    <t>BFBO</t>
  </si>
  <si>
    <t>Ajout onglet BWC/BFBO/COD SP et cable 4x0,5</t>
  </si>
  <si>
    <t>F</t>
  </si>
  <si>
    <t>mise a jour des COLONNE</t>
  </si>
  <si>
    <t>CAETTE CYL.1</t>
  </si>
  <si>
    <t>CAETTE CYL.2</t>
  </si>
  <si>
    <t>G</t>
  </si>
  <si>
    <t>Ajout onglet cadette Cyl 1 et 2</t>
  </si>
  <si>
    <t>WMS/1</t>
  </si>
  <si>
    <t>WV01/1</t>
  </si>
  <si>
    <t>WMxxx/1</t>
  </si>
  <si>
    <t>H</t>
  </si>
  <si>
    <t>Changement item moteur</t>
  </si>
  <si>
    <t>TABLIER INCL1</t>
  </si>
  <si>
    <t>i</t>
  </si>
  <si>
    <t>SCREENER</t>
  </si>
  <si>
    <t>WASTE</t>
  </si>
  <si>
    <t>Ajout onglet Tab incliné avec DMX + Waste hemp +screener</t>
  </si>
  <si>
    <t>4G120 mm² (Shield)</t>
  </si>
  <si>
    <t>Shielded cable
3 x 120mm² +
GND (1000V)</t>
  </si>
  <si>
    <t>DZ</t>
  </si>
  <si>
    <t>j</t>
  </si>
  <si>
    <t>Ajout ligne 120mm² shield</t>
  </si>
  <si>
    <t>Length [m]3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</si>
</sst>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0"/>
      <color rgb="FF000000"/>
      <name val="Times New Roman"/>
      <family val="1"/>
    </font>
    <font>
      <sz val="14"/>
      <color theme="1"/>
      <name val="Times New Roman"/>
      <family val="1"/>
    </font>
    <font>
      <sz val="12"/>
      <color theme="1"/>
      <name val="Times New Roman"/>
      <family val="1"/>
    </font>
    <font>
      <b/>
      <u/>
      <sz val="20"/>
      <color theme="1"/>
      <name val="Times New Roman"/>
      <family val="1"/>
    </font>
    <font>
      <b/>
      <sz val="12"/>
      <color theme="1"/>
      <name val="Times New Roman"/>
      <family val="1"/>
    </font>
    <font>
      <b/>
      <sz val="14"/>
      <color theme="1"/>
      <name val="Times New Roman"/>
      <family val="1"/>
    </font>
    <font>
      <sz val="10"/>
      <name val="Arial"/>
      <family val="2"/>
    </font>
    <font>
      <sz val="14"/>
      <color theme="1"/>
      <name val="Calibri"/>
      <family val="2"/>
      <scheme val="minor"/>
    </font>
    <font>
      <b/>
      <u/>
      <sz val="14"/>
      <color rgb="FF008000"/>
      <name val="Times New Roman"/>
      <family val="1"/>
    </font>
    <font>
      <sz val="10"/>
      <color rgb="FFFF0000"/>
      <name val="Arial"/>
      <family val="2"/>
    </font>
    <font>
      <sz val="12"/>
      <color theme="1"/>
      <name val="Calibri"/>
      <family val="2"/>
      <scheme val="minor"/>
    </font>
    <font>
      <sz val="12"/>
      <color rgb="FF002060"/>
      <name val="Calibri"/>
      <family val="2"/>
      <scheme val="minor"/>
    </font>
    <font>
      <b/>
      <i/>
      <u/>
      <sz val="12"/>
      <color rgb="FF002060"/>
      <name val="Calibri"/>
      <family val="2"/>
      <scheme val="minor"/>
    </font>
    <font>
      <b/>
      <u/>
      <sz val="12"/>
      <color rgb="FF002060"/>
      <name val="Calibri"/>
      <family val="2"/>
      <scheme val="minor"/>
    </font>
    <font>
      <b/>
      <sz val="12"/>
      <color theme="1"/>
      <name val="Calibri"/>
      <family val="2"/>
      <scheme val="minor"/>
    </font>
    <font>
      <b/>
      <sz val="14"/>
      <color theme="1"/>
      <name val="Calibri"/>
      <family val="2"/>
      <scheme val="minor"/>
    </font>
    <font>
      <sz val="11"/>
      <color theme="1"/>
      <name val="Times New Roman"/>
      <family val="1"/>
    </font>
    <font>
      <sz val="8"/>
      <name val="Calibri"/>
      <family val="2"/>
      <scheme val="minor"/>
    </font>
    <font>
      <sz val="10"/>
      <color rgb="FF000000"/>
      <name val="Calibri"/>
      <family val="2"/>
      <scheme val="minor"/>
    </font>
    <font>
      <sz val="12"/>
      <color rgb="FF000000"/>
      <name val="Calibri"/>
      <family val="2"/>
      <scheme val="minor"/>
    </font>
    <font>
      <b/>
      <sz val="12"/>
      <color rgb="FF000000"/>
      <name val="Calibri"/>
      <family val="2"/>
      <scheme val="minor"/>
    </font>
    <font>
      <sz val="11"/>
      <color rgb="FF000000"/>
      <name val="Calibri"/>
      <family val="2"/>
      <scheme val="minor"/>
    </font>
    <font>
      <sz val="14"/>
      <color rgb="FF000000"/>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sz val="12"/>
      <name val="Arial"/>
      <family val="2"/>
    </font>
    <font>
      <b/>
      <sz val="14"/>
      <color rgb="FF000000"/>
      <name val="Calibri"/>
      <family val="2"/>
      <scheme val="minor"/>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000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1">
    <xf numFmtId="0" fontId="0" fillId="0" borderId="0"/>
  </cellStyleXfs>
  <cellXfs count="103">
    <xf numFmtId="0" fontId="0" fillId="0" borderId="0" xfId="0"/>
    <xf numFmtId="0" fontId="7" fillId="0" borderId="0" xfId="0" applyFont="1"/>
    <xf numFmtId="0" fontId="0" fillId="0" borderId="0" xfId="0" applyAlignment="1">
      <alignment vertical="top"/>
    </xf>
    <xf numFmtId="0" fontId="7" fillId="0" borderId="0" xfId="0" applyFont="1" applyAlignment="1">
      <alignment vertical="top"/>
    </xf>
    <xf numFmtId="0" fontId="6" fillId="0" borderId="0" xfId="0" applyFont="1" applyAlignment="1">
      <alignment horizontal="center" vertical="center"/>
    </xf>
    <xf numFmtId="0" fontId="2" fillId="0" borderId="0" xfId="0" applyFont="1" applyAlignment="1">
      <alignment horizontal="center" vertical="center"/>
    </xf>
    <xf numFmtId="0" fontId="9" fillId="0" borderId="0" xfId="0" applyFont="1"/>
    <xf numFmtId="0" fontId="8" fillId="0" borderId="0" xfId="0" applyFont="1" applyAlignment="1">
      <alignment horizontal="right" vertical="center"/>
    </xf>
    <xf numFmtId="0" fontId="0" fillId="0" borderId="1" xfId="0" applyBorder="1"/>
    <xf numFmtId="0" fontId="0" fillId="5" borderId="1" xfId="0" applyFill="1" applyBorder="1"/>
    <xf numFmtId="14" fontId="0" fillId="0" borderId="1" xfId="0" applyNumberFormat="1" applyBorder="1"/>
    <xf numFmtId="0" fontId="2" fillId="0" borderId="0" xfId="0" applyFont="1" applyAlignment="1" applyProtection="1">
      <alignment horizontal="right" vertical="center"/>
      <protection locked="0"/>
    </xf>
    <xf numFmtId="0" fontId="8" fillId="0" borderId="0" xfId="0" applyFont="1" applyAlignment="1" applyProtection="1">
      <alignment horizontal="left" vertical="center"/>
      <protection locked="0"/>
    </xf>
    <xf numFmtId="0" fontId="0" fillId="0" borderId="0" xfId="0" applyAlignment="1" applyProtection="1">
      <alignment horizontal="center" vertical="center"/>
      <protection locked="0"/>
    </xf>
    <xf numFmtId="0" fontId="0" fillId="0" borderId="0" xfId="0" applyProtection="1">
      <protection locked="0"/>
    </xf>
    <xf numFmtId="0" fontId="1"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protection locked="0"/>
    </xf>
    <xf numFmtId="0" fontId="24" fillId="0" borderId="1" xfId="0" applyFont="1" applyBorder="1" applyAlignment="1" applyProtection="1">
      <alignment horizontal="center" vertical="center"/>
      <protection locked="0"/>
    </xf>
    <xf numFmtId="0" fontId="7" fillId="0" borderId="8" xfId="0" applyFont="1" applyBorder="1" applyAlignment="1" applyProtection="1">
      <alignment horizontal="centerContinuous" vertical="top"/>
    </xf>
    <xf numFmtId="0" fontId="0" fillId="0" borderId="0" xfId="0" applyAlignment="1" applyProtection="1">
      <alignment horizontal="center" vertical="center"/>
    </xf>
    <xf numFmtId="0" fontId="7" fillId="0" borderId="10" xfId="0" applyFont="1" applyBorder="1" applyAlignment="1" applyProtection="1">
      <alignment horizontal="centerContinuous" vertical="top"/>
    </xf>
    <xf numFmtId="0" fontId="7" fillId="0" borderId="6" xfId="0" applyFont="1" applyBorder="1" applyAlignment="1" applyProtection="1">
      <alignment horizontal="centerContinuous" vertical="top"/>
    </xf>
    <xf numFmtId="0" fontId="12" fillId="0" borderId="1" xfId="0" applyFont="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11" fillId="0" borderId="1"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xf>
    <xf numFmtId="0" fontId="0" fillId="0" borderId="0" xfId="0" applyAlignment="1">
      <alignment horizontal="center"/>
    </xf>
    <xf numFmtId="0" fontId="12"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0" fillId="0" borderId="0" xfId="0" applyAlignment="1">
      <alignment horizontal="center" wrapText="1"/>
    </xf>
    <xf numFmtId="0" fontId="0" fillId="0" borderId="0" xfId="0" applyAlignment="1">
      <alignment horizontal="center"/>
    </xf>
    <xf numFmtId="0" fontId="4" fillId="4" borderId="0" xfId="0" applyFont="1" applyFill="1" applyAlignment="1">
      <alignment horizontal="center" vertical="center"/>
    </xf>
    <xf numFmtId="0" fontId="27" fillId="0" borderId="1" xfId="0" applyFont="1" applyBorder="1" applyAlignment="1">
      <alignment horizontal="center" vertical="top"/>
    </xf>
    <xf numFmtId="0" fontId="16" fillId="4" borderId="1" xfId="0" applyFont="1" applyFill="1" applyBorder="1" applyAlignment="1">
      <alignment horizontal="center"/>
    </xf>
    <xf numFmtId="0" fontId="7" fillId="3" borderId="2" xfId="0" quotePrefix="1" applyFont="1" applyFill="1" applyBorder="1" applyAlignment="1" applyProtection="1">
      <alignment horizontal="center" vertical="center" wrapText="1"/>
      <protection locked="0"/>
    </xf>
    <xf numFmtId="0" fontId="7" fillId="0" borderId="3" xfId="0" applyFont="1" applyBorder="1" applyAlignment="1" applyProtection="1">
      <alignment vertical="top"/>
      <protection locked="0"/>
    </xf>
    <xf numFmtId="0" fontId="7" fillId="0" borderId="1" xfId="0" applyFont="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0" fillId="0" borderId="0" xfId="0" applyFont="1" applyAlignment="1" applyProtection="1">
      <alignment horizontal="center" vertical="center"/>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protection locked="0"/>
    </xf>
    <xf numFmtId="0" fontId="15" fillId="0" borderId="5"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5" fillId="0" borderId="7"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protection locked="0"/>
    </xf>
    <xf numFmtId="0" fontId="15" fillId="0" borderId="9" xfId="0" applyFont="1" applyBorder="1" applyAlignment="1" applyProtection="1">
      <alignment horizontal="center" vertical="center" wrapText="1"/>
      <protection locked="0"/>
    </xf>
    <xf numFmtId="0" fontId="0" fillId="0" borderId="1" xfId="0" applyFont="1" applyBorder="1" applyAlignment="1" applyProtection="1">
      <alignment horizontal="center" vertical="center"/>
      <protection locked="0"/>
    </xf>
    <xf numFmtId="0" fontId="0" fillId="0" borderId="1" xfId="0" applyFont="1" applyBorder="1" applyAlignment="1" applyProtection="1">
      <alignment horizontal="center" vertical="center" wrapText="1"/>
      <protection locked="0"/>
    </xf>
    <xf numFmtId="0" fontId="0" fillId="0" borderId="0" xfId="0" applyFont="1" applyAlignment="1" applyProtection="1">
      <alignment horizontal="right" vertical="center"/>
      <protection locked="0"/>
    </xf>
    <xf numFmtId="0" fontId="22"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0" fillId="0" borderId="0" xfId="0" applyFont="1" applyAlignment="1" applyProtection="1">
      <alignment horizontal="center" vertical="center"/>
    </xf>
    <xf numFmtId="0" fontId="7" fillId="3" borderId="11" xfId="0" quotePrefix="1" applyFont="1" applyFill="1" applyBorder="1" applyAlignment="1" applyProtection="1">
      <alignment horizontal="center" vertical="center" wrapText="1"/>
      <protection locked="0"/>
    </xf>
    <xf numFmtId="0" fontId="7" fillId="3" borderId="12" xfId="0" quotePrefix="1" applyFont="1" applyFill="1" applyBorder="1" applyAlignment="1" applyProtection="1">
      <alignment horizontal="center" vertical="center" wrapText="1"/>
      <protection locked="0"/>
    </xf>
    <xf numFmtId="0" fontId="7" fillId="3" borderId="13" xfId="0" quotePrefix="1" applyFont="1" applyFill="1" applyBorder="1" applyAlignment="1" applyProtection="1">
      <alignment horizontal="center" vertical="center" wrapText="1"/>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vertical="top"/>
      <protection locked="0"/>
    </xf>
    <xf numFmtId="0" fontId="7" fillId="2" borderId="16" xfId="0" applyFont="1" applyFill="1" applyBorder="1" applyAlignment="1" applyProtection="1">
      <alignment horizontal="center" vertical="center"/>
      <protection locked="0"/>
    </xf>
    <xf numFmtId="0" fontId="7" fillId="2" borderId="17" xfId="0" applyFont="1" applyFill="1" applyBorder="1" applyAlignment="1" applyProtection="1">
      <alignment horizontal="center" vertical="center" wrapText="1"/>
      <protection locked="0"/>
    </xf>
    <xf numFmtId="0" fontId="7" fillId="2" borderId="18" xfId="0" applyFont="1" applyFill="1" applyBorder="1" applyAlignment="1" applyProtection="1">
      <alignment horizontal="center" vertical="center" wrapText="1"/>
      <protection locked="0"/>
    </xf>
    <xf numFmtId="0" fontId="7" fillId="0" borderId="1" xfId="0" quotePrefix="1" applyFont="1" applyBorder="1" applyAlignment="1">
      <alignment horizontal="center" vertical="center"/>
    </xf>
    <xf numFmtId="0" fontId="7" fillId="3" borderId="1" xfId="0" quotePrefix="1" applyFont="1" applyFill="1" applyBorder="1" applyAlignment="1">
      <alignment vertical="center" wrapText="1"/>
    </xf>
    <xf numFmtId="0" fontId="0" fillId="0" borderId="0" xfId="0" applyFont="1" applyAlignment="1" applyProtection="1">
      <alignment vertical="center"/>
      <protection locked="0"/>
    </xf>
    <xf numFmtId="0" fontId="0" fillId="0" borderId="0" xfId="0" applyAlignment="1" applyProtection="1">
      <alignment vertical="center"/>
      <protection locked="0"/>
    </xf>
    <xf numFmtId="0" fontId="0" fillId="0" borderId="1" xfId="0" applyBorder="1" applyAlignment="1" applyProtection="1">
      <alignment vertical="center"/>
      <protection locked="0"/>
    </xf>
    <xf numFmtId="0" fontId="0" fillId="0" borderId="1" xfId="0" applyBorder="1" applyAlignment="1" applyProtection="1">
      <alignment vertical="center" wrapText="1"/>
      <protection locked="0"/>
    </xf>
    <xf numFmtId="0" fontId="22" fillId="0" borderId="1" xfId="0" applyFont="1" applyBorder="1" applyAlignment="1" applyProtection="1">
      <alignment vertical="center" wrapText="1"/>
      <protection locked="0"/>
    </xf>
    <xf numFmtId="0" fontId="7" fillId="0" borderId="1" xfId="0" applyFont="1" applyBorder="1" applyAlignment="1">
      <alignment vertical="center"/>
    </xf>
    <xf numFmtId="0" fontId="19" fillId="0" borderId="1" xfId="0" applyFont="1" applyBorder="1" applyAlignment="1" applyProtection="1">
      <alignment vertical="center" wrapText="1"/>
      <protection locked="0"/>
    </xf>
    <xf numFmtId="0" fontId="0" fillId="0" borderId="1" xfId="0" applyFont="1" applyBorder="1" applyAlignment="1" applyProtection="1">
      <alignment vertical="center"/>
      <protection locked="0"/>
    </xf>
    <xf numFmtId="0" fontId="7" fillId="0" borderId="1" xfId="0" applyFont="1" applyFill="1" applyBorder="1" applyAlignment="1">
      <alignment vertical="center"/>
    </xf>
    <xf numFmtId="0" fontId="17" fillId="0" borderId="1" xfId="0" applyFont="1" applyBorder="1" applyAlignment="1" applyProtection="1">
      <alignment vertical="center" wrapText="1"/>
      <protection locked="0"/>
    </xf>
    <xf numFmtId="0" fontId="11" fillId="0" borderId="5" xfId="0"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2" fillId="0" borderId="1" xfId="0" applyFont="1" applyBorder="1" applyAlignment="1" applyProtection="1">
      <alignment vertical="center" wrapText="1"/>
      <protection locked="0"/>
    </xf>
    <xf numFmtId="0" fontId="11" fillId="0" borderId="7" xfId="0" applyFont="1" applyBorder="1" applyAlignment="1" applyProtection="1">
      <alignment vertical="center"/>
      <protection locked="0"/>
    </xf>
    <xf numFmtId="0" fontId="11" fillId="0" borderId="9" xfId="0" applyFont="1" applyBorder="1" applyAlignment="1" applyProtection="1">
      <alignment vertical="center"/>
      <protection locked="0"/>
    </xf>
    <xf numFmtId="0" fontId="20" fillId="0" borderId="1" xfId="0" applyFont="1" applyBorder="1" applyAlignment="1" applyProtection="1">
      <alignment vertical="center" wrapText="1"/>
      <protection locked="0"/>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11" fillId="0" borderId="1" xfId="0" applyFont="1" applyBorder="1" applyAlignment="1" applyProtection="1">
      <alignment vertical="center"/>
      <protection locked="0"/>
    </xf>
    <xf numFmtId="1" fontId="10" fillId="0" borderId="15" xfId="0" applyNumberFormat="1" applyFont="1" applyBorder="1" applyAlignment="1">
      <alignment horizontal="center" vertical="center"/>
    </xf>
    <xf numFmtId="0" fontId="7" fillId="2" borderId="9" xfId="0" applyFont="1" applyFill="1" applyBorder="1" applyAlignment="1">
      <alignment vertical="center"/>
    </xf>
    <xf numFmtId="0" fontId="7" fillId="2" borderId="9" xfId="0" applyFont="1" applyFill="1" applyBorder="1" applyAlignment="1">
      <alignment vertical="center" wrapText="1"/>
    </xf>
    <xf numFmtId="0" fontId="7" fillId="2" borderId="9"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0" borderId="5" xfId="0" applyFont="1" applyBorder="1" applyAlignment="1">
      <alignment vertical="center"/>
    </xf>
    <xf numFmtId="0" fontId="7" fillId="0" borderId="5" xfId="0" quotePrefix="1" applyFont="1" applyBorder="1" applyAlignment="1">
      <alignment horizontal="center" vertical="center"/>
    </xf>
    <xf numFmtId="0" fontId="7" fillId="0" borderId="5" xfId="0" applyFont="1" applyBorder="1" applyAlignment="1">
      <alignment horizontal="center" vertical="center"/>
    </xf>
    <xf numFmtId="1" fontId="10" fillId="0" borderId="20" xfId="0" applyNumberFormat="1" applyFont="1" applyBorder="1" applyAlignment="1">
      <alignment horizontal="center" vertical="center"/>
    </xf>
  </cellXfs>
  <cellStyles count="1">
    <cellStyle name="Normal" xfId="0" builtinId="0"/>
  </cellStyles>
  <dxfs count="19">
    <dxf>
      <font>
        <b val="0"/>
        <i val="0"/>
        <strike val="0"/>
        <condense val="0"/>
        <extend val="0"/>
        <outline val="0"/>
        <shadow val="0"/>
        <u val="none"/>
        <vertAlign val="baseline"/>
        <sz val="10"/>
        <color auto="1"/>
        <name val="Arial"/>
        <family val="2"/>
        <scheme val="none"/>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indexed="2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rgb="FFFF0000"/>
        <name val="Arial"/>
        <family val="2"/>
        <scheme val="none"/>
      </font>
      <numFmt numFmtId="1"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family val="2"/>
        <scheme val="none"/>
      </font>
      <fill>
        <patternFill patternType="solid">
          <fgColor indexed="64"/>
          <bgColor indexed="22"/>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10"/>
        <color auto="1"/>
        <name val="Arial"/>
        <family val="2"/>
        <scheme val="none"/>
      </font>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family val="2"/>
        <scheme val="none"/>
      </font>
      <alignment horizontal="general" vertical="top" textRotation="0" wrapText="0" indent="0" justifyLastLine="0" shrinkToFit="0" readingOrder="0"/>
      <border diagonalUp="0" diagonalDown="0">
        <left style="thin">
          <color indexed="64"/>
        </left>
        <right style="medium">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left style="medium">
          <color indexed="64"/>
        </left>
        <right style="medium">
          <color indexed="64"/>
        </right>
        <top style="medium">
          <color indexed="64"/>
        </top>
      </border>
    </dxf>
    <dxf>
      <font>
        <b val="0"/>
        <i val="0"/>
        <strike val="0"/>
        <condense val="0"/>
        <extend val="0"/>
        <outline val="0"/>
        <shadow val="0"/>
        <u val="none"/>
        <vertAlign val="baseline"/>
        <sz val="10"/>
        <color auto="1"/>
        <name val="Arial"/>
        <family val="2"/>
        <scheme val="none"/>
      </font>
      <fill>
        <patternFill patternType="solid">
          <fgColor indexed="64"/>
          <bgColor indexed="22"/>
        </patternFill>
      </fill>
      <alignment horizontal="center" vertical="center" textRotation="0" wrapText="1" indent="0" justifyLastLine="0" shrinkToFit="0" readingOrder="0"/>
      <border diagonalUp="0" diagonalDown="0" outline="0">
        <left style="medium">
          <color indexed="64"/>
        </left>
        <right style="medium">
          <color indexed="64"/>
        </right>
        <top/>
        <bottom/>
      </border>
      <protection locked="0" hidden="0"/>
    </dxf>
    <dxf>
      <font>
        <b val="0"/>
        <i val="0"/>
        <strike val="0"/>
        <condense val="0"/>
        <extend val="0"/>
        <outline val="0"/>
        <shadow val="0"/>
        <u val="none"/>
        <vertAlign val="baseline"/>
        <sz val="10"/>
        <color auto="1"/>
        <name val="Arial"/>
        <family val="2"/>
        <scheme val="none"/>
      </font>
      <alignment horizontal="general" vertical="top"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family val="2"/>
        <scheme val="none"/>
      </font>
      <alignment horizontal="general" vertical="top" textRotation="0" wrapText="0" indent="0" justifyLastLine="0" shrinkToFit="0" readingOrder="0"/>
      <border diagonalUp="0" diagonalDown="0">
        <left style="thin">
          <color indexed="64"/>
        </left>
        <right style="medium">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medium">
          <color indexed="64"/>
        </left>
        <right style="medium">
          <color indexed="64"/>
        </right>
        <top style="medium">
          <color indexed="64"/>
        </top>
      </border>
    </dxf>
  </dxfs>
  <tableStyles count="0" defaultTableStyle="TableStyleMedium2" defaultPivotStyle="PivotStyleLight16"/>
  <colors>
    <mruColors>
      <color rgb="FF008000"/>
      <color rgb="FFF79646"/>
      <color rgb="FF8064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28575</xdr:colOff>
      <xdr:row>9</xdr:row>
      <xdr:rowOff>93009</xdr:rowOff>
    </xdr:from>
    <xdr:to>
      <xdr:col>10</xdr:col>
      <xdr:colOff>251630</xdr:colOff>
      <xdr:row>15</xdr:row>
      <xdr:rowOff>46184</xdr:rowOff>
    </xdr:to>
    <xdr:sp macro="[0]!liste" textlink="">
      <xdr:nvSpPr>
        <xdr:cNvPr id="3" name="Plaque 131">
          <a:extLst>
            <a:ext uri="{FF2B5EF4-FFF2-40B4-BE49-F238E27FC236}">
              <a16:creationId xmlns:a16="http://schemas.microsoft.com/office/drawing/2014/main" id="{00000000-0008-0000-0000-000003000000}"/>
            </a:ext>
          </a:extLst>
        </xdr:cNvPr>
        <xdr:cNvSpPr/>
      </xdr:nvSpPr>
      <xdr:spPr>
        <a:xfrm>
          <a:off x="10039350" y="1864659"/>
          <a:ext cx="1747055" cy="1096175"/>
        </a:xfrm>
        <a:prstGeom prst="bevel">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100"/>
            <a:t>Générer</a:t>
          </a:r>
          <a:r>
            <a:rPr lang="fr-FR" sz="1100" baseline="0"/>
            <a:t> liste machines onglets</a:t>
          </a:r>
          <a:endParaRPr lang="fr-FR" sz="1100"/>
        </a:p>
      </xdr:txBody>
    </xdr:sp>
    <xdr:clientData/>
  </xdr:twoCellAnchor>
  <xdr:twoCellAnchor>
    <xdr:from>
      <xdr:col>8</xdr:col>
      <xdr:colOff>28575</xdr:colOff>
      <xdr:row>3</xdr:row>
      <xdr:rowOff>28575</xdr:rowOff>
    </xdr:from>
    <xdr:to>
      <xdr:col>10</xdr:col>
      <xdr:colOff>251630</xdr:colOff>
      <xdr:row>8</xdr:row>
      <xdr:rowOff>124625</xdr:rowOff>
    </xdr:to>
    <xdr:sp macro="[0]!Traitement" textlink="">
      <xdr:nvSpPr>
        <xdr:cNvPr id="4" name="Plaque 131">
          <a:extLst>
            <a:ext uri="{FF2B5EF4-FFF2-40B4-BE49-F238E27FC236}">
              <a16:creationId xmlns:a16="http://schemas.microsoft.com/office/drawing/2014/main" id="{00000000-0008-0000-0000-000004000000}"/>
            </a:ext>
          </a:extLst>
        </xdr:cNvPr>
        <xdr:cNvSpPr/>
      </xdr:nvSpPr>
      <xdr:spPr>
        <a:xfrm>
          <a:off x="10039350" y="609600"/>
          <a:ext cx="1747055" cy="1096175"/>
        </a:xfrm>
        <a:prstGeom prst="bevel">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1100"/>
            <a:t>Générer Fichier</a:t>
          </a:r>
        </a:p>
      </xdr:txBody>
    </xdr:sp>
    <xdr:clientData/>
  </xdr:twoCellAnchor>
  <mc:AlternateContent xmlns:mc="http://schemas.openxmlformats.org/markup-compatibility/2006">
    <mc:Choice xmlns:a14="http://schemas.microsoft.com/office/drawing/2010/main" Requires="a14">
      <xdr:twoCellAnchor editAs="oneCell">
        <xdr:from>
          <xdr:col>7</xdr:col>
          <xdr:colOff>746760</xdr:colOff>
          <xdr:row>18</xdr:row>
          <xdr:rowOff>0</xdr:rowOff>
        </xdr:from>
        <xdr:to>
          <xdr:col>9</xdr:col>
          <xdr:colOff>746760</xdr:colOff>
          <xdr:row>20</xdr:row>
          <xdr:rowOff>45720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78123</xdr:colOff>
      <xdr:row>3</xdr:row>
      <xdr:rowOff>95250</xdr:rowOff>
    </xdr:to>
    <xdr:pic>
      <xdr:nvPicPr>
        <xdr:cNvPr id="2" name="Image 45">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4078623"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0866210-5D55-497E-88F4-74D382AEA252}" name="T_exchange" displayName="T_exchange" ref="A261:D291" totalsRowShown="0" headerRowDxfId="8" tableBorderDxfId="12">
  <tableColumns count="4">
    <tableColumn id="1" xr3:uid="{5EEF6431-6EB4-4BF8-A456-8C2FF140556D}" name="Type" dataDxfId="7"/>
    <tableColumn id="2" xr3:uid="{2B1B378C-2FCD-4F5F-84B5-B13CE594576C}" name="Cross section" dataDxfId="11"/>
    <tableColumn id="3" xr3:uid="{27119366-E979-4FB8-9466-82E30D4674ED}" name="Length [m]" dataDxfId="10"/>
    <tableColumn id="4" xr3:uid="{7AEDC866-CDD9-4D7E-A535-5C997C7A5DEA}" name="NB CABLE" dataDxfId="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57E9092-C14D-470E-B408-5CC4C53290C3}" name="Tableau1" displayName="Tableau1" ref="A261:D291" totalsRowShown="0" headerRowDxfId="13" tableBorderDxfId="18">
  <tableColumns count="4">
    <tableColumn id="1" xr3:uid="{E8E0C9A2-E08C-4668-8D4C-7CFB854A9FA7}" name="Type" dataDxfId="17"/>
    <tableColumn id="2" xr3:uid="{549BE803-AC30-487B-B3F5-9FEEC5C6C92B}" name="Cross section" dataDxfId="16"/>
    <tableColumn id="3" xr3:uid="{2A4D808D-0E2B-4D8A-AD42-4AD02D0C04C8}" name="Length [m]" dataDxfId="15"/>
    <tableColumn id="4" xr3:uid="{D8BD7B4F-E939-4D30-87BD-046ABE4B31A8}" name="NB CABLE" dataDxfId="1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F1B7A17-42F6-4C5E-AF0C-C70B35AC7163}" name="T_recap" displayName="T_recap" ref="A12:E42" totalsRowShown="0" headerRowDxfId="2" headerRowBorderDxfId="5" tableBorderDxfId="6">
  <autoFilter ref="A12:E42" xr:uid="{F49114D6-AC95-4C2A-A8D3-4ADA4B8C1381}"/>
  <tableColumns count="5">
    <tableColumn id="1" xr3:uid="{22CAE7F0-A0D2-412E-8E59-0CFFDF07C601}" name="Type"/>
    <tableColumn id="3" xr3:uid="{F9B32B03-B97C-4150-839F-638F187AE8D9}" name="Cross section" dataDxfId="4"/>
    <tableColumn id="5" xr3:uid="{408BD5F8-FB70-472A-8BF4-BF412AE740DD}" name="All cable" dataDxfId="1">
      <calculatedColumnFormula>SUMPRODUCT(((T_exchange[Type]=T_recap[[#This Row],[Type]])*(T_exchange[Cross section]=T_recap[[#This Row],[Cross section]])*(T_exchange[NB CABLE])))</calculatedColumnFormula>
    </tableColumn>
    <tableColumn id="6" xr3:uid="{5B2B046F-57A3-4D11-9A68-7CB0D4DA66E7}" name="Length [m]" dataDxfId="0">
      <calculatedColumnFormula>SUMPRODUCT(((T_exchange[Type]=T_recap[[#This Row],[Type]])*(T_exchange[Cross section]=T_recap[[#This Row],[Cross section]])*(T_exchange[Length '[m']])))</calculatedColumnFormula>
    </tableColumn>
    <tableColumn id="7" xr3:uid="{AC8BC243-9D24-4427-B7C7-EFAF03AC74FE}" name="Length [m]3" dataDxfId="3">
      <calculatedColumnFormula>IFERROR(ROUNDUP(((SUM('EXCHANGE:RECAP CABLE'!C262)*10%)+D13),-1),"")</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AB3A0-5D53-43E8-B770-99517AA30D5A}">
  <sheetPr codeName="Feuil4">
    <tabColor theme="4" tint="0.59999389629810485"/>
  </sheetPr>
  <dimension ref="B3:O65"/>
  <sheetViews>
    <sheetView workbookViewId="0">
      <selection activeCell="C66" sqref="C66"/>
    </sheetView>
  </sheetViews>
  <sheetFormatPr baseColWidth="10" defaultRowHeight="14.4" x14ac:dyDescent="0.3"/>
  <cols>
    <col min="1" max="1" width="11.44140625" customWidth="1"/>
    <col min="2" max="2" width="44.6640625" customWidth="1"/>
    <col min="3" max="3" width="34.6640625" customWidth="1"/>
    <col min="4" max="4" width="13.5546875" customWidth="1"/>
    <col min="15" max="15" width="41.109375" customWidth="1"/>
  </cols>
  <sheetData>
    <row r="3" spans="2:15" x14ac:dyDescent="0.3">
      <c r="M3" s="9" t="s">
        <v>172</v>
      </c>
      <c r="N3" s="9" t="s">
        <v>6</v>
      </c>
      <c r="O3" s="9" t="s">
        <v>173</v>
      </c>
    </row>
    <row r="4" spans="2:15" x14ac:dyDescent="0.3">
      <c r="M4" s="10" t="s">
        <v>128</v>
      </c>
      <c r="N4" s="10">
        <v>45043</v>
      </c>
      <c r="O4" s="8" t="s">
        <v>174</v>
      </c>
    </row>
    <row r="5" spans="2:15" x14ac:dyDescent="0.3">
      <c r="B5" t="s">
        <v>9</v>
      </c>
      <c r="M5" s="10" t="s">
        <v>83</v>
      </c>
      <c r="N5" s="10">
        <v>45212</v>
      </c>
      <c r="O5" s="8" t="s">
        <v>180</v>
      </c>
    </row>
    <row r="6" spans="2:15" x14ac:dyDescent="0.3">
      <c r="B6" t="s">
        <v>76</v>
      </c>
      <c r="M6" s="8" t="s">
        <v>142</v>
      </c>
      <c r="N6" s="10">
        <v>45238</v>
      </c>
      <c r="O6" s="8" t="s">
        <v>179</v>
      </c>
    </row>
    <row r="7" spans="2:15" x14ac:dyDescent="0.3">
      <c r="B7" t="s">
        <v>10</v>
      </c>
      <c r="M7" s="8" t="s">
        <v>182</v>
      </c>
      <c r="N7" s="10">
        <v>45268</v>
      </c>
      <c r="O7" s="8" t="s">
        <v>186</v>
      </c>
    </row>
    <row r="8" spans="2:15" x14ac:dyDescent="0.3">
      <c r="B8" t="s">
        <v>11</v>
      </c>
      <c r="M8" s="8" t="s">
        <v>116</v>
      </c>
      <c r="N8" s="10">
        <v>45323</v>
      </c>
      <c r="O8" s="8" t="s">
        <v>195</v>
      </c>
    </row>
    <row r="9" spans="2:15" x14ac:dyDescent="0.3">
      <c r="B9" t="s">
        <v>170</v>
      </c>
      <c r="M9" s="8" t="s">
        <v>196</v>
      </c>
      <c r="N9" s="10">
        <v>45419</v>
      </c>
      <c r="O9" s="8" t="s">
        <v>197</v>
      </c>
    </row>
    <row r="10" spans="2:15" x14ac:dyDescent="0.3">
      <c r="B10" t="s">
        <v>12</v>
      </c>
      <c r="M10" s="8" t="s">
        <v>200</v>
      </c>
      <c r="N10" s="10">
        <v>45435</v>
      </c>
      <c r="O10" s="8" t="s">
        <v>201</v>
      </c>
    </row>
    <row r="11" spans="2:15" x14ac:dyDescent="0.3">
      <c r="B11" t="s">
        <v>13</v>
      </c>
      <c r="M11" s="8" t="s">
        <v>205</v>
      </c>
      <c r="N11" s="10">
        <v>45555</v>
      </c>
      <c r="O11" s="8" t="s">
        <v>206</v>
      </c>
    </row>
    <row r="12" spans="2:15" x14ac:dyDescent="0.3">
      <c r="B12" t="s">
        <v>122</v>
      </c>
      <c r="M12" s="8" t="s">
        <v>208</v>
      </c>
      <c r="N12" s="10">
        <v>45588</v>
      </c>
      <c r="O12" s="8" t="s">
        <v>211</v>
      </c>
    </row>
    <row r="13" spans="2:15" x14ac:dyDescent="0.3">
      <c r="B13" t="s">
        <v>119</v>
      </c>
      <c r="M13" s="8" t="s">
        <v>215</v>
      </c>
      <c r="N13" s="10">
        <v>45594</v>
      </c>
      <c r="O13" s="8" t="s">
        <v>216</v>
      </c>
    </row>
    <row r="14" spans="2:15" x14ac:dyDescent="0.3">
      <c r="B14" t="s">
        <v>14</v>
      </c>
      <c r="M14" s="8"/>
      <c r="N14" s="8"/>
      <c r="O14" s="8"/>
    </row>
    <row r="15" spans="2:15" x14ac:dyDescent="0.3">
      <c r="B15" t="s">
        <v>77</v>
      </c>
      <c r="M15" s="8"/>
      <c r="N15" s="8"/>
      <c r="O15" s="8"/>
    </row>
    <row r="16" spans="2:15" x14ac:dyDescent="0.3">
      <c r="B16" t="s">
        <v>102</v>
      </c>
      <c r="M16" s="8"/>
      <c r="N16" s="8"/>
      <c r="O16" s="8"/>
    </row>
    <row r="17" spans="2:15" x14ac:dyDescent="0.3">
      <c r="B17" t="s">
        <v>103</v>
      </c>
      <c r="M17" s="8"/>
      <c r="N17" s="8"/>
      <c r="O17" s="8"/>
    </row>
    <row r="18" spans="2:15" x14ac:dyDescent="0.3">
      <c r="B18" t="s">
        <v>104</v>
      </c>
      <c r="M18" s="8"/>
      <c r="N18" s="8"/>
      <c r="O18" s="8"/>
    </row>
    <row r="19" spans="2:15" x14ac:dyDescent="0.3">
      <c r="B19" t="s">
        <v>159</v>
      </c>
      <c r="M19" s="8"/>
      <c r="N19" s="8"/>
      <c r="O19" s="8"/>
    </row>
    <row r="20" spans="2:15" x14ac:dyDescent="0.3">
      <c r="B20" t="s">
        <v>105</v>
      </c>
      <c r="M20" s="8"/>
      <c r="N20" s="8"/>
      <c r="O20" s="8"/>
    </row>
    <row r="21" spans="2:15" x14ac:dyDescent="0.3">
      <c r="B21" t="s">
        <v>160</v>
      </c>
      <c r="M21" s="8"/>
      <c r="N21" s="8"/>
      <c r="O21" s="8"/>
    </row>
    <row r="22" spans="2:15" x14ac:dyDescent="0.3">
      <c r="B22" t="s">
        <v>143</v>
      </c>
    </row>
    <row r="23" spans="2:15" x14ac:dyDescent="0.3">
      <c r="B23" t="s">
        <v>158</v>
      </c>
    </row>
    <row r="24" spans="2:15" x14ac:dyDescent="0.3">
      <c r="B24" t="s">
        <v>78</v>
      </c>
    </row>
    <row r="25" spans="2:15" x14ac:dyDescent="0.3">
      <c r="B25" t="s">
        <v>106</v>
      </c>
    </row>
    <row r="26" spans="2:15" x14ac:dyDescent="0.3">
      <c r="B26" t="s">
        <v>85</v>
      </c>
    </row>
    <row r="27" spans="2:15" x14ac:dyDescent="0.3">
      <c r="B27" t="s">
        <v>147</v>
      </c>
    </row>
    <row r="28" spans="2:15" x14ac:dyDescent="0.3">
      <c r="B28" t="s">
        <v>107</v>
      </c>
    </row>
    <row r="29" spans="2:15" x14ac:dyDescent="0.3">
      <c r="B29" t="s">
        <v>101</v>
      </c>
    </row>
    <row r="30" spans="2:15" x14ac:dyDescent="0.3">
      <c r="B30" t="s">
        <v>171</v>
      </c>
    </row>
    <row r="31" spans="2:15" x14ac:dyDescent="0.3">
      <c r="B31" t="s">
        <v>131</v>
      </c>
    </row>
    <row r="32" spans="2:15" x14ac:dyDescent="0.3">
      <c r="B32" t="s">
        <v>132</v>
      </c>
    </row>
    <row r="33" spans="2:2" x14ac:dyDescent="0.3">
      <c r="B33" t="s">
        <v>192</v>
      </c>
    </row>
    <row r="34" spans="2:2" x14ac:dyDescent="0.3">
      <c r="B34" t="s">
        <v>187</v>
      </c>
    </row>
    <row r="35" spans="2:2" x14ac:dyDescent="0.3">
      <c r="B35" t="s">
        <v>118</v>
      </c>
    </row>
    <row r="36" spans="2:2" x14ac:dyDescent="0.3">
      <c r="B36" t="s">
        <v>133</v>
      </c>
    </row>
    <row r="37" spans="2:2" x14ac:dyDescent="0.3">
      <c r="B37" t="s">
        <v>134</v>
      </c>
    </row>
    <row r="38" spans="2:2" x14ac:dyDescent="0.3">
      <c r="B38" t="s">
        <v>161</v>
      </c>
    </row>
    <row r="39" spans="2:2" x14ac:dyDescent="0.3">
      <c r="B39" t="s">
        <v>162</v>
      </c>
    </row>
    <row r="40" spans="2:2" x14ac:dyDescent="0.3">
      <c r="B40" t="s">
        <v>163</v>
      </c>
    </row>
    <row r="41" spans="2:2" x14ac:dyDescent="0.3">
      <c r="B41" t="s">
        <v>140</v>
      </c>
    </row>
    <row r="42" spans="2:2" x14ac:dyDescent="0.3">
      <c r="B42" t="s">
        <v>144</v>
      </c>
    </row>
    <row r="43" spans="2:2" x14ac:dyDescent="0.3">
      <c r="B43" t="s">
        <v>166</v>
      </c>
    </row>
    <row r="44" spans="2:2" x14ac:dyDescent="0.3">
      <c r="B44" t="s">
        <v>193</v>
      </c>
    </row>
    <row r="45" spans="2:2" x14ac:dyDescent="0.3">
      <c r="B45" t="s">
        <v>207</v>
      </c>
    </row>
    <row r="46" spans="2:2" x14ac:dyDescent="0.3">
      <c r="B46" t="s">
        <v>194</v>
      </c>
    </row>
    <row r="47" spans="2:2" x14ac:dyDescent="0.3">
      <c r="B47" t="s">
        <v>164</v>
      </c>
    </row>
    <row r="48" spans="2:2" x14ac:dyDescent="0.3">
      <c r="B48" t="s">
        <v>165</v>
      </c>
    </row>
    <row r="49" spans="2:2" x14ac:dyDescent="0.3">
      <c r="B49" t="s">
        <v>210</v>
      </c>
    </row>
    <row r="50" spans="2:2" x14ac:dyDescent="0.3">
      <c r="B50" t="s">
        <v>209</v>
      </c>
    </row>
    <row r="51" spans="2:2" x14ac:dyDescent="0.3">
      <c r="B51" t="s">
        <v>177</v>
      </c>
    </row>
    <row r="52" spans="2:2" x14ac:dyDescent="0.3">
      <c r="B52" t="s">
        <v>127</v>
      </c>
    </row>
    <row r="53" spans="2:2" x14ac:dyDescent="0.3">
      <c r="B53" t="s">
        <v>181</v>
      </c>
    </row>
    <row r="54" spans="2:2" x14ac:dyDescent="0.3">
      <c r="B54" t="s">
        <v>198</v>
      </c>
    </row>
    <row r="55" spans="2:2" x14ac:dyDescent="0.3">
      <c r="B55" t="s">
        <v>199</v>
      </c>
    </row>
    <row r="56" spans="2:2" x14ac:dyDescent="0.3">
      <c r="B56" t="s">
        <v>135</v>
      </c>
    </row>
    <row r="57" spans="2:2" x14ac:dyDescent="0.3">
      <c r="B57" t="s">
        <v>136</v>
      </c>
    </row>
    <row r="58" spans="2:2" x14ac:dyDescent="0.3">
      <c r="B58" t="s">
        <v>108</v>
      </c>
    </row>
    <row r="59" spans="2:2" x14ac:dyDescent="0.3">
      <c r="B59" t="s">
        <v>183</v>
      </c>
    </row>
    <row r="60" spans="2:2" x14ac:dyDescent="0.3">
      <c r="B60" t="s">
        <v>184</v>
      </c>
    </row>
    <row r="61" spans="2:2" x14ac:dyDescent="0.3">
      <c r="B61" t="s">
        <v>185</v>
      </c>
    </row>
    <row r="62" spans="2:2" x14ac:dyDescent="0.3">
      <c r="B62" t="s">
        <v>145</v>
      </c>
    </row>
    <row r="63" spans="2:2" x14ac:dyDescent="0.3">
      <c r="B63" t="s">
        <v>141</v>
      </c>
    </row>
    <row r="64" spans="2:2" x14ac:dyDescent="0.3">
      <c r="B64" t="s">
        <v>146</v>
      </c>
    </row>
    <row r="65" spans="2:2" x14ac:dyDescent="0.3">
      <c r="B65" t="s">
        <v>137</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CommandButton1">
          <controlPr defaultSize="0" autoLine="0" r:id="rId5">
            <anchor moveWithCells="1">
              <from>
                <xdr:col>7</xdr:col>
                <xdr:colOff>746760</xdr:colOff>
                <xdr:row>18</xdr:row>
                <xdr:rowOff>0</xdr:rowOff>
              </from>
              <to>
                <xdr:col>9</xdr:col>
                <xdr:colOff>685800</xdr:colOff>
                <xdr:row>20</xdr:row>
                <xdr:rowOff>60960</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46260-4F01-48AC-80B9-CC36927BF11D}">
  <sheetPr codeName="Feuil9">
    <tabColor theme="4" tint="0.59999389629810485"/>
  </sheetPr>
  <dimension ref="B2:Q39"/>
  <sheetViews>
    <sheetView workbookViewId="0">
      <selection activeCell="O28" sqref="O28"/>
    </sheetView>
  </sheetViews>
  <sheetFormatPr baseColWidth="10" defaultRowHeight="14.4" x14ac:dyDescent="0.3"/>
  <sheetData>
    <row r="2" spans="2:17" ht="18" x14ac:dyDescent="0.3">
      <c r="B2" s="1" t="s">
        <v>21</v>
      </c>
      <c r="F2" s="2" t="s">
        <v>23</v>
      </c>
      <c r="G2" s="2"/>
      <c r="H2" s="2" t="s">
        <v>24</v>
      </c>
      <c r="L2" s="5" t="s">
        <v>149</v>
      </c>
    </row>
    <row r="3" spans="2:17" ht="18" x14ac:dyDescent="0.3">
      <c r="B3" s="1" t="s">
        <v>19</v>
      </c>
      <c r="F3" s="3" t="s">
        <v>25</v>
      </c>
      <c r="G3" s="2"/>
      <c r="H3" s="2" t="s">
        <v>26</v>
      </c>
      <c r="L3" s="5" t="s">
        <v>150</v>
      </c>
    </row>
    <row r="4" spans="2:17" ht="18" x14ac:dyDescent="0.3">
      <c r="B4" s="1" t="s">
        <v>22</v>
      </c>
      <c r="F4" s="2" t="s">
        <v>27</v>
      </c>
      <c r="G4" s="2"/>
      <c r="H4" s="2" t="s">
        <v>28</v>
      </c>
      <c r="L4" s="5" t="s">
        <v>151</v>
      </c>
    </row>
    <row r="5" spans="2:17" ht="18" x14ac:dyDescent="0.3">
      <c r="B5" s="1" t="s">
        <v>20</v>
      </c>
      <c r="F5" s="2" t="s">
        <v>29</v>
      </c>
      <c r="G5" s="2"/>
      <c r="H5" s="2" t="s">
        <v>30</v>
      </c>
      <c r="L5" s="5" t="s">
        <v>152</v>
      </c>
    </row>
    <row r="6" spans="2:17" ht="18" x14ac:dyDescent="0.3">
      <c r="B6" s="1" t="s">
        <v>148</v>
      </c>
      <c r="F6" s="2" t="s">
        <v>31</v>
      </c>
      <c r="G6" s="2"/>
      <c r="H6" s="2" t="s">
        <v>32</v>
      </c>
      <c r="L6" s="5" t="s">
        <v>153</v>
      </c>
    </row>
    <row r="7" spans="2:17" ht="18" x14ac:dyDescent="0.3">
      <c r="F7" s="2" t="s">
        <v>138</v>
      </c>
      <c r="G7" s="2"/>
      <c r="H7" s="2" t="s">
        <v>33</v>
      </c>
      <c r="L7" s="5" t="s">
        <v>154</v>
      </c>
    </row>
    <row r="8" spans="2:17" ht="18" x14ac:dyDescent="0.3">
      <c r="F8" s="2"/>
      <c r="G8" s="2"/>
      <c r="H8" s="3" t="s">
        <v>34</v>
      </c>
      <c r="L8" s="5" t="s">
        <v>155</v>
      </c>
    </row>
    <row r="9" spans="2:17" ht="18" x14ac:dyDescent="0.3">
      <c r="F9" s="2"/>
      <c r="G9" s="2"/>
      <c r="H9" s="2" t="s">
        <v>35</v>
      </c>
      <c r="L9" s="5" t="s">
        <v>156</v>
      </c>
    </row>
    <row r="10" spans="2:17" ht="18" x14ac:dyDescent="0.3">
      <c r="F10" s="2"/>
      <c r="G10" s="2"/>
      <c r="H10" s="2" t="s">
        <v>36</v>
      </c>
      <c r="L10" s="5" t="s">
        <v>157</v>
      </c>
    </row>
    <row r="11" spans="2:17" ht="18" x14ac:dyDescent="0.3">
      <c r="F11" s="2"/>
      <c r="G11" s="2"/>
      <c r="H11" s="2" t="s">
        <v>24</v>
      </c>
      <c r="L11" s="5" t="s">
        <v>114</v>
      </c>
      <c r="Q11" s="5"/>
    </row>
    <row r="12" spans="2:17" ht="18" x14ac:dyDescent="0.3">
      <c r="F12" s="2"/>
      <c r="G12" s="2"/>
      <c r="H12" s="2" t="s">
        <v>189</v>
      </c>
      <c r="L12" s="5" t="s">
        <v>190</v>
      </c>
      <c r="Q12" s="5"/>
    </row>
    <row r="13" spans="2:17" ht="18" x14ac:dyDescent="0.3">
      <c r="F13" s="2"/>
      <c r="G13" s="2"/>
      <c r="H13" s="2" t="s">
        <v>38</v>
      </c>
      <c r="L13" s="5" t="s">
        <v>48</v>
      </c>
      <c r="Q13" s="5"/>
    </row>
    <row r="14" spans="2:17" ht="18" x14ac:dyDescent="0.3">
      <c r="F14" s="2"/>
      <c r="G14" s="2"/>
      <c r="H14" s="2" t="s">
        <v>86</v>
      </c>
      <c r="L14" s="5" t="s">
        <v>49</v>
      </c>
    </row>
    <row r="15" spans="2:17" ht="18" x14ac:dyDescent="0.3">
      <c r="F15" s="2"/>
      <c r="G15" s="2"/>
      <c r="H15" s="2" t="s">
        <v>87</v>
      </c>
      <c r="L15" s="5" t="s">
        <v>50</v>
      </c>
    </row>
    <row r="16" spans="2:17" ht="18" x14ac:dyDescent="0.3">
      <c r="F16" s="2"/>
      <c r="G16" s="2"/>
      <c r="H16" s="2" t="s">
        <v>88</v>
      </c>
      <c r="L16" s="5" t="s">
        <v>51</v>
      </c>
    </row>
    <row r="17" spans="6:12" ht="18" x14ac:dyDescent="0.3">
      <c r="F17" s="2"/>
      <c r="G17" s="2"/>
      <c r="H17" s="2" t="s">
        <v>89</v>
      </c>
      <c r="L17" s="5" t="s">
        <v>52</v>
      </c>
    </row>
    <row r="18" spans="6:12" ht="18" x14ac:dyDescent="0.3">
      <c r="F18" s="2"/>
      <c r="G18" s="2"/>
      <c r="H18" s="2" t="s">
        <v>90</v>
      </c>
      <c r="L18" s="5" t="s">
        <v>53</v>
      </c>
    </row>
    <row r="19" spans="6:12" ht="18" x14ac:dyDescent="0.3">
      <c r="F19" s="2"/>
      <c r="G19" s="2"/>
      <c r="H19" s="2" t="s">
        <v>91</v>
      </c>
      <c r="L19" s="5" t="s">
        <v>54</v>
      </c>
    </row>
    <row r="20" spans="6:12" ht="18" x14ac:dyDescent="0.3">
      <c r="H20" s="2" t="s">
        <v>92</v>
      </c>
      <c r="L20" s="5" t="s">
        <v>55</v>
      </c>
    </row>
    <row r="21" spans="6:12" ht="18" x14ac:dyDescent="0.3">
      <c r="H21" s="2" t="s">
        <v>93</v>
      </c>
      <c r="L21" s="5" t="s">
        <v>56</v>
      </c>
    </row>
    <row r="22" spans="6:12" ht="18" x14ac:dyDescent="0.3">
      <c r="H22" s="2" t="s">
        <v>39</v>
      </c>
      <c r="L22" s="5" t="s">
        <v>57</v>
      </c>
    </row>
    <row r="23" spans="6:12" ht="18" x14ac:dyDescent="0.3">
      <c r="H23" s="2" t="s">
        <v>40</v>
      </c>
      <c r="L23" s="5" t="s">
        <v>45</v>
      </c>
    </row>
    <row r="24" spans="6:12" ht="18" x14ac:dyDescent="0.3">
      <c r="H24" s="2" t="s">
        <v>41</v>
      </c>
      <c r="L24" s="5" t="s">
        <v>46</v>
      </c>
    </row>
    <row r="25" spans="6:12" ht="18" x14ac:dyDescent="0.3">
      <c r="H25" s="2" t="s">
        <v>42</v>
      </c>
      <c r="L25" s="5" t="s">
        <v>47</v>
      </c>
    </row>
    <row r="26" spans="6:12" ht="18" x14ac:dyDescent="0.3">
      <c r="H26" s="2" t="s">
        <v>94</v>
      </c>
      <c r="L26" s="5" t="s">
        <v>58</v>
      </c>
    </row>
    <row r="27" spans="6:12" ht="18" x14ac:dyDescent="0.3">
      <c r="H27" s="2" t="s">
        <v>95</v>
      </c>
      <c r="L27" s="5" t="s">
        <v>59</v>
      </c>
    </row>
    <row r="28" spans="6:12" ht="18" x14ac:dyDescent="0.3">
      <c r="H28" s="2" t="s">
        <v>96</v>
      </c>
      <c r="L28" s="5" t="s">
        <v>60</v>
      </c>
    </row>
    <row r="29" spans="6:12" ht="18" x14ac:dyDescent="0.3">
      <c r="H29" s="2" t="s">
        <v>97</v>
      </c>
      <c r="L29" s="5" t="s">
        <v>61</v>
      </c>
    </row>
    <row r="30" spans="6:12" ht="18" x14ac:dyDescent="0.3">
      <c r="H30" s="2" t="s">
        <v>98</v>
      </c>
      <c r="L30" s="5" t="s">
        <v>62</v>
      </c>
    </row>
    <row r="31" spans="6:12" ht="18" x14ac:dyDescent="0.3">
      <c r="H31" s="2" t="s">
        <v>99</v>
      </c>
      <c r="L31" s="5" t="s">
        <v>63</v>
      </c>
    </row>
    <row r="32" spans="6:12" ht="18" x14ac:dyDescent="0.3">
      <c r="H32" s="2" t="s">
        <v>100</v>
      </c>
      <c r="L32" s="5" t="s">
        <v>64</v>
      </c>
    </row>
    <row r="33" spans="4:12" ht="18" x14ac:dyDescent="0.3">
      <c r="H33" s="2" t="s">
        <v>212</v>
      </c>
      <c r="L33" s="5" t="s">
        <v>65</v>
      </c>
    </row>
    <row r="34" spans="4:12" ht="18" x14ac:dyDescent="0.3">
      <c r="H34" s="2" t="s">
        <v>43</v>
      </c>
      <c r="L34" s="5" t="s">
        <v>213</v>
      </c>
    </row>
    <row r="35" spans="4:12" ht="18" x14ac:dyDescent="0.3">
      <c r="H35" s="2" t="s">
        <v>44</v>
      </c>
      <c r="L35" s="5" t="s">
        <v>120</v>
      </c>
    </row>
    <row r="37" spans="4:12" ht="17.399999999999999" x14ac:dyDescent="0.3">
      <c r="D37" s="4" t="s">
        <v>66</v>
      </c>
    </row>
    <row r="38" spans="4:12" ht="18" x14ac:dyDescent="0.3">
      <c r="D38" s="5" t="s">
        <v>67</v>
      </c>
    </row>
    <row r="39" spans="4:12" ht="17.399999999999999" x14ac:dyDescent="0.3">
      <c r="D39" s="6" t="s">
        <v>68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5FB78-F921-487C-9777-9D873B9F4386}">
  <sheetPr codeName="Feuil27">
    <tabColor rgb="FF92D050"/>
  </sheetPr>
  <dimension ref="A1:I291"/>
  <sheetViews>
    <sheetView showZeros="0" tabSelected="1" topLeftCell="A250" zoomScaleNormal="100" workbookViewId="0">
      <selection activeCell="E267" sqref="E267"/>
    </sheetView>
  </sheetViews>
  <sheetFormatPr baseColWidth="10" defaultColWidth="11.44140625" defaultRowHeight="14.4" outlineLevelRow="1" x14ac:dyDescent="0.3"/>
  <cols>
    <col min="1" max="1" width="23" style="13" customWidth="1"/>
    <col min="2" max="2" width="20.5546875" style="13" customWidth="1"/>
    <col min="3" max="3" width="18.44140625" style="13" customWidth="1"/>
    <col min="4" max="4" width="12.33203125" style="13" customWidth="1"/>
    <col min="5" max="5" width="21.6640625" style="13" customWidth="1"/>
    <col min="6" max="6" width="12.109375" style="13" customWidth="1"/>
    <col min="7" max="7" width="18.44140625" style="13" customWidth="1"/>
    <col min="8" max="9" width="12.109375" style="13" customWidth="1"/>
    <col min="10" max="12" width="7.6640625" style="14" customWidth="1"/>
    <col min="13" max="16" width="11.44140625" style="14" customWidth="1"/>
    <col min="17" max="16384" width="11.44140625" style="14"/>
  </cols>
  <sheetData>
    <row r="1" spans="1:9" ht="18" x14ac:dyDescent="0.3">
      <c r="A1" s="11">
        <v>1</v>
      </c>
      <c r="B1" s="12" t="s">
        <v>122</v>
      </c>
    </row>
    <row r="3" spans="1:9" ht="26.4" x14ac:dyDescent="0.3">
      <c r="A3" s="15" t="s">
        <v>0</v>
      </c>
      <c r="B3" s="15" t="s">
        <v>1</v>
      </c>
      <c r="C3" s="15" t="s">
        <v>2</v>
      </c>
      <c r="D3" s="15" t="s">
        <v>3</v>
      </c>
      <c r="E3" s="15" t="s">
        <v>4</v>
      </c>
      <c r="F3" s="15" t="s">
        <v>1</v>
      </c>
      <c r="G3" s="15" t="s">
        <v>79</v>
      </c>
      <c r="H3" s="15" t="s">
        <v>5</v>
      </c>
      <c r="I3" s="15" t="s">
        <v>7</v>
      </c>
    </row>
    <row r="4" spans="1:9" ht="15" customHeight="1" x14ac:dyDescent="0.3">
      <c r="A4" s="23" t="s">
        <v>121</v>
      </c>
      <c r="B4" s="28"/>
      <c r="C4" s="25" t="s">
        <v>202</v>
      </c>
      <c r="D4" s="28">
        <v>1</v>
      </c>
      <c r="E4" s="23" t="s">
        <v>123</v>
      </c>
      <c r="F4" s="28" t="str">
        <f>IF(B4=0,"",B4)</f>
        <v/>
      </c>
      <c r="G4" s="29" t="s">
        <v>152</v>
      </c>
      <c r="H4" s="33"/>
      <c r="I4" s="34"/>
    </row>
    <row r="5" spans="1:9" ht="15" customHeight="1" x14ac:dyDescent="0.3">
      <c r="A5" s="23"/>
      <c r="B5" s="28"/>
      <c r="C5" s="25"/>
      <c r="D5" s="28">
        <v>2</v>
      </c>
      <c r="E5" s="23"/>
      <c r="F5" s="28" t="str">
        <f t="shared" ref="F5:F15" si="0">IF(B5=0,"",B5)</f>
        <v/>
      </c>
      <c r="G5" s="29"/>
      <c r="H5" s="33"/>
      <c r="I5" s="34"/>
    </row>
    <row r="6" spans="1:9" ht="15" customHeight="1" x14ac:dyDescent="0.3">
      <c r="A6" s="23"/>
      <c r="B6" s="28"/>
      <c r="C6" s="25"/>
      <c r="D6" s="28">
        <v>3</v>
      </c>
      <c r="E6" s="23"/>
      <c r="F6" s="28" t="str">
        <f t="shared" si="0"/>
        <v/>
      </c>
      <c r="G6" s="29"/>
      <c r="H6" s="33"/>
      <c r="I6" s="34"/>
    </row>
    <row r="7" spans="1:9" ht="15" customHeight="1" x14ac:dyDescent="0.3">
      <c r="A7" s="23"/>
      <c r="B7" s="28"/>
      <c r="C7" s="25"/>
      <c r="D7" s="28">
        <v>4</v>
      </c>
      <c r="E7" s="23"/>
      <c r="F7" s="28" t="str">
        <f t="shared" si="0"/>
        <v/>
      </c>
      <c r="G7" s="29"/>
      <c r="H7" s="33"/>
      <c r="I7" s="34"/>
    </row>
    <row r="8" spans="1:9" ht="15" customHeight="1" x14ac:dyDescent="0.3">
      <c r="A8" s="23"/>
      <c r="B8" s="28"/>
      <c r="C8" s="25"/>
      <c r="D8" s="28">
        <v>5</v>
      </c>
      <c r="E8" s="23"/>
      <c r="F8" s="28" t="str">
        <f t="shared" si="0"/>
        <v/>
      </c>
      <c r="G8" s="29"/>
      <c r="H8" s="33"/>
      <c r="I8" s="34"/>
    </row>
    <row r="9" spans="1:9" ht="15.75" customHeight="1" x14ac:dyDescent="0.3">
      <c r="A9" s="23"/>
      <c r="B9" s="28"/>
      <c r="C9" s="25"/>
      <c r="D9" s="28">
        <v>6</v>
      </c>
      <c r="E9" s="23"/>
      <c r="F9" s="28" t="str">
        <f t="shared" si="0"/>
        <v/>
      </c>
      <c r="G9" s="29"/>
      <c r="H9" s="33"/>
      <c r="I9" s="34"/>
    </row>
    <row r="10" spans="1:9" ht="15" customHeight="1" x14ac:dyDescent="0.3">
      <c r="A10" s="23"/>
      <c r="B10" s="28"/>
      <c r="C10" s="25"/>
      <c r="D10" s="28">
        <v>7</v>
      </c>
      <c r="E10" s="23"/>
      <c r="F10" s="28" t="str">
        <f t="shared" si="0"/>
        <v/>
      </c>
      <c r="G10" s="29"/>
      <c r="H10" s="33"/>
      <c r="I10" s="34"/>
    </row>
    <row r="11" spans="1:9" ht="15" customHeight="1" x14ac:dyDescent="0.3">
      <c r="A11" s="23"/>
      <c r="B11" s="28"/>
      <c r="C11" s="25"/>
      <c r="D11" s="28">
        <v>8</v>
      </c>
      <c r="E11" s="23"/>
      <c r="F11" s="28" t="str">
        <f t="shared" si="0"/>
        <v/>
      </c>
      <c r="G11" s="29"/>
      <c r="H11" s="33"/>
      <c r="I11" s="34"/>
    </row>
    <row r="12" spans="1:9" ht="15.75" customHeight="1" x14ac:dyDescent="0.3">
      <c r="A12" s="87"/>
      <c r="B12" s="76"/>
      <c r="C12" s="93"/>
      <c r="D12" s="76">
        <v>9</v>
      </c>
      <c r="E12" s="23"/>
      <c r="F12" s="28" t="str">
        <f t="shared" si="0"/>
        <v/>
      </c>
      <c r="G12" s="29"/>
      <c r="H12" s="33"/>
      <c r="I12" s="34"/>
    </row>
    <row r="13" spans="1:9" ht="15" customHeight="1" x14ac:dyDescent="0.3">
      <c r="A13" s="87"/>
      <c r="B13" s="76"/>
      <c r="C13" s="93"/>
      <c r="D13" s="76">
        <v>10</v>
      </c>
      <c r="E13" s="23"/>
      <c r="F13" s="28" t="str">
        <f t="shared" si="0"/>
        <v/>
      </c>
      <c r="G13" s="29"/>
      <c r="H13" s="33"/>
      <c r="I13" s="34"/>
    </row>
    <row r="14" spans="1:9" ht="15" customHeight="1" x14ac:dyDescent="0.3">
      <c r="A14" s="87"/>
      <c r="B14" s="76"/>
      <c r="C14" s="93"/>
      <c r="D14" s="76">
        <v>11</v>
      </c>
      <c r="E14" s="23"/>
      <c r="F14" s="28" t="str">
        <f t="shared" si="0"/>
        <v/>
      </c>
      <c r="G14" s="29"/>
      <c r="H14" s="33"/>
      <c r="I14" s="34"/>
    </row>
    <row r="15" spans="1:9" ht="15.75" customHeight="1" x14ac:dyDescent="0.3">
      <c r="A15" s="87"/>
      <c r="B15" s="76" t="s">
        <v>8</v>
      </c>
      <c r="C15" s="93"/>
      <c r="D15" s="76" t="s">
        <v>8</v>
      </c>
      <c r="E15" s="23"/>
      <c r="F15" s="28" t="str">
        <f t="shared" si="0"/>
        <v>GND</v>
      </c>
      <c r="G15" s="29"/>
      <c r="H15" s="33"/>
      <c r="I15" s="34"/>
    </row>
    <row r="16" spans="1:9" ht="14.4" customHeight="1" x14ac:dyDescent="0.3">
      <c r="A16" s="77"/>
      <c r="B16" s="76"/>
      <c r="C16" s="93" t="s">
        <v>203</v>
      </c>
      <c r="D16" s="76">
        <v>1</v>
      </c>
      <c r="E16" s="23"/>
      <c r="F16" s="28"/>
      <c r="G16" s="27" t="s">
        <v>191</v>
      </c>
      <c r="H16" s="35"/>
      <c r="I16" s="35"/>
    </row>
    <row r="17" spans="1:9" ht="14.4" customHeight="1" x14ac:dyDescent="0.3">
      <c r="A17" s="77"/>
      <c r="B17" s="76"/>
      <c r="C17" s="93"/>
      <c r="D17" s="76">
        <v>2</v>
      </c>
      <c r="E17" s="23"/>
      <c r="F17" s="28"/>
      <c r="G17" s="27"/>
      <c r="H17" s="35"/>
      <c r="I17" s="35"/>
    </row>
    <row r="18" spans="1:9" ht="14.4" customHeight="1" x14ac:dyDescent="0.3">
      <c r="A18" s="77"/>
      <c r="B18" s="76" t="s">
        <v>8</v>
      </c>
      <c r="C18" s="93"/>
      <c r="D18" s="76" t="s">
        <v>8</v>
      </c>
      <c r="E18" s="23"/>
      <c r="F18" s="28"/>
      <c r="G18" s="27"/>
      <c r="H18" s="35"/>
      <c r="I18" s="35"/>
    </row>
    <row r="19" spans="1:9" ht="57.6" x14ac:dyDescent="0.3">
      <c r="A19" s="77" t="s">
        <v>124</v>
      </c>
      <c r="B19" s="76"/>
      <c r="C19" s="76" t="s">
        <v>125</v>
      </c>
      <c r="D19" s="76"/>
      <c r="E19" s="16" t="s">
        <v>126</v>
      </c>
      <c r="F19" s="28"/>
      <c r="G19" s="17"/>
      <c r="H19" s="28"/>
      <c r="I19" s="18"/>
    </row>
    <row r="20" spans="1:9" x14ac:dyDescent="0.3">
      <c r="A20" s="75"/>
      <c r="B20" s="75"/>
      <c r="C20" s="75"/>
      <c r="D20" s="75"/>
    </row>
    <row r="21" spans="1:9" x14ac:dyDescent="0.3">
      <c r="A21" s="75"/>
      <c r="B21" s="75"/>
      <c r="C21" s="75"/>
      <c r="D21" s="75"/>
    </row>
    <row r="22" spans="1:9" x14ac:dyDescent="0.3">
      <c r="A22" s="75"/>
      <c r="B22" s="75"/>
      <c r="C22" s="75"/>
      <c r="D22" s="75"/>
    </row>
    <row r="23" spans="1:9" x14ac:dyDescent="0.3">
      <c r="A23" s="75"/>
      <c r="B23" s="75"/>
      <c r="C23" s="75"/>
      <c r="D23" s="75"/>
    </row>
    <row r="24" spans="1:9" x14ac:dyDescent="0.3">
      <c r="A24" s="75"/>
      <c r="B24" s="75"/>
      <c r="C24" s="75"/>
      <c r="D24" s="75"/>
    </row>
    <row r="25" spans="1:9" x14ac:dyDescent="0.3">
      <c r="A25" s="75"/>
      <c r="B25" s="75"/>
      <c r="C25" s="75"/>
      <c r="D25" s="75"/>
    </row>
    <row r="26" spans="1:9" x14ac:dyDescent="0.3">
      <c r="A26" s="75"/>
      <c r="B26" s="75"/>
      <c r="C26" s="75"/>
      <c r="D26" s="75"/>
    </row>
    <row r="27" spans="1:9" x14ac:dyDescent="0.3">
      <c r="A27" s="75"/>
      <c r="B27" s="75"/>
      <c r="C27" s="75"/>
      <c r="D27" s="75"/>
    </row>
    <row r="28" spans="1:9" x14ac:dyDescent="0.3">
      <c r="A28" s="75"/>
      <c r="B28" s="75"/>
      <c r="C28" s="75"/>
      <c r="D28" s="75"/>
    </row>
    <row r="29" spans="1:9" x14ac:dyDescent="0.3">
      <c r="A29" s="75"/>
      <c r="B29" s="75"/>
      <c r="C29" s="75"/>
      <c r="D29" s="75"/>
    </row>
    <row r="30" spans="1:9" x14ac:dyDescent="0.3">
      <c r="A30" s="75"/>
      <c r="B30" s="75"/>
      <c r="C30" s="75"/>
      <c r="D30" s="75"/>
    </row>
    <row r="31" spans="1:9" x14ac:dyDescent="0.3">
      <c r="A31" s="75"/>
      <c r="B31" s="75"/>
      <c r="C31" s="75"/>
      <c r="D31" s="75"/>
    </row>
    <row r="32" spans="1:9" x14ac:dyDescent="0.3">
      <c r="A32" s="75"/>
      <c r="B32" s="75"/>
      <c r="C32" s="75"/>
      <c r="D32" s="75"/>
    </row>
    <row r="33" spans="1:4" x14ac:dyDescent="0.3">
      <c r="A33" s="75"/>
      <c r="B33" s="75"/>
      <c r="C33" s="75"/>
      <c r="D33" s="75"/>
    </row>
    <row r="34" spans="1:4" x14ac:dyDescent="0.3">
      <c r="A34" s="75"/>
      <c r="B34" s="75"/>
      <c r="C34" s="75"/>
      <c r="D34" s="75"/>
    </row>
    <row r="35" spans="1:4" x14ac:dyDescent="0.3">
      <c r="A35" s="75"/>
      <c r="B35" s="75"/>
      <c r="C35" s="75"/>
      <c r="D35" s="75"/>
    </row>
    <row r="36" spans="1:4" x14ac:dyDescent="0.3">
      <c r="A36" s="75"/>
      <c r="B36" s="75"/>
      <c r="C36" s="75"/>
      <c r="D36" s="75"/>
    </row>
    <row r="37" spans="1:4" x14ac:dyDescent="0.3">
      <c r="A37" s="75"/>
      <c r="B37" s="75"/>
      <c r="C37" s="75"/>
      <c r="D37" s="75"/>
    </row>
    <row r="38" spans="1:4" x14ac:dyDescent="0.3">
      <c r="A38" s="75"/>
      <c r="B38" s="75"/>
      <c r="C38" s="75"/>
      <c r="D38" s="75"/>
    </row>
    <row r="39" spans="1:4" x14ac:dyDescent="0.3">
      <c r="A39" s="75"/>
      <c r="B39" s="75"/>
      <c r="C39" s="75"/>
      <c r="D39" s="75"/>
    </row>
    <row r="40" spans="1:4" x14ac:dyDescent="0.3">
      <c r="A40" s="75"/>
      <c r="B40" s="75"/>
      <c r="C40" s="75"/>
      <c r="D40" s="75"/>
    </row>
    <row r="41" spans="1:4" x14ac:dyDescent="0.3">
      <c r="A41" s="75"/>
      <c r="B41" s="75"/>
      <c r="C41" s="75"/>
      <c r="D41" s="75"/>
    </row>
    <row r="42" spans="1:4" x14ac:dyDescent="0.3">
      <c r="A42" s="75"/>
      <c r="B42" s="75"/>
      <c r="C42" s="75"/>
      <c r="D42" s="75"/>
    </row>
    <row r="259" spans="1:4" ht="15" thickBot="1" x14ac:dyDescent="0.35"/>
    <row r="260" spans="1:4" ht="15" outlineLevel="1" thickBot="1" x14ac:dyDescent="0.35">
      <c r="A260" s="19" t="s">
        <v>69</v>
      </c>
      <c r="B260" s="20"/>
      <c r="C260" s="21"/>
      <c r="D260" s="22"/>
    </row>
    <row r="261" spans="1:4" ht="15" outlineLevel="1" thickBot="1" x14ac:dyDescent="0.35">
      <c r="A261" s="69" t="s">
        <v>70</v>
      </c>
      <c r="B261" s="70" t="s">
        <v>71</v>
      </c>
      <c r="C261" s="70" t="s">
        <v>72</v>
      </c>
      <c r="D261" s="71" t="s">
        <v>167</v>
      </c>
    </row>
    <row r="262" spans="1:4" outlineLevel="1" x14ac:dyDescent="0.3">
      <c r="A262" s="64" t="s">
        <v>23</v>
      </c>
      <c r="B262" s="42" t="s">
        <v>24</v>
      </c>
      <c r="C262" s="43">
        <f>SUMIF($G$4:$G$250,"2 x 1mm² +
GND (500V)",$I$4:$I$250)</f>
        <v>0</v>
      </c>
      <c r="D262" s="68">
        <f>COUNTIF($G$4:$G$250,"2 x 1mm² +
GND (500V)")</f>
        <v>0</v>
      </c>
    </row>
    <row r="263" spans="1:4" outlineLevel="1" x14ac:dyDescent="0.3">
      <c r="A263" s="65" t="s">
        <v>23</v>
      </c>
      <c r="B263" s="44" t="s">
        <v>26</v>
      </c>
      <c r="C263" s="43">
        <f>SUMIF($G$4:$G$250,"4 x 1mm² +
GND (500V)",$I$4:$I$250)</f>
        <v>0</v>
      </c>
      <c r="D263" s="68">
        <f>COUNTIF($G$4:$G$250,"4 x 1mm² +
GND (500V)")</f>
        <v>0</v>
      </c>
    </row>
    <row r="264" spans="1:4" outlineLevel="1" x14ac:dyDescent="0.3">
      <c r="A264" s="65" t="s">
        <v>23</v>
      </c>
      <c r="B264" s="44" t="s">
        <v>28</v>
      </c>
      <c r="C264" s="43">
        <f>SUMIF($G$4:$G$250,"6 x 1mm² +
GND (500V)",$I$4:$I$250)</f>
        <v>0</v>
      </c>
      <c r="D264" s="68">
        <f>COUNTIF($G$4:$G$250,"6 x 1mm² +
GND (500V)")</f>
        <v>0</v>
      </c>
    </row>
    <row r="265" spans="1:4" outlineLevel="1" x14ac:dyDescent="0.3">
      <c r="A265" s="65" t="s">
        <v>23</v>
      </c>
      <c r="B265" s="44" t="s">
        <v>30</v>
      </c>
      <c r="C265" s="43">
        <f>SUMIF($G$4:$G$250,"11 x 1mm² +
GND (500V)",$I$4:$I$250)</f>
        <v>0</v>
      </c>
      <c r="D265" s="68">
        <f>COUNTIF($G$4:$G$250,"11 x 1mm² +
GND (500V)")</f>
        <v>1</v>
      </c>
    </row>
    <row r="266" spans="1:4" outlineLevel="1" x14ac:dyDescent="0.3">
      <c r="A266" s="65" t="s">
        <v>23</v>
      </c>
      <c r="B266" s="44" t="s">
        <v>32</v>
      </c>
      <c r="C266" s="43">
        <f>SUMIF($G$4:$G$250,"18 x 1mm² +
GND (500V)",$I$4:$I$250)</f>
        <v>0</v>
      </c>
      <c r="D266" s="68">
        <f>COUNTIF($G$4:$G$250,"18 x 1mm² +
GND (500V)")</f>
        <v>0</v>
      </c>
    </row>
    <row r="267" spans="1:4" outlineLevel="1" x14ac:dyDescent="0.3">
      <c r="A267" s="65" t="s">
        <v>23</v>
      </c>
      <c r="B267" s="44" t="s">
        <v>33</v>
      </c>
      <c r="C267" s="43"/>
      <c r="D267" s="68">
        <f>COUNTIF($G$4:$G$250,"26 x 1mm² +
GND (500V)")</f>
        <v>0</v>
      </c>
    </row>
    <row r="268" spans="1:4" outlineLevel="1" x14ac:dyDescent="0.3">
      <c r="A268" s="65" t="s">
        <v>23</v>
      </c>
      <c r="B268" s="44" t="s">
        <v>34</v>
      </c>
      <c r="C268" s="43">
        <f>SUMIF($G$4:$G$250,"2 x 1,5mm² +
GND (500V)",$I$4:$I$250)</f>
        <v>0</v>
      </c>
      <c r="D268" s="68">
        <f>COUNTIF($G$4:$G$250,"2 x 1,5mm² +
GND (500V)")</f>
        <v>0</v>
      </c>
    </row>
    <row r="269" spans="1:4" outlineLevel="1" x14ac:dyDescent="0.3">
      <c r="A269" s="65" t="s">
        <v>23</v>
      </c>
      <c r="B269" s="44" t="s">
        <v>35</v>
      </c>
      <c r="C269" s="43">
        <f>SUMIF($G$4:$G$250,"2 x 2,5mm² +
GND (500V)",$I$4:$I$250)</f>
        <v>0</v>
      </c>
      <c r="D269" s="68">
        <f>COUNTIF($G$4:$G$250,"2 x 2,5mm² +
GND (500V)")</f>
        <v>0</v>
      </c>
    </row>
    <row r="270" spans="1:4" outlineLevel="1" x14ac:dyDescent="0.3">
      <c r="A270" s="65" t="s">
        <v>23</v>
      </c>
      <c r="B270" s="44" t="s">
        <v>36</v>
      </c>
      <c r="C270" s="43">
        <f>SUMIF($G$4:$G$250,"4 x 2,5mm² +
GND (500V)",$I$4:$I$250)</f>
        <v>0</v>
      </c>
      <c r="D270" s="68">
        <f>COUNTIF($G$4:$G$250,"4 x 2,5mm² +
GND (500V)")</f>
        <v>0</v>
      </c>
    </row>
    <row r="271" spans="1:4" outlineLevel="1" x14ac:dyDescent="0.3">
      <c r="A271" s="31" t="s">
        <v>25</v>
      </c>
      <c r="B271" s="44" t="s">
        <v>44</v>
      </c>
      <c r="C271" s="43">
        <f>SUMIF($G$4:$G$315,"Shielded cable
2 x 1mm² +
GND (500V)",$I$4:$I$315)</f>
        <v>0</v>
      </c>
      <c r="D271" s="68">
        <f>COUNTIF($G$4:$G$315,"Shielded cable
2 x 1mm² +
GND (500V)")</f>
        <v>0</v>
      </c>
    </row>
    <row r="272" spans="1:4" outlineLevel="1" x14ac:dyDescent="0.3">
      <c r="A272" s="31" t="s">
        <v>25</v>
      </c>
      <c r="B272" s="44" t="s">
        <v>188</v>
      </c>
      <c r="C272" s="43">
        <f>SUMIF($G$4:$G$315,"Shielded cable
4 x 0,5mm² (500V)",$I$4:$I$315)</f>
        <v>0</v>
      </c>
      <c r="D272" s="68">
        <f>COUNTIF($G$4:$G$315,"Shielded cable
4 x 0,5mm² (500V)")</f>
        <v>1</v>
      </c>
    </row>
    <row r="273" spans="1:4" outlineLevel="1" x14ac:dyDescent="0.3">
      <c r="A273" s="65" t="s">
        <v>27</v>
      </c>
      <c r="B273" s="44" t="s">
        <v>37</v>
      </c>
      <c r="C273" s="43">
        <f>SUMIF($G$4:$G$315,"3 x 1,5mm² +
GND (1000V)",$I$4:$I$315)</f>
        <v>0</v>
      </c>
      <c r="D273" s="68">
        <f>COUNTIF($G$4:$G$315,"3 x 1,5mm² +
GND (1000V)")</f>
        <v>0</v>
      </c>
    </row>
    <row r="274" spans="1:4" outlineLevel="1" x14ac:dyDescent="0.3">
      <c r="A274" s="65" t="s">
        <v>27</v>
      </c>
      <c r="B274" s="44" t="s">
        <v>38</v>
      </c>
      <c r="C274" s="43">
        <f>SUMIF($G$4:$G$315,"3 x 2,5mm² +
GND (1000V)",$I$4:$I$315)</f>
        <v>0</v>
      </c>
      <c r="D274" s="68">
        <f>COUNTIF($G$4:$G$315,"3 x 2,5mm² +
GND (1000V)")</f>
        <v>0</v>
      </c>
    </row>
    <row r="275" spans="1:4" outlineLevel="1" x14ac:dyDescent="0.3">
      <c r="A275" s="65" t="s">
        <v>27</v>
      </c>
      <c r="B275" s="45" t="s">
        <v>86</v>
      </c>
      <c r="C275" s="43">
        <f>SUMIF($G$4:$G$315,"3 x 4mm² +
GND (1000V)",$I$4:$I$315)</f>
        <v>0</v>
      </c>
      <c r="D275" s="68">
        <f>COUNTIF($G$4:$G$315,"3 x 4mm² +
GND (1000V)")</f>
        <v>0</v>
      </c>
    </row>
    <row r="276" spans="1:4" outlineLevel="1" x14ac:dyDescent="0.3">
      <c r="A276" s="65" t="s">
        <v>27</v>
      </c>
      <c r="B276" s="45" t="s">
        <v>87</v>
      </c>
      <c r="C276" s="43">
        <f>SUMIF($G$4:$G$315,"3 x 6mm² +
GND (1000V)",$I$4:$I$315)</f>
        <v>0</v>
      </c>
      <c r="D276" s="68">
        <f>COUNTIF($G$4:$G$315,"3 x 6mm² +
GND (1000V)")</f>
        <v>0</v>
      </c>
    </row>
    <row r="277" spans="1:4" outlineLevel="1" x14ac:dyDescent="0.3">
      <c r="A277" s="65" t="s">
        <v>27</v>
      </c>
      <c r="B277" s="45" t="s">
        <v>88</v>
      </c>
      <c r="C277" s="43">
        <f>SUMIF($G$4:$G$315,"3 x 10mm² +
GND (1000V)",$I$4:$I$315)</f>
        <v>0</v>
      </c>
      <c r="D277" s="68">
        <f>COUNTIF($G$4:$G$315,"3 x 10mm² +
GND (1000V)")</f>
        <v>0</v>
      </c>
    </row>
    <row r="278" spans="1:4" outlineLevel="1" x14ac:dyDescent="0.3">
      <c r="A278" s="31" t="s">
        <v>25</v>
      </c>
      <c r="B278" s="44" t="s">
        <v>39</v>
      </c>
      <c r="C278" s="43">
        <f>SUMIF($G$4:$G$315,"Shielded cable
3 x 1,5mm² +
GND (1000V)",$I$4:$I$315)</f>
        <v>0</v>
      </c>
      <c r="D278" s="68">
        <f>COUNTIF($G$4:$G$315,"Shielded cable
3 x 1,5mm² +
GND (1000V)")</f>
        <v>0</v>
      </c>
    </row>
    <row r="279" spans="1:4" outlineLevel="1" x14ac:dyDescent="0.3">
      <c r="A279" s="31" t="s">
        <v>25</v>
      </c>
      <c r="B279" s="44" t="s">
        <v>40</v>
      </c>
      <c r="C279" s="43">
        <f>SUMIF($G$4:$G$315,"Shielded cable
3 x 2,5mm² +
GND (1000V)",$I$4:$I$315)</f>
        <v>0</v>
      </c>
      <c r="D279" s="68">
        <f>COUNTIF($G$4:$G$315,"Shielded cable
3 x 2,5mm² +
GND (1000V)")</f>
        <v>0</v>
      </c>
    </row>
    <row r="280" spans="1:4" outlineLevel="1" x14ac:dyDescent="0.3">
      <c r="A280" s="31" t="s">
        <v>25</v>
      </c>
      <c r="B280" s="44" t="s">
        <v>41</v>
      </c>
      <c r="C280" s="43">
        <f>SUMIF($G$4:$G$315,"Shielded cable
3 x 4mm² +
GND (1000V)",$I$4:$I$315)</f>
        <v>0</v>
      </c>
      <c r="D280" s="68">
        <f>COUNTIF($G$4:$G$315,"Shielded cable
3 x 4mm² +
GND (1000V)")</f>
        <v>0</v>
      </c>
    </row>
    <row r="281" spans="1:4" outlineLevel="1" x14ac:dyDescent="0.3">
      <c r="A281" s="31" t="s">
        <v>25</v>
      </c>
      <c r="B281" s="44" t="s">
        <v>42</v>
      </c>
      <c r="C281" s="43">
        <f>SUMIF($G$4:$G$315,"Shielded cable
3 x 6mm² +
GND (1000V)",$I$4:$I$315)</f>
        <v>0</v>
      </c>
      <c r="D281" s="68">
        <f>COUNTIF($G$4:$G$315,"Shielded cable
3 x 6mm² +
GND (1000V)")</f>
        <v>0</v>
      </c>
    </row>
    <row r="282" spans="1:4" outlineLevel="1" x14ac:dyDescent="0.3">
      <c r="A282" s="31" t="s">
        <v>25</v>
      </c>
      <c r="B282" s="44" t="s">
        <v>94</v>
      </c>
      <c r="C282" s="43">
        <f>SUMIF($G$4:$G$315,"Shielded cable
3 x 10mm² +
GND (1000V)",$I$4:$I$315)</f>
        <v>0</v>
      </c>
      <c r="D282" s="68">
        <f>COUNTIF($G$4:$G$315,"Shielded cable
3 x 10mm² +
GND (1000V)")</f>
        <v>0</v>
      </c>
    </row>
    <row r="283" spans="1:4" outlineLevel="1" x14ac:dyDescent="0.3">
      <c r="A283" s="31" t="s">
        <v>25</v>
      </c>
      <c r="B283" s="44" t="s">
        <v>95</v>
      </c>
      <c r="C283" s="43">
        <f>SUMIF($G$4:$G$315,"Shielded cable
3 x 16mm² +
GND (1000V)",$I$4:$I$315)</f>
        <v>0</v>
      </c>
      <c r="D283" s="68">
        <f>COUNTIF($G$4:$G$315,"Shielded cable
3 x 16mm² +
GND (1000V)")</f>
        <v>0</v>
      </c>
    </row>
    <row r="284" spans="1:4" outlineLevel="1" x14ac:dyDescent="0.3">
      <c r="A284" s="31" t="s">
        <v>25</v>
      </c>
      <c r="B284" s="44" t="s">
        <v>96</v>
      </c>
      <c r="C284" s="43">
        <f>SUMIF($G$4:$G$315,"Shielded cable
3 x 25mm² +
GND (1000V)",$I$4:$I$315)</f>
        <v>0</v>
      </c>
      <c r="D284" s="68">
        <f>COUNTIF($G$4:$G$315,"Shielded cable
3 x 25mm² +
GND (1000V)")</f>
        <v>0</v>
      </c>
    </row>
    <row r="285" spans="1:4" outlineLevel="1" x14ac:dyDescent="0.3">
      <c r="A285" s="31" t="s">
        <v>25</v>
      </c>
      <c r="B285" s="44" t="s">
        <v>97</v>
      </c>
      <c r="C285" s="43">
        <f>SUMIF($G$4:$G$315,"Shielded cable
3 x 35mm² +
GND (1000V)",$I$4:$I$315)</f>
        <v>0</v>
      </c>
      <c r="D285" s="68">
        <f>COUNTIF($G$4:$G$315,"Shielded cable
3 x 35mm² +
GND (1000V)")</f>
        <v>0</v>
      </c>
    </row>
    <row r="286" spans="1:4" outlineLevel="1" x14ac:dyDescent="0.3">
      <c r="A286" s="31" t="s">
        <v>25</v>
      </c>
      <c r="B286" s="44" t="s">
        <v>98</v>
      </c>
      <c r="C286" s="43">
        <f>SUMIF($G$4:$G$315,"Shielded cable
3 x 50mm² +
GND (1000V)",$I$4:$I$315)</f>
        <v>0</v>
      </c>
      <c r="D286" s="68">
        <f>COUNTIF($G$4:$G$315,"Shielded cable
3 x 50mm² +
GND (1000V)")</f>
        <v>0</v>
      </c>
    </row>
    <row r="287" spans="1:4" outlineLevel="1" x14ac:dyDescent="0.3">
      <c r="A287" s="31" t="s">
        <v>25</v>
      </c>
      <c r="B287" s="44" t="s">
        <v>99</v>
      </c>
      <c r="C287" s="43">
        <f>SUMIF($G$4:$G$315,"Shielded cable
3 x 70mm² +
GND (1000V)",$I$4:$I$315)</f>
        <v>0</v>
      </c>
      <c r="D287" s="68">
        <f>COUNTIF($G$4:$G$315,"Shielded cable
3 x 70mm² +
GND (1000V)")</f>
        <v>0</v>
      </c>
    </row>
    <row r="288" spans="1:4" outlineLevel="1" x14ac:dyDescent="0.3">
      <c r="A288" s="31" t="s">
        <v>25</v>
      </c>
      <c r="B288" s="44" t="s">
        <v>100</v>
      </c>
      <c r="C288" s="43">
        <f>SUMIF($G$4:$G$315,"Shielded cable
3 x 95mm² +
GND (1000V)",$I$4:$I$315)</f>
        <v>0</v>
      </c>
      <c r="D288" s="68">
        <f>COUNTIF($G$4:$G$315,"Shielded cable
3 x 95mm² +
GND (1000V)")</f>
        <v>0</v>
      </c>
    </row>
    <row r="289" spans="1:4" outlineLevel="1" x14ac:dyDescent="0.3">
      <c r="A289" s="31" t="s">
        <v>25</v>
      </c>
      <c r="B289" s="44" t="s">
        <v>212</v>
      </c>
      <c r="C289" s="43">
        <f>SUMIF($G$4:$G$315,"Shielded cable
3 x 120mm² +
GND (1000V)",$I$4:$I$315)</f>
        <v>0</v>
      </c>
      <c r="D289" s="68">
        <f>COUNTIF($G$4:$G$315,"Shielded cable
3 x 120mm² +
GND (1000V)")</f>
        <v>0</v>
      </c>
    </row>
    <row r="290" spans="1:4" outlineLevel="1" x14ac:dyDescent="0.3">
      <c r="A290" s="66" t="s">
        <v>31</v>
      </c>
      <c r="B290" s="46" t="s">
        <v>43</v>
      </c>
      <c r="C290" s="43">
        <f>SUMIF($G$4:$G$200,"PROFINET CABLE
6XV1840-2AH10",$I$4:$I$200)</f>
        <v>0</v>
      </c>
      <c r="D290" s="68">
        <f>COUNTIF($G$4:$G$200,"PROFINET CABLE
6XV1840-2AH10")</f>
        <v>0</v>
      </c>
    </row>
    <row r="291" spans="1:4" ht="15" outlineLevel="1" thickBot="1" x14ac:dyDescent="0.35">
      <c r="A291" s="67" t="s">
        <v>73</v>
      </c>
      <c r="B291" s="47" t="s">
        <v>74</v>
      </c>
      <c r="C291" s="43">
        <f>SUMIF($G$5:$G$315,"Earthing  cable
25 mm²",$I$5:$I$315)</f>
        <v>0</v>
      </c>
      <c r="D291" s="68">
        <f>COUNTIF($G$4:$G$315,"Earthing  cable
25 mm²")</f>
        <v>0</v>
      </c>
    </row>
  </sheetData>
  <sheetProtection insertRows="0" deleteRows="0"/>
  <mergeCells count="4">
    <mergeCell ref="H4:H15"/>
    <mergeCell ref="I4:I15"/>
    <mergeCell ref="H16:H18"/>
    <mergeCell ref="I16:I18"/>
  </mergeCells>
  <phoneticPr fontId="18" type="noConversion"/>
  <pageMargins left="0.23958333333333334" right="0.27083333333333331" top="0.75" bottom="0.75" header="0.3" footer="0.3"/>
  <pageSetup paperSize="9" orientation="landscape" r:id="rId1"/>
  <headerFooter>
    <oddHeader>&amp;R&amp;P/&amp;N</oddHead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C10B19EB-43D5-43B7-8FE1-AB60309396D0}">
          <x14:formula1>
            <xm:f>DONNEES!$L$2:$L$35</xm:f>
          </x14:formula1>
          <xm:sqref>G4 G16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186F3-44DD-474D-807C-76C22396606E}">
  <sheetPr codeName="Feuil49">
    <tabColor rgb="FF00B0F0"/>
  </sheetPr>
  <dimension ref="A1:I291"/>
  <sheetViews>
    <sheetView showZeros="0" topLeftCell="A260" zoomScaleNormal="100" workbookViewId="0">
      <selection activeCell="B272" sqref="B272"/>
    </sheetView>
  </sheetViews>
  <sheetFormatPr baseColWidth="10" defaultRowHeight="14.4" outlineLevelRow="1" x14ac:dyDescent="0.3"/>
  <cols>
    <col min="1" max="1" width="24.44140625" style="48" customWidth="1"/>
    <col min="2" max="2" width="22.88671875" style="48" customWidth="1"/>
    <col min="3" max="3" width="18.5546875" style="48" customWidth="1"/>
    <col min="4" max="4" width="12.6640625" style="48" customWidth="1"/>
    <col min="5" max="5" width="21.44140625" style="48" customWidth="1"/>
    <col min="6" max="6" width="12.109375" style="48" customWidth="1"/>
    <col min="7" max="7" width="18.5546875" style="48" customWidth="1"/>
    <col min="8" max="9" width="11.44140625" style="48" customWidth="1"/>
    <col min="10" max="12" width="7.6640625" style="14" customWidth="1"/>
    <col min="13" max="16" width="11.44140625" style="14" customWidth="1"/>
    <col min="17" max="16384" width="11.5546875" style="14"/>
  </cols>
  <sheetData>
    <row r="1" spans="1:9" ht="18" x14ac:dyDescent="0.3">
      <c r="A1" s="11">
        <v>2</v>
      </c>
      <c r="B1" s="12" t="s">
        <v>136</v>
      </c>
    </row>
    <row r="3" spans="1:9" ht="27.6" x14ac:dyDescent="0.3">
      <c r="A3" s="49" t="s">
        <v>0</v>
      </c>
      <c r="B3" s="49" t="s">
        <v>1</v>
      </c>
      <c r="C3" s="49" t="s">
        <v>2</v>
      </c>
      <c r="D3" s="49" t="s">
        <v>3</v>
      </c>
      <c r="E3" s="49" t="s">
        <v>4</v>
      </c>
      <c r="F3" s="49" t="s">
        <v>1</v>
      </c>
      <c r="G3" s="49" t="s">
        <v>79</v>
      </c>
      <c r="H3" s="49" t="s">
        <v>5</v>
      </c>
      <c r="I3" s="49" t="s">
        <v>7</v>
      </c>
    </row>
    <row r="4" spans="1:9" ht="15.75" customHeight="1" x14ac:dyDescent="0.3">
      <c r="A4" s="32" t="s">
        <v>129</v>
      </c>
      <c r="B4" s="50" t="s">
        <v>110</v>
      </c>
      <c r="C4" s="51" t="s">
        <v>204</v>
      </c>
      <c r="D4" s="24" t="s">
        <v>16</v>
      </c>
      <c r="E4" s="52"/>
      <c r="F4" s="28" t="s">
        <v>80</v>
      </c>
      <c r="G4" s="36" t="s">
        <v>152</v>
      </c>
      <c r="H4" s="33"/>
      <c r="I4" s="34"/>
    </row>
    <row r="5" spans="1:9" ht="15" customHeight="1" x14ac:dyDescent="0.3">
      <c r="A5" s="32"/>
      <c r="B5" s="50" t="s">
        <v>111</v>
      </c>
      <c r="C5" s="53"/>
      <c r="D5" s="24" t="s">
        <v>17</v>
      </c>
      <c r="E5" s="54"/>
      <c r="F5" s="28" t="s">
        <v>81</v>
      </c>
      <c r="G5" s="36"/>
      <c r="H5" s="33"/>
      <c r="I5" s="34"/>
    </row>
    <row r="6" spans="1:9" ht="15" customHeight="1" x14ac:dyDescent="0.3">
      <c r="A6" s="32"/>
      <c r="B6" s="50" t="s">
        <v>112</v>
      </c>
      <c r="C6" s="53"/>
      <c r="D6" s="24" t="s">
        <v>18</v>
      </c>
      <c r="E6" s="54"/>
      <c r="F6" s="28" t="s">
        <v>82</v>
      </c>
      <c r="G6" s="36"/>
      <c r="H6" s="33"/>
      <c r="I6" s="34"/>
    </row>
    <row r="7" spans="1:9" ht="15" customHeight="1" x14ac:dyDescent="0.3">
      <c r="A7" s="32"/>
      <c r="B7" s="50" t="s">
        <v>109</v>
      </c>
      <c r="C7" s="53"/>
      <c r="D7" s="28" t="s">
        <v>15</v>
      </c>
      <c r="E7" s="54"/>
      <c r="F7" s="28" t="s">
        <v>83</v>
      </c>
      <c r="G7" s="36"/>
      <c r="H7" s="33"/>
      <c r="I7" s="34"/>
    </row>
    <row r="8" spans="1:9" ht="15" customHeight="1" x14ac:dyDescent="0.3">
      <c r="A8" s="32"/>
      <c r="B8" s="50" t="s">
        <v>113</v>
      </c>
      <c r="C8" s="55"/>
      <c r="D8" s="28" t="s">
        <v>8</v>
      </c>
      <c r="E8" s="56"/>
      <c r="F8" s="28" t="s">
        <v>84</v>
      </c>
      <c r="G8" s="36"/>
      <c r="H8" s="33"/>
      <c r="I8" s="34"/>
    </row>
    <row r="9" spans="1:9" ht="15" customHeight="1" x14ac:dyDescent="0.3">
      <c r="A9" s="23" t="s">
        <v>129</v>
      </c>
      <c r="B9" s="50" t="s">
        <v>110</v>
      </c>
      <c r="C9" s="84" t="s">
        <v>204</v>
      </c>
      <c r="D9" s="24" t="s">
        <v>16</v>
      </c>
      <c r="E9" s="85"/>
      <c r="F9" s="57" t="s">
        <v>80</v>
      </c>
      <c r="G9" s="29"/>
      <c r="H9" s="33"/>
      <c r="I9" s="34"/>
    </row>
    <row r="10" spans="1:9" ht="15" customHeight="1" x14ac:dyDescent="0.3">
      <c r="A10" s="23"/>
      <c r="B10" s="50" t="s">
        <v>111</v>
      </c>
      <c r="C10" s="86"/>
      <c r="D10" s="24" t="s">
        <v>17</v>
      </c>
      <c r="E10" s="25"/>
      <c r="F10" s="57" t="s">
        <v>81</v>
      </c>
      <c r="G10" s="29"/>
      <c r="H10" s="33"/>
      <c r="I10" s="34"/>
    </row>
    <row r="11" spans="1:9" ht="15" customHeight="1" x14ac:dyDescent="0.3">
      <c r="A11" s="23"/>
      <c r="B11" s="50" t="s">
        <v>112</v>
      </c>
      <c r="C11" s="86"/>
      <c r="D11" s="24" t="s">
        <v>18</v>
      </c>
      <c r="E11" s="25"/>
      <c r="F11" s="57" t="s">
        <v>82</v>
      </c>
      <c r="G11" s="29"/>
      <c r="H11" s="33"/>
      <c r="I11" s="34"/>
    </row>
    <row r="12" spans="1:9" ht="15.75" customHeight="1" x14ac:dyDescent="0.3">
      <c r="A12" s="87"/>
      <c r="B12" s="83" t="s">
        <v>109</v>
      </c>
      <c r="C12" s="88"/>
      <c r="D12" s="76" t="s">
        <v>15</v>
      </c>
      <c r="E12" s="25"/>
      <c r="F12" s="57" t="s">
        <v>83</v>
      </c>
      <c r="G12" s="29"/>
      <c r="H12" s="33"/>
      <c r="I12" s="34"/>
    </row>
    <row r="13" spans="1:9" ht="15.75" customHeight="1" x14ac:dyDescent="0.3">
      <c r="A13" s="87"/>
      <c r="B13" s="83" t="s">
        <v>113</v>
      </c>
      <c r="C13" s="89"/>
      <c r="D13" s="76" t="s">
        <v>8</v>
      </c>
      <c r="E13" s="25"/>
      <c r="F13" s="57" t="s">
        <v>84</v>
      </c>
      <c r="G13" s="29"/>
      <c r="H13" s="33"/>
      <c r="I13" s="34"/>
    </row>
    <row r="14" spans="1:9" x14ac:dyDescent="0.3">
      <c r="A14" s="74"/>
      <c r="B14" s="74"/>
      <c r="C14" s="74"/>
      <c r="D14" s="74"/>
    </row>
    <row r="15" spans="1:9" ht="28.8" x14ac:dyDescent="0.3">
      <c r="A15" s="81"/>
      <c r="B15" s="81"/>
      <c r="C15" s="81"/>
      <c r="D15" s="81"/>
      <c r="E15" s="57"/>
      <c r="F15" s="57"/>
      <c r="G15" s="58" t="s">
        <v>75</v>
      </c>
      <c r="H15" s="58"/>
      <c r="I15" s="26"/>
    </row>
    <row r="16" spans="1:9" x14ac:dyDescent="0.3">
      <c r="A16" s="74"/>
      <c r="B16" s="74"/>
      <c r="C16" s="74"/>
      <c r="D16" s="74"/>
    </row>
    <row r="17" spans="1:9" x14ac:dyDescent="0.3">
      <c r="A17" s="74"/>
      <c r="B17" s="74"/>
      <c r="C17" s="74"/>
      <c r="D17" s="74"/>
      <c r="I17" s="59"/>
    </row>
    <row r="18" spans="1:9" x14ac:dyDescent="0.3">
      <c r="A18" s="74"/>
      <c r="B18" s="74"/>
      <c r="C18" s="74"/>
      <c r="D18" s="74"/>
    </row>
    <row r="19" spans="1:9" x14ac:dyDescent="0.3">
      <c r="A19" s="74"/>
      <c r="B19" s="74"/>
      <c r="C19" s="74"/>
      <c r="D19" s="74"/>
    </row>
    <row r="20" spans="1:9" x14ac:dyDescent="0.3">
      <c r="A20" s="74"/>
      <c r="B20" s="74"/>
      <c r="C20" s="74"/>
      <c r="D20" s="74"/>
    </row>
    <row r="21" spans="1:9" x14ac:dyDescent="0.3">
      <c r="A21" s="74"/>
      <c r="B21" s="74"/>
      <c r="C21" s="74"/>
      <c r="D21" s="74"/>
    </row>
    <row r="22" spans="1:9" x14ac:dyDescent="0.3">
      <c r="A22" s="74"/>
      <c r="B22" s="74"/>
      <c r="C22" s="74"/>
      <c r="D22" s="74"/>
    </row>
    <row r="23" spans="1:9" x14ac:dyDescent="0.3">
      <c r="A23" s="74"/>
      <c r="B23" s="74"/>
      <c r="C23" s="74"/>
      <c r="D23" s="74"/>
    </row>
    <row r="24" spans="1:9" x14ac:dyDescent="0.3">
      <c r="A24" s="74"/>
      <c r="B24" s="74"/>
      <c r="C24" s="74"/>
      <c r="D24" s="74"/>
    </row>
    <row r="25" spans="1:9" x14ac:dyDescent="0.3">
      <c r="A25" s="74"/>
      <c r="B25" s="74"/>
      <c r="C25" s="74"/>
      <c r="D25" s="74"/>
    </row>
    <row r="26" spans="1:9" x14ac:dyDescent="0.3">
      <c r="A26" s="74"/>
      <c r="B26" s="74"/>
      <c r="C26" s="74"/>
      <c r="D26" s="74"/>
    </row>
    <row r="27" spans="1:9" x14ac:dyDescent="0.3">
      <c r="A27" s="74"/>
      <c r="B27" s="74"/>
      <c r="C27" s="74"/>
      <c r="D27" s="74"/>
    </row>
    <row r="28" spans="1:9" x14ac:dyDescent="0.3">
      <c r="A28" s="74"/>
      <c r="B28" s="74"/>
      <c r="C28" s="74"/>
      <c r="D28" s="74"/>
    </row>
    <row r="29" spans="1:9" x14ac:dyDescent="0.3">
      <c r="A29" s="74"/>
      <c r="B29" s="74"/>
      <c r="C29" s="74"/>
      <c r="D29" s="74"/>
    </row>
    <row r="30" spans="1:9" x14ac:dyDescent="0.3">
      <c r="A30" s="74"/>
      <c r="B30" s="74"/>
      <c r="C30" s="74"/>
      <c r="D30" s="74"/>
    </row>
    <row r="31" spans="1:9" x14ac:dyDescent="0.3">
      <c r="A31" s="74"/>
      <c r="B31" s="74"/>
      <c r="C31" s="74"/>
      <c r="D31" s="74"/>
    </row>
    <row r="32" spans="1:9" x14ac:dyDescent="0.3">
      <c r="A32" s="74"/>
      <c r="B32" s="74"/>
      <c r="C32" s="74"/>
      <c r="D32" s="74"/>
    </row>
    <row r="33" spans="1:9" ht="27.6" x14ac:dyDescent="0.3">
      <c r="A33" s="80" t="s">
        <v>0</v>
      </c>
      <c r="B33" s="80" t="s">
        <v>1</v>
      </c>
      <c r="C33" s="80" t="s">
        <v>2</v>
      </c>
      <c r="D33" s="80" t="s">
        <v>3</v>
      </c>
      <c r="E33" s="49" t="s">
        <v>4</v>
      </c>
      <c r="F33" s="49" t="s">
        <v>1</v>
      </c>
      <c r="G33" s="49" t="s">
        <v>79</v>
      </c>
      <c r="H33" s="49" t="s">
        <v>5</v>
      </c>
      <c r="I33" s="49" t="s">
        <v>7</v>
      </c>
    </row>
    <row r="34" spans="1:9" ht="15" customHeight="1" x14ac:dyDescent="0.3">
      <c r="A34" s="87" t="s">
        <v>178</v>
      </c>
      <c r="B34" s="78">
        <v>1</v>
      </c>
      <c r="C34" s="90" t="s">
        <v>130</v>
      </c>
      <c r="D34" s="76">
        <v>1</v>
      </c>
      <c r="E34" s="91"/>
      <c r="F34" s="28">
        <f t="shared" ref="F34:F45" si="0">IF(B34=0,"",B34)</f>
        <v>1</v>
      </c>
      <c r="G34" s="29"/>
      <c r="H34" s="61"/>
      <c r="I34" s="62"/>
    </row>
    <row r="35" spans="1:9" ht="15" customHeight="1" x14ac:dyDescent="0.3">
      <c r="A35" s="87"/>
      <c r="B35" s="78">
        <v>2</v>
      </c>
      <c r="C35" s="90"/>
      <c r="D35" s="76">
        <v>2</v>
      </c>
      <c r="E35" s="91"/>
      <c r="F35" s="28">
        <f t="shared" si="0"/>
        <v>2</v>
      </c>
      <c r="G35" s="29"/>
      <c r="H35" s="61"/>
      <c r="I35" s="62"/>
    </row>
    <row r="36" spans="1:9" ht="15" customHeight="1" x14ac:dyDescent="0.3">
      <c r="A36" s="87"/>
      <c r="B36" s="78">
        <v>3</v>
      </c>
      <c r="C36" s="90"/>
      <c r="D36" s="76">
        <v>3</v>
      </c>
      <c r="E36" s="91"/>
      <c r="F36" s="28">
        <f t="shared" si="0"/>
        <v>3</v>
      </c>
      <c r="G36" s="29"/>
      <c r="H36" s="61"/>
      <c r="I36" s="62"/>
    </row>
    <row r="37" spans="1:9" ht="15" customHeight="1" x14ac:dyDescent="0.3">
      <c r="A37" s="87"/>
      <c r="B37" s="78">
        <v>4</v>
      </c>
      <c r="C37" s="90"/>
      <c r="D37" s="76">
        <v>4</v>
      </c>
      <c r="E37" s="91"/>
      <c r="F37" s="28">
        <f t="shared" si="0"/>
        <v>4</v>
      </c>
      <c r="G37" s="29"/>
      <c r="H37" s="61"/>
      <c r="I37" s="62"/>
    </row>
    <row r="38" spans="1:9" ht="15" customHeight="1" x14ac:dyDescent="0.3">
      <c r="A38" s="87"/>
      <c r="B38" s="78" t="s">
        <v>115</v>
      </c>
      <c r="C38" s="90"/>
      <c r="D38" s="76">
        <v>5</v>
      </c>
      <c r="E38" s="91"/>
      <c r="F38" s="28" t="str">
        <f t="shared" si="0"/>
        <v>L</v>
      </c>
      <c r="G38" s="29"/>
      <c r="H38" s="61"/>
      <c r="I38" s="62"/>
    </row>
    <row r="39" spans="1:9" ht="15" customHeight="1" x14ac:dyDescent="0.3">
      <c r="A39" s="87"/>
      <c r="B39" s="78" t="s">
        <v>116</v>
      </c>
      <c r="C39" s="90"/>
      <c r="D39" s="76">
        <v>6</v>
      </c>
      <c r="E39" s="91"/>
      <c r="F39" s="28" t="str">
        <f t="shared" si="0"/>
        <v>E</v>
      </c>
      <c r="G39" s="29"/>
      <c r="H39" s="61"/>
      <c r="I39" s="62"/>
    </row>
    <row r="40" spans="1:9" ht="15" customHeight="1" x14ac:dyDescent="0.3">
      <c r="A40" s="87"/>
      <c r="B40" s="78" t="s">
        <v>116</v>
      </c>
      <c r="C40" s="90"/>
      <c r="D40" s="76">
        <v>7</v>
      </c>
      <c r="E40" s="91"/>
      <c r="F40" s="28" t="str">
        <f t="shared" si="0"/>
        <v>E</v>
      </c>
      <c r="G40" s="29"/>
      <c r="H40" s="61"/>
      <c r="I40" s="62"/>
    </row>
    <row r="41" spans="1:9" ht="15" customHeight="1" x14ac:dyDescent="0.3">
      <c r="A41" s="87"/>
      <c r="B41" s="78">
        <v>7</v>
      </c>
      <c r="C41" s="90"/>
      <c r="D41" s="76">
        <v>8</v>
      </c>
      <c r="E41" s="91"/>
      <c r="F41" s="28">
        <f t="shared" si="0"/>
        <v>7</v>
      </c>
      <c r="G41" s="29"/>
      <c r="H41" s="61"/>
      <c r="I41" s="62"/>
    </row>
    <row r="42" spans="1:9" ht="15" customHeight="1" x14ac:dyDescent="0.3">
      <c r="A42" s="87"/>
      <c r="B42" s="78">
        <v>8</v>
      </c>
      <c r="C42" s="90"/>
      <c r="D42" s="76">
        <v>9</v>
      </c>
      <c r="E42" s="91"/>
      <c r="F42" s="28">
        <f t="shared" si="0"/>
        <v>8</v>
      </c>
      <c r="G42" s="29"/>
      <c r="H42" s="61"/>
      <c r="I42" s="62"/>
    </row>
    <row r="43" spans="1:9" ht="15" customHeight="1" x14ac:dyDescent="0.3">
      <c r="A43" s="23"/>
      <c r="B43" s="60">
        <v>9</v>
      </c>
      <c r="C43" s="92"/>
      <c r="D43" s="28">
        <v>10</v>
      </c>
      <c r="E43" s="91"/>
      <c r="F43" s="28">
        <f t="shared" si="0"/>
        <v>9</v>
      </c>
      <c r="G43" s="29"/>
      <c r="H43" s="61"/>
      <c r="I43" s="62"/>
    </row>
    <row r="44" spans="1:9" ht="15" customHeight="1" x14ac:dyDescent="0.3">
      <c r="A44" s="23"/>
      <c r="B44" s="60">
        <v>10</v>
      </c>
      <c r="C44" s="92"/>
      <c r="D44" s="28">
        <v>11</v>
      </c>
      <c r="E44" s="91"/>
      <c r="F44" s="28">
        <f t="shared" si="0"/>
        <v>10</v>
      </c>
      <c r="G44" s="29"/>
      <c r="H44" s="61"/>
      <c r="I44" s="62"/>
    </row>
    <row r="45" spans="1:9" ht="15" customHeight="1" x14ac:dyDescent="0.3">
      <c r="A45" s="23"/>
      <c r="B45" s="28" t="s">
        <v>117</v>
      </c>
      <c r="C45" s="92"/>
      <c r="D45" s="28" t="s">
        <v>8</v>
      </c>
      <c r="E45" s="91"/>
      <c r="F45" s="28" t="str">
        <f t="shared" si="0"/>
        <v>Stand-by</v>
      </c>
      <c r="G45" s="29"/>
      <c r="H45" s="61"/>
      <c r="I45" s="62"/>
    </row>
    <row r="47" spans="1:9" x14ac:dyDescent="0.3">
      <c r="I47" s="59"/>
    </row>
    <row r="48" spans="1:9" x14ac:dyDescent="0.3">
      <c r="I48" s="59"/>
    </row>
    <row r="49" spans="9:9" x14ac:dyDescent="0.3">
      <c r="I49" s="59"/>
    </row>
    <row r="50" spans="9:9" x14ac:dyDescent="0.3">
      <c r="I50" s="59"/>
    </row>
    <row r="51" spans="9:9" x14ac:dyDescent="0.3">
      <c r="I51" s="59"/>
    </row>
    <row r="52" spans="9:9" x14ac:dyDescent="0.3">
      <c r="I52" s="59"/>
    </row>
    <row r="53" spans="9:9" x14ac:dyDescent="0.3">
      <c r="I53" s="59"/>
    </row>
    <row r="54" spans="9:9" x14ac:dyDescent="0.3">
      <c r="I54" s="59"/>
    </row>
    <row r="259" spans="1:4" ht="15" thickBot="1" x14ac:dyDescent="0.35">
      <c r="B259" s="13"/>
      <c r="C259" s="13"/>
    </row>
    <row r="260" spans="1:4" ht="15" outlineLevel="1" thickBot="1" x14ac:dyDescent="0.35">
      <c r="A260" s="19" t="s">
        <v>69</v>
      </c>
      <c r="B260" s="21"/>
      <c r="C260" s="22"/>
      <c r="D260" s="63"/>
    </row>
    <row r="261" spans="1:4" ht="15" outlineLevel="1" thickBot="1" x14ac:dyDescent="0.35">
      <c r="A261" s="69" t="s">
        <v>70</v>
      </c>
      <c r="B261" s="70" t="s">
        <v>71</v>
      </c>
      <c r="C261" s="70" t="s">
        <v>72</v>
      </c>
      <c r="D261" s="71" t="s">
        <v>167</v>
      </c>
    </row>
    <row r="262" spans="1:4" outlineLevel="1" x14ac:dyDescent="0.3">
      <c r="A262" s="64" t="s">
        <v>23</v>
      </c>
      <c r="B262" s="42" t="s">
        <v>24</v>
      </c>
      <c r="C262" s="43">
        <f>SUMIF($G$4:$G$250,"2 x 1mm² +
GND (500V)",$I$4:$I$250)</f>
        <v>0</v>
      </c>
      <c r="D262" s="68">
        <f>COUNTIF($G$4:$G$250,"2 x 1mm² +
GND (500V)")</f>
        <v>0</v>
      </c>
    </row>
    <row r="263" spans="1:4" outlineLevel="1" x14ac:dyDescent="0.3">
      <c r="A263" s="65" t="s">
        <v>23</v>
      </c>
      <c r="B263" s="44" t="s">
        <v>26</v>
      </c>
      <c r="C263" s="43">
        <f>SUMIF($G$4:$G$250,"4 x 1mm² +
GND (500V)",$I$4:$I$250)</f>
        <v>0</v>
      </c>
      <c r="D263" s="68">
        <f>COUNTIF($G$4:$G$250,"4 x 1mm² +
GND (500V)")</f>
        <v>0</v>
      </c>
    </row>
    <row r="264" spans="1:4" outlineLevel="1" x14ac:dyDescent="0.3">
      <c r="A264" s="65" t="s">
        <v>23</v>
      </c>
      <c r="B264" s="44" t="s">
        <v>28</v>
      </c>
      <c r="C264" s="43">
        <f>SUMIF($G$4:$G$250,"6 x 1mm² +
GND (500V)",$I$4:$I$250)</f>
        <v>0</v>
      </c>
      <c r="D264" s="68">
        <f>COUNTIF($G$4:$G$250,"6 x 1mm² +
GND (500V)")</f>
        <v>0</v>
      </c>
    </row>
    <row r="265" spans="1:4" outlineLevel="1" x14ac:dyDescent="0.3">
      <c r="A265" s="65" t="s">
        <v>23</v>
      </c>
      <c r="B265" s="44" t="s">
        <v>30</v>
      </c>
      <c r="C265" s="43">
        <f>SUMIF($G$4:$G$250,"11 x 1mm² +
GND (500V)",$I$4:$I$250)</f>
        <v>0</v>
      </c>
      <c r="D265" s="68">
        <f>COUNTIF($G$4:$G$250,"11 x 1mm² +
GND (500V)")</f>
        <v>1</v>
      </c>
    </row>
    <row r="266" spans="1:4" outlineLevel="1" x14ac:dyDescent="0.3">
      <c r="A266" s="65" t="s">
        <v>23</v>
      </c>
      <c r="B266" s="44" t="s">
        <v>32</v>
      </c>
      <c r="C266" s="43">
        <f>SUMIF($G$4:$G$250,"18 x 1mm² +
GND (500V)",$I$4:$I$250)</f>
        <v>0</v>
      </c>
      <c r="D266" s="68">
        <f>COUNTIF($G$4:$G$250,"18 x 1mm² +
GND (500V)")</f>
        <v>0</v>
      </c>
    </row>
    <row r="267" spans="1:4" outlineLevel="1" x14ac:dyDescent="0.3">
      <c r="A267" s="65" t="s">
        <v>23</v>
      </c>
      <c r="B267" s="44" t="s">
        <v>33</v>
      </c>
      <c r="C267" s="43">
        <f>SUMIF($G$4:$G$250,"26 x 1mm² +
GND (500V)",$I$4:$I$250)</f>
        <v>0</v>
      </c>
      <c r="D267" s="68">
        <f>COUNTIF($G$4:$G$250,"26 x 1mm² +
GND (500V)")</f>
        <v>0</v>
      </c>
    </row>
    <row r="268" spans="1:4" outlineLevel="1" x14ac:dyDescent="0.3">
      <c r="A268" s="65" t="s">
        <v>23</v>
      </c>
      <c r="B268" s="44" t="s">
        <v>34</v>
      </c>
      <c r="C268" s="43">
        <f>SUMIF($G$4:$G$250,"2 x 1,5mm² +
GND (500V)",$I$4:$I$250)</f>
        <v>0</v>
      </c>
      <c r="D268" s="68">
        <f>COUNTIF($G$4:$G$250,"2 x 1,5mm² +
GND (500V)")</f>
        <v>0</v>
      </c>
    </row>
    <row r="269" spans="1:4" outlineLevel="1" x14ac:dyDescent="0.3">
      <c r="A269" s="65" t="s">
        <v>23</v>
      </c>
      <c r="B269" s="44" t="s">
        <v>35</v>
      </c>
      <c r="C269" s="43">
        <f>SUMIF($G$4:$G$250,"2 x 2,5mm² +
GND (500V)",$I$4:$I$250)</f>
        <v>0</v>
      </c>
      <c r="D269" s="68">
        <f>COUNTIF($G$4:$G$250,"2 x 2,5mm² +
GND (500V)")</f>
        <v>0</v>
      </c>
    </row>
    <row r="270" spans="1:4" outlineLevel="1" x14ac:dyDescent="0.3">
      <c r="A270" s="65" t="s">
        <v>23</v>
      </c>
      <c r="B270" s="44" t="s">
        <v>36</v>
      </c>
      <c r="C270" s="43">
        <f>SUMIF($G$4:$G$250,"4 x 2,5mm² +
GND (500V)",$I$4:$I$250)</f>
        <v>0</v>
      </c>
      <c r="D270" s="68">
        <f>COUNTIF($G$4:$G$250,"4 x 2,5mm² +
GND (500V)")</f>
        <v>0</v>
      </c>
    </row>
    <row r="271" spans="1:4" outlineLevel="1" x14ac:dyDescent="0.3">
      <c r="A271" s="65" t="s">
        <v>25</v>
      </c>
      <c r="B271" s="44" t="s">
        <v>44</v>
      </c>
      <c r="C271" s="43">
        <f>SUMIF($G$4:$G$315,"Shielded cable
2 x 1mm² +
GND (500V)",$I$4:$I$315)</f>
        <v>0</v>
      </c>
      <c r="D271" s="68">
        <f>COUNTIF($G$4:$G$315,"Shielded cable
2 x 1mm² +
GND (500V)")</f>
        <v>0</v>
      </c>
    </row>
    <row r="272" spans="1:4" outlineLevel="1" x14ac:dyDescent="0.3">
      <c r="A272" s="65" t="s">
        <v>25</v>
      </c>
      <c r="B272" s="44" t="s">
        <v>188</v>
      </c>
      <c r="C272" s="43">
        <f>SUMIF($G$4:$G$315,"Shielded cable
4 x 0,5mm² (500V)",$I$4:$I$315)</f>
        <v>0</v>
      </c>
      <c r="D272" s="68">
        <f>COUNTIF($G$4:$G$315,"Shielded cable
4 x 0,5mm² (500V)")</f>
        <v>0</v>
      </c>
    </row>
    <row r="273" spans="1:4" outlineLevel="1" x14ac:dyDescent="0.3">
      <c r="A273" s="65" t="s">
        <v>27</v>
      </c>
      <c r="B273" s="44" t="s">
        <v>37</v>
      </c>
      <c r="C273" s="43">
        <f>SUMIF($G$4:$G$315,"3 x 1,5mm² +
GND (1000V)",$I$4:$I$315)</f>
        <v>0</v>
      </c>
      <c r="D273" s="68">
        <f>COUNTIF($G$4:$G$315,"3 x 1,5mm² +
GND (1000V)")</f>
        <v>0</v>
      </c>
    </row>
    <row r="274" spans="1:4" outlineLevel="1" x14ac:dyDescent="0.3">
      <c r="A274" s="65" t="s">
        <v>27</v>
      </c>
      <c r="B274" s="44" t="s">
        <v>38</v>
      </c>
      <c r="C274" s="43">
        <f>SUMIF($G$4:$G$315,"3 x 2,5mm² +
GND (1000V)",$I$4:$I$315)</f>
        <v>0</v>
      </c>
      <c r="D274" s="68">
        <f>COUNTIF($G$4:$G$315,"3 x 2,5mm² +
GND (1000V)")</f>
        <v>0</v>
      </c>
    </row>
    <row r="275" spans="1:4" outlineLevel="1" x14ac:dyDescent="0.3">
      <c r="A275" s="65" t="s">
        <v>27</v>
      </c>
      <c r="B275" s="45" t="s">
        <v>86</v>
      </c>
      <c r="C275" s="43">
        <f>SUMIF($G$4:$G$315,"3 x 4mm² +
GND (1000V)",$I$4:$I$315)</f>
        <v>0</v>
      </c>
      <c r="D275" s="68">
        <f>COUNTIF($G$4:$G$315,"3 x 4mm² +
GND (1000V)")</f>
        <v>0</v>
      </c>
    </row>
    <row r="276" spans="1:4" outlineLevel="1" x14ac:dyDescent="0.3">
      <c r="A276" s="65" t="s">
        <v>27</v>
      </c>
      <c r="B276" s="45" t="s">
        <v>87</v>
      </c>
      <c r="C276" s="43">
        <f>SUMIF($G$4:$G$315,"3 x 6mm² +
GND (1000V)",$I$4:$I$315)</f>
        <v>0</v>
      </c>
      <c r="D276" s="68">
        <f>COUNTIF($G$4:$G$315,"3 x 6mm² +
GND (1000V)")</f>
        <v>0</v>
      </c>
    </row>
    <row r="277" spans="1:4" outlineLevel="1" x14ac:dyDescent="0.3">
      <c r="A277" s="65" t="s">
        <v>27</v>
      </c>
      <c r="B277" s="45" t="s">
        <v>88</v>
      </c>
      <c r="C277" s="43">
        <f>SUMIF($G$4:$G$315,"3 x 10mm² +
GND (1000V)",$I$4:$I$315)</f>
        <v>0</v>
      </c>
      <c r="D277" s="68">
        <f>COUNTIF($G$4:$G$315,"3 x 10mm² +
GND (1000V)")</f>
        <v>0</v>
      </c>
    </row>
    <row r="278" spans="1:4" outlineLevel="1" x14ac:dyDescent="0.3">
      <c r="A278" s="65" t="s">
        <v>25</v>
      </c>
      <c r="B278" s="44" t="s">
        <v>39</v>
      </c>
      <c r="C278" s="43">
        <f>SUMIF($G$4:$G$315,"Shielded cable
3 x 1,5mm² +
GND (1000V)",$I$4:$I$315)</f>
        <v>0</v>
      </c>
      <c r="D278" s="68">
        <f>COUNTIF($G$4:$G$315,"Shielded cable
3 x 1,5mm² +
GND (1000V)")</f>
        <v>0</v>
      </c>
    </row>
    <row r="279" spans="1:4" outlineLevel="1" x14ac:dyDescent="0.3">
      <c r="A279" s="65" t="s">
        <v>25</v>
      </c>
      <c r="B279" s="44" t="s">
        <v>40</v>
      </c>
      <c r="C279" s="43">
        <f>SUMIF($G$4:$G$315,"Shielded cable
3 x 2,5mm² +
GND (1000V)",$I$4:$I$315)</f>
        <v>0</v>
      </c>
      <c r="D279" s="68">
        <f>COUNTIF($G$4:$G$315,"Shielded cable
3 x 2,5mm² +
GND (1000V)")</f>
        <v>0</v>
      </c>
    </row>
    <row r="280" spans="1:4" outlineLevel="1" x14ac:dyDescent="0.3">
      <c r="A280" s="65" t="s">
        <v>25</v>
      </c>
      <c r="B280" s="44" t="s">
        <v>41</v>
      </c>
      <c r="C280" s="43">
        <f>SUMIF($G$4:$G$315,"Shielded cable
3 x 4mm² +
GND (1000V)",$I$4:$I$315)</f>
        <v>0</v>
      </c>
      <c r="D280" s="68">
        <f>COUNTIF($G$4:$G$315,"Shielded cable
3 x 4mm² +
GND (1000V)")</f>
        <v>0</v>
      </c>
    </row>
    <row r="281" spans="1:4" outlineLevel="1" x14ac:dyDescent="0.3">
      <c r="A281" s="65" t="s">
        <v>25</v>
      </c>
      <c r="B281" s="44" t="s">
        <v>42</v>
      </c>
      <c r="C281" s="43">
        <f>SUMIF($G$4:$G$315,"Shielded cable
3 x 6mm² +
GND (1000V)",$I$4:$I$315)</f>
        <v>0</v>
      </c>
      <c r="D281" s="68">
        <f>COUNTIF($G$4:$G$315,"Shielded cable
3 x 6mm² +
GND (1000V)")</f>
        <v>0</v>
      </c>
    </row>
    <row r="282" spans="1:4" outlineLevel="1" x14ac:dyDescent="0.3">
      <c r="A282" s="65" t="s">
        <v>25</v>
      </c>
      <c r="B282" s="44" t="s">
        <v>94</v>
      </c>
      <c r="C282" s="43">
        <f>SUMIF($G$4:$G$315,"Shielded cable
3 x 10mm² +
GND (1000V)",$I$4:$I$315)</f>
        <v>0</v>
      </c>
      <c r="D282" s="68">
        <f>COUNTIF($G$4:$G$315,"Shielded cable
3 x 10mm² +
GND (1000V)")</f>
        <v>0</v>
      </c>
    </row>
    <row r="283" spans="1:4" outlineLevel="1" x14ac:dyDescent="0.3">
      <c r="A283" s="65" t="s">
        <v>25</v>
      </c>
      <c r="B283" s="44" t="s">
        <v>95</v>
      </c>
      <c r="C283" s="43">
        <f>SUMIF($G$4:$G$315,"Shielded cable
3 x 16mm² +
GND (1000V)",$I$4:$I$315)</f>
        <v>0</v>
      </c>
      <c r="D283" s="68">
        <f>COUNTIF($G$4:$G$315,"Shielded cable
3 x 16mm² +
GND (1000V)")</f>
        <v>0</v>
      </c>
    </row>
    <row r="284" spans="1:4" outlineLevel="1" x14ac:dyDescent="0.3">
      <c r="A284" s="65" t="s">
        <v>25</v>
      </c>
      <c r="B284" s="44" t="s">
        <v>96</v>
      </c>
      <c r="C284" s="43">
        <f>SUMIF($G$4:$G$315,"Shielded cable
3 x 25mm² +
GND (1000V)",$I$4:$I$315)</f>
        <v>0</v>
      </c>
      <c r="D284" s="68">
        <f>COUNTIF($G$4:$G$315,"Shielded cable
3 x 25mm² +
GND (1000V)")</f>
        <v>0</v>
      </c>
    </row>
    <row r="285" spans="1:4" outlineLevel="1" x14ac:dyDescent="0.3">
      <c r="A285" s="65" t="s">
        <v>25</v>
      </c>
      <c r="B285" s="44" t="s">
        <v>97</v>
      </c>
      <c r="C285" s="43">
        <f>SUMIF($G$4:$G$315,"Shielded cable
3 x 35mm² +
GND (1000V)",$I$4:$I$315)</f>
        <v>0</v>
      </c>
      <c r="D285" s="68">
        <f>COUNTIF($G$4:$G$315,"Shielded cable
3 x 35mm² +
GND (1000V)")</f>
        <v>0</v>
      </c>
    </row>
    <row r="286" spans="1:4" outlineLevel="1" x14ac:dyDescent="0.3">
      <c r="A286" s="65" t="s">
        <v>25</v>
      </c>
      <c r="B286" s="44" t="s">
        <v>98</v>
      </c>
      <c r="C286" s="43">
        <f>SUMIF($G$4:$G$315,"Shielded cable
3 x 50mm² +
GND (1000V)",$I$4:$I$315)</f>
        <v>0</v>
      </c>
      <c r="D286" s="68">
        <f>COUNTIF($G$4:$G$315,"Shielded cable
3 x 50mm² +
GND (1000V)")</f>
        <v>0</v>
      </c>
    </row>
    <row r="287" spans="1:4" outlineLevel="1" x14ac:dyDescent="0.3">
      <c r="A287" s="65" t="s">
        <v>25</v>
      </c>
      <c r="B287" s="44" t="s">
        <v>99</v>
      </c>
      <c r="C287" s="43">
        <f>SUMIF($G$4:$G$315,"Shielded cable
3 x 70mm² +
GND (1000V)",$I$4:$I$315)</f>
        <v>0</v>
      </c>
      <c r="D287" s="68">
        <f>COUNTIF($G$4:$G$315,"Shielded cable
3 x 70mm² +
GND (1000V)")</f>
        <v>0</v>
      </c>
    </row>
    <row r="288" spans="1:4" outlineLevel="1" x14ac:dyDescent="0.3">
      <c r="A288" s="65" t="s">
        <v>25</v>
      </c>
      <c r="B288" s="44" t="s">
        <v>100</v>
      </c>
      <c r="C288" s="43">
        <f>SUMIF($G$4:$G$315,"Shielded cable
3 x 95mm² +
GND (1000V)",$I$4:$I$315)</f>
        <v>0</v>
      </c>
      <c r="D288" s="68">
        <f>COUNTIF($G$4:$G$315,"Shielded cable
3 x 95mm² +
GND (1000V)")</f>
        <v>0</v>
      </c>
    </row>
    <row r="289" spans="1:4" outlineLevel="1" x14ac:dyDescent="0.3">
      <c r="A289" s="65" t="s">
        <v>214</v>
      </c>
      <c r="B289" s="44" t="s">
        <v>212</v>
      </c>
      <c r="C289" s="43">
        <f>SUMIF($G$4:$G$315,"Shielded cable
3 x 120mm² +
GND (1000V)",$I$4:$I$315)</f>
        <v>0</v>
      </c>
      <c r="D289" s="68">
        <f>COUNTIF($G$4:$G$315,"Shielded cable
3 x 120mm² +
GND (1000V)")</f>
        <v>0</v>
      </c>
    </row>
    <row r="290" spans="1:4" outlineLevel="1" x14ac:dyDescent="0.3">
      <c r="A290" s="66" t="s">
        <v>31</v>
      </c>
      <c r="B290" s="46" t="s">
        <v>43</v>
      </c>
      <c r="C290" s="43">
        <f>SUMIF($G$4:$G$200,"PROFINET CABLE
6XV1840-2AH10",$I$4:$I$200)</f>
        <v>0</v>
      </c>
      <c r="D290" s="68">
        <f>COUNTIF($G$4:$G$200,"PROFINET CABLE
6XV1840-2AH10")</f>
        <v>0</v>
      </c>
    </row>
    <row r="291" spans="1:4" ht="15" outlineLevel="1" thickBot="1" x14ac:dyDescent="0.35">
      <c r="A291" s="67" t="s">
        <v>73</v>
      </c>
      <c r="B291" s="47" t="s">
        <v>74</v>
      </c>
      <c r="C291" s="43">
        <f>SUMIF($G$5:$G$315,"Earthing  cable
25 mm²",$I$5:$I$315)</f>
        <v>0</v>
      </c>
      <c r="D291" s="68">
        <f>COUNTIF($G$4:$G$315,"Earthing  cable
25 mm²")</f>
        <v>1</v>
      </c>
    </row>
  </sheetData>
  <mergeCells count="10">
    <mergeCell ref="I4:I8"/>
    <mergeCell ref="I9:I13"/>
    <mergeCell ref="H4:H8"/>
    <mergeCell ref="H34:H45"/>
    <mergeCell ref="I34:I45"/>
    <mergeCell ref="H9:H13"/>
    <mergeCell ref="A4:A8"/>
    <mergeCell ref="C4:C8"/>
    <mergeCell ref="E4:E8"/>
    <mergeCell ref="G4:G8"/>
  </mergeCells>
  <pageMargins left="0.22916666666666666" right="0.25" top="0.75" bottom="0.75" header="0.3" footer="0.3"/>
  <pageSetup paperSize="9" orientation="landscape" r:id="rId1"/>
  <headerFooter>
    <oddHeader>&amp;R&amp;P/&amp;N</oddHeader>
    <oddFooter>&amp;RWARNING : All the grounds must be connected</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r:uid="{AB8B5348-8933-4CCF-9012-E1A5B48843C5}">
          <x14:formula1>
            <xm:f>DONNEES!$L$2:$L$35</xm:f>
          </x14:formula1>
          <xm:sqref>G4:G13 G34:G45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8DFEB-0139-4689-A548-E337E0A3434D}">
  <sheetPr codeName="Feuil38">
    <tabColor rgb="FF8064A2"/>
  </sheetPr>
  <dimension ref="A1:E46"/>
  <sheetViews>
    <sheetView showZeros="0" topLeftCell="A7" zoomScaleNormal="100" workbookViewId="0">
      <selection activeCell="G20" sqref="G20"/>
    </sheetView>
  </sheetViews>
  <sheetFormatPr baseColWidth="10" defaultRowHeight="14.4" x14ac:dyDescent="0.3"/>
  <cols>
    <col min="1" max="1" width="12.109375" customWidth="1"/>
    <col min="2" max="2" width="20.77734375" customWidth="1"/>
    <col min="3" max="5" width="14" customWidth="1"/>
  </cols>
  <sheetData>
    <row r="1" spans="1:5" x14ac:dyDescent="0.3">
      <c r="A1">
        <v>3</v>
      </c>
    </row>
    <row r="6" spans="1:5" ht="18" x14ac:dyDescent="0.3">
      <c r="A6" s="7">
        <f>A1</f>
        <v>3</v>
      </c>
    </row>
    <row r="8" spans="1:5" ht="24.6" x14ac:dyDescent="0.3">
      <c r="A8" s="39" t="s">
        <v>139</v>
      </c>
      <c r="B8" s="39"/>
      <c r="C8" s="39"/>
      <c r="D8" s="39"/>
      <c r="E8" s="39"/>
    </row>
    <row r="10" spans="1:5" ht="15" x14ac:dyDescent="0.3">
      <c r="A10" s="40" t="s">
        <v>69</v>
      </c>
      <c r="B10" s="40"/>
      <c r="C10" s="40"/>
      <c r="D10" s="40"/>
      <c r="E10" s="40"/>
    </row>
    <row r="11" spans="1:5" ht="18" x14ac:dyDescent="0.35">
      <c r="A11" s="41" t="s">
        <v>169</v>
      </c>
      <c r="B11" s="41"/>
      <c r="C11" s="41"/>
      <c r="D11" s="41"/>
      <c r="E11" s="41"/>
    </row>
    <row r="12" spans="1:5" ht="15.75" customHeight="1" x14ac:dyDescent="0.3">
      <c r="A12" s="95" t="s">
        <v>70</v>
      </c>
      <c r="B12" s="96" t="s">
        <v>71</v>
      </c>
      <c r="C12" s="97" t="s">
        <v>168</v>
      </c>
      <c r="D12" s="97" t="s">
        <v>72</v>
      </c>
      <c r="E12" s="98" t="s">
        <v>217</v>
      </c>
    </row>
    <row r="13" spans="1:5" x14ac:dyDescent="0.3">
      <c r="A13" s="73" t="s">
        <v>23</v>
      </c>
      <c r="B13" s="73" t="s">
        <v>24</v>
      </c>
      <c r="C13" s="72">
        <f>SUMPRODUCT(((T_exchange[Type]=T_recap[[#This Row],[Type]])*(T_exchange[Cross section]=T_recap[[#This Row],[Cross section]])*(T_exchange[NB CABLE])))</f>
        <v>0</v>
      </c>
      <c r="D13" s="30">
        <f>SUMPRODUCT(((T_exchange[Type]=T_recap[[#This Row],[Type]])*(T_exchange[Cross section]=T_recap[[#This Row],[Cross section]])*(T_exchange[Length '[m']])))</f>
        <v>0</v>
      </c>
      <c r="E13" s="94">
        <f>IFERROR(ROUNDUP(((SUM('EXCHANGE:RECAP CABLE'!C262)*10%)+D13),-1),"")</f>
        <v>0</v>
      </c>
    </row>
    <row r="14" spans="1:5" x14ac:dyDescent="0.3">
      <c r="A14" s="73" t="s">
        <v>23</v>
      </c>
      <c r="B14" s="79" t="s">
        <v>26</v>
      </c>
      <c r="C14" s="72">
        <f>SUMPRODUCT(((T_exchange[Type]=T_recap[[#This Row],[Type]])*(T_exchange[Cross section]=T_recap[[#This Row],[Cross section]])*(T_exchange[NB CABLE])))</f>
        <v>0</v>
      </c>
      <c r="D14" s="30">
        <f>SUMPRODUCT(((T_exchange[Type]=T_recap[[#This Row],[Type]])*(T_exchange[Cross section]=T_recap[[#This Row],[Cross section]])*(T_exchange[Length '[m']])))</f>
        <v>0</v>
      </c>
      <c r="E14" s="94">
        <f>IFERROR(ROUNDUP(((SUM('EXCHANGE:RECAP CABLE'!C263)*10%)+D14),-1),"")</f>
        <v>0</v>
      </c>
    </row>
    <row r="15" spans="1:5" x14ac:dyDescent="0.3">
      <c r="A15" s="73" t="s">
        <v>23</v>
      </c>
      <c r="B15" s="79" t="s">
        <v>28</v>
      </c>
      <c r="C15" s="72">
        <f>SUMPRODUCT(((T_exchange[Type]=T_recap[[#This Row],[Type]])*(T_exchange[Cross section]=T_recap[[#This Row],[Cross section]])*(T_exchange[NB CABLE])))</f>
        <v>0</v>
      </c>
      <c r="D15" s="30">
        <f>SUMPRODUCT(((T_exchange[Type]=T_recap[[#This Row],[Type]])*(T_exchange[Cross section]=T_recap[[#This Row],[Cross section]])*(T_exchange[Length '[m']])))</f>
        <v>0</v>
      </c>
      <c r="E15" s="94">
        <f>IFERROR(ROUNDUP(((SUM('EXCHANGE:RECAP CABLE'!C264)*10%)+D15),-1),"")</f>
        <v>0</v>
      </c>
    </row>
    <row r="16" spans="1:5" x14ac:dyDescent="0.3">
      <c r="A16" s="73" t="s">
        <v>23</v>
      </c>
      <c r="B16" s="79" t="s">
        <v>30</v>
      </c>
      <c r="C16" s="72">
        <f>SUMPRODUCT(((T_exchange[Type]=T_recap[[#This Row],[Type]])*(T_exchange[Cross section]=T_recap[[#This Row],[Cross section]])*(T_exchange[NB CABLE])))</f>
        <v>1</v>
      </c>
      <c r="D16" s="30">
        <f>SUMPRODUCT(((T_exchange[Type]=T_recap[[#This Row],[Type]])*(T_exchange[Cross section]=T_recap[[#This Row],[Cross section]])*(T_exchange[Length '[m']])))</f>
        <v>0</v>
      </c>
      <c r="E16" s="94">
        <f>IFERROR(ROUNDUP(((SUM('EXCHANGE:RECAP CABLE'!C265)*10%)+D16),-1),"")</f>
        <v>0</v>
      </c>
    </row>
    <row r="17" spans="1:5" x14ac:dyDescent="0.3">
      <c r="A17" s="73" t="s">
        <v>23</v>
      </c>
      <c r="B17" s="79" t="s">
        <v>32</v>
      </c>
      <c r="C17" s="72">
        <f>SUMPRODUCT(((T_exchange[Type]=T_recap[[#This Row],[Type]])*(T_exchange[Cross section]=T_recap[[#This Row],[Cross section]])*(T_exchange[NB CABLE])))</f>
        <v>0</v>
      </c>
      <c r="D17" s="30">
        <f>SUMPRODUCT(((T_exchange[Type]=T_recap[[#This Row],[Type]])*(T_exchange[Cross section]=T_recap[[#This Row],[Cross section]])*(T_exchange[Length '[m']])))</f>
        <v>0</v>
      </c>
      <c r="E17" s="94">
        <f>IFERROR(ROUNDUP(((SUM('EXCHANGE:RECAP CABLE'!C266)*10%)+D17),-1),"")</f>
        <v>0</v>
      </c>
    </row>
    <row r="18" spans="1:5" x14ac:dyDescent="0.3">
      <c r="A18" s="73" t="s">
        <v>23</v>
      </c>
      <c r="B18" s="79" t="s">
        <v>33</v>
      </c>
      <c r="C18" s="72">
        <f>SUMPRODUCT(((T_exchange[Type]=T_recap[[#This Row],[Type]])*(T_exchange[Cross section]=T_recap[[#This Row],[Cross section]])*(T_exchange[NB CABLE])))</f>
        <v>0</v>
      </c>
      <c r="D18" s="30">
        <f>SUMPRODUCT(((T_exchange[Type]=T_recap[[#This Row],[Type]])*(T_exchange[Cross section]=T_recap[[#This Row],[Cross section]])*(T_exchange[Length '[m']])))</f>
        <v>0</v>
      </c>
      <c r="E18" s="94">
        <f>IFERROR(ROUNDUP(((SUM('EXCHANGE:RECAP CABLE'!C267)*10%)+D18),-1),"")</f>
        <v>0</v>
      </c>
    </row>
    <row r="19" spans="1:5" x14ac:dyDescent="0.3">
      <c r="A19" s="73" t="s">
        <v>23</v>
      </c>
      <c r="B19" s="79" t="s">
        <v>34</v>
      </c>
      <c r="C19" s="72">
        <f>SUMPRODUCT(((T_exchange[Type]=T_recap[[#This Row],[Type]])*(T_exchange[Cross section]=T_recap[[#This Row],[Cross section]])*(T_exchange[NB CABLE])))</f>
        <v>0</v>
      </c>
      <c r="D19" s="30">
        <f>SUMPRODUCT(((T_exchange[Type]=T_recap[[#This Row],[Type]])*(T_exchange[Cross section]=T_recap[[#This Row],[Cross section]])*(T_exchange[Length '[m']])))</f>
        <v>0</v>
      </c>
      <c r="E19" s="94">
        <f>IFERROR(ROUNDUP(((SUM('EXCHANGE:RECAP CABLE'!C268)*10%)+D19),-1),"")</f>
        <v>0</v>
      </c>
    </row>
    <row r="20" spans="1:5" x14ac:dyDescent="0.3">
      <c r="A20" s="73" t="s">
        <v>23</v>
      </c>
      <c r="B20" s="79" t="s">
        <v>35</v>
      </c>
      <c r="C20" s="72">
        <f>SUMPRODUCT(((T_exchange[Type]=T_recap[[#This Row],[Type]])*(T_exchange[Cross section]=T_recap[[#This Row],[Cross section]])*(T_exchange[NB CABLE])))</f>
        <v>0</v>
      </c>
      <c r="D20" s="30">
        <f>SUMPRODUCT(((T_exchange[Type]=T_recap[[#This Row],[Type]])*(T_exchange[Cross section]=T_recap[[#This Row],[Cross section]])*(T_exchange[Length '[m']])))</f>
        <v>0</v>
      </c>
      <c r="E20" s="94">
        <f>IFERROR(ROUNDUP(((SUM('EXCHANGE:RECAP CABLE'!C269)*10%)+D20),-1),"")</f>
        <v>0</v>
      </c>
    </row>
    <row r="21" spans="1:5" x14ac:dyDescent="0.3">
      <c r="A21" s="73" t="s">
        <v>23</v>
      </c>
      <c r="B21" s="79" t="s">
        <v>36</v>
      </c>
      <c r="C21" s="72">
        <f>SUMPRODUCT(((T_exchange[Type]=T_recap[[#This Row],[Type]])*(T_exchange[Cross section]=T_recap[[#This Row],[Cross section]])*(T_exchange[NB CABLE])))</f>
        <v>0</v>
      </c>
      <c r="D21" s="30">
        <f>SUMPRODUCT(((T_exchange[Type]=T_recap[[#This Row],[Type]])*(T_exchange[Cross section]=T_recap[[#This Row],[Cross section]])*(T_exchange[Length '[m']])))</f>
        <v>0</v>
      </c>
      <c r="E21" s="94">
        <f>IFERROR(ROUNDUP(((SUM('EXCHANGE:RECAP CABLE'!C270)*10%)+D21),-1),"")</f>
        <v>0</v>
      </c>
    </row>
    <row r="22" spans="1:5" x14ac:dyDescent="0.3">
      <c r="A22" t="s">
        <v>25</v>
      </c>
      <c r="B22" s="79" t="s">
        <v>44</v>
      </c>
      <c r="C22" s="72">
        <f>SUMPRODUCT(((T_exchange[Type]=T_recap[[#This Row],[Type]])*(T_exchange[Cross section]=T_recap[[#This Row],[Cross section]])*(T_exchange[NB CABLE])))</f>
        <v>0</v>
      </c>
      <c r="D22" s="30">
        <f>SUMPRODUCT(((T_exchange[Type]=T_recap[[#This Row],[Type]])*(T_exchange[Cross section]=T_recap[[#This Row],[Cross section]])*(T_exchange[Length '[m']])))</f>
        <v>0</v>
      </c>
      <c r="E22" s="94">
        <f>IFERROR(ROUNDUP(((SUM('EXCHANGE:RECAP CABLE'!C271)*10%)+D22),-1),"")</f>
        <v>0</v>
      </c>
    </row>
    <row r="23" spans="1:5" x14ac:dyDescent="0.3">
      <c r="A23" t="s">
        <v>25</v>
      </c>
      <c r="B23" t="s">
        <v>188</v>
      </c>
      <c r="C23" s="72">
        <f>SUMPRODUCT(((T_exchange[Type]=T_recap[[#This Row],[Type]])*(T_exchange[Cross section]=T_recap[[#This Row],[Cross section]])*(T_exchange[NB CABLE])))</f>
        <v>1</v>
      </c>
      <c r="D23" s="30">
        <f>SUMPRODUCT(((T_exchange[Type]=T_recap[[#This Row],[Type]])*(T_exchange[Cross section]=T_recap[[#This Row],[Cross section]])*(T_exchange[Length '[m']])))</f>
        <v>0</v>
      </c>
      <c r="E23" s="94">
        <f>IFERROR(ROUNDUP(((SUM('EXCHANGE:RECAP CABLE'!C272)*10%)+D23),-1),"")</f>
        <v>0</v>
      </c>
    </row>
    <row r="24" spans="1:5" x14ac:dyDescent="0.3">
      <c r="A24" s="73" t="s">
        <v>27</v>
      </c>
      <c r="B24" s="79" t="s">
        <v>37</v>
      </c>
      <c r="C24" s="72">
        <f>SUMPRODUCT(((T_exchange[Type]=T_recap[[#This Row],[Type]])*(T_exchange[Cross section]=T_recap[[#This Row],[Cross section]])*(T_exchange[NB CABLE])))</f>
        <v>0</v>
      </c>
      <c r="D24" s="30">
        <f>SUMPRODUCT(((T_exchange[Type]=T_recap[[#This Row],[Type]])*(T_exchange[Cross section]=T_recap[[#This Row],[Cross section]])*(T_exchange[Length '[m']])))</f>
        <v>0</v>
      </c>
      <c r="E24" s="94">
        <f>IFERROR(ROUNDUP(((SUM('EXCHANGE:RECAP CABLE'!C273)*10%)+D24),-1),"")</f>
        <v>0</v>
      </c>
    </row>
    <row r="25" spans="1:5" x14ac:dyDescent="0.3">
      <c r="A25" s="73" t="s">
        <v>27</v>
      </c>
      <c r="B25" s="79" t="s">
        <v>38</v>
      </c>
      <c r="C25" s="72">
        <f>SUMPRODUCT(((T_exchange[Type]=T_recap[[#This Row],[Type]])*(T_exchange[Cross section]=T_recap[[#This Row],[Cross section]])*(T_exchange[NB CABLE])))</f>
        <v>0</v>
      </c>
      <c r="D25" s="30">
        <f>SUMPRODUCT(((T_exchange[Type]=T_recap[[#This Row],[Type]])*(T_exchange[Cross section]=T_recap[[#This Row],[Cross section]])*(T_exchange[Length '[m']])))</f>
        <v>0</v>
      </c>
      <c r="E25" s="94">
        <f>IFERROR(ROUNDUP(((SUM('EXCHANGE:RECAP CABLE'!C274)*10%)+D25),-1),"")</f>
        <v>0</v>
      </c>
    </row>
    <row r="26" spans="1:5" x14ac:dyDescent="0.3">
      <c r="A26" s="73" t="s">
        <v>27</v>
      </c>
      <c r="B26" s="82" t="s">
        <v>86</v>
      </c>
      <c r="C26" s="72">
        <f>SUMPRODUCT(((T_exchange[Type]=T_recap[[#This Row],[Type]])*(T_exchange[Cross section]=T_recap[[#This Row],[Cross section]])*(T_exchange[NB CABLE])))</f>
        <v>0</v>
      </c>
      <c r="D26" s="30">
        <f>SUMPRODUCT(((T_exchange[Type]=T_recap[[#This Row],[Type]])*(T_exchange[Cross section]=T_recap[[#This Row],[Cross section]])*(T_exchange[Length '[m']])))</f>
        <v>0</v>
      </c>
      <c r="E26" s="94">
        <f>IFERROR(ROUNDUP(((SUM('EXCHANGE:RECAP CABLE'!C275)*10%)+D26),-1),"")</f>
        <v>0</v>
      </c>
    </row>
    <row r="27" spans="1:5" x14ac:dyDescent="0.3">
      <c r="A27" s="73" t="s">
        <v>27</v>
      </c>
      <c r="B27" s="82" t="s">
        <v>87</v>
      </c>
      <c r="C27" s="72">
        <f>SUMPRODUCT(((T_exchange[Type]=T_recap[[#This Row],[Type]])*(T_exchange[Cross section]=T_recap[[#This Row],[Cross section]])*(T_exchange[NB CABLE])))</f>
        <v>0</v>
      </c>
      <c r="D27" s="30">
        <f>SUMPRODUCT(((T_exchange[Type]=T_recap[[#This Row],[Type]])*(T_exchange[Cross section]=T_recap[[#This Row],[Cross section]])*(T_exchange[Length '[m']])))</f>
        <v>0</v>
      </c>
      <c r="E27" s="94">
        <f>IFERROR(ROUNDUP(((SUM('EXCHANGE:RECAP CABLE'!C276)*10%)+D27),-1),"")</f>
        <v>0</v>
      </c>
    </row>
    <row r="28" spans="1:5" x14ac:dyDescent="0.3">
      <c r="A28" s="73" t="s">
        <v>27</v>
      </c>
      <c r="B28" s="82" t="s">
        <v>88</v>
      </c>
      <c r="C28" s="72">
        <f>SUMPRODUCT(((T_exchange[Type]=T_recap[[#This Row],[Type]])*(T_exchange[Cross section]=T_recap[[#This Row],[Cross section]])*(T_exchange[NB CABLE])))</f>
        <v>0</v>
      </c>
      <c r="D28" s="30">
        <f>SUMPRODUCT(((T_exchange[Type]=T_recap[[#This Row],[Type]])*(T_exchange[Cross section]=T_recap[[#This Row],[Cross section]])*(T_exchange[Length '[m']])))</f>
        <v>0</v>
      </c>
      <c r="E28" s="94">
        <f>IFERROR(ROUNDUP(((SUM('EXCHANGE:RECAP CABLE'!C277)*10%)+D28),-1),"")</f>
        <v>0</v>
      </c>
    </row>
    <row r="29" spans="1:5" x14ac:dyDescent="0.3">
      <c r="A29" t="s">
        <v>25</v>
      </c>
      <c r="B29" s="79" t="s">
        <v>39</v>
      </c>
      <c r="C29" s="72">
        <f>SUMPRODUCT(((T_exchange[Type]=T_recap[[#This Row],[Type]])*(T_exchange[Cross section]=T_recap[[#This Row],[Cross section]])*(T_exchange[NB CABLE])))</f>
        <v>0</v>
      </c>
      <c r="D29" s="30">
        <f>SUMPRODUCT(((T_exchange[Type]=T_recap[[#This Row],[Type]])*(T_exchange[Cross section]=T_recap[[#This Row],[Cross section]])*(T_exchange[Length '[m']])))</f>
        <v>0</v>
      </c>
      <c r="E29" s="94">
        <f>IFERROR(ROUNDUP(((SUM('EXCHANGE:RECAP CABLE'!C278)*10%)+D29),-1),"")</f>
        <v>0</v>
      </c>
    </row>
    <row r="30" spans="1:5" x14ac:dyDescent="0.3">
      <c r="A30" t="s">
        <v>25</v>
      </c>
      <c r="B30" s="79" t="s">
        <v>40</v>
      </c>
      <c r="C30" s="72">
        <f>SUMPRODUCT(((T_exchange[Type]=T_recap[[#This Row],[Type]])*(T_exchange[Cross section]=T_recap[[#This Row],[Cross section]])*(T_exchange[NB CABLE])))</f>
        <v>0</v>
      </c>
      <c r="D30" s="30">
        <f>SUMPRODUCT(((T_exchange[Type]=T_recap[[#This Row],[Type]])*(T_exchange[Cross section]=T_recap[[#This Row],[Cross section]])*(T_exchange[Length '[m']])))</f>
        <v>0</v>
      </c>
      <c r="E30" s="94">
        <f>IFERROR(ROUNDUP(((SUM('EXCHANGE:RECAP CABLE'!C279)*10%)+D30),-1),"")</f>
        <v>0</v>
      </c>
    </row>
    <row r="31" spans="1:5" x14ac:dyDescent="0.3">
      <c r="A31" t="s">
        <v>25</v>
      </c>
      <c r="B31" s="79" t="s">
        <v>41</v>
      </c>
      <c r="C31" s="72">
        <f>SUMPRODUCT(((T_exchange[Type]=T_recap[[#This Row],[Type]])*(T_exchange[Cross section]=T_recap[[#This Row],[Cross section]])*(T_exchange[NB CABLE])))</f>
        <v>0</v>
      </c>
      <c r="D31" s="30">
        <f>SUMPRODUCT(((T_exchange[Type]=T_recap[[#This Row],[Type]])*(T_exchange[Cross section]=T_recap[[#This Row],[Cross section]])*(T_exchange[Length '[m']])))</f>
        <v>0</v>
      </c>
      <c r="E31" s="94">
        <f>IFERROR(ROUNDUP(((SUM('EXCHANGE:RECAP CABLE'!C280)*10%)+D31),-1),"")</f>
        <v>0</v>
      </c>
    </row>
    <row r="32" spans="1:5" x14ac:dyDescent="0.3">
      <c r="A32" t="s">
        <v>25</v>
      </c>
      <c r="B32" s="79" t="s">
        <v>42</v>
      </c>
      <c r="C32" s="72">
        <f>SUMPRODUCT(((T_exchange[Type]=T_recap[[#This Row],[Type]])*(T_exchange[Cross section]=T_recap[[#This Row],[Cross section]])*(T_exchange[NB CABLE])))</f>
        <v>0</v>
      </c>
      <c r="D32" s="30">
        <f>SUMPRODUCT(((T_exchange[Type]=T_recap[[#This Row],[Type]])*(T_exchange[Cross section]=T_recap[[#This Row],[Cross section]])*(T_exchange[Length '[m']])))</f>
        <v>0</v>
      </c>
      <c r="E32" s="94">
        <f>IFERROR(ROUNDUP(((SUM('EXCHANGE:RECAP CABLE'!C281)*10%)+D32),-1),"")</f>
        <v>0</v>
      </c>
    </row>
    <row r="33" spans="1:5" x14ac:dyDescent="0.3">
      <c r="A33" t="s">
        <v>25</v>
      </c>
      <c r="B33" s="79" t="s">
        <v>94</v>
      </c>
      <c r="C33" s="72">
        <f>SUMPRODUCT(((T_exchange[Type]=T_recap[[#This Row],[Type]])*(T_exchange[Cross section]=T_recap[[#This Row],[Cross section]])*(T_exchange[NB CABLE])))</f>
        <v>0</v>
      </c>
      <c r="D33" s="30">
        <f>SUMPRODUCT(((T_exchange[Type]=T_recap[[#This Row],[Type]])*(T_exchange[Cross section]=T_recap[[#This Row],[Cross section]])*(T_exchange[Length '[m']])))</f>
        <v>0</v>
      </c>
      <c r="E33" s="94">
        <f>IFERROR(ROUNDUP(((SUM('EXCHANGE:RECAP CABLE'!C282)*10%)+D33),-1),"")</f>
        <v>0</v>
      </c>
    </row>
    <row r="34" spans="1:5" x14ac:dyDescent="0.3">
      <c r="A34" t="s">
        <v>25</v>
      </c>
      <c r="B34" s="79" t="s">
        <v>95</v>
      </c>
      <c r="C34" s="72">
        <f>SUMPRODUCT(((T_exchange[Type]=T_recap[[#This Row],[Type]])*(T_exchange[Cross section]=T_recap[[#This Row],[Cross section]])*(T_exchange[NB CABLE])))</f>
        <v>0</v>
      </c>
      <c r="D34" s="30">
        <f>SUMPRODUCT(((T_exchange[Type]=T_recap[[#This Row],[Type]])*(T_exchange[Cross section]=T_recap[[#This Row],[Cross section]])*(T_exchange[Length '[m']])))</f>
        <v>0</v>
      </c>
      <c r="E34" s="94">
        <f>IFERROR(ROUNDUP(((SUM('EXCHANGE:RECAP CABLE'!C283)*10%)+D34),-1),"")</f>
        <v>0</v>
      </c>
    </row>
    <row r="35" spans="1:5" x14ac:dyDescent="0.3">
      <c r="A35" t="s">
        <v>25</v>
      </c>
      <c r="B35" s="79" t="s">
        <v>96</v>
      </c>
      <c r="C35" s="72">
        <f>SUMPRODUCT(((T_exchange[Type]=T_recap[[#This Row],[Type]])*(T_exchange[Cross section]=T_recap[[#This Row],[Cross section]])*(T_exchange[NB CABLE])))</f>
        <v>0</v>
      </c>
      <c r="D35" s="30">
        <f>SUMPRODUCT(((T_exchange[Type]=T_recap[[#This Row],[Type]])*(T_exchange[Cross section]=T_recap[[#This Row],[Cross section]])*(T_exchange[Length '[m']])))</f>
        <v>0</v>
      </c>
      <c r="E35" s="94">
        <f>IFERROR(ROUNDUP(((SUM('EXCHANGE:RECAP CABLE'!C284)*10%)+D35),-1),"")</f>
        <v>0</v>
      </c>
    </row>
    <row r="36" spans="1:5" x14ac:dyDescent="0.3">
      <c r="A36" t="s">
        <v>25</v>
      </c>
      <c r="B36" s="79" t="s">
        <v>97</v>
      </c>
      <c r="C36" s="72">
        <f>SUMPRODUCT(((T_exchange[Type]=T_recap[[#This Row],[Type]])*(T_exchange[Cross section]=T_recap[[#This Row],[Cross section]])*(T_exchange[NB CABLE])))</f>
        <v>0</v>
      </c>
      <c r="D36" s="30">
        <f>SUMPRODUCT(((T_exchange[Type]=T_recap[[#This Row],[Type]])*(T_exchange[Cross section]=T_recap[[#This Row],[Cross section]])*(T_exchange[Length '[m']])))</f>
        <v>0</v>
      </c>
      <c r="E36" s="94">
        <f>IFERROR(ROUNDUP(((SUM('EXCHANGE:RECAP CABLE'!C285)*10%)+D36),-1),"")</f>
        <v>0</v>
      </c>
    </row>
    <row r="37" spans="1:5" x14ac:dyDescent="0.3">
      <c r="A37" t="s">
        <v>25</v>
      </c>
      <c r="B37" s="79" t="s">
        <v>98</v>
      </c>
      <c r="C37" s="72">
        <f>SUMPRODUCT(((T_exchange[Type]=T_recap[[#This Row],[Type]])*(T_exchange[Cross section]=T_recap[[#This Row],[Cross section]])*(T_exchange[NB CABLE])))</f>
        <v>0</v>
      </c>
      <c r="D37" s="30">
        <f>SUMPRODUCT(((T_exchange[Type]=T_recap[[#This Row],[Type]])*(T_exchange[Cross section]=T_recap[[#This Row],[Cross section]])*(T_exchange[Length '[m']])))</f>
        <v>0</v>
      </c>
      <c r="E37" s="94">
        <f>IFERROR(ROUNDUP(((SUM('EXCHANGE:RECAP CABLE'!C286)*10%)+D37),-1),"")</f>
        <v>0</v>
      </c>
    </row>
    <row r="38" spans="1:5" x14ac:dyDescent="0.3">
      <c r="A38" t="s">
        <v>25</v>
      </c>
      <c r="B38" s="79" t="s">
        <v>99</v>
      </c>
      <c r="C38" s="72">
        <f>SUMPRODUCT(((T_exchange[Type]=T_recap[[#This Row],[Type]])*(T_exchange[Cross section]=T_recap[[#This Row],[Cross section]])*(T_exchange[NB CABLE])))</f>
        <v>0</v>
      </c>
      <c r="D38" s="30">
        <f>SUMPRODUCT(((T_exchange[Type]=T_recap[[#This Row],[Type]])*(T_exchange[Cross section]=T_recap[[#This Row],[Cross section]])*(T_exchange[Length '[m']])))</f>
        <v>0</v>
      </c>
      <c r="E38" s="94">
        <f>IFERROR(ROUNDUP(((SUM('EXCHANGE:RECAP CABLE'!C287)*10%)+D38),-1),"")</f>
        <v>0</v>
      </c>
    </row>
    <row r="39" spans="1:5" x14ac:dyDescent="0.3">
      <c r="A39" t="s">
        <v>25</v>
      </c>
      <c r="B39" s="79" t="s">
        <v>100</v>
      </c>
      <c r="C39" s="72">
        <f>SUMPRODUCT(((T_exchange[Type]=T_recap[[#This Row],[Type]])*(T_exchange[Cross section]=T_recap[[#This Row],[Cross section]])*(T_exchange[NB CABLE])))</f>
        <v>0</v>
      </c>
      <c r="D39" s="30">
        <f>SUMPRODUCT(((T_exchange[Type]=T_recap[[#This Row],[Type]])*(T_exchange[Cross section]=T_recap[[#This Row],[Cross section]])*(T_exchange[Length '[m']])))</f>
        <v>0</v>
      </c>
      <c r="E39" s="94">
        <f>IFERROR(ROUNDUP(((SUM('EXCHANGE:RECAP CABLE'!C288)*10%)+D39),-1),"")</f>
        <v>0</v>
      </c>
    </row>
    <row r="40" spans="1:5" x14ac:dyDescent="0.3">
      <c r="A40" t="s">
        <v>25</v>
      </c>
      <c r="B40" s="79" t="s">
        <v>212</v>
      </c>
      <c r="C40" s="72">
        <f>SUMPRODUCT(((T_exchange[Type]=T_recap[[#This Row],[Type]])*(T_exchange[Cross section]=T_recap[[#This Row],[Cross section]])*(T_exchange[NB CABLE])))</f>
        <v>0</v>
      </c>
      <c r="D40" s="30">
        <f>SUMPRODUCT(((T_exchange[Type]=T_recap[[#This Row],[Type]])*(T_exchange[Cross section]=T_recap[[#This Row],[Cross section]])*(T_exchange[Length '[m']])))</f>
        <v>0</v>
      </c>
      <c r="E40" s="94">
        <f>IFERROR(ROUNDUP(((SUM('EXCHANGE:RECAP CABLE'!C289)*10%)+D40),-1),"")</f>
        <v>0</v>
      </c>
    </row>
    <row r="41" spans="1:5" x14ac:dyDescent="0.3">
      <c r="A41" s="73" t="s">
        <v>31</v>
      </c>
      <c r="B41" s="79" t="s">
        <v>43</v>
      </c>
      <c r="C41" s="72">
        <f>SUMPRODUCT(((T_exchange[Type]=T_recap[[#This Row],[Type]])*(T_exchange[Cross section]=T_recap[[#This Row],[Cross section]])*(T_exchange[NB CABLE])))</f>
        <v>0</v>
      </c>
      <c r="D41" s="30">
        <f>SUMPRODUCT(((T_exchange[Type]=T_recap[[#This Row],[Type]])*(T_exchange[Cross section]=T_recap[[#This Row],[Cross section]])*(T_exchange[Length '[m']])))</f>
        <v>0</v>
      </c>
      <c r="E41" s="94">
        <f>IFERROR(ROUNDUP(((SUM('EXCHANGE:RECAP CABLE'!C290)*10%)+D41),-1),"")</f>
        <v>0</v>
      </c>
    </row>
    <row r="42" spans="1:5" x14ac:dyDescent="0.3">
      <c r="A42" s="99" t="s">
        <v>73</v>
      </c>
      <c r="B42" s="99" t="s">
        <v>74</v>
      </c>
      <c r="C42" s="100">
        <f>SUMPRODUCT(((T_exchange[Type]=T_recap[[#This Row],[Type]])*(T_exchange[Cross section]=T_recap[[#This Row],[Cross section]])*(T_exchange[NB CABLE])))</f>
        <v>0</v>
      </c>
      <c r="D42" s="101">
        <f>SUMPRODUCT(((T_exchange[Type]=T_recap[[#This Row],[Type]])*(T_exchange[Cross section]=T_recap[[#This Row],[Cross section]])*(T_exchange[Length '[m']])))</f>
        <v>0</v>
      </c>
      <c r="E42" s="102">
        <f>IFERROR(ROUNDUP(((SUM('EXCHANGE:RECAP CABLE'!C291)*10%)+D42),-1),"")</f>
        <v>0</v>
      </c>
    </row>
    <row r="45" spans="1:5" ht="63.75" hidden="1" customHeight="1" x14ac:dyDescent="0.3">
      <c r="A45" s="37" t="s">
        <v>176</v>
      </c>
      <c r="B45" s="38"/>
      <c r="C45" s="38"/>
      <c r="D45" s="38"/>
      <c r="E45" s="38"/>
    </row>
    <row r="46" spans="1:5" ht="60" customHeight="1" x14ac:dyDescent="0.3">
      <c r="A46" s="37" t="s">
        <v>175</v>
      </c>
      <c r="B46" s="38"/>
      <c r="C46" s="38"/>
      <c r="D46" s="38"/>
      <c r="E46" s="38"/>
    </row>
  </sheetData>
  <mergeCells count="5">
    <mergeCell ref="A8:E8"/>
    <mergeCell ref="A10:E10"/>
    <mergeCell ref="A11:E11"/>
    <mergeCell ref="A46:E46"/>
    <mergeCell ref="A45:E45"/>
  </mergeCells>
  <pageMargins left="0.7" right="0.7" top="0.75" bottom="0.75" header="0.3" footer="0.3"/>
  <pageSetup paperSize="9" orientation="portrait" r:id="rId1"/>
  <headerFooter>
    <oddHeader>&amp;R&amp;P/&amp;N</oddHeader>
  </headerFooter>
  <drawing r:id="rId2"/>
  <tableParts count="1">
    <tablePart r:id="rId3"/>
  </tableParts>
</worksheet>
</file>

<file path=docMetadata/LabelInfo.xml><?xml version="1.0" encoding="utf-8"?>
<clbl:labelList xmlns:clbl="http://schemas.microsoft.com/office/2020/mipLabelMetadata">
  <clbl:label id="{6785298f-e857-464b-9b4b-807178402632}" enabled="0" method="" siteId="{6785298f-e857-464b-9b4b-80717840263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MENU</vt:lpstr>
      <vt:lpstr>DONNEES</vt:lpstr>
      <vt:lpstr>EXCHANGE</vt:lpstr>
      <vt:lpstr>MOTOR WITH CONTACT</vt:lpstr>
      <vt:lpstr>RECAP CABLE</vt:lpstr>
      <vt:lpstr>EXCHANGE!_Toc85181579</vt:lpstr>
      <vt:lpstr>section1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Benoit LACROIX</dc:creator>
  <cp:lastModifiedBy>François ROUZE</cp:lastModifiedBy>
  <cp:lastPrinted>2023-10-31T13:23:58Z</cp:lastPrinted>
  <dcterms:created xsi:type="dcterms:W3CDTF">2022-05-02T14:47:19Z</dcterms:created>
  <dcterms:modified xsi:type="dcterms:W3CDTF">2024-12-05T16:55:41Z</dcterms:modified>
</cp:coreProperties>
</file>