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28F1E5C-CCB8-4BC2-8D9D-1C33CDB670CA}" xr6:coauthVersionLast="36" xr6:coauthVersionMax="36" xr10:uidLastSave="{00000000-0000-0000-0000-000000000000}"/>
  <bookViews>
    <workbookView xWindow="-120" yWindow="-120" windowWidth="29040" windowHeight="15840" activeTab="1" xr2:uid="{690EFCF9-6B77-4028-A2E7-6C671E75459F}"/>
  </bookViews>
  <sheets>
    <sheet name="Saisie" sheetId="1" r:id="rId1"/>
    <sheet name="BdD" sheetId="7" r:id="rId2"/>
    <sheet name="Config" sheetId="3" r:id="rId3"/>
  </sheets>
  <definedNames>
    <definedName name="_NL">t_NumLigne[Num ligne]</definedName>
    <definedName name="_StockActualisé">Saisie!$H$15</definedName>
    <definedName name="_StockDispo">Saisie!$H$12</definedName>
    <definedName name="fc_Date">Saisie!$H$5</definedName>
    <definedName name="fc_Montant">Saisie!$H$14</definedName>
    <definedName name="fc_Nom">Saisie!$H$6</definedName>
    <definedName name="fc_NumLot">Saisie!$H$8</definedName>
    <definedName name="fc_Poids">Saisie!$H$10</definedName>
    <definedName name="fc_Prix">Saisie!$H$11</definedName>
    <definedName name="fc_Produit">Saisie!$H$9</definedName>
    <definedName name="fc_Quantite">Saisie!$H$13</definedName>
    <definedName name="fc_Statut">Saisie!$H$7</definedName>
    <definedName name="l_Choix">t_Choix[listes de choix]</definedName>
    <definedName name="l_Client">#REF!</definedName>
    <definedName name="l_Poids">t_Poids[Poids]</definedName>
    <definedName name="l_Prix">t_Prix[Prix]</definedName>
    <definedName name="l_Statut">t_Statut[Statut]</definedName>
    <definedName name="Miel">Config!$F$3:$F$6</definedName>
    <definedName name="Poids">Config!$H$3:$H$5</definedName>
    <definedName name="Statut">Config!$J$3:$J$7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9" i="7" l="1"/>
  <c r="V18" i="7"/>
  <c r="G5" i="7"/>
  <c r="G6" i="7"/>
  <c r="G7" i="7"/>
  <c r="G8" i="7"/>
  <c r="G9" i="7"/>
  <c r="G10" i="7"/>
  <c r="G11" i="7"/>
  <c r="G12" i="7"/>
  <c r="G13" i="7"/>
  <c r="G14" i="7"/>
  <c r="G15" i="7"/>
  <c r="H5" i="7"/>
  <c r="H6" i="7"/>
  <c r="H7" i="7"/>
  <c r="H8" i="7"/>
  <c r="H9" i="7"/>
  <c r="H10" i="7"/>
  <c r="H11" i="7"/>
  <c r="H12" i="7"/>
  <c r="H13" i="7"/>
  <c r="H14" i="7"/>
  <c r="H15" i="7"/>
  <c r="F4" i="7"/>
  <c r="F5" i="7"/>
  <c r="F6" i="7"/>
  <c r="F7" i="7"/>
  <c r="F8" i="7"/>
  <c r="F9" i="7"/>
  <c r="F10" i="7"/>
  <c r="F11" i="7"/>
  <c r="F12" i="7"/>
  <c r="F13" i="7"/>
  <c r="F14" i="7"/>
  <c r="F15" i="7"/>
  <c r="I14" i="7" l="1"/>
  <c r="J14" i="7" s="1"/>
  <c r="I12" i="7"/>
  <c r="J12" i="7" s="1"/>
  <c r="I10" i="7"/>
  <c r="J10" i="7" s="1"/>
  <c r="I8" i="7"/>
  <c r="J8" i="7" s="1"/>
  <c r="I6" i="7"/>
  <c r="J6" i="7" s="1"/>
  <c r="I15" i="7"/>
  <c r="J15" i="7" s="1"/>
  <c r="I13" i="7"/>
  <c r="J13" i="7" s="1"/>
  <c r="I11" i="7"/>
  <c r="J11" i="7" s="1"/>
  <c r="I9" i="7"/>
  <c r="J9" i="7" s="1"/>
  <c r="I7" i="7"/>
  <c r="J7" i="7" s="1"/>
  <c r="I5" i="7"/>
  <c r="J5" i="7" s="1"/>
  <c r="F16" i="7"/>
  <c r="L2" i="3" a="1"/>
  <c r="L7" i="3" s="1"/>
  <c r="U20" i="7"/>
  <c r="R20" i="7"/>
  <c r="V17" i="7"/>
  <c r="L17" i="7"/>
  <c r="V16" i="7"/>
  <c r="L16" i="7"/>
  <c r="V15" i="7"/>
  <c r="L15" i="7"/>
  <c r="V14" i="7"/>
  <c r="L14" i="7"/>
  <c r="V13" i="7"/>
  <c r="L13" i="7"/>
  <c r="L12" i="7"/>
  <c r="V11" i="7"/>
  <c r="L11" i="7"/>
  <c r="V10" i="7"/>
  <c r="L10" i="7"/>
  <c r="V9" i="7"/>
  <c r="L9" i="7"/>
  <c r="V8" i="7"/>
  <c r="L8" i="7"/>
  <c r="V7" i="7"/>
  <c r="L7" i="7"/>
  <c r="V6" i="7"/>
  <c r="L6" i="7"/>
  <c r="V5" i="7"/>
  <c r="L5" i="7"/>
  <c r="V4" i="7"/>
  <c r="L4" i="7"/>
  <c r="L4" i="3" l="1"/>
  <c r="L2" i="3"/>
  <c r="L6" i="3"/>
  <c r="L3" i="3"/>
  <c r="L5" i="3"/>
  <c r="G4" i="7"/>
  <c r="V12" i="7"/>
  <c r="V20" i="7" s="1"/>
  <c r="H4" i="7"/>
  <c r="I4" i="7" l="1"/>
  <c r="J4" i="7" s="1"/>
  <c r="J16" i="7" s="1"/>
</calcChain>
</file>

<file path=xl/sharedStrings.xml><?xml version="1.0" encoding="utf-8"?>
<sst xmlns="http://schemas.openxmlformats.org/spreadsheetml/2006/main" count="115" uniqueCount="41">
  <si>
    <t>Acacia</t>
  </si>
  <si>
    <t>Crémeux</t>
  </si>
  <si>
    <t>Été</t>
  </si>
  <si>
    <t>Printemps</t>
  </si>
  <si>
    <t>Prix</t>
  </si>
  <si>
    <t>Poids</t>
  </si>
  <si>
    <t>N° Lot</t>
  </si>
  <si>
    <t>Nom</t>
  </si>
  <si>
    <t>Miel</t>
  </si>
  <si>
    <t>listes de choix</t>
  </si>
  <si>
    <t>Montant</t>
  </si>
  <si>
    <t>Statut</t>
  </si>
  <si>
    <t>Entrée</t>
  </si>
  <si>
    <t>Vente</t>
  </si>
  <si>
    <t>Offert</t>
  </si>
  <si>
    <t>Quantité</t>
  </si>
  <si>
    <t>Produit</t>
  </si>
  <si>
    <t>https://forum.excel-pratique.com/excel/stock-miel-du-05-03-2023-181967</t>
  </si>
  <si>
    <t>Date</t>
  </si>
  <si>
    <t>Mvt</t>
  </si>
  <si>
    <t>Mouvements</t>
  </si>
  <si>
    <t>Copain Mika Peugeot</t>
  </si>
  <si>
    <t>Total</t>
  </si>
  <si>
    <t>Bignou</t>
  </si>
  <si>
    <t>Pharmacien Rougemont</t>
  </si>
  <si>
    <t>Copain Ayrwan Americain</t>
  </si>
  <si>
    <t>Daniel Alsacien</t>
  </si>
  <si>
    <t>Emilie Ecole Vente</t>
  </si>
  <si>
    <t>source ligne déroulante</t>
  </si>
  <si>
    <t>https://www.developpez.com/actu/314120/Exclusivite-Excel-365-liste-deroulante-intuitive-dans-une-cellule-sans-VBA-liste-de-validation-par-Pierre-Fauconnier/</t>
  </si>
  <si>
    <t>Index</t>
  </si>
  <si>
    <t>Num ligne</t>
  </si>
  <si>
    <t>Stock Initial</t>
  </si>
  <si>
    <t>Stock Final</t>
  </si>
  <si>
    <t>Stock</t>
  </si>
  <si>
    <t>Valeur</t>
  </si>
  <si>
    <t>Entree</t>
  </si>
  <si>
    <t>Sortie</t>
  </si>
  <si>
    <t>https://forum.excel-pratique.com/excel/modification-stock-entree-initial-184495</t>
  </si>
  <si>
    <t>nom2</t>
  </si>
  <si>
    <t>nom3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</si>
</sst>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</numFmts>
  <fonts count="8" x14ac:knownFonts="1">
    <font>
      <sz val="14"/>
      <color theme="1"/>
      <name val="Calibri"/>
      <family val="2"/>
    </font>
    <font>
      <sz val="14"/>
      <color theme="1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4"/>
      <color theme="10"/>
      <name val="Calibri"/>
      <family val="2"/>
    </font>
    <font>
      <b/>
      <sz val="14"/>
      <color theme="1"/>
      <name val="Calibri"/>
      <family val="2"/>
    </font>
    <font>
      <sz val="10"/>
      <color theme="1"/>
      <name val="Arial Unicode MS"/>
      <family val="2"/>
    </font>
    <font>
      <b/>
      <sz val="14"/>
      <color theme="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4" fontId="2" fillId="0" borderId="0" xfId="1" applyFont="1" applyAlignment="1">
      <alignment horizontal="right" vertical="center"/>
    </xf>
    <xf numFmtId="44" fontId="2" fillId="0" borderId="0" xfId="1" applyFont="1" applyAlignment="1">
      <alignment vertical="center"/>
    </xf>
    <xf numFmtId="0" fontId="0" fillId="0" borderId="0" xfId="0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3" fontId="2" fillId="0" borderId="0" xfId="0" applyNumberFormat="1" applyFont="1" applyAlignment="1">
      <alignment horizontal="right" vertical="center" indent="1"/>
    </xf>
    <xf numFmtId="0" fontId="3" fillId="0" borderId="6" xfId="0" applyFont="1" applyBorder="1" applyAlignment="1">
      <alignment horizontal="left" vertical="center" indent="1"/>
    </xf>
    <xf numFmtId="0" fontId="2" fillId="5" borderId="9" xfId="0" applyFont="1" applyFill="1" applyBorder="1" applyAlignment="1">
      <alignment horizontal="left" vertical="center" indent="1"/>
    </xf>
    <xf numFmtId="0" fontId="2" fillId="3" borderId="9" xfId="0" applyFont="1" applyFill="1" applyBorder="1" applyAlignment="1">
      <alignment horizontal="left" vertical="center" indent="1"/>
    </xf>
    <xf numFmtId="0" fontId="2" fillId="4" borderId="9" xfId="0" applyFont="1" applyFill="1" applyBorder="1" applyAlignment="1">
      <alignment horizontal="left" vertical="center" indent="1"/>
    </xf>
    <xf numFmtId="0" fontId="2" fillId="2" borderId="9" xfId="0" applyFont="1" applyFill="1" applyBorder="1" applyAlignment="1">
      <alignment horizontal="left" vertical="center" indent="1"/>
    </xf>
    <xf numFmtId="0" fontId="2" fillId="2" borderId="5" xfId="0" applyFont="1" applyFill="1" applyBorder="1" applyAlignment="1">
      <alignment horizontal="left" vertical="center" indent="1"/>
    </xf>
    <xf numFmtId="3" fontId="2" fillId="5" borderId="1" xfId="0" applyNumberFormat="1" applyFont="1" applyFill="1" applyBorder="1" applyAlignment="1">
      <alignment horizontal="right" vertical="center" indent="1"/>
    </xf>
    <xf numFmtId="3" fontId="2" fillId="3" borderId="1" xfId="0" applyNumberFormat="1" applyFont="1" applyFill="1" applyBorder="1" applyAlignment="1">
      <alignment horizontal="right" vertical="center" indent="1"/>
    </xf>
    <xf numFmtId="3" fontId="2" fillId="4" borderId="1" xfId="0" applyNumberFormat="1" applyFont="1" applyFill="1" applyBorder="1" applyAlignment="1">
      <alignment horizontal="right" vertical="center" indent="1"/>
    </xf>
    <xf numFmtId="3" fontId="2" fillId="2" borderId="1" xfId="0" applyNumberFormat="1" applyFont="1" applyFill="1" applyBorder="1" applyAlignment="1">
      <alignment horizontal="right" vertical="center" indent="1"/>
    </xf>
    <xf numFmtId="3" fontId="2" fillId="2" borderId="3" xfId="0" applyNumberFormat="1" applyFont="1" applyFill="1" applyBorder="1" applyAlignment="1">
      <alignment horizontal="right" vertical="center" indent="1"/>
    </xf>
    <xf numFmtId="164" fontId="2" fillId="5" borderId="8" xfId="0" applyNumberFormat="1" applyFont="1" applyFill="1" applyBorder="1" applyAlignment="1">
      <alignment horizontal="right" vertical="center" indent="1"/>
    </xf>
    <xf numFmtId="164" fontId="2" fillId="3" borderId="8" xfId="0" applyNumberFormat="1" applyFont="1" applyFill="1" applyBorder="1" applyAlignment="1">
      <alignment horizontal="right" vertical="center" indent="1"/>
    </xf>
    <xf numFmtId="164" fontId="2" fillId="4" borderId="8" xfId="1" applyNumberFormat="1" applyFont="1" applyFill="1" applyBorder="1" applyAlignment="1">
      <alignment horizontal="right" vertical="center" indent="1"/>
    </xf>
    <xf numFmtId="164" fontId="2" fillId="2" borderId="8" xfId="1" applyNumberFormat="1" applyFont="1" applyFill="1" applyBorder="1" applyAlignment="1">
      <alignment horizontal="right" vertical="center" indent="1"/>
    </xf>
    <xf numFmtId="164" fontId="2" fillId="2" borderId="4" xfId="1" applyNumberFormat="1" applyFont="1" applyFill="1" applyBorder="1" applyAlignment="1">
      <alignment horizontal="right" vertical="center" indent="1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right" vertical="center" indent="1"/>
    </xf>
    <xf numFmtId="164" fontId="0" fillId="0" borderId="0" xfId="0" applyNumberFormat="1" applyAlignment="1">
      <alignment horizontal="right" vertical="center" indent="1"/>
    </xf>
    <xf numFmtId="0" fontId="4" fillId="0" borderId="0" xfId="2" applyAlignment="1">
      <alignment vertical="center"/>
    </xf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7" fontId="0" fillId="0" borderId="0" xfId="0" applyNumberFormat="1" applyAlignment="1">
      <alignment horizontal="right" vertical="center" indent="1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5" fillId="0" borderId="0" xfId="0" applyFont="1" applyAlignment="1">
      <alignment horizontal="centerContinuous" vertical="center"/>
    </xf>
    <xf numFmtId="0" fontId="0" fillId="0" borderId="0" xfId="0" applyAlignment="1">
      <alignment horizontal="right" vertical="center" indent="1"/>
    </xf>
    <xf numFmtId="44" fontId="0" fillId="0" borderId="0" xfId="1" applyFont="1" applyAlignment="1">
      <alignment vertical="center"/>
    </xf>
    <xf numFmtId="7" fontId="0" fillId="0" borderId="0" xfId="0" applyNumberFormat="1" applyAlignment="1">
      <alignment vertical="center"/>
    </xf>
    <xf numFmtId="0" fontId="6" fillId="0" borderId="0" xfId="0" applyFont="1" applyAlignment="1">
      <alignment horizontal="left" vertical="center" indent="1"/>
    </xf>
    <xf numFmtId="0" fontId="5" fillId="0" borderId="0" xfId="0" applyFont="1" applyAlignment="1">
      <alignment horizontal="center" vertical="center"/>
    </xf>
    <xf numFmtId="0" fontId="7" fillId="6" borderId="0" xfId="0" applyFont="1" applyFill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68">
    <dxf>
      <numFmt numFmtId="164" formatCode="#,##0.00\ &quot;€&quot;"/>
      <alignment horizontal="general" vertical="center" textRotation="0" wrapText="0" indent="0" justifyLastLine="0" shrinkToFit="0" readingOrder="0"/>
    </dxf>
    <dxf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numFmt numFmtId="164" formatCode="#,##0.00\ &quot;€&quot;"/>
      <alignment horizontal="general" vertical="center" textRotation="0" wrapText="0" indent="0" justifyLastLine="0" shrinkToFit="0" readingOrder="0"/>
    </dxf>
    <dxf>
      <numFmt numFmtId="164" formatCode="#,##0.00\ &quot;€&quot;"/>
      <alignment horizontal="general" vertical="center" textRotation="0" wrapText="0" indent="0" justifyLastLine="0" shrinkToFit="0" readingOrder="0"/>
    </dxf>
    <dxf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numFmt numFmtId="11" formatCode="#,##0.00\ &quot;€&quot;;\-#,##0.00\ &quot;€&quot;"/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numFmt numFmtId="164" formatCode="#,##0.00\ &quot;€&quot;"/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numFmt numFmtId="164" formatCode="#,##0.00\ &quot;€&quot;"/>
      <alignment horizontal="general" vertical="center" textRotation="0" wrapText="0" indent="0" justifyLastLine="0" shrinkToFit="0" readingOrder="0"/>
    </dxf>
    <dxf>
      <numFmt numFmtId="3" formatCode="#,##0"/>
      <alignment horizontal="general" vertical="center" textRotation="0" wrapText="0" indent="0" justifyLastLine="0" shrinkToFit="0" readingOrder="0"/>
    </dxf>
    <dxf>
      <numFmt numFmtId="164" formatCode="#,##0.00\ &quot;€&quot;"/>
      <alignment horizontal="general" vertical="center" textRotation="0" wrapText="0" indent="0" justifyLastLine="0" shrinkToFit="0" readingOrder="0"/>
    </dxf>
    <dxf>
      <numFmt numFmtId="3" formatCode="#,##0"/>
      <alignment horizontal="general" vertical="center" textRotation="0" wrapText="0" indent="0" justifyLastLine="0" shrinkToFit="0" readingOrder="0"/>
    </dxf>
    <dxf>
      <numFmt numFmtId="164" formatCode="#,##0.00\ &quot;€&quot;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border diagonalUp="0" diagonalDown="0">
        <left/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3" formatCode="#,##0"/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numFmt numFmtId="164" formatCode="#,##0.00\ &quot;€&quot;"/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64" formatCode="#,##0.00\ &quot;€&quot;"/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FF"/>
      <color rgb="FFFF66FF"/>
      <color rgb="FF00FF00"/>
      <color rgb="FF44E9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633351</xdr:colOff>
      <xdr:row>6</xdr:row>
      <xdr:rowOff>69273</xdr:rowOff>
    </xdr:from>
    <xdr:to>
      <xdr:col>8</xdr:col>
      <xdr:colOff>1088571</xdr:colOff>
      <xdr:row>7</xdr:row>
      <xdr:rowOff>217715</xdr:rowOff>
    </xdr:to>
    <xdr:sp macro="[0]!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954123D-5E93-4587-AED9-1967204E8BAE}"/>
            </a:ext>
          </a:extLst>
        </xdr:cNvPr>
        <xdr:cNvSpPr/>
      </xdr:nvSpPr>
      <xdr:spPr>
        <a:xfrm>
          <a:off x="7916883" y="2286000"/>
          <a:ext cx="2869870" cy="53439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76EEFFD-7B0E-4B16-AE81-B87C763D2EB2}" name="t_StockInitial" displayName="t_StockInitial" ref="B3:J16" totalsRowCount="1" headerRowDxfId="67" dataDxfId="66">
  <tableColumns count="9">
    <tableColumn id="1" xr3:uid="{E89F3BA5-9A98-44E4-AD6C-CED816967E7E}" name="Produit" totalsRowLabel="Total" dataDxfId="65" totalsRowDxfId="8"/>
    <tableColumn id="2" xr3:uid="{6B5D069E-FCCE-4EE8-AE59-9D6EE71893B2}" name="Poids" dataDxfId="64" totalsRowDxfId="7"/>
    <tableColumn id="3" xr3:uid="{D62F685C-518E-499C-B684-5F8806EFCCD9}" name="Quantité" dataDxfId="63" totalsRowDxfId="6"/>
    <tableColumn id="4" xr3:uid="{95730DFD-F952-43DC-96E1-6B34AA2DD572}" name="Prix" dataDxfId="62" totalsRowDxfId="5"/>
    <tableColumn id="5" xr3:uid="{59555BC9-E367-4D81-B6F8-49C18B389D8A}" name="Stock Initial" totalsRowFunction="sum" dataDxfId="27" totalsRowDxfId="4">
      <calculatedColumnFormula>t_StockInitial[[#This Row],[Quantité]]*t_StockInitial[[#This Row],[Prix]]</calculatedColumnFormula>
    </tableColumn>
    <tableColumn id="8" xr3:uid="{70499E2A-1C5A-419A-96AF-BBAC16B8C6B3}" name="Entree" dataDxfId="25" totalsRowDxfId="3">
      <calculatedColumnFormula>SUMIFS(t_Mouvement[Quantité],t_Mouvement[Produit],t_StockInitial[[#This Row],[Produit]],t_Mouvement[Poids],t_StockInitial[[#This Row],[Poids]],t_Mouvement[Statut],"Entrée")</calculatedColumnFormula>
    </tableColumn>
    <tableColumn id="6" xr3:uid="{C9F1B65D-6FCC-414C-8C8B-494864B4376B}" name="Sortie" dataDxfId="26" totalsRowDxfId="2">
      <calculatedColumnFormula>SUMIFS(t_Mouvement[Quantité],t_Mouvement[Produit],t_StockInitial[[#This Row],[Produit]],t_Mouvement[Poids],t_StockInitial[[#This Row],[Poids]],t_Mouvement[Statut],"&lt;&gt;Entrée")</calculatedColumnFormula>
    </tableColumn>
    <tableColumn id="9" xr3:uid="{800A4544-7D10-4E89-83F1-4455BB134728}" name="Stock" dataDxfId="24" totalsRowDxfId="1">
      <calculatedColumnFormula>t_StockInitial[[#This Row],[Quantité]]+t_StockInitial[[#This Row],[Entree]]-t_StockInitial[[#This Row],[Sortie]]</calculatedColumnFormula>
    </tableColumn>
    <tableColumn id="7" xr3:uid="{50672768-26F7-41FD-94ED-BCD149A21ED8}" name="Stock Final" totalsRowFunction="custom" dataDxfId="23" totalsRowDxfId="0">
      <calculatedColumnFormula>t_StockInitial[[#This Row],[Stock]]*t_StockInitial[[#This Row],[Prix]]</calculatedColumnFormula>
      <totalsRowFormula>SUBTOTAL(109,J4:J15)</totalsRow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46E2D4A-17F2-49C3-A2E0-F038051F0669}" name="t_Mouvement" displayName="t_Mouvement" ref="L3:V20" totalsRowCount="1" headerRowDxfId="61" dataDxfId="60">
  <tableColumns count="11">
    <tableColumn id="11" xr3:uid="{D539432A-DC69-4DD8-8094-6AD5779E407E}" name="Index" dataDxfId="59" totalsRowDxfId="19">
      <calculatedColumnFormula>IF(t_Mouvement[[#This Row],[Date]]&lt;&gt;"",ROW()-3,"")</calculatedColumnFormula>
    </tableColumn>
    <tableColumn id="1" xr3:uid="{8CEF2FC3-ACDD-4FB0-B9B8-878CB4FDE7A8}" name="Date" totalsRowLabel="Total" dataDxfId="58" totalsRowDxfId="18"/>
    <tableColumn id="2" xr3:uid="{C6D5AEB8-A5C4-48D9-B387-19BEF7D341F2}" name="Nom" dataDxfId="57" totalsRowDxfId="17"/>
    <tableColumn id="3" xr3:uid="{8B263247-2E6A-47E7-B740-32CFAD82F3D3}" name="Statut" dataDxfId="56" totalsRowDxfId="16"/>
    <tableColumn id="4" xr3:uid="{444EB392-9FFC-4071-9E27-99838513F0B9}" name="N° Lot" dataDxfId="55" totalsRowDxfId="15"/>
    <tableColumn id="5" xr3:uid="{0CF61BEE-B7C2-4CAB-B1FA-DD16C08C57AD}" name="Produit" dataDxfId="54" totalsRowDxfId="14"/>
    <tableColumn id="6" xr3:uid="{F29C3667-F773-4FC0-B445-8A0A0FAE4FF0}" name="Poids" totalsRowFunction="sum" dataDxfId="53" totalsRowDxfId="13"/>
    <tableColumn id="7" xr3:uid="{09CF83C3-A304-4347-AE48-B0918EF9908E}" name="Prix" dataDxfId="52" totalsRowDxfId="12"/>
    <tableColumn id="8" xr3:uid="{A86F98AA-9315-475C-8F6C-B81C938087EF}" name="Quantité" dataDxfId="51" totalsRowDxfId="11"/>
    <tableColumn id="9" xr3:uid="{C160BE96-1DB8-4446-A11E-4C09C4043F5B}" name="Montant" totalsRowFunction="sum" dataDxfId="50" totalsRowDxfId="10"/>
    <tableColumn id="10" xr3:uid="{8BB034E7-DE3D-461C-AFA6-3514A33EE684}" name="Mvt" totalsRowFunction="sum" dataDxfId="49" totalsRowDxfId="9">
      <calculatedColumnFormula>IF(t_Mouvement[[#This Row],[Statut]]&lt;&gt;"",IF(t_Mouvement[[#This Row],[Statut]]="Entrée",t_Mouvement[[#This Row],[Quantité]],t_Mouvement[[#This Row],[Quantité]]*-1),"")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EF31E9-C012-4C1E-830A-C568B4E42BCA}" name="t_Prix" displayName="t_Prix" ref="B2:D14" totalsRowShown="0" headerRowDxfId="48" dataDxfId="46" headerRowBorderDxfId="47" tableBorderDxfId="45" totalsRowBorderDxfId="44">
  <autoFilter ref="B2:D14" xr:uid="{7FEF31E9-C012-4C1E-830A-C568B4E42BCA}">
    <filterColumn colId="0" hiddenButton="1"/>
    <filterColumn colId="1" hiddenButton="1"/>
    <filterColumn colId="2" hiddenButton="1"/>
  </autoFilter>
  <tableColumns count="3">
    <tableColumn id="1" xr3:uid="{23A48368-572B-493A-9964-D54DFC4A3C38}" name="Miel" dataDxfId="43"/>
    <tableColumn id="2" xr3:uid="{3890F020-2496-4C24-8345-EC8EBABFC4AE}" name="Poids" dataDxfId="42"/>
    <tableColumn id="3" xr3:uid="{576309BC-7B61-4A0F-A6BB-F74DF54A6D1B}" name="Prix" dataDxfId="41" dataCellStyle="Monétaire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B54C78A-8EF4-46D4-90A0-C924E829BFF9}" name="t_Choix" displayName="t_Choix" ref="F2:F6" totalsRowShown="0" headerRowDxfId="40" dataDxfId="39" tableBorderDxfId="38">
  <autoFilter ref="F2:F6" xr:uid="{3B54C78A-8EF4-46D4-90A0-C924E829BFF9}">
    <filterColumn colId="0" hiddenButton="1"/>
  </autoFilter>
  <tableColumns count="1">
    <tableColumn id="1" xr3:uid="{20C49766-1316-44AF-A0B4-835C9C8629A2}" name="listes de choix" dataDxfId="37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039B585-EB49-4B4A-B09D-58D2D1874D25}" name="t_Poids" displayName="t_Poids" ref="H2:H5" totalsRowShown="0" headerRowDxfId="36" dataDxfId="35">
  <autoFilter ref="H2:H5" xr:uid="{C039B585-EB49-4B4A-B09D-58D2D1874D25}">
    <filterColumn colId="0" hiddenButton="1"/>
  </autoFilter>
  <tableColumns count="1">
    <tableColumn id="1" xr3:uid="{80BFC8A3-DE93-4A9C-B9E3-53A331917B5A}" name="Poids" dataDxfId="34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6CA6725-5EB8-45D2-93E6-44446F67E5FD}" name="t_Statut" displayName="t_Statut" ref="J2:J5" totalsRowShown="0" headerRowDxfId="33" dataDxfId="32">
  <autoFilter ref="J2:J5" xr:uid="{B6CA6725-5EB8-45D2-93E6-44446F67E5FD}">
    <filterColumn colId="0" hiddenButton="1"/>
  </autoFilter>
  <tableColumns count="1">
    <tableColumn id="1" xr3:uid="{B3109EFC-B66E-48AD-B7C3-610E1F02ECEB}" name="Statut" dataDxfId="31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A7621C1-C608-4233-9C44-D1745F9EBDA0}" name="t_NumLigne" displayName="t_NumLigne" ref="N2:N3" totalsRowShown="0" headerRowDxfId="30" dataDxfId="29">
  <autoFilter ref="N2:N3" xr:uid="{CA7621C1-C608-4233-9C44-D1745F9EBDA0}">
    <filterColumn colId="0" hiddenButton="1"/>
  </autoFilter>
  <tableColumns count="1">
    <tableColumn id="1" xr3:uid="{78FDBB98-C69B-4DDF-8306-150D05B1D76B}" name="Num ligne" dataDxfId="28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modification-stock-entree-initial-184495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hyperlink" Target="https://www.developpez.com/actu/314120/Exclusivite-Excel-365-liste-deroulante-intuitive-dans-une-cellule-sans-VBA-liste-de-validation-par-Pierre-Fauconnier/" TargetMode="External"/><Relationship Id="rId1" Type="http://schemas.openxmlformats.org/officeDocument/2006/relationships/hyperlink" Target="https://forum.excel-pratique.com/excel/stock-miel-du-05-03-2023-181967" TargetMode="Externa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8E623-2DC0-4DB6-AC0D-F0691AB406DD}">
  <sheetPr codeName="Feuil1"/>
  <dimension ref="B4:P17"/>
  <sheetViews>
    <sheetView showGridLines="0" zoomScale="77" zoomScaleNormal="77" workbookViewId="0">
      <selection activeCell="E11" sqref="E11"/>
    </sheetView>
  </sheetViews>
  <sheetFormatPr baseColWidth="10" defaultColWidth="11.1640625" defaultRowHeight="21" x14ac:dyDescent="0.35"/>
  <cols>
    <col min="1" max="5" width="11.1640625" style="1"/>
    <col min="6" max="6" width="3.33203125" style="1" customWidth="1"/>
    <col min="7" max="7" width="20.58203125" style="1" customWidth="1"/>
    <col min="8" max="8" width="26.4140625" style="1" bestFit="1" customWidth="1"/>
    <col min="9" max="9" width="12.83203125" style="1" customWidth="1"/>
    <col min="10" max="10" width="11.1640625" style="1"/>
    <col min="11" max="11" width="11.33203125" style="1" bestFit="1" customWidth="1"/>
    <col min="12" max="12" width="10.6640625" style="1" customWidth="1"/>
    <col min="13" max="13" width="11.1640625" style="1"/>
    <col min="14" max="14" width="9.33203125" style="1" bestFit="1" customWidth="1"/>
    <col min="15" max="15" width="9.33203125" style="1" customWidth="1"/>
    <col min="16" max="16" width="15.1640625" style="1" bestFit="1" customWidth="1"/>
    <col min="17" max="17" width="16.58203125" style="1" bestFit="1" customWidth="1"/>
    <col min="18" max="19" width="15.1640625" style="1" bestFit="1" customWidth="1"/>
    <col min="20" max="20" width="7.4140625" style="1" bestFit="1" customWidth="1"/>
    <col min="21" max="21" width="2.08203125" style="1" customWidth="1"/>
    <col min="22" max="22" width="9.58203125" style="1" bestFit="1" customWidth="1"/>
    <col min="23" max="23" width="11.1640625" style="1"/>
    <col min="24" max="24" width="8.58203125" style="1" bestFit="1" customWidth="1"/>
    <col min="25" max="16384" width="11.1640625" style="1"/>
  </cols>
  <sheetData>
    <row r="4" spans="2:16" ht="51" customHeight="1" x14ac:dyDescent="0.35"/>
    <row r="5" spans="2:16" ht="30" customHeight="1" x14ac:dyDescent="0.35">
      <c r="N5" s="4"/>
      <c r="O5" s="4"/>
      <c r="P5" s="4"/>
    </row>
    <row r="6" spans="2:16" ht="30" customHeight="1" x14ac:dyDescent="0.35">
      <c r="B6"/>
      <c r="N6" s="4"/>
      <c r="O6" s="4"/>
      <c r="P6" s="4"/>
    </row>
    <row r="7" spans="2:16" ht="30" customHeight="1" x14ac:dyDescent="0.35">
      <c r="N7" s="4"/>
    </row>
    <row r="8" spans="2:16" ht="30" customHeight="1" x14ac:dyDescent="0.35">
      <c r="N8" s="4"/>
      <c r="O8" s="3"/>
      <c r="P8" s="3"/>
    </row>
    <row r="9" spans="2:16" ht="30" customHeight="1" x14ac:dyDescent="0.35">
      <c r="N9" s="4"/>
      <c r="O9" s="3"/>
      <c r="P9" s="3"/>
    </row>
    <row r="10" spans="2:16" ht="30" customHeight="1" x14ac:dyDescent="0.35">
      <c r="N10" s="3"/>
      <c r="O10" s="3"/>
      <c r="P10" s="3"/>
    </row>
    <row r="11" spans="2:16" ht="30" customHeight="1" x14ac:dyDescent="0.35">
      <c r="I11" s="2"/>
    </row>
    <row r="12" spans="2:16" ht="30" customHeight="1" x14ac:dyDescent="0.35">
      <c r="I12" s="2"/>
    </row>
    <row r="13" spans="2:16" ht="30" customHeight="1" x14ac:dyDescent="0.35">
      <c r="I13" s="2"/>
    </row>
    <row r="14" spans="2:16" ht="30" customHeight="1" x14ac:dyDescent="0.35">
      <c r="I14" s="2"/>
    </row>
    <row r="15" spans="2:16" ht="30" customHeight="1" x14ac:dyDescent="0.35"/>
    <row r="17" spans="5:5" x14ac:dyDescent="0.35">
      <c r="E17" s="30" t="s">
        <v>38</v>
      </c>
    </row>
  </sheetData>
  <hyperlinks>
    <hyperlink ref="E17" r:id="rId1" xr:uid="{EE8E5E90-9763-4E84-A2FE-54E2D9F5A330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A5F1A-295D-496B-9214-F77BAA8F50E1}">
  <sheetPr codeName="Feuil2"/>
  <dimension ref="B1:W31"/>
  <sheetViews>
    <sheetView showGridLines="0" showZeros="0" tabSelected="1" zoomScale="85" zoomScaleNormal="85" workbookViewId="0">
      <selection activeCell="I11" sqref="I11"/>
    </sheetView>
  </sheetViews>
  <sheetFormatPr baseColWidth="10" defaultColWidth="10.6640625" defaultRowHeight="18" outlineLevelCol="1" x14ac:dyDescent="0.35"/>
  <cols>
    <col min="1" max="1" width="3.58203125" style="5" customWidth="1"/>
    <col min="2" max="2" width="10.5" style="5" bestFit="1" customWidth="1"/>
    <col min="3" max="3" width="6.58203125" style="5" bestFit="1" customWidth="1"/>
    <col min="4" max="4" width="8.1640625" style="5" bestFit="1" customWidth="1"/>
    <col min="5" max="5" width="8" style="5" bestFit="1" customWidth="1"/>
    <col min="6" max="6" width="11.4140625" style="5" customWidth="1"/>
    <col min="7" max="7" width="7" style="5" customWidth="1"/>
    <col min="8" max="9" width="7.83203125" style="5" customWidth="1"/>
    <col min="10" max="10" width="11.33203125" style="5" customWidth="1"/>
    <col min="11" max="11" width="3.58203125" style="5" customWidth="1"/>
    <col min="12" max="12" width="5.4140625" style="5" bestFit="1" customWidth="1"/>
    <col min="13" max="13" width="10.1640625" style="5" bestFit="1" customWidth="1"/>
    <col min="14" max="14" width="23.5" style="5" bestFit="1" customWidth="1"/>
    <col min="15" max="15" width="7.1640625" style="5" bestFit="1" customWidth="1"/>
    <col min="16" max="16" width="5.83203125" style="5" bestFit="1" customWidth="1"/>
    <col min="17" max="17" width="10.5" style="5" bestFit="1" customWidth="1"/>
    <col min="18" max="18" width="7.5" style="5" bestFit="1" customWidth="1"/>
    <col min="19" max="19" width="8" style="5" bestFit="1" customWidth="1"/>
    <col min="20" max="20" width="8.1640625" style="5" bestFit="1" customWidth="1"/>
    <col min="21" max="21" width="9" style="5" customWidth="1"/>
    <col min="22" max="22" width="4.6640625" style="5" hidden="1" customWidth="1" outlineLevel="1"/>
    <col min="23" max="23" width="3.58203125" style="5" customWidth="1" collapsed="1"/>
    <col min="24" max="24" width="10.5" style="5" bestFit="1" customWidth="1"/>
    <col min="25" max="25" width="6.58203125" style="5" bestFit="1" customWidth="1"/>
    <col min="26" max="26" width="8.1640625" style="5" bestFit="1" customWidth="1"/>
    <col min="27" max="27" width="13.33203125" style="5" bestFit="1" customWidth="1"/>
    <col min="28" max="16384" width="10.6640625" style="5"/>
  </cols>
  <sheetData>
    <row r="1" spans="2:23" x14ac:dyDescent="0.35">
      <c r="B1" s="43" t="s">
        <v>34</v>
      </c>
      <c r="C1" s="43"/>
      <c r="D1" s="43"/>
      <c r="E1" s="43"/>
      <c r="F1" s="43"/>
      <c r="G1" s="43"/>
      <c r="H1" s="43"/>
      <c r="I1" s="43"/>
      <c r="J1" s="43"/>
    </row>
    <row r="2" spans="2:23" x14ac:dyDescent="0.35">
      <c r="F2" s="44" t="s">
        <v>35</v>
      </c>
      <c r="G2" s="27"/>
      <c r="H2" s="27"/>
      <c r="I2" s="27"/>
      <c r="J2" s="44" t="s">
        <v>35</v>
      </c>
      <c r="L2" s="38" t="s">
        <v>20</v>
      </c>
      <c r="M2" s="37"/>
      <c r="N2" s="37"/>
      <c r="O2" s="37"/>
      <c r="P2" s="37"/>
      <c r="Q2" s="37"/>
      <c r="R2" s="37"/>
      <c r="S2" s="37"/>
      <c r="T2" s="37"/>
      <c r="U2" s="37"/>
      <c r="W2" s="38"/>
    </row>
    <row r="3" spans="2:23" x14ac:dyDescent="0.35">
      <c r="B3" s="9" t="s">
        <v>16</v>
      </c>
      <c r="C3" s="27" t="s">
        <v>5</v>
      </c>
      <c r="D3" s="27" t="s">
        <v>15</v>
      </c>
      <c r="E3" s="27" t="s">
        <v>4</v>
      </c>
      <c r="F3" s="27" t="s">
        <v>32</v>
      </c>
      <c r="G3" s="27" t="s">
        <v>36</v>
      </c>
      <c r="H3" s="27" t="s">
        <v>37</v>
      </c>
      <c r="I3" s="27" t="s">
        <v>34</v>
      </c>
      <c r="J3" s="5" t="s">
        <v>33</v>
      </c>
      <c r="L3" s="27" t="s">
        <v>30</v>
      </c>
      <c r="M3" s="27" t="s">
        <v>18</v>
      </c>
      <c r="N3" s="9" t="s">
        <v>7</v>
      </c>
      <c r="O3" s="9" t="s">
        <v>11</v>
      </c>
      <c r="P3" s="5" t="s">
        <v>6</v>
      </c>
      <c r="Q3" s="9" t="s">
        <v>16</v>
      </c>
      <c r="R3" s="36" t="s">
        <v>5</v>
      </c>
      <c r="S3" s="27" t="s">
        <v>4</v>
      </c>
      <c r="T3" s="27" t="s">
        <v>15</v>
      </c>
      <c r="U3" s="27" t="s">
        <v>10</v>
      </c>
      <c r="V3" s="27" t="s">
        <v>19</v>
      </c>
    </row>
    <row r="4" spans="2:23" x14ac:dyDescent="0.35">
      <c r="B4" s="9" t="s">
        <v>3</v>
      </c>
      <c r="C4" s="28">
        <v>250</v>
      </c>
      <c r="D4" s="28">
        <v>2</v>
      </c>
      <c r="E4" s="29">
        <v>4</v>
      </c>
      <c r="F4" s="33">
        <f>t_StockInitial[[#This Row],[Quantité]]*t_StockInitial[[#This Row],[Prix]]</f>
        <v>8</v>
      </c>
      <c r="G4" s="33">
        <f>SUMIFS(t_Mouvement[Quantité],t_Mouvement[Produit],t_StockInitial[[#This Row],[Produit]],t_Mouvement[Poids],t_StockInitial[[#This Row],[Poids]],t_Mouvement[Statut],"Entrée")</f>
        <v>1</v>
      </c>
      <c r="H4" s="32">
        <f>SUMIFS(t_Mouvement[Quantité],t_Mouvement[Produit],t_StockInitial[[#This Row],[Produit]],t_Mouvement[Poids],t_StockInitial[[#This Row],[Poids]],t_Mouvement[Statut],"&lt;&gt;Entrée")</f>
        <v>0</v>
      </c>
      <c r="I4" s="32">
        <f>t_StockInitial[[#This Row],[Quantité]]+t_StockInitial[[#This Row],[Entree]]-t_StockInitial[[#This Row],[Sortie]]</f>
        <v>3</v>
      </c>
      <c r="J4" s="33">
        <f>t_StockInitial[[#This Row],[Stock]]*t_StockInitial[[#This Row],[Prix]]</f>
        <v>12</v>
      </c>
      <c r="L4" s="36">
        <f>IF(t_Mouvement[[#This Row],[Date]]&lt;&gt;"",ROW()-3,"")</f>
        <v>1</v>
      </c>
      <c r="M4" s="31">
        <v>44936</v>
      </c>
      <c r="N4" s="9" t="s">
        <v>23</v>
      </c>
      <c r="O4" s="9" t="s">
        <v>13</v>
      </c>
      <c r="Q4" s="9" t="s">
        <v>2</v>
      </c>
      <c r="R4" s="28">
        <v>1000</v>
      </c>
      <c r="S4" s="29">
        <v>14</v>
      </c>
      <c r="T4" s="28">
        <v>1</v>
      </c>
      <c r="U4" s="35">
        <v>14</v>
      </c>
      <c r="V4" s="28">
        <f>IF(t_Mouvement[[#This Row],[Statut]]&lt;&gt;"",IF(t_Mouvement[[#This Row],[Statut]]="Entrée",t_Mouvement[[#This Row],[Quantité]],t_Mouvement[[#This Row],[Quantité]]*-1),"")</f>
        <v>-1</v>
      </c>
    </row>
    <row r="5" spans="2:23" x14ac:dyDescent="0.35">
      <c r="B5" s="9" t="s">
        <v>3</v>
      </c>
      <c r="C5" s="28">
        <v>500</v>
      </c>
      <c r="D5" s="28">
        <v>3</v>
      </c>
      <c r="E5" s="29">
        <v>7.5</v>
      </c>
      <c r="F5" s="33">
        <f>t_StockInitial[[#This Row],[Quantité]]*t_StockInitial[[#This Row],[Prix]]</f>
        <v>22.5</v>
      </c>
      <c r="G5" s="33">
        <f>SUMIFS(t_Mouvement[Quantité],t_Mouvement[Produit],t_StockInitial[[#This Row],[Produit]],t_Mouvement[Poids],t_StockInitial[[#This Row],[Poids]],t_Mouvement[Statut],"Entrée")</f>
        <v>0</v>
      </c>
      <c r="H5" s="32">
        <f>SUMIFS(t_Mouvement[Quantité],t_Mouvement[Produit],t_StockInitial[[#This Row],[Produit]],t_Mouvement[Poids],t_StockInitial[[#This Row],[Poids]],t_Mouvement[Statut],"&lt;&gt;Entrée")</f>
        <v>2</v>
      </c>
      <c r="I5" s="32">
        <f>t_StockInitial[[#This Row],[Quantité]]+t_StockInitial[[#This Row],[Entree]]-t_StockInitial[[#This Row],[Sortie]]</f>
        <v>1</v>
      </c>
      <c r="J5" s="33">
        <f>t_StockInitial[[#This Row],[Stock]]*t_StockInitial[[#This Row],[Prix]]</f>
        <v>7.5</v>
      </c>
      <c r="L5" s="36">
        <f>IF(t_Mouvement[[#This Row],[Date]]&lt;&gt;"",ROW()-3,"")</f>
        <v>2</v>
      </c>
      <c r="M5" s="31">
        <v>44936</v>
      </c>
      <c r="N5" s="9" t="s">
        <v>23</v>
      </c>
      <c r="O5" s="9" t="s">
        <v>13</v>
      </c>
      <c r="Q5" s="9" t="s">
        <v>0</v>
      </c>
      <c r="R5" s="28">
        <v>1000</v>
      </c>
      <c r="S5" s="29">
        <v>16.5</v>
      </c>
      <c r="T5" s="28">
        <v>1</v>
      </c>
      <c r="U5" s="35">
        <v>16.5</v>
      </c>
      <c r="V5" s="28">
        <f>IF(t_Mouvement[[#This Row],[Statut]]&lt;&gt;"",IF(t_Mouvement[[#This Row],[Statut]]="Entrée",t_Mouvement[[#This Row],[Quantité]],t_Mouvement[[#This Row],[Quantité]]*-1),"")</f>
        <v>-1</v>
      </c>
    </row>
    <row r="6" spans="2:23" x14ac:dyDescent="0.35">
      <c r="B6" s="9" t="s">
        <v>3</v>
      </c>
      <c r="C6" s="28">
        <v>1000</v>
      </c>
      <c r="D6" s="28">
        <v>3</v>
      </c>
      <c r="E6" s="29">
        <v>14</v>
      </c>
      <c r="F6" s="33">
        <f>t_StockInitial[[#This Row],[Quantité]]*t_StockInitial[[#This Row],[Prix]]</f>
        <v>42</v>
      </c>
      <c r="G6" s="33">
        <f>SUMIFS(t_Mouvement[Quantité],t_Mouvement[Produit],t_StockInitial[[#This Row],[Produit]],t_Mouvement[Poids],t_StockInitial[[#This Row],[Poids]],t_Mouvement[Statut],"Entrée")</f>
        <v>0</v>
      </c>
      <c r="H6" s="32">
        <f>SUMIFS(t_Mouvement[Quantité],t_Mouvement[Produit],t_StockInitial[[#This Row],[Produit]],t_Mouvement[Poids],t_StockInitial[[#This Row],[Poids]],t_Mouvement[Statut],"&lt;&gt;Entrée")</f>
        <v>0</v>
      </c>
      <c r="I6" s="32">
        <f>t_StockInitial[[#This Row],[Quantité]]+t_StockInitial[[#This Row],[Entree]]-t_StockInitial[[#This Row],[Sortie]]</f>
        <v>3</v>
      </c>
      <c r="J6" s="33">
        <f>t_StockInitial[[#This Row],[Stock]]*t_StockInitial[[#This Row],[Prix]]</f>
        <v>42</v>
      </c>
      <c r="L6" s="36">
        <f>IF(t_Mouvement[[#This Row],[Date]]&lt;&gt;"",ROW()-3,"")</f>
        <v>3</v>
      </c>
      <c r="M6" s="31">
        <v>44940</v>
      </c>
      <c r="N6" s="9" t="s">
        <v>24</v>
      </c>
      <c r="O6" s="9" t="s">
        <v>13</v>
      </c>
      <c r="Q6" s="9" t="s">
        <v>2</v>
      </c>
      <c r="R6" s="28">
        <v>1000</v>
      </c>
      <c r="S6" s="29">
        <v>14</v>
      </c>
      <c r="T6" s="28">
        <v>2</v>
      </c>
      <c r="U6" s="35">
        <v>28</v>
      </c>
      <c r="V6" s="28">
        <f>IF(t_Mouvement[[#This Row],[Statut]]&lt;&gt;"",IF(t_Mouvement[[#This Row],[Statut]]="Entrée",t_Mouvement[[#This Row],[Quantité]],t_Mouvement[[#This Row],[Quantité]]*-1),"")</f>
        <v>-2</v>
      </c>
    </row>
    <row r="7" spans="2:23" x14ac:dyDescent="0.35">
      <c r="B7" s="9" t="s">
        <v>2</v>
      </c>
      <c r="C7" s="28">
        <v>250</v>
      </c>
      <c r="D7" s="28">
        <v>0</v>
      </c>
      <c r="E7" s="29">
        <v>4</v>
      </c>
      <c r="F7" s="33">
        <f>t_StockInitial[[#This Row],[Quantité]]*t_StockInitial[[#This Row],[Prix]]</f>
        <v>0</v>
      </c>
      <c r="G7" s="33">
        <f>SUMIFS(t_Mouvement[Quantité],t_Mouvement[Produit],t_StockInitial[[#This Row],[Produit]],t_Mouvement[Poids],t_StockInitial[[#This Row],[Poids]],t_Mouvement[Statut],"Entrée")</f>
        <v>0</v>
      </c>
      <c r="H7" s="32">
        <f>SUMIFS(t_Mouvement[Quantité],t_Mouvement[Produit],t_StockInitial[[#This Row],[Produit]],t_Mouvement[Poids],t_StockInitial[[#This Row],[Poids]],t_Mouvement[Statut],"&lt;&gt;Entrée")</f>
        <v>0</v>
      </c>
      <c r="I7" s="32">
        <f>t_StockInitial[[#This Row],[Quantité]]+t_StockInitial[[#This Row],[Entree]]-t_StockInitial[[#This Row],[Sortie]]</f>
        <v>0</v>
      </c>
      <c r="J7" s="33">
        <f>t_StockInitial[[#This Row],[Stock]]*t_StockInitial[[#This Row],[Prix]]</f>
        <v>0</v>
      </c>
      <c r="L7" s="36">
        <f>IF(t_Mouvement[[#This Row],[Date]]&lt;&gt;"",ROW()-3,"")</f>
        <v>4</v>
      </c>
      <c r="M7" s="31">
        <v>44950</v>
      </c>
      <c r="N7" s="9" t="s">
        <v>21</v>
      </c>
      <c r="O7" s="9" t="s">
        <v>13</v>
      </c>
      <c r="Q7" s="9" t="s">
        <v>2</v>
      </c>
      <c r="R7" s="28">
        <v>1000</v>
      </c>
      <c r="S7" s="29">
        <v>14</v>
      </c>
      <c r="T7" s="28">
        <v>1</v>
      </c>
      <c r="U7" s="35">
        <v>14</v>
      </c>
      <c r="V7" s="28">
        <f>IF(t_Mouvement[[#This Row],[Statut]]&lt;&gt;"",IF(t_Mouvement[[#This Row],[Statut]]="Entrée",t_Mouvement[[#This Row],[Quantité]],t_Mouvement[[#This Row],[Quantité]]*-1),"")</f>
        <v>-1</v>
      </c>
    </row>
    <row r="8" spans="2:23" x14ac:dyDescent="0.35">
      <c r="B8" s="9" t="s">
        <v>2</v>
      </c>
      <c r="C8" s="28">
        <v>500</v>
      </c>
      <c r="D8" s="28">
        <v>47</v>
      </c>
      <c r="E8" s="29">
        <v>7.5</v>
      </c>
      <c r="F8" s="33">
        <f>t_StockInitial[[#This Row],[Quantité]]*t_StockInitial[[#This Row],[Prix]]</f>
        <v>352.5</v>
      </c>
      <c r="G8" s="33">
        <f>SUMIFS(t_Mouvement[Quantité],t_Mouvement[Produit],t_StockInitial[[#This Row],[Produit]],t_Mouvement[Poids],t_StockInitial[[#This Row],[Poids]],t_Mouvement[Statut],"Entrée")</f>
        <v>0</v>
      </c>
      <c r="H8" s="32">
        <f>SUMIFS(t_Mouvement[Quantité],t_Mouvement[Produit],t_StockInitial[[#This Row],[Produit]],t_Mouvement[Poids],t_StockInitial[[#This Row],[Poids]],t_Mouvement[Statut],"&lt;&gt;Entrée")</f>
        <v>2</v>
      </c>
      <c r="I8" s="32">
        <f>t_StockInitial[[#This Row],[Quantité]]+t_StockInitial[[#This Row],[Entree]]-t_StockInitial[[#This Row],[Sortie]]</f>
        <v>45</v>
      </c>
      <c r="J8" s="33">
        <f>t_StockInitial[[#This Row],[Stock]]*t_StockInitial[[#This Row],[Prix]]</f>
        <v>337.5</v>
      </c>
      <c r="L8" s="36">
        <f>IF(t_Mouvement[[#This Row],[Date]]&lt;&gt;"",ROW()-3,"")</f>
        <v>5</v>
      </c>
      <c r="M8" s="31">
        <v>44991</v>
      </c>
      <c r="N8" s="9" t="s">
        <v>25</v>
      </c>
      <c r="O8" s="9" t="s">
        <v>14</v>
      </c>
      <c r="Q8" s="9" t="s">
        <v>0</v>
      </c>
      <c r="R8" s="28">
        <v>1000</v>
      </c>
      <c r="S8" s="29">
        <v>16.5</v>
      </c>
      <c r="T8" s="28">
        <v>1</v>
      </c>
      <c r="U8" s="35">
        <v>16.5</v>
      </c>
      <c r="V8" s="28">
        <f>IF(t_Mouvement[[#This Row],[Statut]]&lt;&gt;"",IF(t_Mouvement[[#This Row],[Statut]]="Entrée",t_Mouvement[[#This Row],[Quantité]],t_Mouvement[[#This Row],[Quantité]]*-1),"")</f>
        <v>-1</v>
      </c>
    </row>
    <row r="9" spans="2:23" x14ac:dyDescent="0.35">
      <c r="B9" s="9" t="s">
        <v>2</v>
      </c>
      <c r="C9" s="28">
        <v>1000</v>
      </c>
      <c r="D9" s="28">
        <v>40</v>
      </c>
      <c r="E9" s="29">
        <v>14</v>
      </c>
      <c r="F9" s="33">
        <f>t_StockInitial[[#This Row],[Quantité]]*t_StockInitial[[#This Row],[Prix]]</f>
        <v>560</v>
      </c>
      <c r="G9" s="33">
        <f>SUMIFS(t_Mouvement[Quantité],t_Mouvement[Produit],t_StockInitial[[#This Row],[Produit]],t_Mouvement[Poids],t_StockInitial[[#This Row],[Poids]],t_Mouvement[Statut],"Entrée")</f>
        <v>0</v>
      </c>
      <c r="H9" s="32">
        <f>SUMIFS(t_Mouvement[Quantité],t_Mouvement[Produit],t_StockInitial[[#This Row],[Produit]],t_Mouvement[Poids],t_StockInitial[[#This Row],[Poids]],t_Mouvement[Statut],"&lt;&gt;Entrée")</f>
        <v>6</v>
      </c>
      <c r="I9" s="32">
        <f>t_StockInitial[[#This Row],[Quantité]]+t_StockInitial[[#This Row],[Entree]]-t_StockInitial[[#This Row],[Sortie]]</f>
        <v>34</v>
      </c>
      <c r="J9" s="33">
        <f>t_StockInitial[[#This Row],[Stock]]*t_StockInitial[[#This Row],[Prix]]</f>
        <v>476</v>
      </c>
      <c r="L9" s="36">
        <f>IF(t_Mouvement[[#This Row],[Date]]&lt;&gt;"",ROW()-3,"")</f>
        <v>6</v>
      </c>
      <c r="M9" s="31">
        <v>44985</v>
      </c>
      <c r="N9" s="9" t="s">
        <v>26</v>
      </c>
      <c r="O9" s="9" t="s">
        <v>13</v>
      </c>
      <c r="Q9" s="9" t="s">
        <v>2</v>
      </c>
      <c r="R9" s="28">
        <v>500</v>
      </c>
      <c r="S9" s="29">
        <v>7.5</v>
      </c>
      <c r="T9" s="28">
        <v>1</v>
      </c>
      <c r="U9" s="35">
        <v>7.5</v>
      </c>
      <c r="V9" s="28">
        <f>IF(t_Mouvement[[#This Row],[Statut]]&lt;&gt;"",IF(t_Mouvement[[#This Row],[Statut]]="Entrée",t_Mouvement[[#This Row],[Quantité]],t_Mouvement[[#This Row],[Quantité]]*-1),"")</f>
        <v>-1</v>
      </c>
    </row>
    <row r="10" spans="2:23" x14ac:dyDescent="0.35">
      <c r="B10" s="9" t="s">
        <v>1</v>
      </c>
      <c r="C10" s="28">
        <v>250</v>
      </c>
      <c r="D10" s="28">
        <v>0</v>
      </c>
      <c r="E10" s="29">
        <v>4.5</v>
      </c>
      <c r="F10" s="33">
        <f>t_StockInitial[[#This Row],[Quantité]]*t_StockInitial[[#This Row],[Prix]]</f>
        <v>0</v>
      </c>
      <c r="G10" s="33">
        <f>SUMIFS(t_Mouvement[Quantité],t_Mouvement[Produit],t_StockInitial[[#This Row],[Produit]],t_Mouvement[Poids],t_StockInitial[[#This Row],[Poids]],t_Mouvement[Statut],"Entrée")</f>
        <v>0</v>
      </c>
      <c r="H10" s="32">
        <f>SUMIFS(t_Mouvement[Quantité],t_Mouvement[Produit],t_StockInitial[[#This Row],[Produit]],t_Mouvement[Poids],t_StockInitial[[#This Row],[Poids]],t_Mouvement[Statut],"&lt;&gt;Entrée")</f>
        <v>0</v>
      </c>
      <c r="I10" s="32">
        <f>t_StockInitial[[#This Row],[Quantité]]+t_StockInitial[[#This Row],[Entree]]-t_StockInitial[[#This Row],[Sortie]]</f>
        <v>0</v>
      </c>
      <c r="J10" s="33">
        <f>t_StockInitial[[#This Row],[Stock]]*t_StockInitial[[#This Row],[Prix]]</f>
        <v>0</v>
      </c>
      <c r="L10" s="36">
        <f>IF(t_Mouvement[[#This Row],[Date]]&lt;&gt;"",ROW()-3,"")</f>
        <v>7</v>
      </c>
      <c r="M10" s="31">
        <v>44981</v>
      </c>
      <c r="N10" s="9" t="s">
        <v>26</v>
      </c>
      <c r="O10" s="9" t="s">
        <v>13</v>
      </c>
      <c r="Q10" s="9" t="s">
        <v>2</v>
      </c>
      <c r="R10" s="28">
        <v>1000</v>
      </c>
      <c r="S10" s="29">
        <v>14</v>
      </c>
      <c r="T10" s="28">
        <v>1</v>
      </c>
      <c r="U10" s="35">
        <v>14</v>
      </c>
      <c r="V10" s="28">
        <f>IF(t_Mouvement[[#This Row],[Statut]]&lt;&gt;"",IF(t_Mouvement[[#This Row],[Statut]]="Entrée",t_Mouvement[[#This Row],[Quantité]],t_Mouvement[[#This Row],[Quantité]]*-1),"")</f>
        <v>-1</v>
      </c>
    </row>
    <row r="11" spans="2:23" x14ac:dyDescent="0.35">
      <c r="B11" s="9" t="s">
        <v>1</v>
      </c>
      <c r="C11" s="28">
        <v>500</v>
      </c>
      <c r="D11" s="28">
        <v>9</v>
      </c>
      <c r="E11" s="29">
        <v>8.5</v>
      </c>
      <c r="F11" s="33">
        <f>t_StockInitial[[#This Row],[Quantité]]*t_StockInitial[[#This Row],[Prix]]</f>
        <v>76.5</v>
      </c>
      <c r="G11" s="33">
        <f>SUMIFS(t_Mouvement[Quantité],t_Mouvement[Produit],t_StockInitial[[#This Row],[Produit]],t_Mouvement[Poids],t_StockInitial[[#This Row],[Poids]],t_Mouvement[Statut],"Entrée")</f>
        <v>0</v>
      </c>
      <c r="H11" s="32">
        <f>SUMIFS(t_Mouvement[Quantité],t_Mouvement[Produit],t_StockInitial[[#This Row],[Produit]],t_Mouvement[Poids],t_StockInitial[[#This Row],[Poids]],t_Mouvement[Statut],"&lt;&gt;Entrée")</f>
        <v>1</v>
      </c>
      <c r="I11" s="32">
        <f>t_StockInitial[[#This Row],[Quantité]]+t_StockInitial[[#This Row],[Entree]]-t_StockInitial[[#This Row],[Sortie]]</f>
        <v>8</v>
      </c>
      <c r="J11" s="33">
        <f>t_StockInitial[[#This Row],[Stock]]*t_StockInitial[[#This Row],[Prix]]</f>
        <v>68</v>
      </c>
      <c r="L11" s="36">
        <f>IF(t_Mouvement[[#This Row],[Date]]&lt;&gt;"",ROW()-3,"")</f>
        <v>8</v>
      </c>
      <c r="M11" s="31">
        <v>44981</v>
      </c>
      <c r="N11" s="9" t="s">
        <v>26</v>
      </c>
      <c r="O11" s="9" t="s">
        <v>14</v>
      </c>
      <c r="Q11" s="9" t="s">
        <v>1</v>
      </c>
      <c r="R11" s="28">
        <v>1000</v>
      </c>
      <c r="S11" s="29">
        <v>16.5</v>
      </c>
      <c r="T11" s="28">
        <v>1</v>
      </c>
      <c r="U11" s="35">
        <v>16.5</v>
      </c>
      <c r="V11" s="28">
        <f>IF(t_Mouvement[[#This Row],[Statut]]&lt;&gt;"",IF(t_Mouvement[[#This Row],[Statut]]="Entrée",t_Mouvement[[#This Row],[Quantité]],t_Mouvement[[#This Row],[Quantité]]*-1),"")</f>
        <v>-1</v>
      </c>
    </row>
    <row r="12" spans="2:23" x14ac:dyDescent="0.35">
      <c r="B12" s="9" t="s">
        <v>1</v>
      </c>
      <c r="C12" s="28">
        <v>1000</v>
      </c>
      <c r="D12" s="28">
        <v>12</v>
      </c>
      <c r="E12" s="29">
        <v>16.5</v>
      </c>
      <c r="F12" s="33">
        <f>t_StockInitial[[#This Row],[Quantité]]*t_StockInitial[[#This Row],[Prix]]</f>
        <v>198</v>
      </c>
      <c r="G12" s="33">
        <f>SUMIFS(t_Mouvement[Quantité],t_Mouvement[Produit],t_StockInitial[[#This Row],[Produit]],t_Mouvement[Poids],t_StockInitial[[#This Row],[Poids]],t_Mouvement[Statut],"Entrée")</f>
        <v>0</v>
      </c>
      <c r="H12" s="32">
        <f>SUMIFS(t_Mouvement[Quantité],t_Mouvement[Produit],t_StockInitial[[#This Row],[Produit]],t_Mouvement[Poids],t_StockInitial[[#This Row],[Poids]],t_Mouvement[Statut],"&lt;&gt;Entrée")</f>
        <v>1</v>
      </c>
      <c r="I12" s="32">
        <f>t_StockInitial[[#This Row],[Quantité]]+t_StockInitial[[#This Row],[Entree]]-t_StockInitial[[#This Row],[Sortie]]</f>
        <v>11</v>
      </c>
      <c r="J12" s="33">
        <f>t_StockInitial[[#This Row],[Stock]]*t_StockInitial[[#This Row],[Prix]]</f>
        <v>181.5</v>
      </c>
      <c r="L12" s="36">
        <f>IF(t_Mouvement[[#This Row],[Date]]&lt;&gt;"",ROW()-3,"")</f>
        <v>9</v>
      </c>
      <c r="M12" s="31">
        <v>44990</v>
      </c>
      <c r="N12" s="9" t="s">
        <v>27</v>
      </c>
      <c r="O12" s="9" t="s">
        <v>12</v>
      </c>
      <c r="Q12" s="9" t="s">
        <v>3</v>
      </c>
      <c r="R12" s="28">
        <v>250</v>
      </c>
      <c r="S12" s="29">
        <v>4</v>
      </c>
      <c r="T12" s="28">
        <v>1</v>
      </c>
      <c r="U12" s="35">
        <v>4</v>
      </c>
      <c r="V12" s="28">
        <f>IF(t_Mouvement[[#This Row],[Statut]]&lt;&gt;"",IF(t_Mouvement[[#This Row],[Statut]]="Entrée",t_Mouvement[[#This Row],[Quantité]],t_Mouvement[[#This Row],[Quantité]]*-1),"")</f>
        <v>1</v>
      </c>
    </row>
    <row r="13" spans="2:23" x14ac:dyDescent="0.35">
      <c r="B13" s="9" t="s">
        <v>0</v>
      </c>
      <c r="C13" s="28">
        <v>250</v>
      </c>
      <c r="D13" s="28">
        <v>0</v>
      </c>
      <c r="E13" s="29">
        <v>4.5</v>
      </c>
      <c r="F13" s="33">
        <f>t_StockInitial[[#This Row],[Quantité]]*t_StockInitial[[#This Row],[Prix]]</f>
        <v>0</v>
      </c>
      <c r="G13" s="33">
        <f>SUMIFS(t_Mouvement[Quantité],t_Mouvement[Produit],t_StockInitial[[#This Row],[Produit]],t_Mouvement[Poids],t_StockInitial[[#This Row],[Poids]],t_Mouvement[Statut],"Entrée")</f>
        <v>0</v>
      </c>
      <c r="H13" s="32">
        <f>SUMIFS(t_Mouvement[Quantité],t_Mouvement[Produit],t_StockInitial[[#This Row],[Produit]],t_Mouvement[Poids],t_StockInitial[[#This Row],[Poids]],t_Mouvement[Statut],"&lt;&gt;Entrée")</f>
        <v>0</v>
      </c>
      <c r="I13" s="32">
        <f>t_StockInitial[[#This Row],[Quantité]]+t_StockInitial[[#This Row],[Entree]]-t_StockInitial[[#This Row],[Sortie]]</f>
        <v>0</v>
      </c>
      <c r="J13" s="33">
        <f>t_StockInitial[[#This Row],[Stock]]*t_StockInitial[[#This Row],[Prix]]</f>
        <v>0</v>
      </c>
      <c r="L13" s="36">
        <f>IF(t_Mouvement[[#This Row],[Date]]&lt;&gt;"",ROW()-3,"")</f>
        <v>10</v>
      </c>
      <c r="M13" s="31">
        <v>44990</v>
      </c>
      <c r="N13" s="9" t="s">
        <v>27</v>
      </c>
      <c r="O13" s="9" t="s">
        <v>14</v>
      </c>
      <c r="Q13" s="9" t="s">
        <v>1</v>
      </c>
      <c r="R13" s="28">
        <v>500</v>
      </c>
      <c r="S13" s="29">
        <v>8.5</v>
      </c>
      <c r="T13" s="28">
        <v>1</v>
      </c>
      <c r="U13" s="35">
        <v>8.5</v>
      </c>
      <c r="V13" s="28">
        <f>IF(t_Mouvement[[#This Row],[Statut]]&lt;&gt;"",IF(t_Mouvement[[#This Row],[Statut]]="Entrée",t_Mouvement[[#This Row],[Quantité]],t_Mouvement[[#This Row],[Quantité]]*-1),"")</f>
        <v>-1</v>
      </c>
    </row>
    <row r="14" spans="2:23" x14ac:dyDescent="0.35">
      <c r="B14" s="9" t="s">
        <v>0</v>
      </c>
      <c r="C14" s="28">
        <v>500</v>
      </c>
      <c r="D14" s="28">
        <v>0</v>
      </c>
      <c r="E14" s="29">
        <v>8.5</v>
      </c>
      <c r="F14" s="33">
        <f>t_StockInitial[[#This Row],[Quantité]]*t_StockInitial[[#This Row],[Prix]]</f>
        <v>0</v>
      </c>
      <c r="G14" s="33">
        <f>SUMIFS(t_Mouvement[Quantité],t_Mouvement[Produit],t_StockInitial[[#This Row],[Produit]],t_Mouvement[Poids],t_StockInitial[[#This Row],[Poids]],t_Mouvement[Statut],"Entrée")</f>
        <v>0</v>
      </c>
      <c r="H14" s="32">
        <f>SUMIFS(t_Mouvement[Quantité],t_Mouvement[Produit],t_StockInitial[[#This Row],[Produit]],t_Mouvement[Poids],t_StockInitial[[#This Row],[Poids]],t_Mouvement[Statut],"&lt;&gt;Entrée")</f>
        <v>2</v>
      </c>
      <c r="I14" s="32">
        <f>t_StockInitial[[#This Row],[Quantité]]+t_StockInitial[[#This Row],[Entree]]-t_StockInitial[[#This Row],[Sortie]]</f>
        <v>-2</v>
      </c>
      <c r="J14" s="33">
        <f>t_StockInitial[[#This Row],[Stock]]*t_StockInitial[[#This Row],[Prix]]</f>
        <v>-17</v>
      </c>
      <c r="L14" s="36">
        <f>IF(t_Mouvement[[#This Row],[Date]]&lt;&gt;"",ROW()-3,"")</f>
        <v>11</v>
      </c>
      <c r="M14" s="31">
        <v>44990</v>
      </c>
      <c r="N14" s="9" t="s">
        <v>27</v>
      </c>
      <c r="O14" s="9" t="s">
        <v>14</v>
      </c>
      <c r="Q14" s="9" t="s">
        <v>2</v>
      </c>
      <c r="R14" s="28">
        <v>500</v>
      </c>
      <c r="S14" s="29">
        <v>7.5</v>
      </c>
      <c r="T14" s="28">
        <v>1</v>
      </c>
      <c r="U14" s="35">
        <v>7.5</v>
      </c>
      <c r="V14" s="28">
        <f>IF(t_Mouvement[[#This Row],[Statut]]&lt;&gt;"",IF(t_Mouvement[[#This Row],[Statut]]="Entrée",t_Mouvement[[#This Row],[Quantité]],t_Mouvement[[#This Row],[Quantité]]*-1),"")</f>
        <v>-1</v>
      </c>
    </row>
    <row r="15" spans="2:23" x14ac:dyDescent="0.35">
      <c r="B15" s="9" t="s">
        <v>0</v>
      </c>
      <c r="C15" s="28">
        <v>1000</v>
      </c>
      <c r="D15" s="28">
        <v>2</v>
      </c>
      <c r="E15" s="29">
        <v>16.5</v>
      </c>
      <c r="F15" s="33">
        <f>t_StockInitial[[#This Row],[Quantité]]*t_StockInitial[[#This Row],[Prix]]</f>
        <v>33</v>
      </c>
      <c r="G15" s="33">
        <f>SUMIFS(t_Mouvement[Quantité],t_Mouvement[Produit],t_StockInitial[[#This Row],[Produit]],t_Mouvement[Poids],t_StockInitial[[#This Row],[Poids]],t_Mouvement[Statut],"Entrée")</f>
        <v>0</v>
      </c>
      <c r="H15" s="32">
        <f>SUMIFS(t_Mouvement[Quantité],t_Mouvement[Produit],t_StockInitial[[#This Row],[Produit]],t_Mouvement[Poids],t_StockInitial[[#This Row],[Poids]],t_Mouvement[Statut],"&lt;&gt;Entrée")</f>
        <v>2</v>
      </c>
      <c r="I15" s="32">
        <f>t_StockInitial[[#This Row],[Quantité]]+t_StockInitial[[#This Row],[Entree]]-t_StockInitial[[#This Row],[Sortie]]</f>
        <v>0</v>
      </c>
      <c r="J15" s="33">
        <f>t_StockInitial[[#This Row],[Stock]]*t_StockInitial[[#This Row],[Prix]]</f>
        <v>0</v>
      </c>
      <c r="L15" s="36">
        <f>IF(t_Mouvement[[#This Row],[Date]]&lt;&gt;"",ROW()-3,"")</f>
        <v>12</v>
      </c>
      <c r="M15" s="31">
        <v>44997</v>
      </c>
      <c r="N15" s="9" t="s">
        <v>21</v>
      </c>
      <c r="O15" s="9" t="s">
        <v>13</v>
      </c>
      <c r="Q15" s="9" t="s">
        <v>2</v>
      </c>
      <c r="R15" s="28">
        <v>1000</v>
      </c>
      <c r="S15" s="29">
        <v>14</v>
      </c>
      <c r="T15" s="28">
        <v>1</v>
      </c>
      <c r="U15" s="35">
        <v>14</v>
      </c>
      <c r="V15" s="28">
        <f>IF(t_Mouvement[[#This Row],[Statut]]&lt;&gt;"",IF(t_Mouvement[[#This Row],[Statut]]="Entrée",t_Mouvement[[#This Row],[Quantité]],t_Mouvement[[#This Row],[Quantité]]*-1),"")</f>
        <v>-1</v>
      </c>
    </row>
    <row r="16" spans="2:23" x14ac:dyDescent="0.35">
      <c r="B16" s="9" t="s">
        <v>22</v>
      </c>
      <c r="C16" s="39"/>
      <c r="D16" s="39"/>
      <c r="E16" s="39"/>
      <c r="F16" s="33">
        <f>SUBTOTAL(109,t_StockInitial[Stock Initial])</f>
        <v>1292.5</v>
      </c>
      <c r="G16" s="33"/>
      <c r="H16" s="39"/>
      <c r="I16" s="39"/>
      <c r="J16" s="33">
        <f>SUBTOTAL(109,J4:J15)</f>
        <v>1107.5</v>
      </c>
      <c r="L16" s="36">
        <f>IF(t_Mouvement[[#This Row],[Date]]&lt;&gt;"",ROW()-3,"")</f>
        <v>13</v>
      </c>
      <c r="M16" s="31">
        <v>44986</v>
      </c>
      <c r="N16" s="9" t="s">
        <v>21</v>
      </c>
      <c r="O16" s="9" t="s">
        <v>14</v>
      </c>
      <c r="Q16" s="9" t="s">
        <v>3</v>
      </c>
      <c r="R16" s="28">
        <v>500</v>
      </c>
      <c r="S16" s="29"/>
      <c r="T16" s="28"/>
      <c r="U16" s="35"/>
      <c r="V16" s="28">
        <f>IF(t_Mouvement[[#This Row],[Statut]]&lt;&gt;"",IF(t_Mouvement[[#This Row],[Statut]]="Entrée",t_Mouvement[[#This Row],[Quantité]],t_Mouvement[[#This Row],[Quantité]]*-1),"")</f>
        <v>0</v>
      </c>
    </row>
    <row r="17" spans="6:22" x14ac:dyDescent="0.35">
      <c r="L17" s="36">
        <f>IF(t_Mouvement[[#This Row],[Date]]&lt;&gt;"",ROW()-3,"")</f>
        <v>14</v>
      </c>
      <c r="M17" s="31">
        <v>45077</v>
      </c>
      <c r="N17" s="9"/>
      <c r="O17" s="9" t="s">
        <v>13</v>
      </c>
      <c r="Q17" s="9" t="s">
        <v>0</v>
      </c>
      <c r="R17" s="28">
        <v>500</v>
      </c>
      <c r="S17" s="29">
        <v>8.5</v>
      </c>
      <c r="T17" s="28">
        <v>1</v>
      </c>
      <c r="U17" s="35">
        <v>8.5</v>
      </c>
      <c r="V17" s="28">
        <f>IF(t_Mouvement[[#This Row],[Statut]]&lt;&gt;"",IF(t_Mouvement[[#This Row],[Statut]]="Entrée",t_Mouvement[[#This Row],[Quantité]],t_Mouvement[[#This Row],[Quantité]]*-1),"")</f>
        <v>-1</v>
      </c>
    </row>
    <row r="18" spans="6:22" x14ac:dyDescent="0.35">
      <c r="F18" s="33"/>
      <c r="G18" s="33"/>
      <c r="H18" s="33"/>
      <c r="I18" s="33"/>
      <c r="J18" s="33"/>
      <c r="L18" s="36">
        <v>15</v>
      </c>
      <c r="M18" s="31">
        <v>45077</v>
      </c>
      <c r="N18" s="9" t="s">
        <v>39</v>
      </c>
      <c r="O18" s="9" t="s">
        <v>13</v>
      </c>
      <c r="P18" s="5">
        <v>12345</v>
      </c>
      <c r="Q18" s="9" t="s">
        <v>3</v>
      </c>
      <c r="R18" s="28">
        <v>500</v>
      </c>
      <c r="S18" s="29">
        <v>4</v>
      </c>
      <c r="T18" s="28">
        <v>2</v>
      </c>
      <c r="U18" s="35">
        <v>8</v>
      </c>
      <c r="V18" s="28">
        <f>IF(t_Mouvement[[#This Row],[Statut]]&lt;&gt;"",IF(t_Mouvement[[#This Row],[Statut]]="Entrée",t_Mouvement[[#This Row],[Quantité]],t_Mouvement[[#This Row],[Quantité]]*-1),"")</f>
        <v>-2</v>
      </c>
    </row>
    <row r="19" spans="6:22" x14ac:dyDescent="0.35">
      <c r="F19" s="33"/>
      <c r="G19" s="33"/>
      <c r="H19" s="33"/>
      <c r="I19" s="33"/>
      <c r="J19" s="33"/>
      <c r="L19" s="36">
        <v>16</v>
      </c>
      <c r="M19" s="31">
        <v>45077</v>
      </c>
      <c r="N19" s="9" t="s">
        <v>40</v>
      </c>
      <c r="O19" s="9" t="s">
        <v>13</v>
      </c>
      <c r="P19" s="5">
        <v>14785</v>
      </c>
      <c r="Q19" s="9" t="s">
        <v>0</v>
      </c>
      <c r="R19" s="28">
        <v>500</v>
      </c>
      <c r="S19" s="29">
        <v>4</v>
      </c>
      <c r="T19" s="28">
        <v>1</v>
      </c>
      <c r="U19" s="35">
        <v>4</v>
      </c>
      <c r="V19" s="28">
        <f>IF(t_Mouvement[[#This Row],[Statut]]&lt;&gt;"",IF(t_Mouvement[[#This Row],[Statut]]="Entrée",t_Mouvement[[#This Row],[Quantité]],t_Mouvement[[#This Row],[Quantité]]*-1),"")</f>
        <v>-1</v>
      </c>
    </row>
    <row r="20" spans="6:22" x14ac:dyDescent="0.35">
      <c r="F20" s="33"/>
      <c r="G20" s="33"/>
      <c r="H20" s="33"/>
      <c r="I20" s="33"/>
      <c r="J20" s="33"/>
      <c r="L20" s="27"/>
      <c r="M20" s="31" t="s">
        <v>22</v>
      </c>
      <c r="N20" s="9"/>
      <c r="O20" s="9"/>
      <c r="Q20" s="9"/>
      <c r="R20" s="28">
        <f>SUBTOTAL(109,t_Mouvement[Poids])</f>
        <v>11750</v>
      </c>
      <c r="S20" s="29"/>
      <c r="T20" s="28"/>
      <c r="U20" s="35">
        <f>SUBTOTAL(109,t_Mouvement[Montant])</f>
        <v>181.5</v>
      </c>
      <c r="V20" s="28">
        <f>SUBTOTAL(109,t_Mouvement[Mvt])</f>
        <v>-15</v>
      </c>
    </row>
    <row r="21" spans="6:22" x14ac:dyDescent="0.35">
      <c r="L21" s="34"/>
      <c r="Q21" s="32"/>
      <c r="R21" s="33"/>
      <c r="S21" s="32"/>
    </row>
    <row r="22" spans="6:22" x14ac:dyDescent="0.35">
      <c r="L22" s="34"/>
      <c r="Q22" s="32"/>
      <c r="R22" s="33"/>
      <c r="S22" s="32"/>
    </row>
    <row r="23" spans="6:22" x14ac:dyDescent="0.35">
      <c r="L23" s="34"/>
      <c r="Q23" s="32"/>
      <c r="R23" s="33"/>
      <c r="S23" s="32"/>
    </row>
    <row r="24" spans="6:22" x14ac:dyDescent="0.35">
      <c r="L24" s="34"/>
      <c r="Q24" s="32"/>
      <c r="R24" s="33"/>
      <c r="S24" s="32"/>
    </row>
    <row r="25" spans="6:22" x14ac:dyDescent="0.35">
      <c r="L25" s="34"/>
      <c r="Q25" s="32"/>
      <c r="R25" s="33"/>
      <c r="S25" s="32"/>
    </row>
    <row r="26" spans="6:22" x14ac:dyDescent="0.35">
      <c r="L26" s="34"/>
      <c r="N26" s="41"/>
      <c r="Q26" s="32"/>
      <c r="R26" s="33"/>
      <c r="S26" s="32"/>
    </row>
    <row r="27" spans="6:22" x14ac:dyDescent="0.35">
      <c r="L27" s="34"/>
      <c r="N27" s="41"/>
      <c r="Q27" s="32"/>
      <c r="R27" s="33"/>
      <c r="S27" s="32"/>
    </row>
    <row r="28" spans="6:22" x14ac:dyDescent="0.35">
      <c r="L28" s="34"/>
      <c r="N28" s="41"/>
      <c r="Q28" s="32"/>
      <c r="R28" s="33"/>
      <c r="S28" s="32"/>
    </row>
    <row r="29" spans="6:22" x14ac:dyDescent="0.35">
      <c r="L29" s="34"/>
      <c r="N29" s="41"/>
      <c r="Q29" s="32"/>
      <c r="R29" s="33"/>
      <c r="S29" s="40"/>
    </row>
    <row r="30" spans="6:22" x14ac:dyDescent="0.35">
      <c r="L30" s="34"/>
      <c r="Q30" s="32"/>
      <c r="R30" s="33"/>
      <c r="S30" s="32"/>
    </row>
    <row r="31" spans="6:22" x14ac:dyDescent="0.35">
      <c r="L31" s="34"/>
      <c r="Q31" s="32"/>
      <c r="R31" s="33"/>
      <c r="S31" s="32"/>
    </row>
  </sheetData>
  <mergeCells count="1">
    <mergeCell ref="B1:J1"/>
  </mergeCells>
  <conditionalFormatting sqref="O4:O19">
    <cfRule type="containsText" dxfId="22" priority="1" operator="containsText" text="Offert">
      <formula>NOT(ISERROR(SEARCH("Offert",O4)))</formula>
    </cfRule>
    <cfRule type="containsText" dxfId="21" priority="2" operator="containsText" text="Entrée">
      <formula>NOT(ISERROR(SEARCH("Entrée",O4)))</formula>
    </cfRule>
    <cfRule type="containsText" dxfId="20" priority="3" operator="containsText" text="Vente">
      <formula>NOT(ISERROR(SEARCH("Vente",O4)))</formula>
    </cfRule>
  </conditionalFormatting>
  <pageMargins left="0.7" right="0.7" top="0.75" bottom="0.75" header="0.3" footer="0.3"/>
  <pageSetup paperSize="9" orientation="portrait" horizontalDpi="360" verticalDpi="36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4FAD7-511F-490E-8E5A-04BAE107C0C7}">
  <sheetPr codeName="Feuil3"/>
  <dimension ref="B1:P18"/>
  <sheetViews>
    <sheetView showGridLines="0" workbookViewId="0">
      <selection activeCell="L9" sqref="L9"/>
    </sheetView>
  </sheetViews>
  <sheetFormatPr baseColWidth="10" defaultColWidth="10.6640625" defaultRowHeight="18" x14ac:dyDescent="0.35"/>
  <cols>
    <col min="1" max="1" width="3.58203125" style="5" customWidth="1"/>
    <col min="2" max="2" width="11.58203125" style="5" customWidth="1"/>
    <col min="3" max="4" width="10.6640625" style="5"/>
    <col min="5" max="5" width="3.58203125" style="5" customWidth="1"/>
    <col min="6" max="6" width="16.58203125" style="5" customWidth="1"/>
    <col min="7" max="7" width="3.58203125" style="5" customWidth="1"/>
    <col min="8" max="8" width="9.58203125" style="5" customWidth="1"/>
    <col min="9" max="9" width="3.58203125" style="5" customWidth="1"/>
    <col min="10" max="10" width="11.58203125" style="5" customWidth="1"/>
    <col min="11" max="11" width="3.58203125" style="5" customWidth="1"/>
    <col min="12" max="12" width="21.9140625" style="9" bestFit="1" customWidth="1"/>
    <col min="13" max="13" width="3.58203125" style="5" customWidth="1"/>
    <col min="14" max="16384" width="10.6640625" style="5"/>
  </cols>
  <sheetData>
    <row r="1" spans="2:16" x14ac:dyDescent="0.35">
      <c r="P1" s="30" t="s">
        <v>17</v>
      </c>
    </row>
    <row r="2" spans="2:16" ht="21" x14ac:dyDescent="0.35">
      <c r="B2" s="11" t="s">
        <v>8</v>
      </c>
      <c r="C2" s="6" t="s">
        <v>5</v>
      </c>
      <c r="D2" s="7" t="s">
        <v>4</v>
      </c>
      <c r="F2" s="8" t="s">
        <v>9</v>
      </c>
      <c r="H2" s="2" t="s">
        <v>5</v>
      </c>
      <c r="J2" s="9" t="s">
        <v>11</v>
      </c>
      <c r="L2" s="42" t="e">
        <f t="array" aca="1" ref="L2:L7" ca="1">_xlfn._xlws.FILTER(_xlfn.UNIQUE(t_Mouvement[Nom]),IFERROR(SEARCH(fc_Nom,_xlfn.UNIQUE(t_Mouvement[Nom]))&gt;0,FALSE))</f>
        <v>#NAME?</v>
      </c>
      <c r="N2" s="5" t="s">
        <v>31</v>
      </c>
    </row>
    <row r="3" spans="2:16" ht="21" x14ac:dyDescent="0.35">
      <c r="B3" s="12" t="s">
        <v>3</v>
      </c>
      <c r="C3" s="17">
        <v>250</v>
      </c>
      <c r="D3" s="22">
        <v>4</v>
      </c>
      <c r="F3" s="8" t="s">
        <v>3</v>
      </c>
      <c r="H3" s="10">
        <v>250</v>
      </c>
      <c r="J3" s="9" t="s">
        <v>12</v>
      </c>
      <c r="L3" s="9" t="e">
        <f ca="1"/>
        <v>#NAME?</v>
      </c>
      <c r="P3" s="5" t="s">
        <v>28</v>
      </c>
    </row>
    <row r="4" spans="2:16" ht="21" x14ac:dyDescent="0.35">
      <c r="B4" s="12" t="s">
        <v>3</v>
      </c>
      <c r="C4" s="17">
        <v>500</v>
      </c>
      <c r="D4" s="22">
        <v>7.5</v>
      </c>
      <c r="E4" s="1"/>
      <c r="F4" s="8" t="s">
        <v>2</v>
      </c>
      <c r="H4" s="10">
        <v>500</v>
      </c>
      <c r="J4" s="9" t="s">
        <v>13</v>
      </c>
      <c r="L4" s="9" t="e">
        <f ca="1"/>
        <v>#NAME?</v>
      </c>
      <c r="P4" s="30" t="s">
        <v>29</v>
      </c>
    </row>
    <row r="5" spans="2:16" ht="21" x14ac:dyDescent="0.35">
      <c r="B5" s="12" t="s">
        <v>3</v>
      </c>
      <c r="C5" s="17">
        <v>1000</v>
      </c>
      <c r="D5" s="22">
        <v>14</v>
      </c>
      <c r="E5" s="1"/>
      <c r="F5" s="8" t="s">
        <v>1</v>
      </c>
      <c r="H5" s="10">
        <v>1000</v>
      </c>
      <c r="J5" s="9" t="s">
        <v>14</v>
      </c>
      <c r="L5" s="9" t="e">
        <f ca="1"/>
        <v>#NAME?</v>
      </c>
    </row>
    <row r="6" spans="2:16" ht="21" x14ac:dyDescent="0.35">
      <c r="B6" s="13" t="s">
        <v>2</v>
      </c>
      <c r="C6" s="18">
        <v>250</v>
      </c>
      <c r="D6" s="23">
        <v>4</v>
      </c>
      <c r="E6" s="1"/>
      <c r="F6" s="8" t="s">
        <v>0</v>
      </c>
      <c r="L6" s="9" t="e">
        <f ca="1"/>
        <v>#NAME?</v>
      </c>
    </row>
    <row r="7" spans="2:16" ht="21" x14ac:dyDescent="0.35">
      <c r="B7" s="13" t="s">
        <v>2</v>
      </c>
      <c r="C7" s="18">
        <v>500</v>
      </c>
      <c r="D7" s="23">
        <v>7.5</v>
      </c>
      <c r="E7" s="1"/>
      <c r="F7" s="1"/>
      <c r="L7" s="9" t="e">
        <f ca="1"/>
        <v>#NAME?</v>
      </c>
    </row>
    <row r="8" spans="2:16" ht="21" x14ac:dyDescent="0.35">
      <c r="B8" s="13" t="s">
        <v>2</v>
      </c>
      <c r="C8" s="18">
        <v>1000</v>
      </c>
      <c r="D8" s="23">
        <v>14</v>
      </c>
      <c r="E8" s="1"/>
    </row>
    <row r="9" spans="2:16" ht="21" x14ac:dyDescent="0.35">
      <c r="B9" s="14" t="s">
        <v>1</v>
      </c>
      <c r="C9" s="19">
        <v>250</v>
      </c>
      <c r="D9" s="24">
        <v>4.5</v>
      </c>
      <c r="E9" s="1"/>
    </row>
    <row r="10" spans="2:16" ht="21" x14ac:dyDescent="0.35">
      <c r="B10" s="14" t="s">
        <v>1</v>
      </c>
      <c r="C10" s="19">
        <v>500</v>
      </c>
      <c r="D10" s="24">
        <v>8.5</v>
      </c>
      <c r="E10" s="1"/>
    </row>
    <row r="11" spans="2:16" ht="21" x14ac:dyDescent="0.35">
      <c r="B11" s="14" t="s">
        <v>1</v>
      </c>
      <c r="C11" s="19">
        <v>1000</v>
      </c>
      <c r="D11" s="24">
        <v>16.5</v>
      </c>
      <c r="E11" s="1"/>
    </row>
    <row r="12" spans="2:16" ht="21" x14ac:dyDescent="0.35">
      <c r="B12" s="15" t="s">
        <v>0</v>
      </c>
      <c r="C12" s="20">
        <v>250</v>
      </c>
      <c r="D12" s="25">
        <v>4.5</v>
      </c>
      <c r="E12" s="1"/>
      <c r="F12" s="1"/>
    </row>
    <row r="13" spans="2:16" ht="21" x14ac:dyDescent="0.35">
      <c r="B13" s="15" t="s">
        <v>0</v>
      </c>
      <c r="C13" s="20">
        <v>500</v>
      </c>
      <c r="D13" s="25">
        <v>8.5</v>
      </c>
      <c r="E13" s="1"/>
      <c r="F13" s="1"/>
    </row>
    <row r="14" spans="2:16" ht="21" x14ac:dyDescent="0.35">
      <c r="B14" s="16" t="s">
        <v>0</v>
      </c>
      <c r="C14" s="21">
        <v>1000</v>
      </c>
      <c r="D14" s="26">
        <v>16.5</v>
      </c>
      <c r="E14" s="1"/>
      <c r="F14" s="1"/>
    </row>
    <row r="15" spans="2:16" ht="21" x14ac:dyDescent="0.35">
      <c r="B15" s="1"/>
      <c r="C15" s="1"/>
      <c r="D15" s="1"/>
      <c r="E15" s="1"/>
      <c r="F15" s="1"/>
    </row>
    <row r="16" spans="2:16" ht="21" x14ac:dyDescent="0.35">
      <c r="E16" s="1"/>
      <c r="F16" s="1"/>
    </row>
    <row r="17" spans="5:5" ht="21" x14ac:dyDescent="0.35">
      <c r="E17" s="1"/>
    </row>
    <row r="18" spans="5:5" ht="21" x14ac:dyDescent="0.35">
      <c r="E18" s="1"/>
    </row>
  </sheetData>
  <hyperlinks>
    <hyperlink ref="P1" r:id="rId1" xr:uid="{EAD21BCE-44EA-42BE-B1ED-A2AABC03708C}"/>
    <hyperlink ref="P4" r:id="rId2" xr:uid="{76F8539D-AD0F-4C77-AF35-4A798E0DF7B3}"/>
  </hyperlinks>
  <pageMargins left="0.7" right="0.7" top="0.75" bottom="0.75" header="0.3" footer="0.3"/>
  <tableParts count="5">
    <tablePart r:id="rId3"/>
    <tablePart r:id="rId4"/>
    <tablePart r:id="rId5"/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EB6B23-998A-4994-B51D-0FF874BE8EE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Saisie</vt:lpstr>
      <vt:lpstr>BdD</vt:lpstr>
      <vt:lpstr>Config</vt:lpstr>
      <vt:lpstr>_NL</vt:lpstr>
      <vt:lpstr>_StockActualisé</vt:lpstr>
      <vt:lpstr>_StockDispo</vt:lpstr>
      <vt:lpstr>fc_Date</vt:lpstr>
      <vt:lpstr>fc_Montant</vt:lpstr>
      <vt:lpstr>fc_Nom</vt:lpstr>
      <vt:lpstr>fc_NumLot</vt:lpstr>
      <vt:lpstr>fc_Poids</vt:lpstr>
      <vt:lpstr>fc_Prix</vt:lpstr>
      <vt:lpstr>fc_Produit</vt:lpstr>
      <vt:lpstr>fc_Quantite</vt:lpstr>
      <vt:lpstr>fc_Statut</vt:lpstr>
      <vt:lpstr>l_Choix</vt:lpstr>
      <vt:lpstr>l_Poids</vt:lpstr>
      <vt:lpstr>l_Prix</vt:lpstr>
      <vt:lpstr>l_Statut</vt:lpstr>
      <vt:lpstr>Miel</vt:lpstr>
      <vt:lpstr>Poids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François ROUZE</cp:lastModifiedBy>
  <dcterms:created xsi:type="dcterms:W3CDTF">2023-02-19T17:03:46Z</dcterms:created>
  <dcterms:modified xsi:type="dcterms:W3CDTF">2023-05-31T13:03:02Z</dcterms:modified>
</cp:coreProperties>
</file>