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monfacturier\"/>
    </mc:Choice>
  </mc:AlternateContent>
  <xr:revisionPtr revIDLastSave="0" documentId="13_ncr:1_{82477A6A-92C8-4967-964C-9A235E29A570}" xr6:coauthVersionLast="36" xr6:coauthVersionMax="47" xr10:uidLastSave="{00000000-0000-0000-0000-000000000000}"/>
  <bookViews>
    <workbookView xWindow="-120" yWindow="-120" windowWidth="29040" windowHeight="15720" firstSheet="3" activeTab="3" xr2:uid="{F7E3FBCA-9942-4EA8-83C0-D3C431DE3150}"/>
  </bookViews>
  <sheets>
    <sheet name="Paramètres" sheetId="1" state="hidden" r:id="rId1"/>
    <sheet name="Base clients" sheetId="2" state="hidden" r:id="rId2"/>
    <sheet name="Data" sheetId="9" state="hidden" r:id="rId3"/>
    <sheet name="Menu" sheetId="10" r:id="rId4"/>
    <sheet name="FACTURE" sheetId="4" state="hidden" r:id="rId5"/>
    <sheet name="Suivi des paiements" sheetId="6" state="hidden" r:id="rId6"/>
    <sheet name="Lettre relance" sheetId="7" state="hidden" r:id="rId7"/>
    <sheet name="Statistiques" sheetId="8" state="hidden" r:id="rId8"/>
  </sheets>
  <definedNames>
    <definedName name="l_date">T_Data[[date du document ]]</definedName>
    <definedName name="l_ht">T_Data[HT après remise]</definedName>
    <definedName name="Liste_client">T_Client[Réf.]</definedName>
    <definedName name="Liste_facture">T_Data[[Numéro facture ]]</definedName>
    <definedName name="_xlnm.Print_Area" localSheetId="4">FACTURE!$B$5:$I$46</definedName>
    <definedName name="_xlnm.Print_Area" localSheetId="6">'Lettre relance'!$B$6:$H$46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6" l="1"/>
  <c r="A2" i="7" l="1"/>
  <c r="D35" i="7" s="1"/>
  <c r="F6" i="4"/>
  <c r="A2" i="4"/>
  <c r="C38" i="4" s="1"/>
  <c r="C6" i="9"/>
  <c r="C5" i="9"/>
  <c r="C4" i="9"/>
  <c r="C3" i="9"/>
  <c r="C2" i="9"/>
  <c r="D34" i="7" l="1"/>
  <c r="D14" i="7"/>
  <c r="D16" i="7" s="1"/>
  <c r="D36" i="7"/>
  <c r="C20" i="4"/>
  <c r="G20" i="4" s="1"/>
  <c r="C24" i="4"/>
  <c r="G24" i="4" s="1"/>
  <c r="C28" i="4"/>
  <c r="G28" i="4" s="1"/>
  <c r="C32" i="4"/>
  <c r="G32" i="4" s="1"/>
  <c r="D11" i="4"/>
  <c r="E12" i="4" s="1"/>
  <c r="C22" i="4"/>
  <c r="G22" i="4" s="1"/>
  <c r="C26" i="4"/>
  <c r="G26" i="4" s="1"/>
  <c r="C30" i="4"/>
  <c r="G30" i="4" s="1"/>
  <c r="C34" i="4"/>
  <c r="G34" i="4" s="1"/>
  <c r="F38" i="4"/>
  <c r="C21" i="4"/>
  <c r="E21" i="4" s="1"/>
  <c r="C23" i="4"/>
  <c r="E23" i="4" s="1"/>
  <c r="C25" i="4"/>
  <c r="E25" i="4" s="1"/>
  <c r="C27" i="4"/>
  <c r="E27" i="4" s="1"/>
  <c r="C29" i="4"/>
  <c r="E29" i="4" s="1"/>
  <c r="C31" i="4"/>
  <c r="E31" i="4" s="1"/>
  <c r="C33" i="4"/>
  <c r="E33" i="4" s="1"/>
  <c r="G23" i="4"/>
  <c r="E14" i="4"/>
  <c r="D31" i="4"/>
  <c r="E20" i="4"/>
  <c r="E22" i="4"/>
  <c r="E26" i="4"/>
  <c r="G8" i="4"/>
  <c r="E22" i="7"/>
  <c r="C12" i="7"/>
  <c r="C11" i="7"/>
  <c r="C10" i="7"/>
  <c r="C9" i="7"/>
  <c r="C8" i="7"/>
  <c r="C7" i="7"/>
  <c r="C6" i="7"/>
  <c r="B6" i="8"/>
  <c r="B17" i="8" s="1"/>
  <c r="D33" i="7"/>
  <c r="F22" i="7"/>
  <c r="C4" i="6"/>
  <c r="E44" i="4"/>
  <c r="E43" i="4"/>
  <c r="E42" i="4"/>
  <c r="E38" i="4"/>
  <c r="M17" i="4"/>
  <c r="L17" i="4"/>
  <c r="K17" i="4"/>
  <c r="C12" i="4"/>
  <c r="C11" i="4"/>
  <c r="C10" i="4"/>
  <c r="C9" i="4"/>
  <c r="C7" i="4"/>
  <c r="C6" i="4"/>
  <c r="G6" i="4"/>
  <c r="H8" i="6" l="1"/>
  <c r="H9" i="6"/>
  <c r="H6" i="6"/>
  <c r="H7" i="6"/>
  <c r="F15" i="7"/>
  <c r="E17" i="7"/>
  <c r="H29" i="4"/>
  <c r="H28" i="4"/>
  <c r="E13" i="4"/>
  <c r="D26" i="4"/>
  <c r="D34" i="4"/>
  <c r="F34" i="4" s="1"/>
  <c r="E34" i="4"/>
  <c r="H33" i="4"/>
  <c r="H25" i="4"/>
  <c r="H34" i="4"/>
  <c r="H26" i="4"/>
  <c r="F14" i="4"/>
  <c r="G12" i="4"/>
  <c r="D28" i="4"/>
  <c r="D20" i="4"/>
  <c r="E28" i="4"/>
  <c r="H30" i="4"/>
  <c r="D22" i="4"/>
  <c r="F22" i="4" s="1"/>
  <c r="H31" i="4"/>
  <c r="H27" i="4"/>
  <c r="H23" i="4"/>
  <c r="D30" i="4"/>
  <c r="F30" i="4" s="1"/>
  <c r="E30" i="4"/>
  <c r="H32" i="4"/>
  <c r="H24" i="4"/>
  <c r="H22" i="4"/>
  <c r="D32" i="4"/>
  <c r="F32" i="4" s="1"/>
  <c r="D24" i="4"/>
  <c r="F24" i="4" s="1"/>
  <c r="E32" i="4"/>
  <c r="E24" i="4"/>
  <c r="D23" i="4"/>
  <c r="F23" i="4" s="1"/>
  <c r="G31" i="4"/>
  <c r="G21" i="4"/>
  <c r="L21" i="4" s="1"/>
  <c r="D33" i="4"/>
  <c r="F33" i="4" s="1"/>
  <c r="G29" i="4"/>
  <c r="D25" i="4"/>
  <c r="F25" i="4" s="1"/>
  <c r="G33" i="4"/>
  <c r="G25" i="4"/>
  <c r="D29" i="4"/>
  <c r="F29" i="4" s="1"/>
  <c r="D21" i="4"/>
  <c r="D27" i="4"/>
  <c r="F27" i="4" s="1"/>
  <c r="G27" i="4"/>
  <c r="D15" i="7"/>
  <c r="D17" i="7"/>
  <c r="F31" i="4"/>
  <c r="F28" i="4"/>
  <c r="F26" i="4"/>
  <c r="E13" i="7"/>
  <c r="B8" i="8"/>
  <c r="B10" i="8"/>
  <c r="B12" i="8"/>
  <c r="B14" i="8"/>
  <c r="B16" i="8"/>
  <c r="B18" i="8"/>
  <c r="D6" i="8"/>
  <c r="D19" i="8" s="1"/>
  <c r="B7" i="8"/>
  <c r="B9" i="8"/>
  <c r="B11" i="8"/>
  <c r="B13" i="8"/>
  <c r="B15" i="8"/>
  <c r="D10" i="4"/>
  <c r="D9" i="4"/>
  <c r="D18" i="8" l="1"/>
  <c r="E18" i="8" s="1"/>
  <c r="D16" i="8"/>
  <c r="D17" i="8"/>
  <c r="D14" i="8"/>
  <c r="D15" i="8"/>
  <c r="D12" i="8"/>
  <c r="D13" i="8"/>
  <c r="D7" i="8"/>
  <c r="D9" i="8"/>
  <c r="D8" i="8"/>
  <c r="D11" i="8"/>
  <c r="D10" i="8"/>
  <c r="K21" i="4"/>
  <c r="K20" i="4"/>
  <c r="F44" i="4"/>
  <c r="F43" i="4"/>
  <c r="F21" i="4"/>
  <c r="H21" i="4" s="1"/>
  <c r="F20" i="4"/>
  <c r="H20" i="4" s="1"/>
  <c r="E17" i="8" l="1"/>
  <c r="E15" i="8"/>
  <c r="E10" i="8"/>
  <c r="E8" i="8"/>
  <c r="E12" i="8"/>
  <c r="E14" i="8"/>
  <c r="E16" i="8"/>
  <c r="E11" i="8"/>
  <c r="E9" i="8"/>
  <c r="E13" i="8"/>
  <c r="E7" i="8"/>
  <c r="H37" i="4"/>
  <c r="H39" i="4" s="1"/>
  <c r="M21" i="4"/>
  <c r="M20" i="4"/>
  <c r="M22" i="4"/>
  <c r="K22" i="4"/>
  <c r="L22" i="4"/>
  <c r="E20" i="8" l="1"/>
  <c r="L20" i="4"/>
  <c r="M23" i="4"/>
  <c r="K23" i="4"/>
  <c r="L23" i="4"/>
  <c r="M24" i="4" l="1"/>
  <c r="L24" i="4"/>
  <c r="K24" i="4"/>
  <c r="M25" i="4" l="1"/>
  <c r="K25" i="4"/>
  <c r="L25" i="4"/>
  <c r="M26" i="4" l="1"/>
  <c r="K26" i="4"/>
  <c r="L26" i="4"/>
  <c r="M27" i="4" l="1"/>
  <c r="K27" i="4"/>
  <c r="L27" i="4"/>
  <c r="M28" i="4" l="1"/>
  <c r="K28" i="4"/>
  <c r="L28" i="4"/>
  <c r="M29" i="4" l="1"/>
  <c r="L29" i="4"/>
  <c r="K29" i="4"/>
  <c r="M30" i="4" l="1"/>
  <c r="K30" i="4"/>
  <c r="L30" i="4"/>
  <c r="M31" i="4" l="1"/>
  <c r="L31" i="4"/>
  <c r="K31" i="4"/>
  <c r="M32" i="4" l="1"/>
  <c r="K32" i="4"/>
  <c r="L32" i="4"/>
  <c r="M33" i="4" l="1"/>
  <c r="L33" i="4"/>
  <c r="K33" i="4"/>
  <c r="M34" i="4" l="1"/>
  <c r="M35" i="4" s="1"/>
  <c r="L34" i="4"/>
  <c r="L35" i="4" s="1"/>
  <c r="K34" i="4"/>
  <c r="K35" i="4" s="1"/>
  <c r="F42" i="4" s="1"/>
  <c r="F45" i="4" l="1"/>
  <c r="F37" i="4"/>
  <c r="F39" i="4" s="1"/>
</calcChain>
</file>

<file path=xl/sharedStrings.xml><?xml version="1.0" encoding="utf-8"?>
<sst xmlns="http://schemas.openxmlformats.org/spreadsheetml/2006/main" count="242" uniqueCount="205">
  <si>
    <t>Paramètres généraux</t>
  </si>
  <si>
    <t>Vos données</t>
  </si>
  <si>
    <t>Votre nom ou raison sociale :</t>
  </si>
  <si>
    <t>Complément raison sociale :</t>
  </si>
  <si>
    <t>Entreprise individuelle</t>
  </si>
  <si>
    <t>Adresse de vos bureaux :</t>
  </si>
  <si>
    <t>Code postal :</t>
  </si>
  <si>
    <t>Ville :</t>
  </si>
  <si>
    <t>Téléphone :</t>
  </si>
  <si>
    <t>01 27 71 00 00</t>
  </si>
  <si>
    <t>Numéro Siren ou Siret :</t>
  </si>
  <si>
    <t>519 787 999 00011</t>
  </si>
  <si>
    <t>Numéro de TVA intracom. (si applicable) :</t>
  </si>
  <si>
    <t>FR895645875</t>
  </si>
  <si>
    <t>Taux de TVA officiels :</t>
  </si>
  <si>
    <t>oui</t>
  </si>
  <si>
    <t>non</t>
  </si>
  <si>
    <t>Base clients</t>
  </si>
  <si>
    <t>Réf.</t>
  </si>
  <si>
    <t>Raison sociale (ou nom)</t>
  </si>
  <si>
    <t>Complément identité</t>
  </si>
  <si>
    <t>Adresse</t>
  </si>
  <si>
    <t>Code postal</t>
  </si>
  <si>
    <t>Ville</t>
  </si>
  <si>
    <t>E-mail</t>
  </si>
  <si>
    <t>Téléphone pro</t>
  </si>
  <si>
    <t>Téléphone portable</t>
  </si>
  <si>
    <t>Remarques</t>
  </si>
  <si>
    <t>C0001</t>
  </si>
  <si>
    <t>Durand SARL</t>
  </si>
  <si>
    <t>Jean-Claude Durand</t>
  </si>
  <si>
    <t>78 rue de la Loge, bât. B étg 4</t>
  </si>
  <si>
    <t>21000</t>
  </si>
  <si>
    <t>Dijon</t>
  </si>
  <si>
    <t>jcb@winyard.com</t>
  </si>
  <si>
    <t>C0002</t>
  </si>
  <si>
    <t>C0003</t>
  </si>
  <si>
    <t>C0004</t>
  </si>
  <si>
    <t>Saisir dans les cases bleues</t>
  </si>
  <si>
    <t>Prestation accompagnement</t>
  </si>
  <si>
    <t>Livres</t>
  </si>
  <si>
    <t>Onglet automatique, ne pas modifier</t>
  </si>
  <si>
    <t>Sélectionnez le numéro de facture :</t>
  </si>
  <si>
    <t>Date :</t>
  </si>
  <si>
    <t>Description</t>
  </si>
  <si>
    <t>P.U. HT</t>
  </si>
  <si>
    <t>Quantité</t>
  </si>
  <si>
    <t>Montant HT</t>
  </si>
  <si>
    <t>Taux TVA</t>
  </si>
  <si>
    <t>Montant TVA</t>
  </si>
  <si>
    <t>total</t>
  </si>
  <si>
    <t>En votre aimable règlement avant le :</t>
  </si>
  <si>
    <t>TOTAL €</t>
  </si>
  <si>
    <t>HT</t>
  </si>
  <si>
    <t>TTC</t>
  </si>
  <si>
    <t>Total TVA :</t>
  </si>
  <si>
    <t>51100</t>
  </si>
  <si>
    <t>Reims</t>
  </si>
  <si>
    <t>Jean-Louis</t>
  </si>
  <si>
    <t>93470</t>
  </si>
  <si>
    <t xml:space="preserve">02 56 20 56 32 </t>
  </si>
  <si>
    <t>Suivi des paiements</t>
  </si>
  <si>
    <t>Renseignez les cellules bleues uniquement</t>
  </si>
  <si>
    <t>Oui</t>
  </si>
  <si>
    <t>Non</t>
  </si>
  <si>
    <t>Facture</t>
  </si>
  <si>
    <r>
      <t xml:space="preserve">Paiement reçu ?
</t>
    </r>
    <r>
      <rPr>
        <b/>
        <i/>
        <sz val="9"/>
        <color theme="0"/>
        <rFont val="Arial"/>
        <family val="2"/>
      </rPr>
      <t>(Oui / Non)</t>
    </r>
  </si>
  <si>
    <t>Date première relance</t>
  </si>
  <si>
    <t>Date deuxième relance</t>
  </si>
  <si>
    <t xml:space="preserve">Sélectionnez le numéro de facture à relancer : </t>
  </si>
  <si>
    <t>Imprimez ou transformez en PDF cette facture</t>
  </si>
  <si>
    <t>Objet : Relance paiement</t>
  </si>
  <si>
    <t>Madame, Monsieur,</t>
  </si>
  <si>
    <t>Sauf erreur ou omission de notre part, le paiement de la facture dont les détails figurent ci-dessous ne nous est pas parvenu.</t>
  </si>
  <si>
    <t>Numéro de facture :</t>
  </si>
  <si>
    <t>Date de la facture :</t>
  </si>
  <si>
    <t>Montant de la facture :</t>
  </si>
  <si>
    <t>Date d'échéance :</t>
  </si>
  <si>
    <t>Nous vous prions de bien vouloir procéder à son règlement dans les meilleurs délais, et vous adressons, à toutes fins utiles, un duplicata de cette facture en pièce jointe.
Si par ailleurs votre paiement venait à nous parvenir avant la réception de cette lettre, nous vous saurions gré de ne pas tenir compte de cette dernière.
Vous remerciant de faire le nécessaire, et restant à votre entière disposition pour toute éventuelle question, nous vous prions d'agréer, Madame, Monsieur, l'expression de nos salutations distinguées.</t>
  </si>
  <si>
    <t>Pièce jointe : Duplicata de facture</t>
  </si>
  <si>
    <t>Statistiques</t>
  </si>
  <si>
    <t>Onglet non modifiable</t>
  </si>
  <si>
    <t>Chiffre d'affaires facturé :</t>
  </si>
  <si>
    <t>Chiffre d'aff. HT</t>
  </si>
  <si>
    <t>TOTAL</t>
  </si>
  <si>
    <t>Jeannine</t>
  </si>
  <si>
    <t>02200</t>
  </si>
  <si>
    <t>Soisson</t>
  </si>
  <si>
    <t>Jeannine@sfr.fr</t>
  </si>
  <si>
    <t xml:space="preserve">07 87 44 09 34 </t>
  </si>
  <si>
    <t>02 43 88 90 84</t>
  </si>
  <si>
    <t>Soins</t>
  </si>
  <si>
    <t>Charenton le Pont</t>
  </si>
  <si>
    <t>Matériel</t>
  </si>
  <si>
    <t>Librairie</t>
  </si>
  <si>
    <t>LEDUC</t>
  </si>
  <si>
    <t>Paul</t>
  </si>
  <si>
    <t>famille.leduc@sfr.fr</t>
  </si>
  <si>
    <t xml:space="preserve">06 45 44 07 34 </t>
  </si>
  <si>
    <t>01 44 45 90 83</t>
  </si>
  <si>
    <t>12 allée des Tilleuls</t>
  </si>
  <si>
    <t>MARTIN</t>
  </si>
  <si>
    <t>jmartin@laposte.net</t>
  </si>
  <si>
    <t>06 92 14 84 43</t>
  </si>
  <si>
    <t>DUBOUCO</t>
  </si>
  <si>
    <t>2 rue de l'étang</t>
  </si>
  <si>
    <t>Le Raincy</t>
  </si>
  <si>
    <t>112 bis rue de Strasbourg</t>
  </si>
  <si>
    <t>Magazines</t>
  </si>
  <si>
    <t>Revues</t>
  </si>
  <si>
    <t>Peintures</t>
  </si>
  <si>
    <t>Fac202304001</t>
  </si>
  <si>
    <t>Fac202305002</t>
  </si>
  <si>
    <t>Fac202305003</t>
  </si>
  <si>
    <t>Fac202306004</t>
  </si>
  <si>
    <t>Fac202305005</t>
  </si>
  <si>
    <t>28/05/2023</t>
  </si>
  <si>
    <t>essai2</t>
  </si>
  <si>
    <t>essai</t>
  </si>
  <si>
    <r>
      <t>date du document</t>
    </r>
    <r>
      <rPr>
        <i/>
        <sz val="11"/>
        <color theme="1"/>
        <rFont val="Arial"/>
        <family val="2"/>
      </rPr>
      <t xml:space="preserve"> </t>
    </r>
  </si>
  <si>
    <t xml:space="preserve">Nom client  </t>
  </si>
  <si>
    <t>date échéance</t>
  </si>
  <si>
    <t xml:space="preserve">remise </t>
  </si>
  <si>
    <t>Contenu 1</t>
  </si>
  <si>
    <t>Taux TVA 1</t>
  </si>
  <si>
    <t>PU HT 1</t>
  </si>
  <si>
    <t>Quantité 1</t>
  </si>
  <si>
    <t>Quantité 15</t>
  </si>
  <si>
    <t>PU HT 15</t>
  </si>
  <si>
    <t>Taux TVA 15</t>
  </si>
  <si>
    <t>Contenu 15</t>
  </si>
  <si>
    <t>Quantité 14</t>
  </si>
  <si>
    <t>PU HT 14</t>
  </si>
  <si>
    <t>Taux TVA 14</t>
  </si>
  <si>
    <t>Contenu 14</t>
  </si>
  <si>
    <t>Quantité 13</t>
  </si>
  <si>
    <t>Contenu 13</t>
  </si>
  <si>
    <t>Taux TVA 13</t>
  </si>
  <si>
    <t>PU HT 13</t>
  </si>
  <si>
    <t>Contenu 12</t>
  </si>
  <si>
    <t>Taux TVA 12</t>
  </si>
  <si>
    <t>PU HT 12</t>
  </si>
  <si>
    <t>Quantité 12</t>
  </si>
  <si>
    <t>Contenu 11</t>
  </si>
  <si>
    <t>Taux TVA 11</t>
  </si>
  <si>
    <t>PU HT 11</t>
  </si>
  <si>
    <t>Quantité 11</t>
  </si>
  <si>
    <t>Contenu 10</t>
  </si>
  <si>
    <t>Taux TVA 10</t>
  </si>
  <si>
    <t>PU HT 10</t>
  </si>
  <si>
    <t>Quantité 10</t>
  </si>
  <si>
    <t>Contenu 9</t>
  </si>
  <si>
    <t>Taux TVA 9</t>
  </si>
  <si>
    <t>PU HT 9</t>
  </si>
  <si>
    <t>Quantité 9</t>
  </si>
  <si>
    <t>Contenu 8</t>
  </si>
  <si>
    <t>Taux TVA 8</t>
  </si>
  <si>
    <t>PU HT 8</t>
  </si>
  <si>
    <t>Quantité 8</t>
  </si>
  <si>
    <t>Quantité 7</t>
  </si>
  <si>
    <t>PU HT 7</t>
  </si>
  <si>
    <t>Taux TVA 7</t>
  </si>
  <si>
    <t>Contenu 7</t>
  </si>
  <si>
    <t>Quantité 6</t>
  </si>
  <si>
    <t>PU HT 6</t>
  </si>
  <si>
    <t>Taux TVA 6</t>
  </si>
  <si>
    <t>Contenu 6</t>
  </si>
  <si>
    <t>Quantité 5</t>
  </si>
  <si>
    <t>PU HT 5</t>
  </si>
  <si>
    <t>Taux TVA 5</t>
  </si>
  <si>
    <t>Contenu 5</t>
  </si>
  <si>
    <t>Quantité 4</t>
  </si>
  <si>
    <t>PU HT 4</t>
  </si>
  <si>
    <t>Taux TVA 4</t>
  </si>
  <si>
    <t>Contenu 4</t>
  </si>
  <si>
    <t>Quantité 3</t>
  </si>
  <si>
    <t>PU HT 3</t>
  </si>
  <si>
    <t>Contenu 2</t>
  </si>
  <si>
    <t>Taux TVA 2</t>
  </si>
  <si>
    <t>PU HT 2</t>
  </si>
  <si>
    <t>Quantité 2</t>
  </si>
  <si>
    <t>Contenu 3</t>
  </si>
  <si>
    <t>Taux TVA 3</t>
  </si>
  <si>
    <t xml:space="preserve">Numéro facture </t>
  </si>
  <si>
    <t>Dev202304006</t>
  </si>
  <si>
    <t xml:space="preserve">n° client </t>
  </si>
  <si>
    <t>TOTAL HT</t>
  </si>
  <si>
    <t>HT après remise</t>
  </si>
  <si>
    <t>Montant TTC</t>
  </si>
  <si>
    <t>Aucun escompte n'est prévu pour règlement anticipé.
 Tout retard de paiement obligera le client au paiement d'un intérêt légal selon les dispositions en vigueur.</t>
  </si>
  <si>
    <t>Total TTC</t>
  </si>
  <si>
    <t>TTC après remise</t>
  </si>
  <si>
    <t>N° client</t>
  </si>
  <si>
    <t>Nom client</t>
  </si>
  <si>
    <t>Montant</t>
  </si>
  <si>
    <t>Date facture</t>
  </si>
  <si>
    <t>Date échéance</t>
  </si>
  <si>
    <t xml:space="preserve">Échéance dépassée ? </t>
  </si>
  <si>
    <t>2ème relance</t>
  </si>
  <si>
    <t>Payé</t>
  </si>
  <si>
    <t>ligne</t>
  </si>
  <si>
    <t>1ère relance</t>
  </si>
  <si>
    <t>matos1</t>
  </si>
  <si>
    <t>matos2</t>
  </si>
  <si>
    <t>Inscrivez les informations relatives à vos 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</si>
</sst>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_-;\-* #,##0.00_-;_-* &quot;-&quot;??_-;_-@_-"/>
    <numFmt numFmtId="165" formatCode="0#&quot; &quot;##&quot; &quot;##&quot; &quot;##&quot; &quot;##"/>
    <numFmt numFmtId="166" formatCode="0.0%"/>
    <numFmt numFmtId="167" formatCode="0.0"/>
    <numFmt numFmtId="168" formatCode="[$-F800]dddd\,\ mmmm\ dd\,\ yyyy"/>
    <numFmt numFmtId="169" formatCode="#,##0.00\ &quot;€&quot;"/>
    <numFmt numFmtId="173" formatCode="00000"/>
    <numFmt numFmtId="175" formatCode="mmmm"/>
  </numFmts>
  <fonts count="66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22"/>
      <color rgb="FFC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i/>
      <sz val="16"/>
      <color rgb="FFC00000"/>
      <name val="Arial"/>
      <family val="2"/>
    </font>
    <font>
      <b/>
      <i/>
      <sz val="14"/>
      <color theme="8"/>
      <name val="Arial"/>
      <family val="2"/>
    </font>
    <font>
      <b/>
      <sz val="12"/>
      <color theme="0"/>
      <name val="Arial"/>
      <family val="2"/>
    </font>
    <font>
      <u/>
      <sz val="11"/>
      <color theme="10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i/>
      <sz val="14"/>
      <color theme="0"/>
      <name val="Arial"/>
      <family val="2"/>
    </font>
    <font>
      <b/>
      <sz val="11"/>
      <color theme="0"/>
      <name val="Arial"/>
      <family val="2"/>
    </font>
    <font>
      <b/>
      <i/>
      <sz val="11"/>
      <color theme="1"/>
      <name val="Arial"/>
      <family val="2"/>
    </font>
    <font>
      <i/>
      <sz val="11"/>
      <color theme="1"/>
      <name val="Arial"/>
      <family val="2"/>
    </font>
    <font>
      <sz val="10"/>
      <color theme="1"/>
      <name val="Arial"/>
      <family val="2"/>
    </font>
    <font>
      <b/>
      <i/>
      <sz val="10"/>
      <color theme="1"/>
      <name val="Arial"/>
      <family val="2"/>
    </font>
    <font>
      <i/>
      <sz val="10"/>
      <color theme="1"/>
      <name val="Arial"/>
      <family val="2"/>
    </font>
    <font>
      <sz val="11"/>
      <name val="Arial"/>
      <family val="2"/>
    </font>
    <font>
      <b/>
      <i/>
      <sz val="11"/>
      <color rgb="FFFF0000"/>
      <name val="Arial"/>
      <family val="2"/>
    </font>
    <font>
      <b/>
      <i/>
      <sz val="12"/>
      <color theme="8"/>
      <name val="Arial"/>
      <family val="2"/>
    </font>
    <font>
      <b/>
      <i/>
      <sz val="11"/>
      <color theme="8"/>
      <name val="Arial"/>
      <family val="2"/>
    </font>
    <font>
      <b/>
      <sz val="14"/>
      <color rgb="FF000000"/>
      <name val="Arial"/>
      <family val="2"/>
    </font>
    <font>
      <b/>
      <sz val="20"/>
      <color rgb="FF000000"/>
      <name val="Arial"/>
      <family val="2"/>
    </font>
    <font>
      <b/>
      <sz val="22"/>
      <color rgb="FF000000"/>
      <name val="Arial"/>
      <family val="2"/>
    </font>
    <font>
      <sz val="20"/>
      <color rgb="FF000000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sz val="11"/>
      <color rgb="FFFF0000"/>
      <name val="Arial"/>
      <family val="2"/>
    </font>
    <font>
      <b/>
      <sz val="10.5"/>
      <color rgb="FF000000"/>
      <name val="Arial"/>
      <family val="2"/>
    </font>
    <font>
      <b/>
      <i/>
      <sz val="10"/>
      <color rgb="FF000000"/>
      <name val="Arial"/>
      <family val="2"/>
    </font>
    <font>
      <sz val="10"/>
      <name val="Arial"/>
      <family val="2"/>
    </font>
    <font>
      <sz val="10"/>
      <color rgb="FFFFFFFF"/>
      <name val="Arial"/>
      <family val="2"/>
    </font>
    <font>
      <i/>
      <sz val="10"/>
      <name val="Arial"/>
      <family val="2"/>
    </font>
    <font>
      <b/>
      <sz val="11"/>
      <color rgb="FFFF0000"/>
      <name val="Arial"/>
      <family val="2"/>
    </font>
    <font>
      <sz val="11"/>
      <color rgb="FF000000"/>
      <name val="Arial"/>
      <family val="2"/>
    </font>
    <font>
      <b/>
      <i/>
      <sz val="11"/>
      <color rgb="FF000000"/>
      <name val="Arial"/>
      <family val="2"/>
    </font>
    <font>
      <i/>
      <sz val="9"/>
      <color theme="1"/>
      <name val="Arial"/>
      <family val="2"/>
    </font>
    <font>
      <i/>
      <sz val="10"/>
      <color rgb="FF000000"/>
      <name val="Arial"/>
      <family val="2"/>
    </font>
    <font>
      <i/>
      <sz val="11"/>
      <color theme="1"/>
      <name val="Calibri"/>
      <family val="2"/>
      <scheme val="minor"/>
    </font>
    <font>
      <i/>
      <sz val="11"/>
      <color rgb="FF000000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b/>
      <i/>
      <sz val="20"/>
      <color rgb="FFC00000"/>
      <name val="Arial"/>
      <family val="2"/>
    </font>
    <font>
      <b/>
      <i/>
      <sz val="9"/>
      <color theme="0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i/>
      <sz val="10"/>
      <color theme="8"/>
      <name val="Arial"/>
      <family val="2"/>
    </font>
    <font>
      <b/>
      <sz val="11"/>
      <color rgb="FF000000"/>
      <name val="Arial"/>
      <family val="2"/>
    </font>
    <font>
      <sz val="11"/>
      <color rgb="FFFFFFFF"/>
      <name val="Arial"/>
      <family val="2"/>
    </font>
    <font>
      <b/>
      <i/>
      <sz val="24"/>
      <color rgb="FFC00000"/>
      <name val="Calibri"/>
      <family val="2"/>
      <scheme val="minor"/>
    </font>
    <font>
      <b/>
      <i/>
      <sz val="14"/>
      <color theme="8"/>
      <name val="Calibri"/>
      <family val="2"/>
      <scheme val="minor"/>
    </font>
    <font>
      <b/>
      <i/>
      <sz val="14"/>
      <color rgb="FFC00000"/>
      <name val="Calibri"/>
      <family val="2"/>
      <scheme val="minor"/>
    </font>
    <font>
      <b/>
      <i/>
      <u/>
      <sz val="11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b/>
      <sz val="18"/>
      <color rgb="FF000000"/>
      <name val="Arial"/>
      <family val="2"/>
    </font>
    <font>
      <b/>
      <sz val="16"/>
      <color rgb="FF000000"/>
      <name val="Arial"/>
      <family val="2"/>
    </font>
    <font>
      <b/>
      <sz val="10"/>
      <name val="Arial"/>
      <family val="2"/>
    </font>
    <font>
      <b/>
      <sz val="11"/>
      <color theme="0"/>
      <name val="Calibri"/>
      <family val="2"/>
      <scheme val="minor"/>
    </font>
    <font>
      <i/>
      <sz val="11"/>
      <color theme="8" tint="-0.249977111117893"/>
      <name val="Arial"/>
      <family val="2"/>
    </font>
    <font>
      <sz val="7"/>
      <color rgb="FF0066FF"/>
      <name val="Verdana"/>
      <family val="2"/>
    </font>
    <font>
      <sz val="11"/>
      <color theme="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gradientFill>
        <stop position="0">
          <color theme="1" tint="0.49803155613879818"/>
        </stop>
        <stop position="1">
          <color theme="2"/>
        </stop>
      </gradientFill>
    </fill>
    <fill>
      <patternFill patternType="solid">
        <fgColor theme="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 tint="-4.9989318521683403E-2"/>
        <bgColor rgb="FFBFBFBF"/>
      </patternFill>
    </fill>
    <fill>
      <patternFill patternType="solid">
        <fgColor rgb="FFBFBFBF"/>
        <bgColor rgb="FFBFBFBF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/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/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auto="1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dotted">
        <color auto="1"/>
      </top>
      <bottom style="thin">
        <color indexed="64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thin">
        <color auto="1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dashed">
        <color auto="1"/>
      </left>
      <right style="dashed">
        <color auto="1"/>
      </right>
      <top style="thin">
        <color auto="1"/>
      </top>
      <bottom/>
      <diagonal/>
    </border>
    <border>
      <left style="dashed">
        <color auto="1"/>
      </left>
      <right style="dashed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</borders>
  <cellStyleXfs count="5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0" fillId="0" borderId="0" applyNumberFormat="0" applyFill="0" applyBorder="0" applyAlignment="0" applyProtection="0"/>
    <xf numFmtId="43" fontId="2" fillId="0" borderId="0" applyFont="0" applyFill="0" applyBorder="0" applyAlignment="0" applyProtection="0"/>
  </cellStyleXfs>
  <cellXfs count="277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65" fontId="5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6" fillId="2" borderId="2" xfId="0" applyFont="1" applyFill="1" applyBorder="1" applyAlignment="1" applyProtection="1">
      <alignment vertical="center"/>
      <protection locked="0"/>
    </xf>
    <xf numFmtId="0" fontId="6" fillId="0" borderId="3" xfId="0" applyFont="1" applyBorder="1" applyAlignment="1">
      <alignment vertical="center"/>
    </xf>
    <xf numFmtId="0" fontId="5" fillId="2" borderId="4" xfId="0" applyFont="1" applyFill="1" applyBorder="1" applyAlignment="1" applyProtection="1">
      <alignment vertical="center"/>
      <protection locked="0"/>
    </xf>
    <xf numFmtId="0" fontId="6" fillId="0" borderId="5" xfId="0" applyFont="1" applyBorder="1" applyAlignment="1">
      <alignment vertical="center"/>
    </xf>
    <xf numFmtId="0" fontId="5" fillId="2" borderId="6" xfId="0" applyFont="1" applyFill="1" applyBorder="1" applyAlignment="1" applyProtection="1">
      <alignment vertical="center"/>
      <protection locked="0"/>
    </xf>
    <xf numFmtId="0" fontId="5" fillId="2" borderId="6" xfId="0" applyFont="1" applyFill="1" applyBorder="1" applyAlignment="1" applyProtection="1">
      <alignment horizontal="left" vertical="center"/>
      <protection locked="0"/>
    </xf>
    <xf numFmtId="49" fontId="5" fillId="2" borderId="6" xfId="0" applyNumberFormat="1" applyFont="1" applyFill="1" applyBorder="1" applyAlignment="1" applyProtection="1">
      <alignment horizontal="left" vertical="center"/>
      <protection locked="0"/>
    </xf>
    <xf numFmtId="0" fontId="6" fillId="0" borderId="7" xfId="0" applyFont="1" applyBorder="1" applyAlignment="1">
      <alignment vertical="center" wrapText="1"/>
    </xf>
    <xf numFmtId="0" fontId="5" fillId="2" borderId="8" xfId="0" applyFont="1" applyFill="1" applyBorder="1" applyAlignment="1" applyProtection="1">
      <alignment vertical="center"/>
      <protection locked="0"/>
    </xf>
    <xf numFmtId="0" fontId="9" fillId="3" borderId="9" xfId="0" applyFont="1" applyFill="1" applyBorder="1" applyAlignment="1">
      <alignment vertical="center"/>
    </xf>
    <xf numFmtId="166" fontId="5" fillId="2" borderId="4" xfId="2" applyNumberFormat="1" applyFont="1" applyFill="1" applyBorder="1" applyAlignment="1" applyProtection="1">
      <alignment horizontal="center" vertical="center"/>
      <protection locked="0"/>
    </xf>
    <xf numFmtId="166" fontId="5" fillId="2" borderId="10" xfId="2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/>
    </xf>
    <xf numFmtId="166" fontId="5" fillId="2" borderId="11" xfId="2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/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5" fillId="0" borderId="31" xfId="0" applyFont="1" applyBorder="1" applyAlignment="1">
      <alignment vertical="center"/>
    </xf>
    <xf numFmtId="0" fontId="5" fillId="0" borderId="32" xfId="0" applyFont="1" applyBorder="1" applyAlignment="1">
      <alignment vertical="center"/>
    </xf>
    <xf numFmtId="0" fontId="5" fillId="0" borderId="33" xfId="0" applyFont="1" applyBorder="1" applyAlignment="1">
      <alignment vertical="center"/>
    </xf>
    <xf numFmtId="0" fontId="5" fillId="0" borderId="34" xfId="0" applyFont="1" applyBorder="1" applyAlignment="1">
      <alignment vertical="center"/>
    </xf>
    <xf numFmtId="0" fontId="24" fillId="0" borderId="0" xfId="0" applyFont="1" applyAlignment="1">
      <alignment horizontal="left"/>
    </xf>
    <xf numFmtId="0" fontId="27" fillId="0" borderId="35" xfId="0" applyFont="1" applyBorder="1" applyAlignment="1">
      <alignment vertical="center"/>
    </xf>
    <xf numFmtId="0" fontId="27" fillId="0" borderId="0" xfId="0" applyFont="1" applyAlignment="1">
      <alignment vertical="center"/>
    </xf>
    <xf numFmtId="0" fontId="28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 indent="5"/>
    </xf>
    <xf numFmtId="14" fontId="11" fillId="5" borderId="0" xfId="0" applyNumberFormat="1" applyFont="1" applyFill="1" applyAlignment="1">
      <alignment horizontal="left" vertical="center"/>
    </xf>
    <xf numFmtId="0" fontId="5" fillId="0" borderId="35" xfId="0" applyFont="1" applyBorder="1" applyAlignment="1">
      <alignment vertical="center"/>
    </xf>
    <xf numFmtId="0" fontId="11" fillId="0" borderId="0" xfId="0" applyFont="1" applyAlignment="1">
      <alignment horizontal="left" vertical="center" indent="1"/>
    </xf>
    <xf numFmtId="0" fontId="30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indent="1"/>
    </xf>
    <xf numFmtId="0" fontId="5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31" fillId="0" borderId="0" xfId="0" applyFont="1" applyAlignment="1">
      <alignment vertical="center"/>
    </xf>
    <xf numFmtId="14" fontId="5" fillId="0" borderId="0" xfId="0" applyNumberFormat="1" applyFont="1" applyAlignment="1">
      <alignment horizontal="left" vertical="center"/>
    </xf>
    <xf numFmtId="166" fontId="19" fillId="0" borderId="0" xfId="2" applyNumberFormat="1" applyFont="1" applyAlignment="1">
      <alignment horizontal="center" vertical="center"/>
    </xf>
    <xf numFmtId="166" fontId="16" fillId="0" borderId="0" xfId="2" applyNumberFormat="1" applyFont="1" applyAlignment="1">
      <alignment horizontal="center" vertical="center"/>
    </xf>
    <xf numFmtId="0" fontId="32" fillId="6" borderId="37" xfId="0" applyFont="1" applyFill="1" applyBorder="1" applyAlignment="1">
      <alignment horizontal="center" vertical="center" wrapText="1"/>
    </xf>
    <xf numFmtId="0" fontId="30" fillId="7" borderId="38" xfId="0" applyFont="1" applyFill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164" fontId="5" fillId="0" borderId="39" xfId="1" applyFont="1" applyBorder="1" applyAlignment="1">
      <alignment vertical="center"/>
    </xf>
    <xf numFmtId="164" fontId="5" fillId="0" borderId="40" xfId="1" applyFont="1" applyBorder="1" applyAlignment="1">
      <alignment vertical="center"/>
    </xf>
    <xf numFmtId="164" fontId="5" fillId="0" borderId="11" xfId="1" applyFont="1" applyBorder="1" applyAlignment="1">
      <alignment vertical="center"/>
    </xf>
    <xf numFmtId="0" fontId="5" fillId="0" borderId="11" xfId="0" applyFont="1" applyBorder="1" applyAlignment="1">
      <alignment horizontal="left" vertical="center" wrapText="1"/>
    </xf>
    <xf numFmtId="2" fontId="5" fillId="0" borderId="11" xfId="0" applyNumberFormat="1" applyFont="1" applyBorder="1" applyAlignment="1">
      <alignment horizontal="right" vertical="center" wrapText="1"/>
    </xf>
    <xf numFmtId="167" fontId="5" fillId="0" borderId="11" xfId="0" applyNumberFormat="1" applyFont="1" applyBorder="1" applyAlignment="1">
      <alignment horizontal="right" vertical="center" wrapText="1"/>
    </xf>
    <xf numFmtId="4" fontId="5" fillId="0" borderId="11" xfId="0" applyNumberFormat="1" applyFont="1" applyBorder="1" applyAlignment="1">
      <alignment horizontal="right" vertical="center" wrapText="1"/>
    </xf>
    <xf numFmtId="166" fontId="36" fillId="0" borderId="11" xfId="2" applyNumberFormat="1" applyFont="1" applyFill="1" applyBorder="1" applyAlignment="1">
      <alignment horizontal="center" vertical="center"/>
    </xf>
    <xf numFmtId="2" fontId="6" fillId="0" borderId="14" xfId="0" applyNumberFormat="1" applyFont="1" applyBorder="1" applyAlignment="1">
      <alignment vertical="center"/>
    </xf>
    <xf numFmtId="0" fontId="37" fillId="0" borderId="0" xfId="0" applyFont="1" applyAlignment="1">
      <alignment vertical="center"/>
    </xf>
    <xf numFmtId="0" fontId="5" fillId="0" borderId="0" xfId="0" applyFont="1" applyAlignment="1">
      <alignment horizontal="left" vertical="center" wrapText="1"/>
    </xf>
    <xf numFmtId="4" fontId="5" fillId="0" borderId="0" xfId="0" applyNumberFormat="1" applyFont="1" applyAlignment="1">
      <alignment horizontal="left" vertical="center"/>
    </xf>
    <xf numFmtId="14" fontId="40" fillId="0" borderId="0" xfId="0" applyNumberFormat="1" applyFont="1" applyAlignment="1">
      <alignment horizontal="left" vertical="center"/>
    </xf>
    <xf numFmtId="4" fontId="41" fillId="0" borderId="0" xfId="0" applyNumberFormat="1" applyFont="1" applyAlignment="1">
      <alignment vertical="center"/>
    </xf>
    <xf numFmtId="0" fontId="42" fillId="0" borderId="41" xfId="0" applyFont="1" applyBorder="1" applyAlignment="1">
      <alignment horizontal="left"/>
    </xf>
    <xf numFmtId="43" fontId="43" fillId="0" borderId="42" xfId="4" applyFont="1" applyBorder="1" applyAlignment="1">
      <alignment horizontal="right"/>
    </xf>
    <xf numFmtId="0" fontId="42" fillId="0" borderId="43" xfId="0" applyFont="1" applyBorder="1" applyAlignment="1">
      <alignment horizontal="left"/>
    </xf>
    <xf numFmtId="43" fontId="43" fillId="0" borderId="44" xfId="4" applyFont="1" applyBorder="1" applyAlignment="1">
      <alignment horizontal="right"/>
    </xf>
    <xf numFmtId="43" fontId="42" fillId="0" borderId="44" xfId="4" applyFont="1" applyBorder="1" applyAlignment="1">
      <alignment horizontal="right" vertical="center"/>
    </xf>
    <xf numFmtId="0" fontId="44" fillId="0" borderId="45" xfId="0" applyFont="1" applyBorder="1" applyAlignment="1">
      <alignment horizontal="left"/>
    </xf>
    <xf numFmtId="43" fontId="44" fillId="0" borderId="46" xfId="4" applyFont="1" applyBorder="1" applyAlignment="1">
      <alignment horizontal="right"/>
    </xf>
    <xf numFmtId="0" fontId="5" fillId="0" borderId="47" xfId="0" applyFont="1" applyBorder="1" applyAlignment="1">
      <alignment vertical="center"/>
    </xf>
    <xf numFmtId="0" fontId="5" fillId="0" borderId="48" xfId="0" applyFont="1" applyBorder="1" applyAlignment="1">
      <alignment vertical="center"/>
    </xf>
    <xf numFmtId="0" fontId="5" fillId="0" borderId="49" xfId="0" applyFont="1" applyBorder="1" applyAlignment="1">
      <alignment vertical="center"/>
    </xf>
    <xf numFmtId="43" fontId="21" fillId="0" borderId="0" xfId="0" applyNumberFormat="1" applyFont="1" applyAlignment="1">
      <alignment vertical="center"/>
    </xf>
    <xf numFmtId="0" fontId="45" fillId="0" borderId="0" xfId="0" applyFont="1" applyAlignment="1">
      <alignment vertical="center"/>
    </xf>
    <xf numFmtId="4" fontId="6" fillId="0" borderId="0" xfId="0" applyNumberFormat="1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14" fontId="5" fillId="0" borderId="0" xfId="0" applyNumberFormat="1" applyFont="1" applyAlignment="1">
      <alignment vertical="center"/>
    </xf>
    <xf numFmtId="49" fontId="5" fillId="0" borderId="0" xfId="0" applyNumberFormat="1" applyFont="1" applyAlignment="1">
      <alignment horizontal="left" vertical="center" wrapText="1"/>
    </xf>
    <xf numFmtId="14" fontId="23" fillId="0" borderId="0" xfId="0" applyNumberFormat="1" applyFont="1" applyAlignment="1">
      <alignment horizontal="left" vertical="center" indent="3"/>
    </xf>
    <xf numFmtId="14" fontId="6" fillId="0" borderId="0" xfId="0" applyNumberFormat="1" applyFont="1" applyAlignment="1">
      <alignment vertical="center"/>
    </xf>
    <xf numFmtId="0" fontId="14" fillId="8" borderId="50" xfId="0" applyFont="1" applyFill="1" applyBorder="1" applyAlignment="1">
      <alignment horizontal="left" vertical="center" wrapText="1"/>
    </xf>
    <xf numFmtId="0" fontId="47" fillId="4" borderId="50" xfId="0" applyFont="1" applyFill="1" applyBorder="1" applyAlignment="1">
      <alignment horizontal="center" vertical="center" wrapText="1"/>
    </xf>
    <xf numFmtId="14" fontId="47" fillId="8" borderId="50" xfId="0" applyNumberFormat="1" applyFont="1" applyFill="1" applyBorder="1" applyAlignment="1">
      <alignment horizontal="center" vertical="center" wrapText="1"/>
    </xf>
    <xf numFmtId="49" fontId="47" fillId="8" borderId="50" xfId="0" applyNumberFormat="1" applyFont="1" applyFill="1" applyBorder="1" applyAlignment="1">
      <alignment horizontal="left" vertical="center" wrapText="1"/>
    </xf>
    <xf numFmtId="0" fontId="17" fillId="0" borderId="0" xfId="0" applyFont="1" applyAlignment="1">
      <alignment vertical="center"/>
    </xf>
    <xf numFmtId="0" fontId="48" fillId="0" borderId="10" xfId="0" applyFont="1" applyBorder="1" applyAlignment="1">
      <alignment vertical="center"/>
    </xf>
    <xf numFmtId="0" fontId="17" fillId="0" borderId="10" xfId="0" applyFont="1" applyBorder="1" applyAlignment="1">
      <alignment vertical="center"/>
    </xf>
    <xf numFmtId="14" fontId="17" fillId="0" borderId="10" xfId="0" applyNumberFormat="1" applyFont="1" applyBorder="1" applyAlignment="1">
      <alignment horizontal="center" vertical="center"/>
    </xf>
    <xf numFmtId="0" fontId="48" fillId="0" borderId="10" xfId="0" applyFont="1" applyBorder="1" applyAlignment="1">
      <alignment horizontal="center" vertical="center"/>
    </xf>
    <xf numFmtId="14" fontId="48" fillId="2" borderId="10" xfId="0" applyNumberFormat="1" applyFont="1" applyFill="1" applyBorder="1" applyAlignment="1" applyProtection="1">
      <alignment horizontal="center" vertical="center"/>
      <protection locked="0"/>
    </xf>
    <xf numFmtId="14" fontId="17" fillId="2" borderId="10" xfId="0" applyNumberFormat="1" applyFont="1" applyFill="1" applyBorder="1" applyAlignment="1" applyProtection="1">
      <alignment vertical="center"/>
      <protection locked="0"/>
    </xf>
    <xf numFmtId="49" fontId="17" fillId="2" borderId="10" xfId="0" applyNumberFormat="1" applyFont="1" applyFill="1" applyBorder="1" applyAlignment="1" applyProtection="1">
      <alignment horizontal="left" vertical="center" wrapText="1"/>
      <protection locked="0"/>
    </xf>
    <xf numFmtId="0" fontId="48" fillId="0" borderId="0" xfId="0" applyFont="1" applyAlignment="1">
      <alignment vertical="center"/>
    </xf>
    <xf numFmtId="4" fontId="48" fillId="0" borderId="0" xfId="0" applyNumberFormat="1" applyFont="1" applyAlignment="1">
      <alignment horizontal="center" vertical="center"/>
    </xf>
    <xf numFmtId="14" fontId="17" fillId="0" borderId="0" xfId="0" applyNumberFormat="1" applyFont="1" applyAlignment="1">
      <alignment horizontal="center" vertical="center"/>
    </xf>
    <xf numFmtId="0" fontId="48" fillId="0" borderId="0" xfId="0" applyFont="1" applyAlignment="1">
      <alignment horizontal="center" vertical="center"/>
    </xf>
    <xf numFmtId="14" fontId="48" fillId="0" borderId="0" xfId="0" applyNumberFormat="1" applyFont="1" applyAlignment="1">
      <alignment horizontal="center" vertical="center"/>
    </xf>
    <xf numFmtId="14" fontId="17" fillId="0" borderId="0" xfId="0" applyNumberFormat="1" applyFont="1" applyAlignment="1">
      <alignment vertical="center"/>
    </xf>
    <xf numFmtId="49" fontId="17" fillId="0" borderId="0" xfId="0" applyNumberFormat="1" applyFont="1" applyAlignment="1">
      <alignment horizontal="left" vertical="center" wrapText="1"/>
    </xf>
    <xf numFmtId="0" fontId="22" fillId="0" borderId="0" xfId="0" applyFont="1" applyAlignment="1">
      <alignment horizontal="right"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horizontal="left"/>
    </xf>
    <xf numFmtId="0" fontId="38" fillId="0" borderId="0" xfId="0" applyFont="1" applyAlignment="1">
      <alignment horizontal="left" vertical="center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center" vertical="center" wrapText="1"/>
    </xf>
    <xf numFmtId="0" fontId="32" fillId="0" borderId="0" xfId="0" applyFont="1" applyAlignment="1">
      <alignment horizontal="right" vertical="center" wrapText="1"/>
    </xf>
    <xf numFmtId="0" fontId="32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38" fillId="0" borderId="0" xfId="0" applyFont="1" applyAlignment="1">
      <alignment horizontal="right"/>
    </xf>
    <xf numFmtId="0" fontId="33" fillId="0" borderId="0" xfId="0" applyFont="1" applyAlignment="1">
      <alignment horizontal="left"/>
    </xf>
    <xf numFmtId="2" fontId="5" fillId="0" borderId="0" xfId="0" applyNumberFormat="1" applyFont="1" applyAlignment="1">
      <alignment horizontal="right" vertical="center" wrapText="1"/>
    </xf>
    <xf numFmtId="167" fontId="5" fillId="0" borderId="0" xfId="0" applyNumberFormat="1" applyFont="1" applyAlignment="1">
      <alignment horizontal="right" vertical="center" wrapText="1"/>
    </xf>
    <xf numFmtId="4" fontId="5" fillId="0" borderId="0" xfId="0" applyNumberFormat="1" applyFont="1" applyAlignment="1">
      <alignment horizontal="right" vertical="center" wrapText="1"/>
    </xf>
    <xf numFmtId="10" fontId="34" fillId="0" borderId="0" xfId="2" applyNumberFormat="1" applyFont="1" applyFill="1" applyBorder="1" applyAlignment="1">
      <alignment horizontal="center" vertical="center" wrapText="1"/>
    </xf>
    <xf numFmtId="0" fontId="51" fillId="0" borderId="0" xfId="0" applyFont="1" applyAlignment="1">
      <alignment horizontal="center" vertical="center"/>
    </xf>
    <xf numFmtId="0" fontId="50" fillId="0" borderId="0" xfId="0" applyFont="1" applyAlignment="1">
      <alignment horizontal="left" vertical="center"/>
    </xf>
    <xf numFmtId="10" fontId="20" fillId="0" borderId="0" xfId="2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38" fillId="0" borderId="0" xfId="0" applyFont="1" applyAlignment="1">
      <alignment vertical="center"/>
    </xf>
    <xf numFmtId="0" fontId="16" fillId="0" borderId="0" xfId="0" applyFont="1" applyAlignment="1">
      <alignment horizontal="left" vertical="center" indent="2"/>
    </xf>
    <xf numFmtId="14" fontId="16" fillId="0" borderId="0" xfId="0" applyNumberFormat="1" applyFont="1" applyAlignment="1">
      <alignment horizontal="left" vertical="center"/>
    </xf>
    <xf numFmtId="169" fontId="16" fillId="0" borderId="0" xfId="0" applyNumberFormat="1" applyFont="1" applyAlignment="1">
      <alignment horizontal="left" vertical="center"/>
    </xf>
    <xf numFmtId="10" fontId="20" fillId="0" borderId="0" xfId="2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39" fillId="0" borderId="0" xfId="0" applyFont="1" applyAlignment="1">
      <alignment horizontal="left" vertical="center"/>
    </xf>
    <xf numFmtId="43" fontId="39" fillId="0" borderId="0" xfId="4" applyFont="1" applyBorder="1" applyAlignment="1">
      <alignment horizontal="right" vertical="center"/>
    </xf>
    <xf numFmtId="0" fontId="0" fillId="0" borderId="0" xfId="0" applyAlignment="1">
      <alignment vertical="center"/>
    </xf>
    <xf numFmtId="0" fontId="5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53" fillId="0" borderId="0" xfId="0" applyFont="1" applyAlignment="1">
      <alignment vertical="center"/>
    </xf>
    <xf numFmtId="0" fontId="54" fillId="0" borderId="0" xfId="0" applyFont="1" applyAlignment="1">
      <alignment vertical="center"/>
    </xf>
    <xf numFmtId="14" fontId="0" fillId="0" borderId="14" xfId="0" applyNumberFormat="1" applyBorder="1" applyAlignment="1">
      <alignment vertical="center"/>
    </xf>
    <xf numFmtId="0" fontId="55" fillId="9" borderId="14" xfId="0" applyFont="1" applyFill="1" applyBorder="1" applyAlignment="1">
      <alignment horizontal="left" vertical="center"/>
    </xf>
    <xf numFmtId="0" fontId="3" fillId="9" borderId="14" xfId="0" applyFont="1" applyFill="1" applyBorder="1" applyAlignment="1">
      <alignment horizontal="center" vertical="center"/>
    </xf>
    <xf numFmtId="43" fontId="0" fillId="0" borderId="12" xfId="4" applyFont="1" applyBorder="1" applyAlignment="1">
      <alignment vertical="center"/>
    </xf>
    <xf numFmtId="0" fontId="56" fillId="0" borderId="14" xfId="0" applyFont="1" applyBorder="1" applyAlignment="1">
      <alignment vertical="center"/>
    </xf>
    <xf numFmtId="43" fontId="56" fillId="0" borderId="14" xfId="4" applyFont="1" applyBorder="1" applyAlignment="1">
      <alignment vertical="center"/>
    </xf>
    <xf numFmtId="14" fontId="11" fillId="5" borderId="0" xfId="0" applyNumberFormat="1" applyFont="1" applyFill="1" applyAlignment="1">
      <alignment horizontal="left" vertical="center"/>
    </xf>
    <xf numFmtId="0" fontId="59" fillId="0" borderId="0" xfId="0" applyFont="1" applyAlignment="1">
      <alignment horizontal="right" vertical="center"/>
    </xf>
    <xf numFmtId="0" fontId="60" fillId="0" borderId="0" xfId="0" applyFont="1" applyAlignment="1">
      <alignment horizontal="left" vertical="center"/>
    </xf>
    <xf numFmtId="0" fontId="61" fillId="2" borderId="14" xfId="0" applyFont="1" applyFill="1" applyBorder="1" applyAlignment="1" applyProtection="1">
      <alignment horizontal="center" vertical="center"/>
      <protection locked="0"/>
    </xf>
    <xf numFmtId="0" fontId="13" fillId="3" borderId="9" xfId="0" applyFont="1" applyFill="1" applyBorder="1" applyAlignment="1">
      <alignment horizontal="left" vertical="center"/>
    </xf>
    <xf numFmtId="0" fontId="13" fillId="3" borderId="12" xfId="0" applyFont="1" applyFill="1" applyBorder="1" applyAlignment="1">
      <alignment horizontal="left" vertical="center"/>
    </xf>
    <xf numFmtId="0" fontId="13" fillId="3" borderId="13" xfId="0" applyFont="1" applyFill="1" applyBorder="1" applyAlignment="1">
      <alignment horizontal="left" vertical="center"/>
    </xf>
    <xf numFmtId="0" fontId="19" fillId="0" borderId="0" xfId="0" applyFont="1" applyAlignment="1">
      <alignment horizontal="left" vertical="center"/>
    </xf>
    <xf numFmtId="168" fontId="5" fillId="5" borderId="0" xfId="0" applyNumberFormat="1" applyFont="1" applyFill="1" applyAlignment="1">
      <alignment horizontal="left"/>
    </xf>
    <xf numFmtId="0" fontId="25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165" fontId="5" fillId="0" borderId="0" xfId="0" applyNumberFormat="1" applyFont="1" applyAlignment="1">
      <alignment horizontal="left" vertical="center"/>
    </xf>
    <xf numFmtId="0" fontId="38" fillId="0" borderId="0" xfId="0" applyFont="1" applyAlignment="1">
      <alignment horizontal="left" vertical="center" wrapText="1"/>
    </xf>
    <xf numFmtId="0" fontId="38" fillId="0" borderId="0" xfId="0" applyFont="1" applyAlignment="1">
      <alignment horizontal="left" vertical="top" wrapText="1"/>
    </xf>
    <xf numFmtId="0" fontId="11" fillId="0" borderId="17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5" fillId="0" borderId="21" xfId="0" applyFont="1" applyFill="1" applyBorder="1" applyAlignment="1">
      <alignment horizontal="center" vertical="center" wrapText="1"/>
    </xf>
    <xf numFmtId="0" fontId="15" fillId="0" borderId="25" xfId="0" applyFont="1" applyFill="1" applyBorder="1" applyAlignment="1">
      <alignment horizontal="center" vertical="center" wrapText="1"/>
    </xf>
    <xf numFmtId="49" fontId="6" fillId="0" borderId="26" xfId="0" applyNumberFormat="1" applyFont="1" applyFill="1" applyBorder="1" applyAlignment="1">
      <alignment horizontal="center" vertical="center" wrapText="1"/>
    </xf>
    <xf numFmtId="166" fontId="6" fillId="0" borderId="28" xfId="2" applyNumberFormat="1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/>
    <xf numFmtId="169" fontId="6" fillId="0" borderId="29" xfId="0" applyNumberFormat="1" applyFont="1" applyFill="1" applyBorder="1" applyAlignment="1">
      <alignment horizontal="center" vertical="center" wrapText="1"/>
    </xf>
    <xf numFmtId="169" fontId="0" fillId="0" borderId="0" xfId="0" applyNumberFormat="1" applyFill="1"/>
    <xf numFmtId="0" fontId="63" fillId="0" borderId="0" xfId="0" applyFont="1" applyAlignment="1">
      <alignment vertical="center"/>
    </xf>
    <xf numFmtId="0" fontId="5" fillId="0" borderId="0" xfId="0" quotePrefix="1" applyFont="1" applyAlignment="1">
      <alignment horizontal="center" vertical="center"/>
    </xf>
    <xf numFmtId="0" fontId="64" fillId="0" borderId="0" xfId="0" applyFont="1"/>
    <xf numFmtId="0" fontId="65" fillId="0" borderId="0" xfId="0" quotePrefix="1" applyFont="1" applyAlignment="1">
      <alignment horizontal="center" vertical="center"/>
    </xf>
    <xf numFmtId="0" fontId="11" fillId="0" borderId="15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165" fontId="6" fillId="0" borderId="11" xfId="0" applyNumberFormat="1" applyFont="1" applyBorder="1" applyAlignment="1">
      <alignment horizontal="center" vertical="center"/>
    </xf>
    <xf numFmtId="0" fontId="6" fillId="0" borderId="36" xfId="0" applyFont="1" applyBorder="1" applyAlignment="1">
      <alignment horizontal="left" vertical="center" wrapText="1"/>
    </xf>
    <xf numFmtId="49" fontId="6" fillId="0" borderId="14" xfId="0" applyNumberFormat="1" applyFont="1" applyFill="1" applyBorder="1" applyAlignment="1" applyProtection="1">
      <alignment vertical="center"/>
      <protection locked="0"/>
    </xf>
    <xf numFmtId="49" fontId="6" fillId="0" borderId="13" xfId="0" applyNumberFormat="1" applyFont="1" applyFill="1" applyBorder="1" applyAlignment="1">
      <alignment vertical="center"/>
    </xf>
    <xf numFmtId="49" fontId="6" fillId="0" borderId="11" xfId="0" applyNumberFormat="1" applyFont="1" applyFill="1" applyBorder="1" applyAlignment="1" applyProtection="1">
      <alignment vertical="center"/>
      <protection locked="0"/>
    </xf>
    <xf numFmtId="49" fontId="5" fillId="0" borderId="14" xfId="0" applyNumberFormat="1" applyFont="1" applyFill="1" applyBorder="1" applyAlignment="1" applyProtection="1">
      <alignment vertical="center"/>
      <protection locked="0"/>
    </xf>
    <xf numFmtId="49" fontId="10" fillId="0" borderId="14" xfId="3" applyNumberFormat="1" applyFill="1" applyBorder="1" applyAlignment="1" applyProtection="1">
      <alignment vertical="center"/>
      <protection locked="0"/>
    </xf>
    <xf numFmtId="165" fontId="5" fillId="0" borderId="14" xfId="0" applyNumberFormat="1" applyFont="1" applyFill="1" applyBorder="1" applyAlignment="1" applyProtection="1">
      <alignment horizontal="center" vertical="center"/>
      <protection locked="0"/>
    </xf>
    <xf numFmtId="49" fontId="5" fillId="0" borderId="9" xfId="0" applyNumberFormat="1" applyFont="1" applyFill="1" applyBorder="1" applyAlignment="1" applyProtection="1">
      <alignment horizontal="left" vertical="center" wrapText="1"/>
      <protection locked="0"/>
    </xf>
    <xf numFmtId="49" fontId="6" fillId="0" borderId="53" xfId="0" applyNumberFormat="1" applyFont="1" applyFill="1" applyBorder="1" applyAlignment="1">
      <alignment vertical="center"/>
    </xf>
    <xf numFmtId="49" fontId="6" fillId="0" borderId="39" xfId="0" applyNumberFormat="1" applyFont="1" applyFill="1" applyBorder="1" applyAlignment="1" applyProtection="1">
      <alignment vertical="center"/>
      <protection locked="0"/>
    </xf>
    <xf numFmtId="49" fontId="5" fillId="0" borderId="39" xfId="0" applyNumberFormat="1" applyFont="1" applyFill="1" applyBorder="1" applyAlignment="1" applyProtection="1">
      <alignment vertical="center"/>
      <protection locked="0"/>
    </xf>
    <xf numFmtId="49" fontId="10" fillId="0" borderId="39" xfId="3" applyNumberFormat="1" applyFill="1" applyBorder="1" applyAlignment="1" applyProtection="1">
      <alignment vertical="center"/>
      <protection locked="0"/>
    </xf>
    <xf numFmtId="165" fontId="5" fillId="0" borderId="39" xfId="0" applyNumberFormat="1" applyFont="1" applyFill="1" applyBorder="1" applyAlignment="1" applyProtection="1">
      <alignment horizontal="center" vertical="center"/>
      <protection locked="0"/>
    </xf>
    <xf numFmtId="49" fontId="5" fillId="0" borderId="54" xfId="0" applyNumberFormat="1" applyFont="1" applyFill="1" applyBorder="1" applyAlignment="1" applyProtection="1">
      <alignment horizontal="left" vertical="center" wrapText="1"/>
      <protection locked="0"/>
    </xf>
    <xf numFmtId="0" fontId="11" fillId="0" borderId="52" xfId="0" applyFont="1" applyFill="1" applyBorder="1" applyAlignment="1">
      <alignment horizontal="center" vertical="center"/>
    </xf>
    <xf numFmtId="0" fontId="11" fillId="0" borderId="18" xfId="0" applyFont="1" applyFill="1" applyBorder="1" applyAlignment="1" applyProtection="1">
      <alignment horizontal="center" vertical="center"/>
      <protection locked="0"/>
    </xf>
    <xf numFmtId="0" fontId="5" fillId="0" borderId="6" xfId="0" applyFont="1" applyFill="1" applyBorder="1" applyAlignment="1">
      <alignment horizontal="center" vertical="center" wrapText="1"/>
    </xf>
    <xf numFmtId="14" fontId="6" fillId="0" borderId="22" xfId="0" applyNumberFormat="1" applyFont="1" applyFill="1" applyBorder="1" applyAlignment="1" applyProtection="1">
      <alignment horizontal="center" vertical="center"/>
      <protection locked="0"/>
    </xf>
    <xf numFmtId="14" fontId="6" fillId="0" borderId="22" xfId="0" applyNumberFormat="1" applyFont="1" applyFill="1" applyBorder="1" applyAlignment="1">
      <alignment horizontal="center" vertical="center"/>
    </xf>
    <xf numFmtId="10" fontId="6" fillId="0" borderId="22" xfId="2" applyNumberFormat="1" applyFont="1" applyFill="1" applyBorder="1" applyAlignment="1" applyProtection="1">
      <alignment horizontal="center" vertical="center"/>
      <protection locked="0"/>
    </xf>
    <xf numFmtId="49" fontId="17" fillId="0" borderId="27" xfId="0" applyNumberFormat="1" applyFont="1" applyFill="1" applyBorder="1" applyAlignment="1" applyProtection="1">
      <alignment horizontal="center" vertical="center" wrapText="1"/>
      <protection locked="0"/>
    </xf>
    <xf numFmtId="166" fontId="17" fillId="0" borderId="27" xfId="2" applyNumberFormat="1" applyFont="1" applyFill="1" applyBorder="1" applyAlignment="1" applyProtection="1">
      <alignment horizontal="center" vertical="center" wrapText="1"/>
      <protection locked="0"/>
    </xf>
    <xf numFmtId="169" fontId="5" fillId="0" borderId="27" xfId="0" applyNumberFormat="1" applyFont="1" applyFill="1" applyBorder="1" applyAlignment="1" applyProtection="1">
      <alignment horizontal="center" vertical="center"/>
      <protection locked="0"/>
    </xf>
    <xf numFmtId="0" fontId="5" fillId="0" borderId="27" xfId="0" applyFont="1" applyFill="1" applyBorder="1" applyAlignment="1" applyProtection="1">
      <alignment horizontal="center" vertical="center"/>
      <protection locked="0"/>
    </xf>
    <xf numFmtId="0" fontId="11" fillId="0" borderId="16" xfId="0" applyFont="1" applyFill="1" applyBorder="1" applyAlignment="1">
      <alignment horizontal="center" vertical="center"/>
    </xf>
    <xf numFmtId="0" fontId="11" fillId="0" borderId="19" xfId="0" applyFont="1" applyFill="1" applyBorder="1" applyAlignment="1" applyProtection="1">
      <alignment horizontal="center" vertical="center"/>
      <protection locked="0"/>
    </xf>
    <xf numFmtId="0" fontId="5" fillId="0" borderId="19" xfId="0" applyFont="1" applyFill="1" applyBorder="1" applyAlignment="1">
      <alignment horizontal="center" vertical="center" wrapText="1"/>
    </xf>
    <xf numFmtId="14" fontId="6" fillId="0" borderId="23" xfId="0" applyNumberFormat="1" applyFont="1" applyFill="1" applyBorder="1" applyAlignment="1" applyProtection="1">
      <alignment horizontal="center" vertical="center"/>
      <protection locked="0"/>
    </xf>
    <xf numFmtId="10" fontId="6" fillId="0" borderId="21" xfId="2" applyNumberFormat="1" applyFont="1" applyFill="1" applyBorder="1" applyAlignment="1" applyProtection="1">
      <alignment horizontal="center" vertical="center"/>
      <protection locked="0"/>
    </xf>
    <xf numFmtId="49" fontId="17" fillId="0" borderId="21" xfId="0" applyNumberFormat="1" applyFont="1" applyFill="1" applyBorder="1" applyAlignment="1" applyProtection="1">
      <alignment horizontal="center" vertical="center" wrapText="1"/>
      <protection locked="0"/>
    </xf>
    <xf numFmtId="166" fontId="17" fillId="0" borderId="21" xfId="2" applyNumberFormat="1" applyFont="1" applyFill="1" applyBorder="1" applyAlignment="1" applyProtection="1">
      <alignment horizontal="center" vertical="center" wrapText="1"/>
      <protection locked="0"/>
    </xf>
    <xf numFmtId="169" fontId="5" fillId="0" borderId="21" xfId="0" applyNumberFormat="1" applyFont="1" applyFill="1" applyBorder="1" applyAlignment="1" applyProtection="1">
      <alignment horizontal="center" vertical="center"/>
      <protection locked="0"/>
    </xf>
    <xf numFmtId="0" fontId="5" fillId="0" borderId="21" xfId="0" applyFont="1" applyFill="1" applyBorder="1" applyAlignment="1" applyProtection="1">
      <alignment horizontal="center" vertical="center"/>
      <protection locked="0"/>
    </xf>
    <xf numFmtId="0" fontId="11" fillId="0" borderId="20" xfId="0" applyFont="1" applyFill="1" applyBorder="1" applyAlignment="1" applyProtection="1">
      <alignment horizontal="center" vertical="center"/>
      <protection locked="0"/>
    </xf>
    <xf numFmtId="0" fontId="5" fillId="0" borderId="20" xfId="0" applyFont="1" applyFill="1" applyBorder="1" applyAlignment="1">
      <alignment horizontal="center" vertical="center" wrapText="1"/>
    </xf>
    <xf numFmtId="14" fontId="6" fillId="0" borderId="24" xfId="0" applyNumberFormat="1" applyFont="1" applyFill="1" applyBorder="1" applyAlignment="1" applyProtection="1">
      <alignment horizontal="center" vertical="center"/>
      <protection locked="0"/>
    </xf>
    <xf numFmtId="10" fontId="6" fillId="0" borderId="24" xfId="2" applyNumberFormat="1" applyFont="1" applyFill="1" applyBorder="1" applyAlignment="1" applyProtection="1">
      <alignment horizontal="center" vertical="center"/>
      <protection locked="0"/>
    </xf>
    <xf numFmtId="49" fontId="17" fillId="0" borderId="24" xfId="0" applyNumberFormat="1" applyFont="1" applyFill="1" applyBorder="1" applyAlignment="1" applyProtection="1">
      <alignment horizontal="center" vertical="center" wrapText="1"/>
      <protection locked="0"/>
    </xf>
    <xf numFmtId="166" fontId="17" fillId="0" borderId="24" xfId="2" applyNumberFormat="1" applyFont="1" applyFill="1" applyBorder="1" applyAlignment="1" applyProtection="1">
      <alignment horizontal="center" vertical="center" wrapText="1"/>
      <protection locked="0"/>
    </xf>
    <xf numFmtId="169" fontId="5" fillId="0" borderId="24" xfId="0" applyNumberFormat="1" applyFont="1" applyFill="1" applyBorder="1" applyAlignment="1" applyProtection="1">
      <alignment horizontal="center" vertical="center"/>
      <protection locked="0"/>
    </xf>
    <xf numFmtId="0" fontId="5" fillId="0" borderId="24" xfId="0" applyFont="1" applyFill="1" applyBorder="1" applyAlignment="1" applyProtection="1">
      <alignment horizontal="center" vertical="center"/>
      <protection locked="0"/>
    </xf>
    <xf numFmtId="0" fontId="11" fillId="0" borderId="51" xfId="0" applyFont="1" applyFill="1" applyBorder="1" applyAlignment="1">
      <alignment horizontal="center" vertical="center"/>
    </xf>
    <xf numFmtId="173" fontId="5" fillId="0" borderId="0" xfId="0" applyNumberFormat="1" applyFont="1" applyAlignment="1">
      <alignment horizontal="left" vertical="center"/>
    </xf>
    <xf numFmtId="0" fontId="65" fillId="0" borderId="0" xfId="0" applyFont="1" applyAlignment="1">
      <alignment horizontal="left" vertical="center" indent="1"/>
    </xf>
    <xf numFmtId="14" fontId="11" fillId="5" borderId="0" xfId="0" applyNumberFormat="1" applyFont="1" applyFill="1" applyAlignment="1">
      <alignment vertical="center"/>
    </xf>
    <xf numFmtId="0" fontId="5" fillId="0" borderId="0" xfId="0" quotePrefix="1" applyFont="1" applyAlignment="1">
      <alignment vertical="center"/>
    </xf>
    <xf numFmtId="0" fontId="1" fillId="5" borderId="40" xfId="0" applyNumberFormat="1" applyFont="1" applyFill="1" applyBorder="1" applyAlignment="1">
      <alignment vertical="center"/>
    </xf>
    <xf numFmtId="169" fontId="1" fillId="5" borderId="40" xfId="0" applyNumberFormat="1" applyFont="1" applyFill="1" applyBorder="1" applyAlignment="1">
      <alignment vertical="center"/>
    </xf>
    <xf numFmtId="0" fontId="32" fillId="6" borderId="37" xfId="0" applyFont="1" applyFill="1" applyBorder="1" applyAlignment="1">
      <alignment horizontal="center" vertical="center"/>
    </xf>
    <xf numFmtId="0" fontId="32" fillId="6" borderId="14" xfId="0" applyFont="1" applyFill="1" applyBorder="1" applyAlignment="1">
      <alignment horizontal="center" vertical="center" wrapText="1"/>
    </xf>
    <xf numFmtId="0" fontId="30" fillId="0" borderId="56" xfId="0" applyFont="1" applyBorder="1" applyAlignment="1">
      <alignment horizontal="left" vertical="center"/>
    </xf>
    <xf numFmtId="0" fontId="30" fillId="0" borderId="56" xfId="0" applyFont="1" applyBorder="1" applyAlignment="1">
      <alignment horizontal="right" vertical="center"/>
    </xf>
    <xf numFmtId="0" fontId="30" fillId="0" borderId="56" xfId="0" applyFont="1" applyBorder="1" applyAlignment="1">
      <alignment horizontal="center" vertical="center"/>
    </xf>
    <xf numFmtId="0" fontId="33" fillId="0" borderId="40" xfId="0" applyFont="1" applyBorder="1" applyAlignment="1">
      <alignment horizontal="left" vertical="center"/>
    </xf>
    <xf numFmtId="166" fontId="19" fillId="5" borderId="40" xfId="0" applyNumberFormat="1" applyFont="1" applyFill="1" applyBorder="1" applyAlignment="1">
      <alignment vertical="center"/>
    </xf>
    <xf numFmtId="0" fontId="5" fillId="0" borderId="0" xfId="0" applyFont="1" applyBorder="1" applyAlignment="1">
      <alignment vertical="center"/>
    </xf>
    <xf numFmtId="14" fontId="11" fillId="5" borderId="0" xfId="0" applyNumberFormat="1" applyFont="1" applyFill="1" applyAlignment="1">
      <alignment horizontal="center" vertical="center"/>
    </xf>
    <xf numFmtId="0" fontId="60" fillId="0" borderId="0" xfId="0" applyFont="1" applyAlignment="1">
      <alignment vertical="center"/>
    </xf>
    <xf numFmtId="0" fontId="59" fillId="0" borderId="0" xfId="0" applyFont="1" applyAlignment="1">
      <alignment vertical="center"/>
    </xf>
    <xf numFmtId="0" fontId="40" fillId="0" borderId="0" xfId="0" applyFont="1" applyAlignment="1">
      <alignment horizontal="center" vertical="top" wrapText="1"/>
    </xf>
    <xf numFmtId="0" fontId="41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top"/>
    </xf>
    <xf numFmtId="10" fontId="39" fillId="0" borderId="0" xfId="2" applyNumberFormat="1" applyFont="1" applyBorder="1" applyAlignment="1">
      <alignment horizontal="right" vertical="center"/>
    </xf>
    <xf numFmtId="4" fontId="41" fillId="0" borderId="0" xfId="0" applyNumberFormat="1" applyFont="1" applyBorder="1" applyAlignment="1">
      <alignment vertical="center"/>
    </xf>
    <xf numFmtId="4" fontId="5" fillId="0" borderId="0" xfId="0" applyNumberFormat="1" applyFont="1" applyAlignment="1">
      <alignment horizontal="center" vertical="center"/>
    </xf>
    <xf numFmtId="4" fontId="39" fillId="0" borderId="0" xfId="0" applyNumberFormat="1" applyFont="1" applyBorder="1" applyAlignment="1">
      <alignment horizontal="center" vertical="center"/>
    </xf>
    <xf numFmtId="0" fontId="29" fillId="0" borderId="55" xfId="0" applyFont="1" applyBorder="1" applyAlignment="1">
      <alignment vertical="center"/>
    </xf>
    <xf numFmtId="169" fontId="38" fillId="0" borderId="14" xfId="0" applyNumberFormat="1" applyFont="1" applyBorder="1" applyAlignment="1">
      <alignment vertical="center"/>
    </xf>
    <xf numFmtId="169" fontId="29" fillId="0" borderId="14" xfId="0" applyNumberFormat="1" applyFont="1" applyBorder="1" applyAlignment="1">
      <alignment vertical="center"/>
    </xf>
    <xf numFmtId="167" fontId="1" fillId="5" borderId="40" xfId="0" applyNumberFormat="1" applyFont="1" applyFill="1" applyBorder="1" applyAlignment="1">
      <alignment vertical="center"/>
    </xf>
    <xf numFmtId="44" fontId="6" fillId="0" borderId="30" xfId="0" applyNumberFormat="1" applyFont="1" applyFill="1" applyBorder="1" applyAlignment="1">
      <alignment horizontal="center" vertical="center" wrapText="1"/>
    </xf>
    <xf numFmtId="44" fontId="0" fillId="0" borderId="0" xfId="0" applyNumberFormat="1" applyFill="1" applyAlignment="1">
      <alignment horizontal="center" vertical="center"/>
    </xf>
    <xf numFmtId="44" fontId="0" fillId="0" borderId="0" xfId="0" applyNumberFormat="1" applyFill="1"/>
    <xf numFmtId="14" fontId="14" fillId="8" borderId="50" xfId="0" applyNumberFormat="1" applyFont="1" applyFill="1" applyBorder="1" applyAlignment="1">
      <alignment horizontal="center" vertical="center" wrapText="1"/>
    </xf>
    <xf numFmtId="14" fontId="47" fillId="0" borderId="50" xfId="0" applyNumberFormat="1" applyFont="1" applyFill="1" applyBorder="1" applyAlignment="1">
      <alignment horizontal="center" vertical="center" wrapText="1"/>
    </xf>
    <xf numFmtId="49" fontId="47" fillId="0" borderId="50" xfId="0" applyNumberFormat="1" applyFont="1" applyFill="1" applyBorder="1" applyAlignment="1">
      <alignment horizontal="left" vertical="center" wrapText="1"/>
    </xf>
    <xf numFmtId="0" fontId="48" fillId="0" borderId="57" xfId="0" applyFont="1" applyBorder="1" applyAlignment="1">
      <alignment vertical="center"/>
    </xf>
    <xf numFmtId="0" fontId="17" fillId="0" borderId="57" xfId="0" applyFont="1" applyBorder="1" applyAlignment="1">
      <alignment vertical="center"/>
    </xf>
    <xf numFmtId="14" fontId="17" fillId="0" borderId="57" xfId="0" applyNumberFormat="1" applyFont="1" applyBorder="1" applyAlignment="1">
      <alignment horizontal="center" vertical="center"/>
    </xf>
    <xf numFmtId="14" fontId="48" fillId="0" borderId="57" xfId="0" applyNumberFormat="1" applyFont="1" applyBorder="1" applyAlignment="1">
      <alignment horizontal="center" vertical="center"/>
    </xf>
    <xf numFmtId="14" fontId="48" fillId="2" borderId="57" xfId="0" applyNumberFormat="1" applyFont="1" applyFill="1" applyBorder="1" applyAlignment="1" applyProtection="1">
      <alignment horizontal="center" vertical="center"/>
      <protection locked="0"/>
    </xf>
    <xf numFmtId="14" fontId="17" fillId="2" borderId="57" xfId="0" applyNumberFormat="1" applyFont="1" applyFill="1" applyBorder="1" applyAlignment="1" applyProtection="1">
      <alignment vertical="center"/>
      <protection locked="0"/>
    </xf>
    <xf numFmtId="49" fontId="17" fillId="2" borderId="57" xfId="0" applyNumberFormat="1" applyFont="1" applyFill="1" applyBorder="1" applyAlignment="1" applyProtection="1">
      <alignment horizontal="left" vertical="center" wrapText="1"/>
      <protection locked="0"/>
    </xf>
    <xf numFmtId="44" fontId="5" fillId="0" borderId="0" xfId="0" applyNumberFormat="1" applyFont="1" applyAlignment="1">
      <alignment vertical="center"/>
    </xf>
    <xf numFmtId="44" fontId="5" fillId="0" borderId="0" xfId="0" applyNumberFormat="1" applyFont="1" applyAlignment="1">
      <alignment horizontal="center" vertical="center"/>
    </xf>
    <xf numFmtId="44" fontId="14" fillId="8" borderId="50" xfId="0" applyNumberFormat="1" applyFont="1" applyFill="1" applyBorder="1" applyAlignment="1">
      <alignment horizontal="center" vertical="center" wrapText="1"/>
    </xf>
    <xf numFmtId="44" fontId="48" fillId="0" borderId="10" xfId="0" applyNumberFormat="1" applyFont="1" applyBorder="1" applyAlignment="1">
      <alignment horizontal="center" vertical="center"/>
    </xf>
    <xf numFmtId="44" fontId="48" fillId="0" borderId="57" xfId="0" applyNumberFormat="1" applyFont="1" applyBorder="1" applyAlignment="1">
      <alignment horizontal="center" vertical="center"/>
    </xf>
    <xf numFmtId="44" fontId="17" fillId="0" borderId="0" xfId="0" applyNumberFormat="1" applyFont="1" applyAlignment="1">
      <alignment vertical="center"/>
    </xf>
    <xf numFmtId="0" fontId="17" fillId="0" borderId="0" xfId="0" applyNumberFormat="1" applyFont="1" applyAlignment="1">
      <alignment vertical="center"/>
    </xf>
    <xf numFmtId="0" fontId="17" fillId="0" borderId="0" xfId="0" applyNumberFormat="1" applyFont="1" applyBorder="1" applyAlignment="1">
      <alignment vertical="center"/>
    </xf>
    <xf numFmtId="14" fontId="6" fillId="0" borderId="58" xfId="0" applyNumberFormat="1" applyFont="1" applyFill="1" applyBorder="1" applyAlignment="1" applyProtection="1">
      <alignment horizontal="center" vertical="center"/>
      <protection locked="0"/>
    </xf>
    <xf numFmtId="10" fontId="6" fillId="0" borderId="58" xfId="2" applyNumberFormat="1" applyFont="1" applyFill="1" applyBorder="1" applyAlignment="1" applyProtection="1">
      <alignment horizontal="center" vertical="center"/>
      <protection locked="0"/>
    </xf>
    <xf numFmtId="49" fontId="17" fillId="0" borderId="58" xfId="0" applyNumberFormat="1" applyFont="1" applyFill="1" applyBorder="1" applyAlignment="1" applyProtection="1">
      <alignment horizontal="center" vertical="center" wrapText="1"/>
      <protection locked="0"/>
    </xf>
    <xf numFmtId="166" fontId="17" fillId="0" borderId="58" xfId="2" applyNumberFormat="1" applyFont="1" applyFill="1" applyBorder="1" applyAlignment="1" applyProtection="1">
      <alignment horizontal="center" vertical="center" wrapText="1"/>
      <protection locked="0"/>
    </xf>
    <xf numFmtId="169" fontId="5" fillId="0" borderId="58" xfId="0" applyNumberFormat="1" applyFont="1" applyFill="1" applyBorder="1" applyAlignment="1" applyProtection="1">
      <alignment horizontal="center" vertical="center"/>
      <protection locked="0"/>
    </xf>
    <xf numFmtId="44" fontId="0" fillId="0" borderId="0" xfId="0" applyNumberFormat="1" applyFill="1" applyBorder="1" applyAlignment="1">
      <alignment horizontal="center" vertical="center"/>
    </xf>
    <xf numFmtId="43" fontId="0" fillId="0" borderId="14" xfId="4" quotePrefix="1" applyFont="1" applyBorder="1" applyAlignment="1">
      <alignment vertical="center"/>
    </xf>
    <xf numFmtId="175" fontId="3" fillId="0" borderId="14" xfId="0" applyNumberFormat="1" applyFont="1" applyBorder="1" applyAlignment="1">
      <alignment vertical="center"/>
    </xf>
    <xf numFmtId="14" fontId="62" fillId="0" borderId="12" xfId="0" applyNumberFormat="1" applyFont="1" applyBorder="1" applyAlignment="1">
      <alignment vertical="center"/>
    </xf>
    <xf numFmtId="0" fontId="0" fillId="0" borderId="0" xfId="0" quotePrefix="1" applyAlignment="1">
      <alignment vertical="center"/>
    </xf>
  </cellXfs>
  <cellStyles count="5">
    <cellStyle name="Lien hypertexte" xfId="3" builtinId="8"/>
    <cellStyle name="Milliers" xfId="1" builtinId="3"/>
    <cellStyle name="Milliers 2" xfId="4" xr:uid="{2F42E8A9-1C91-4939-8127-8A4FE658BD57}"/>
    <cellStyle name="Normal" xfId="0" builtinId="0"/>
    <cellStyle name="Pourcentage" xfId="2" builtinId="5"/>
  </cellStyles>
  <dxfs count="10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numFmt numFmtId="19" formatCode="dd/mm/yyyy"/>
      <fill>
        <patternFill patternType="solid">
          <fgColor indexed="64"/>
          <bgColor theme="0" tint="-0.49998474074526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fill>
        <patternFill patternType="solid">
          <fgColor indexed="64"/>
          <bgColor theme="8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dd/mm/yyyy"/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dd/mm/yyyy"/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dd/mm/yyyy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name val="Arial"/>
        <family val="2"/>
        <scheme val="none"/>
      </font>
      <numFmt numFmtId="169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sz val="10"/>
        <name val="Arial"/>
        <family val="2"/>
        <scheme val="none"/>
      </font>
      <numFmt numFmtId="166" formatCode="0.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sz val="10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name val="Arial"/>
        <family val="2"/>
        <scheme val="none"/>
      </font>
      <numFmt numFmtId="169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sz val="10"/>
        <name val="Arial"/>
        <family val="2"/>
        <scheme val="none"/>
      </font>
      <numFmt numFmtId="166" formatCode="0.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sz val="10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name val="Arial"/>
        <family val="2"/>
        <scheme val="none"/>
      </font>
      <numFmt numFmtId="169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sz val="10"/>
        <name val="Arial"/>
        <family val="2"/>
        <scheme val="none"/>
      </font>
      <numFmt numFmtId="166" formatCode="0.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sz val="10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name val="Arial"/>
        <family val="2"/>
        <scheme val="none"/>
      </font>
      <numFmt numFmtId="169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sz val="10"/>
        <name val="Arial"/>
        <family val="2"/>
        <scheme val="none"/>
      </font>
      <numFmt numFmtId="166" formatCode="0.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sz val="10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name val="Arial"/>
        <family val="2"/>
        <scheme val="none"/>
      </font>
      <numFmt numFmtId="169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sz val="10"/>
        <name val="Arial"/>
        <family val="2"/>
        <scheme val="none"/>
      </font>
      <numFmt numFmtId="166" formatCode="0.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sz val="10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name val="Arial"/>
        <family val="2"/>
        <scheme val="none"/>
      </font>
      <numFmt numFmtId="169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sz val="10"/>
        <name val="Arial"/>
        <family val="2"/>
        <scheme val="none"/>
      </font>
      <numFmt numFmtId="166" formatCode="0.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sz val="10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name val="Arial"/>
        <family val="2"/>
        <scheme val="none"/>
      </font>
      <numFmt numFmtId="169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sz val="10"/>
        <name val="Arial"/>
        <family val="2"/>
        <scheme val="none"/>
      </font>
      <numFmt numFmtId="166" formatCode="0.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sz val="10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name val="Arial"/>
        <family val="2"/>
        <scheme val="none"/>
      </font>
      <numFmt numFmtId="169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sz val="10"/>
        <name val="Arial"/>
        <family val="2"/>
        <scheme val="none"/>
      </font>
      <numFmt numFmtId="166" formatCode="0.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sz val="10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name val="Arial"/>
        <family val="2"/>
        <scheme val="none"/>
      </font>
      <numFmt numFmtId="169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sz val="10"/>
        <name val="Arial"/>
        <family val="2"/>
        <scheme val="none"/>
      </font>
      <numFmt numFmtId="166" formatCode="0.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sz val="10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name val="Arial"/>
        <family val="2"/>
        <scheme val="none"/>
      </font>
      <numFmt numFmtId="169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sz val="10"/>
        <name val="Arial"/>
        <family val="2"/>
        <scheme val="none"/>
      </font>
      <numFmt numFmtId="166" formatCode="0.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sz val="10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name val="Arial"/>
        <family val="2"/>
        <scheme val="none"/>
      </font>
      <numFmt numFmtId="169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sz val="10"/>
        <name val="Arial"/>
        <family val="2"/>
        <scheme val="none"/>
      </font>
      <numFmt numFmtId="166" formatCode="0.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sz val="10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name val="Arial"/>
        <family val="2"/>
        <scheme val="none"/>
      </font>
      <numFmt numFmtId="169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sz val="10"/>
        <name val="Arial"/>
        <family val="2"/>
        <scheme val="none"/>
      </font>
      <numFmt numFmtId="166" formatCode="0.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sz val="10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name val="Arial"/>
        <family val="2"/>
        <scheme val="none"/>
      </font>
      <numFmt numFmtId="169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sz val="10"/>
        <name val="Arial"/>
        <family val="2"/>
        <scheme val="none"/>
      </font>
      <numFmt numFmtId="166" formatCode="0.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sz val="10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name val="Arial"/>
        <family val="2"/>
        <scheme val="none"/>
      </font>
      <numFmt numFmtId="169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sz val="10"/>
        <name val="Arial"/>
        <family val="2"/>
        <scheme val="none"/>
      </font>
      <numFmt numFmtId="166" formatCode="0.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sz val="10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name val="Arial"/>
        <family val="2"/>
        <scheme val="none"/>
      </font>
      <numFmt numFmtId="169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sz val="10"/>
        <name val="Arial"/>
        <family val="2"/>
        <scheme val="none"/>
      </font>
      <numFmt numFmtId="166" formatCode="0.0%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sz val="10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b/>
        <name val="Arial"/>
        <family val="2"/>
        <scheme val="none"/>
      </font>
      <numFmt numFmtId="14" formatCode="0.00%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b/>
        <name val="Arial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b/>
        <name val="Arial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</border>
      <protection locked="0" hidden="0"/>
    </dxf>
    <dxf>
      <font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</dxf>
    <dxf>
      <font>
        <b/>
        <sz val="12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  <protection locked="0" hidden="0"/>
    </dxf>
    <dxf>
      <font>
        <b/>
        <sz val="12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dotted">
          <color auto="1"/>
        </bottom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30" formatCode="@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17/10/relationships/person" Target="persons/perso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Statistiques!$E$6</c:f>
              <c:strCache>
                <c:ptCount val="1"/>
                <c:pt idx="0">
                  <c:v>Chiffre d'aff. 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Statistiques!$D$7:$D$18</c:f>
              <c:numCache>
                <c:formatCode>mmmm</c:formatCode>
                <c:ptCount val="12"/>
                <c:pt idx="0">
                  <c:v>44927</c:v>
                </c:pt>
                <c:pt idx="1">
                  <c:v>44958</c:v>
                </c:pt>
                <c:pt idx="2">
                  <c:v>44986</c:v>
                </c:pt>
                <c:pt idx="3">
                  <c:v>45017</c:v>
                </c:pt>
                <c:pt idx="4">
                  <c:v>45047</c:v>
                </c:pt>
                <c:pt idx="5">
                  <c:v>45078</c:v>
                </c:pt>
                <c:pt idx="6">
                  <c:v>45108</c:v>
                </c:pt>
                <c:pt idx="7">
                  <c:v>45139</c:v>
                </c:pt>
                <c:pt idx="8">
                  <c:v>45170</c:v>
                </c:pt>
                <c:pt idx="9">
                  <c:v>45200</c:v>
                </c:pt>
                <c:pt idx="10">
                  <c:v>45231</c:v>
                </c:pt>
                <c:pt idx="11">
                  <c:v>45261</c:v>
                </c:pt>
              </c:numCache>
            </c:numRef>
          </c:cat>
          <c:val>
            <c:numRef>
              <c:f>Statistiques!$E$7:$E$18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340</c:v>
                </c:pt>
                <c:pt idx="3">
                  <c:v>260</c:v>
                </c:pt>
                <c:pt idx="4">
                  <c:v>408</c:v>
                </c:pt>
                <c:pt idx="5">
                  <c:v>150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0DC-4D5B-9587-9E09010637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6062432"/>
        <c:axId val="96065344"/>
      </c:barChart>
      <c:dateAx>
        <c:axId val="96062432"/>
        <c:scaling>
          <c:orientation val="minMax"/>
        </c:scaling>
        <c:delete val="0"/>
        <c:axPos val="b"/>
        <c:numFmt formatCode="mmm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6065344"/>
        <c:crosses val="autoZero"/>
        <c:auto val="1"/>
        <c:lblOffset val="100"/>
        <c:baseTimeUnit val="months"/>
      </c:dateAx>
      <c:valAx>
        <c:axId val="96065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6062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281940</xdr:colOff>
      <xdr:row>0</xdr:row>
      <xdr:rowOff>106680</xdr:rowOff>
    </xdr:from>
    <xdr:to>
      <xdr:col>2</xdr:col>
      <xdr:colOff>1676400</xdr:colOff>
      <xdr:row>1</xdr:row>
      <xdr:rowOff>38100</xdr:rowOff>
    </xdr:to>
    <xdr:sp macro="[0]!menu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E1E1EAD-C27B-41C2-91C7-513BB96E5EF2}"/>
            </a:ext>
          </a:extLst>
        </xdr:cNvPr>
        <xdr:cNvSpPr/>
      </xdr:nvSpPr>
      <xdr:spPr>
        <a:xfrm>
          <a:off x="2903220" y="106680"/>
          <a:ext cx="1394460" cy="2819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au menu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60960</xdr:colOff>
      <xdr:row>3</xdr:row>
      <xdr:rowOff>129540</xdr:rowOff>
    </xdr:from>
    <xdr:to>
      <xdr:col>11</xdr:col>
      <xdr:colOff>60960</xdr:colOff>
      <xdr:row>6</xdr:row>
      <xdr:rowOff>106680</xdr:rowOff>
    </xdr:to>
    <xdr:sp macro="[0]!factu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72D3C27-2140-44EF-BDDF-77D7A58D4D7B}"/>
            </a:ext>
          </a:extLst>
        </xdr:cNvPr>
        <xdr:cNvSpPr/>
      </xdr:nvSpPr>
      <xdr:spPr>
        <a:xfrm>
          <a:off x="5608320" y="678180"/>
          <a:ext cx="3169920" cy="5257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SAISIE </a:t>
          </a:r>
        </a:p>
      </xdr:txBody>
    </xdr:sp>
    <xdr:clientData/>
  </xdr:twoCellAnchor>
  <xdr:twoCellAnchor>
    <xdr:from>
      <xdr:col>7</xdr:col>
      <xdr:colOff>53340</xdr:colOff>
      <xdr:row>7</xdr:row>
      <xdr:rowOff>91440</xdr:rowOff>
    </xdr:from>
    <xdr:to>
      <xdr:col>11</xdr:col>
      <xdr:colOff>53340</xdr:colOff>
      <xdr:row>10</xdr:row>
      <xdr:rowOff>68580</xdr:rowOff>
    </xdr:to>
    <xdr:sp macro="[0]!vision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F36CA95-EE65-4E7C-919C-D29C2E1DAA9C}"/>
            </a:ext>
          </a:extLst>
        </xdr:cNvPr>
        <xdr:cNvSpPr/>
      </xdr:nvSpPr>
      <xdr:spPr>
        <a:xfrm>
          <a:off x="5600700" y="1371600"/>
          <a:ext cx="3169920" cy="5257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VOIR,</a:t>
          </a:r>
          <a:r>
            <a:rPr lang="fr-FR" sz="2000" baseline="0"/>
            <a:t> IMPRIMER,PDF</a:t>
          </a:r>
          <a:endParaRPr lang="fr-FR" sz="2000"/>
        </a:p>
      </xdr:txBody>
    </xdr:sp>
    <xdr:clientData/>
  </xdr:twoCellAnchor>
  <xdr:twoCellAnchor>
    <xdr:from>
      <xdr:col>7</xdr:col>
      <xdr:colOff>53340</xdr:colOff>
      <xdr:row>11</xdr:row>
      <xdr:rowOff>76200</xdr:rowOff>
    </xdr:from>
    <xdr:to>
      <xdr:col>11</xdr:col>
      <xdr:colOff>53340</xdr:colOff>
      <xdr:row>14</xdr:row>
      <xdr:rowOff>53340</xdr:rowOff>
    </xdr:to>
    <xdr:sp macro="[0]!suivi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C249ECF1-FD51-48EB-A3A6-EC303914E8B3}"/>
            </a:ext>
          </a:extLst>
        </xdr:cNvPr>
        <xdr:cNvSpPr/>
      </xdr:nvSpPr>
      <xdr:spPr>
        <a:xfrm>
          <a:off x="5600700" y="2087880"/>
          <a:ext cx="3169920" cy="5257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SUIVI de PAIEMENT</a:t>
          </a:r>
        </a:p>
      </xdr:txBody>
    </xdr:sp>
    <xdr:clientData/>
  </xdr:twoCellAnchor>
  <xdr:twoCellAnchor>
    <xdr:from>
      <xdr:col>7</xdr:col>
      <xdr:colOff>53340</xdr:colOff>
      <xdr:row>15</xdr:row>
      <xdr:rowOff>91440</xdr:rowOff>
    </xdr:from>
    <xdr:to>
      <xdr:col>11</xdr:col>
      <xdr:colOff>53340</xdr:colOff>
      <xdr:row>18</xdr:row>
      <xdr:rowOff>68580</xdr:rowOff>
    </xdr:to>
    <xdr:sp macro="[0]!client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965C5FBE-2D50-4950-B8C0-E1EE2CE5CE5F}"/>
            </a:ext>
          </a:extLst>
        </xdr:cNvPr>
        <xdr:cNvSpPr/>
      </xdr:nvSpPr>
      <xdr:spPr>
        <a:xfrm>
          <a:off x="5600700" y="2834640"/>
          <a:ext cx="3169920" cy="5257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GESTION CLIENTS</a:t>
          </a:r>
        </a:p>
      </xdr:txBody>
    </xdr:sp>
    <xdr:clientData/>
  </xdr:twoCellAnchor>
  <xdr:twoCellAnchor>
    <xdr:from>
      <xdr:col>7</xdr:col>
      <xdr:colOff>53340</xdr:colOff>
      <xdr:row>19</xdr:row>
      <xdr:rowOff>76200</xdr:rowOff>
    </xdr:from>
    <xdr:to>
      <xdr:col>11</xdr:col>
      <xdr:colOff>53340</xdr:colOff>
      <xdr:row>22</xdr:row>
      <xdr:rowOff>53340</xdr:rowOff>
    </xdr:to>
    <xdr:sp macro="[0]!relanc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2C712F06-2173-4256-932B-C83E06C4DE3D}"/>
            </a:ext>
          </a:extLst>
        </xdr:cNvPr>
        <xdr:cNvSpPr/>
      </xdr:nvSpPr>
      <xdr:spPr>
        <a:xfrm>
          <a:off x="5600700" y="3550920"/>
          <a:ext cx="3169920" cy="5257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RELANCE</a:t>
          </a:r>
        </a:p>
      </xdr:txBody>
    </xdr:sp>
    <xdr:clientData/>
  </xdr:twoCellAnchor>
  <xdr:twoCellAnchor>
    <xdr:from>
      <xdr:col>7</xdr:col>
      <xdr:colOff>53340</xdr:colOff>
      <xdr:row>23</xdr:row>
      <xdr:rowOff>0</xdr:rowOff>
    </xdr:from>
    <xdr:to>
      <xdr:col>11</xdr:col>
      <xdr:colOff>53340</xdr:colOff>
      <xdr:row>25</xdr:row>
      <xdr:rowOff>160020</xdr:rowOff>
    </xdr:to>
    <xdr:sp macro="[0]!stat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9462104B-A27D-4927-A141-4B0B18DA574A}"/>
            </a:ext>
          </a:extLst>
        </xdr:cNvPr>
        <xdr:cNvSpPr/>
      </xdr:nvSpPr>
      <xdr:spPr>
        <a:xfrm>
          <a:off x="5600700" y="4206240"/>
          <a:ext cx="3169920" cy="5257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STATISTIQUE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556260</xdr:colOff>
          <xdr:row>1</xdr:row>
          <xdr:rowOff>30480</xdr:rowOff>
        </xdr:from>
        <xdr:to>
          <xdr:col>6</xdr:col>
          <xdr:colOff>464820</xdr:colOff>
          <xdr:row>3</xdr:row>
          <xdr:rowOff>15240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3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Facture en PDF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716280</xdr:colOff>
      <xdr:row>2</xdr:row>
      <xdr:rowOff>45720</xdr:rowOff>
    </xdr:from>
    <xdr:to>
      <xdr:col>2</xdr:col>
      <xdr:colOff>2110740</xdr:colOff>
      <xdr:row>3</xdr:row>
      <xdr:rowOff>129540</xdr:rowOff>
    </xdr:to>
    <xdr:sp macro="[0]!menu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61A1590-4A24-43AE-9007-96270DBA7DB4}"/>
            </a:ext>
          </a:extLst>
        </xdr:cNvPr>
        <xdr:cNvSpPr/>
      </xdr:nvSpPr>
      <xdr:spPr>
        <a:xfrm>
          <a:off x="1066800" y="426720"/>
          <a:ext cx="1394460" cy="2819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au menu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1242060</xdr:colOff>
      <xdr:row>0</xdr:row>
      <xdr:rowOff>198120</xdr:rowOff>
    </xdr:from>
    <xdr:to>
      <xdr:col>5</xdr:col>
      <xdr:colOff>114300</xdr:colOff>
      <xdr:row>1</xdr:row>
      <xdr:rowOff>152400</xdr:rowOff>
    </xdr:to>
    <xdr:sp macro="[0]!menu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ECA1E45-C22F-42E3-9895-CCDDCF7DC4CD}"/>
            </a:ext>
          </a:extLst>
        </xdr:cNvPr>
        <xdr:cNvSpPr/>
      </xdr:nvSpPr>
      <xdr:spPr>
        <a:xfrm>
          <a:off x="3009900" y="198120"/>
          <a:ext cx="1394460" cy="2819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au menu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891540</xdr:colOff>
      <xdr:row>2</xdr:row>
      <xdr:rowOff>30480</xdr:rowOff>
    </xdr:from>
    <xdr:to>
      <xdr:col>4</xdr:col>
      <xdr:colOff>137160</xdr:colOff>
      <xdr:row>3</xdr:row>
      <xdr:rowOff>106680</xdr:rowOff>
    </xdr:to>
    <xdr:sp macro="[0]!pdf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3192780" y="320040"/>
          <a:ext cx="929640" cy="2514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PDF</a:t>
          </a:r>
        </a:p>
      </xdr:txBody>
    </xdr:sp>
    <xdr:clientData/>
  </xdr:twoCellAnchor>
  <xdr:twoCellAnchor>
    <xdr:from>
      <xdr:col>5</xdr:col>
      <xdr:colOff>655320</xdr:colOff>
      <xdr:row>2</xdr:row>
      <xdr:rowOff>60960</xdr:rowOff>
    </xdr:from>
    <xdr:to>
      <xdr:col>7</xdr:col>
      <xdr:colOff>45720</xdr:colOff>
      <xdr:row>3</xdr:row>
      <xdr:rowOff>167640</xdr:rowOff>
    </xdr:to>
    <xdr:sp macro="[0]!menu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7BAE1B8-2838-403B-A16A-952DD964F72C}"/>
            </a:ext>
          </a:extLst>
        </xdr:cNvPr>
        <xdr:cNvSpPr/>
      </xdr:nvSpPr>
      <xdr:spPr>
        <a:xfrm>
          <a:off x="5349240" y="350520"/>
          <a:ext cx="1394460" cy="2819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au menu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7937</xdr:colOff>
      <xdr:row>4</xdr:row>
      <xdr:rowOff>180180</xdr:rowOff>
    </xdr:from>
    <xdr:to>
      <xdr:col>15</xdr:col>
      <xdr:colOff>638175</xdr:colOff>
      <xdr:row>25</xdr:row>
      <xdr:rowOff>114299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30480</xdr:colOff>
      <xdr:row>0</xdr:row>
      <xdr:rowOff>182880</xdr:rowOff>
    </xdr:from>
    <xdr:to>
      <xdr:col>5</xdr:col>
      <xdr:colOff>236220</xdr:colOff>
      <xdr:row>1</xdr:row>
      <xdr:rowOff>68580</xdr:rowOff>
    </xdr:to>
    <xdr:sp macro="[0]!menu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56A83D81-DB10-4559-A81D-00B7A09A3274}"/>
            </a:ext>
          </a:extLst>
        </xdr:cNvPr>
        <xdr:cNvSpPr/>
      </xdr:nvSpPr>
      <xdr:spPr>
        <a:xfrm>
          <a:off x="2941320" y="182880"/>
          <a:ext cx="1394460" cy="2819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au menu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9963039-B6DB-43FB-A946-A7D2727E37BA}" name="T_Client" displayName="T_Client" ref="A6:J10" totalsRowShown="0" dataDxfId="90" headerRowBorderDxfId="101" tableBorderDxfId="102">
  <tableColumns count="10">
    <tableColumn id="1" xr3:uid="{B9323D44-58DC-49B1-BB41-B6D9AEA09824}" name="Réf." dataDxfId="100"/>
    <tableColumn id="2" xr3:uid="{03AD683D-9870-4F55-84C4-C65AF0058820}" name="Raison sociale (ou nom)" dataDxfId="99"/>
    <tableColumn id="3" xr3:uid="{2CF3882A-EB7C-430B-A29A-F3E6E2BB88DF}" name="Complément identité" dataDxfId="98"/>
    <tableColumn id="4" xr3:uid="{DA2727C9-EE25-4021-8D79-5CC8A738F5AC}" name="Adresse" dataDxfId="97"/>
    <tableColumn id="5" xr3:uid="{9A5A0714-232E-45DE-8CCF-30D08136A484}" name="Code postal" dataDxfId="96"/>
    <tableColumn id="6" xr3:uid="{7D9C6304-0ED6-447C-AEB7-9902D7BA5A33}" name="Ville" dataDxfId="95"/>
    <tableColumn id="7" xr3:uid="{BB5057AC-BD0F-4AE8-B9A9-D41FCBFD6C5C}" name="E-mail" dataDxfId="94" dataCellStyle="Lien hypertexte"/>
    <tableColumn id="8" xr3:uid="{2FD0B406-D701-42C6-96F8-3E4BA9931434}" name="Téléphone pro" dataDxfId="93"/>
    <tableColumn id="9" xr3:uid="{1382EE6B-3F90-4140-83CB-6B17AFCA4B5C}" name="Téléphone portable" dataDxfId="92"/>
    <tableColumn id="10" xr3:uid="{0D7D43FC-AA4F-43C7-A9DB-F8E793B3E6B2}" name="Remarques" dataDxfId="9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FBDA683-B19C-4B8D-BE3A-04059907DA40}" name="T_Data" displayName="T_Data" ref="A1:BV8" totalsRowShown="0" headerRowDxfId="103" dataDxfId="19">
  <tableColumns count="74">
    <tableColumn id="1" xr3:uid="{90BDB927-C9EA-45DB-8E03-14884DEC6DB7}" name="Numéro facture " dataDxfId="89"/>
    <tableColumn id="2" xr3:uid="{1CCBA599-7D93-4CC2-BC33-C1969E89C030}" name="n° client " dataDxfId="88"/>
    <tableColumn id="3" xr3:uid="{62BF5D16-03E6-42AC-AAC4-88E1B44CDBB6}" name="Nom client  " dataDxfId="87"/>
    <tableColumn id="4" xr3:uid="{F941C1BE-3907-4423-BEDF-C6569443CF10}" name="date du document " dataDxfId="86"/>
    <tableColumn id="5" xr3:uid="{3A1A79DF-1B33-4EC8-BA5B-5764B39EF278}" name="date échéance" dataDxfId="85"/>
    <tableColumn id="6" xr3:uid="{46129BBC-1680-424B-9C87-E9A3AD42226E}" name="remise " dataDxfId="84" dataCellStyle="Pourcentage"/>
    <tableColumn id="7" xr3:uid="{A4629809-CD3E-4B53-9405-9723C456455E}" name="Contenu 1" dataDxfId="83"/>
    <tableColumn id="8" xr3:uid="{51DCABBF-F10F-4069-AF21-487977E5BB2B}" name="Taux TVA 1" dataDxfId="82" dataCellStyle="Pourcentage"/>
    <tableColumn id="9" xr3:uid="{127A865B-1CC4-4AA5-AFF8-56A4C1A49970}" name="PU HT 1" dataDxfId="81"/>
    <tableColumn id="10" xr3:uid="{2A613F9C-ED3E-4E7E-9BF1-D84EF61CFD08}" name="Quantité 1" dataDxfId="80"/>
    <tableColumn id="11" xr3:uid="{099317AC-1604-40D5-A489-19C205CD801C}" name="Contenu 2" dataDxfId="79"/>
    <tableColumn id="12" xr3:uid="{788836E0-30D4-4611-8B50-E907992E5CA5}" name="Taux TVA 2" dataDxfId="78" dataCellStyle="Pourcentage"/>
    <tableColumn id="13" xr3:uid="{F3CC71DD-2A28-4DC3-8B72-0F66D516484C}" name="PU HT 2" dataDxfId="77"/>
    <tableColumn id="14" xr3:uid="{9E5BD5D4-E2E3-4D4F-BEA3-D1F50FD6980A}" name="Quantité 2" dataDxfId="76"/>
    <tableColumn id="15" xr3:uid="{A04EB6FA-97AB-4B0C-AE28-116A25D2374B}" name="Contenu 3" dataDxfId="75"/>
    <tableColumn id="16" xr3:uid="{268EA10C-8C43-4250-B578-12A5B49CB31B}" name="Taux TVA 3" dataDxfId="74" dataCellStyle="Pourcentage"/>
    <tableColumn id="17" xr3:uid="{4BE8F4D4-1914-48B5-8F22-AFCDF1645E7C}" name="PU HT 3" dataDxfId="73"/>
    <tableColumn id="18" xr3:uid="{F1084684-FFA3-4D6A-9223-D586F401E35C}" name="Quantité 3" dataDxfId="72"/>
    <tableColumn id="19" xr3:uid="{71D317EE-A384-407E-99BE-08B30AFEC264}" name="Contenu 4" dataDxfId="71"/>
    <tableColumn id="20" xr3:uid="{C1C274A3-FDC9-4524-AD84-99C6006BB1A6}" name="Taux TVA 4" dataDxfId="70" dataCellStyle="Pourcentage"/>
    <tableColumn id="21" xr3:uid="{E71347D8-2356-46CB-864D-D4B054481786}" name="PU HT 4" dataDxfId="69"/>
    <tableColumn id="22" xr3:uid="{4CDE438F-58B7-42C6-A9D3-8CB556932DEF}" name="Quantité 4" dataDxfId="68"/>
    <tableColumn id="23" xr3:uid="{A38E5181-72CC-4799-9E4B-A2B2B7913E65}" name="Contenu 5" dataDxfId="67"/>
    <tableColumn id="24" xr3:uid="{5CC649CD-324C-4352-A75E-2EE602CD8199}" name="Taux TVA 5" dataDxfId="66" dataCellStyle="Pourcentage"/>
    <tableColumn id="25" xr3:uid="{924E37F6-2732-4C65-895E-E1B4D040EC25}" name="PU HT 5" dataDxfId="65"/>
    <tableColumn id="26" xr3:uid="{A24D791E-7439-48ED-BF3F-0A5D5E3685BD}" name="Quantité 5" dataDxfId="64"/>
    <tableColumn id="27" xr3:uid="{22B353A2-622E-4A30-98E5-602F8F39F270}" name="Contenu 6" dataDxfId="63"/>
    <tableColumn id="28" xr3:uid="{B182B7CB-F718-4AEC-8FDF-EB1455D98DFA}" name="Taux TVA 6" dataDxfId="62" dataCellStyle="Pourcentage"/>
    <tableColumn id="29" xr3:uid="{9015C66C-8A77-4DD7-AC6C-3857CA801849}" name="PU HT 6" dataDxfId="61"/>
    <tableColumn id="30" xr3:uid="{16A6F758-E5F5-426F-B20B-2C94084B61F5}" name="Quantité 6" dataDxfId="60"/>
    <tableColumn id="31" xr3:uid="{EFDBD2C9-BCFD-4231-9298-DC1C8403146C}" name="Contenu 7" dataDxfId="59"/>
    <tableColumn id="32" xr3:uid="{816CBFDE-BEF0-4A88-9F6E-388CD65DB6A6}" name="Taux TVA 7" dataDxfId="58" dataCellStyle="Pourcentage"/>
    <tableColumn id="33" xr3:uid="{1FC87398-AEE6-4EE8-B0EF-797A4D65F318}" name="PU HT 7" dataDxfId="57"/>
    <tableColumn id="34" xr3:uid="{D665F705-AAFE-435F-B507-88EA5896D849}" name="Quantité 7" dataDxfId="56"/>
    <tableColumn id="35" xr3:uid="{73F3433D-DD9A-44BC-9485-A39C8280B3FC}" name="Contenu 8" dataDxfId="55"/>
    <tableColumn id="36" xr3:uid="{5DF0C1CC-DA78-4D14-9B7F-0C30953D1276}" name="Taux TVA 8" dataDxfId="54" dataCellStyle="Pourcentage"/>
    <tableColumn id="37" xr3:uid="{DE137929-5D3A-44B1-943E-41B3E73DFB9F}" name="PU HT 8" dataDxfId="53"/>
    <tableColumn id="38" xr3:uid="{DEAF22EC-44C3-4EF9-ACB7-D59C99998B56}" name="Quantité 8" dataDxfId="52"/>
    <tableColumn id="39" xr3:uid="{53F3722F-9E51-4823-99DE-3F5D0C490975}" name="Contenu 9" dataDxfId="51"/>
    <tableColumn id="40" xr3:uid="{1300259B-C538-4E03-A26B-445C0B1A67E3}" name="Taux TVA 9" dataDxfId="50" dataCellStyle="Pourcentage"/>
    <tableColumn id="41" xr3:uid="{D5BF8B56-99B5-41A6-BECB-AE5A7D7E51AF}" name="PU HT 9" dataDxfId="49"/>
    <tableColumn id="42" xr3:uid="{9A453D54-337E-45D5-BA7C-EF25853174C1}" name="Quantité 9" dataDxfId="48"/>
    <tableColumn id="43" xr3:uid="{B2B43737-6562-4948-B789-AEAAAFB5F7D8}" name="Contenu 10" dataDxfId="47"/>
    <tableColumn id="44" xr3:uid="{80847F1D-0A8B-477A-AC74-F0C920607BDF}" name="Taux TVA 10" dataDxfId="46" dataCellStyle="Pourcentage"/>
    <tableColumn id="45" xr3:uid="{5ADE1EA4-3E95-4944-B357-148DF9E4106D}" name="PU HT 10" dataDxfId="45"/>
    <tableColumn id="46" xr3:uid="{3B20936C-A223-46A3-AE69-D5A94D435704}" name="Quantité 10" dataDxfId="44"/>
    <tableColumn id="47" xr3:uid="{A11D85B0-4FC8-4E53-95DB-B73C07226B39}" name="Contenu 11" dataDxfId="43"/>
    <tableColumn id="48" xr3:uid="{75775279-D620-465E-BBBF-F17B7158B51C}" name="Taux TVA 11" dataDxfId="42" dataCellStyle="Pourcentage"/>
    <tableColumn id="49" xr3:uid="{C6B8E629-9972-430A-8D72-8053329F1AE6}" name="PU HT 11" dataDxfId="41"/>
    <tableColumn id="50" xr3:uid="{EBF6FCDE-3BB2-49B4-A556-2AF5EA58460D}" name="Quantité 11" dataDxfId="40"/>
    <tableColumn id="51" xr3:uid="{7B727AB0-A47F-4F22-9E42-B002CE86DA16}" name="Contenu 12" dataDxfId="39"/>
    <tableColumn id="52" xr3:uid="{68AAA33A-2947-46F2-8D67-6B8042D324E8}" name="Taux TVA 12" dataDxfId="38" dataCellStyle="Pourcentage"/>
    <tableColumn id="53" xr3:uid="{3352117C-D055-4A35-BF0D-CC8AB25AF355}" name="PU HT 12" dataDxfId="37"/>
    <tableColumn id="54" xr3:uid="{ABD3286E-3F14-4C43-8DA8-01B8B33BD9B4}" name="Quantité 12" dataDxfId="36"/>
    <tableColumn id="55" xr3:uid="{363B3AC7-B12F-4DE0-BAB2-93F78CF8FED7}" name="Contenu 13" dataDxfId="35"/>
    <tableColumn id="56" xr3:uid="{267FC193-499D-4D0A-9A8C-6085B8FD3F71}" name="Taux TVA 13" dataDxfId="34" dataCellStyle="Pourcentage"/>
    <tableColumn id="57" xr3:uid="{24F51737-D2B3-4414-BF0A-A3CB36CBFEE2}" name="PU HT 13" dataDxfId="33"/>
    <tableColumn id="58" xr3:uid="{4B61297E-498A-4B83-B487-DBBF93C42664}" name="Quantité 13" dataDxfId="32"/>
    <tableColumn id="59" xr3:uid="{5DF6E923-C1AD-4108-8D50-14843EDB10D6}" name="Contenu 14" dataDxfId="31"/>
    <tableColumn id="60" xr3:uid="{A0898CAD-FD8C-4E9C-B599-DE922F9DA17C}" name="Taux TVA 14" dataDxfId="30" dataCellStyle="Pourcentage"/>
    <tableColumn id="61" xr3:uid="{F79EB671-1369-45DF-A6DD-D93E89C3EF5E}" name="PU HT 14" dataDxfId="29"/>
    <tableColumn id="62" xr3:uid="{831F91E4-45EB-48F1-A992-73DA004C1DA0}" name="Quantité 14" dataDxfId="28"/>
    <tableColumn id="63" xr3:uid="{B0C2D049-0C96-4EC6-B061-7E6A23A8A001}" name="Contenu 15" dataDxfId="27"/>
    <tableColumn id="64" xr3:uid="{D666146A-44F2-42AC-A2E5-79B0E2054915}" name="Taux TVA 15" dataDxfId="26" dataCellStyle="Pourcentage"/>
    <tableColumn id="65" xr3:uid="{223D3EA3-5774-478D-A95A-0483041E1AE0}" name="PU HT 15" dataDxfId="25"/>
    <tableColumn id="66" xr3:uid="{0F69E4FC-96F0-4890-A6EB-CD821D9D0C33}" name="Quantité 15" dataDxfId="24"/>
    <tableColumn id="67" xr3:uid="{CFD851B1-7B60-4D15-B01F-388B798DDE24}" name="TOTAL HT" dataDxfId="23"/>
    <tableColumn id="68" xr3:uid="{E45DD3EB-1397-41AD-BD00-1AAAFA4196B8}" name="HT après remise" dataDxfId="22"/>
    <tableColumn id="70" xr3:uid="{CE71F6F4-0EC5-464B-BABC-4CDC44DA37C4}" name="Total TTC" dataDxfId="21"/>
    <tableColumn id="71" xr3:uid="{E081A493-3B9A-40CD-8C52-371E27367619}" name="TTC après remise" dataDxfId="20"/>
    <tableColumn id="73" xr3:uid="{3E3A934D-F024-48C5-BD80-AB54C85BD1A6}" name="Payé" dataDxfId="18"/>
    <tableColumn id="74" xr3:uid="{7CEB6B4E-629C-41C1-8DE9-FB69F1543D01}" name="1ère relance" dataDxfId="17"/>
    <tableColumn id="75" xr3:uid="{9BD591C1-270D-4D54-90CB-E8CE86E9F5D9}" name="2ème relance" dataDxfId="16"/>
    <tableColumn id="76" xr3:uid="{D0526FF7-2CD2-4BDD-AC14-1C4D9F23C60C}" name="Remarques" dataDxfId="1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42B5EDC-878E-4526-BAB5-793365960CCA}" name="T_suivi" displayName="T_suivi" ref="B5:M10" totalsRowShown="0" headerRowDxfId="4">
  <tableColumns count="12">
    <tableColumn id="2" xr3:uid="{E55CA61C-1F31-423F-855E-A262AE5C28BA}" name="Facture" dataDxfId="14"/>
    <tableColumn id="3" xr3:uid="{570A498C-B7D3-4681-872A-F02C1EA927B3}" name="N° client" dataDxfId="13"/>
    <tableColumn id="4" xr3:uid="{6A6D0377-70C3-4C33-BF94-B5E272D09E2C}" name="Nom client" dataDxfId="12"/>
    <tableColumn id="5" xr3:uid="{190D3070-0A9B-4087-AB6B-A1E12ED48790}" name="Montant" dataDxfId="3"/>
    <tableColumn id="6" xr3:uid="{FBB250E4-88C2-44FD-9ADF-ED56D5893D42}" name="Date facture" dataDxfId="11"/>
    <tableColumn id="7" xr3:uid="{B9D6EEFF-4D88-4C5C-B604-A7A8CD485915}" name="Date échéance" dataDxfId="10"/>
    <tableColumn id="8" xr3:uid="{DBE41831-A4FA-477C-94AD-65913207E7CE}" name="Échéance dépassée ? " dataDxfId="9">
      <calculatedColumnFormula>IF(G6="","",IF($C$4&gt;G6,"OUI","non"))</calculatedColumnFormula>
    </tableColumn>
    <tableColumn id="9" xr3:uid="{138EBC6E-564C-4C14-81EC-50536CBE045A}" name="Paiement reçu ?_x000a_(Oui / Non)" dataDxfId="8"/>
    <tableColumn id="10" xr3:uid="{DEB7B18B-D007-42D8-9195-FB03B3CF5650}" name="Date première relance" dataDxfId="7"/>
    <tableColumn id="11" xr3:uid="{923E64A8-B166-4787-9971-E5B8E93C11D9}" name="Date deuxième relance" dataDxfId="6"/>
    <tableColumn id="12" xr3:uid="{2BCDDE23-B261-433C-AA64-9A06780C3AE2}" name="Remarques" dataDxfId="5"/>
    <tableColumn id="13" xr3:uid="{6C9C7F00-F5BB-42A6-AE19-726FB69F7BEE}" name="lign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jmartin@laposte.net" TargetMode="External"/><Relationship Id="rId2" Type="http://schemas.openxmlformats.org/officeDocument/2006/relationships/hyperlink" Target="mailto:famille.leduc@sfr.fr" TargetMode="External"/><Relationship Id="rId1" Type="http://schemas.openxmlformats.org/officeDocument/2006/relationships/hyperlink" Target="mailto:jcb@winyard.com" TargetMode="External"/><Relationship Id="rId6" Type="http://schemas.openxmlformats.org/officeDocument/2006/relationships/table" Target="../tables/table1.xml"/><Relationship Id="rId5" Type="http://schemas.openxmlformats.org/officeDocument/2006/relationships/drawing" Target="../drawings/drawing1.xml"/><Relationship Id="rId4" Type="http://schemas.openxmlformats.org/officeDocument/2006/relationships/hyperlink" Target="mailto:Jeannine@sfr.fr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C3D4B-9378-4D61-83B9-B4B6227267C8}">
  <sheetPr codeName="Feuil1"/>
  <dimension ref="A1:K25"/>
  <sheetViews>
    <sheetView workbookViewId="0">
      <selection activeCell="C12" sqref="C12"/>
    </sheetView>
  </sheetViews>
  <sheetFormatPr baseColWidth="10" defaultColWidth="11.44140625" defaultRowHeight="13.8" x14ac:dyDescent="0.3"/>
  <cols>
    <col min="1" max="1" width="42.6640625" style="2" customWidth="1"/>
    <col min="2" max="2" width="44.44140625" style="2" customWidth="1"/>
    <col min="3" max="3" width="27.44140625" style="2" customWidth="1"/>
    <col min="4" max="4" width="24.33203125" style="3" customWidth="1"/>
    <col min="5" max="5" width="21.88671875" style="2" customWidth="1"/>
    <col min="6" max="6" width="33" style="2" customWidth="1"/>
    <col min="7" max="7" width="13.88671875" style="2" customWidth="1"/>
    <col min="8" max="8" width="22.5546875" style="2" customWidth="1"/>
    <col min="9" max="9" width="22.109375" style="2" customWidth="1"/>
    <col min="10" max="11" width="20.88671875" style="4" customWidth="1"/>
    <col min="12" max="12" width="40.5546875" style="2" customWidth="1"/>
    <col min="13" max="16384" width="11.44140625" style="2"/>
  </cols>
  <sheetData>
    <row r="1" spans="1:2" ht="27.6" x14ac:dyDescent="0.3">
      <c r="A1" s="1" t="s">
        <v>0</v>
      </c>
    </row>
    <row r="2" spans="1:2" x14ac:dyDescent="0.3">
      <c r="A2" s="3"/>
    </row>
    <row r="3" spans="1:2" ht="20.399999999999999" x14ac:dyDescent="0.3">
      <c r="A3" s="5" t="s">
        <v>1</v>
      </c>
    </row>
    <row r="4" spans="1:2" ht="17.399999999999999" x14ac:dyDescent="0.3">
      <c r="A4" s="6" t="s">
        <v>38</v>
      </c>
    </row>
    <row r="5" spans="1:2" ht="15.75" customHeight="1" x14ac:dyDescent="0.3">
      <c r="A5" s="3"/>
    </row>
    <row r="6" spans="1:2" ht="15.75" customHeight="1" x14ac:dyDescent="0.3">
      <c r="A6" s="3"/>
    </row>
    <row r="7" spans="1:2" ht="24" customHeight="1" x14ac:dyDescent="0.3">
      <c r="A7" s="7" t="s">
        <v>2</v>
      </c>
      <c r="B7" s="8" t="s">
        <v>94</v>
      </c>
    </row>
    <row r="8" spans="1:2" ht="6" customHeight="1" x14ac:dyDescent="0.3"/>
    <row r="9" spans="1:2" ht="24" customHeight="1" x14ac:dyDescent="0.3">
      <c r="A9" s="9" t="s">
        <v>3</v>
      </c>
      <c r="B9" s="10" t="s">
        <v>4</v>
      </c>
    </row>
    <row r="10" spans="1:2" ht="24" customHeight="1" x14ac:dyDescent="0.3">
      <c r="A10" s="11" t="s">
        <v>5</v>
      </c>
      <c r="B10" s="12" t="s">
        <v>92</v>
      </c>
    </row>
    <row r="11" spans="1:2" ht="24" customHeight="1" x14ac:dyDescent="0.3">
      <c r="A11" s="11" t="s">
        <v>6</v>
      </c>
      <c r="B11" s="13">
        <v>94220</v>
      </c>
    </row>
    <row r="12" spans="1:2" ht="24" customHeight="1" x14ac:dyDescent="0.3">
      <c r="A12" s="11" t="s">
        <v>7</v>
      </c>
      <c r="B12" s="12" t="s">
        <v>92</v>
      </c>
    </row>
    <row r="13" spans="1:2" ht="24" customHeight="1" x14ac:dyDescent="0.3">
      <c r="A13" s="11" t="s">
        <v>8</v>
      </c>
      <c r="B13" s="12" t="s">
        <v>9</v>
      </c>
    </row>
    <row r="14" spans="1:2" ht="24" customHeight="1" x14ac:dyDescent="0.3">
      <c r="A14" s="11" t="s">
        <v>10</v>
      </c>
      <c r="B14" s="14" t="s">
        <v>11</v>
      </c>
    </row>
    <row r="15" spans="1:2" x14ac:dyDescent="0.3">
      <c r="A15" s="15" t="s">
        <v>12</v>
      </c>
      <c r="B15" s="16" t="s">
        <v>13</v>
      </c>
    </row>
    <row r="16" spans="1:2" ht="24" customHeight="1" x14ac:dyDescent="0.3">
      <c r="A16" s="3"/>
    </row>
    <row r="17" spans="1:2" ht="15.6" x14ac:dyDescent="0.3">
      <c r="A17" s="17" t="s">
        <v>14</v>
      </c>
      <c r="B17" s="18">
        <v>0</v>
      </c>
    </row>
    <row r="18" spans="1:2" ht="22.5" customHeight="1" x14ac:dyDescent="0.3">
      <c r="A18" s="3"/>
      <c r="B18" s="19">
        <v>5.5E-2</v>
      </c>
    </row>
    <row r="19" spans="1:2" ht="22.5" customHeight="1" x14ac:dyDescent="0.3">
      <c r="A19" s="20"/>
      <c r="B19" s="21">
        <v>0.2</v>
      </c>
    </row>
    <row r="20" spans="1:2" ht="15.75" customHeight="1" x14ac:dyDescent="0.3"/>
    <row r="21" spans="1:2" ht="15.75" customHeight="1" x14ac:dyDescent="0.3"/>
    <row r="24" spans="1:2" hidden="1" x14ac:dyDescent="0.3">
      <c r="A24" s="2" t="s">
        <v>15</v>
      </c>
    </row>
    <row r="25" spans="1:2" hidden="1" x14ac:dyDescent="0.3">
      <c r="A25" s="2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B76CD-B25F-46FC-A756-2093ED6D46F4}">
  <sheetPr codeName="Feuil2"/>
  <dimension ref="A1:J10"/>
  <sheetViews>
    <sheetView workbookViewId="0">
      <selection activeCell="D2" sqref="D2"/>
    </sheetView>
  </sheetViews>
  <sheetFormatPr baseColWidth="10" defaultColWidth="11.44140625" defaultRowHeight="15.6" x14ac:dyDescent="0.3"/>
  <cols>
    <col min="1" max="1" width="12" style="22" customWidth="1"/>
    <col min="2" max="2" width="26.21875" style="22" customWidth="1"/>
    <col min="3" max="3" width="29.109375" style="23" customWidth="1"/>
    <col min="4" max="4" width="33" style="23" customWidth="1"/>
    <col min="5" max="5" width="15.109375" style="23" customWidth="1"/>
    <col min="6" max="6" width="22.5546875" style="23" customWidth="1"/>
    <col min="7" max="7" width="22.109375" style="23" customWidth="1"/>
    <col min="8" max="8" width="20.88671875" style="24" customWidth="1"/>
    <col min="9" max="9" width="24.44140625" style="24" customWidth="1"/>
    <col min="10" max="10" width="54.6640625" style="25" customWidth="1"/>
    <col min="11" max="16384" width="11.44140625" style="23"/>
  </cols>
  <sheetData>
    <row r="1" spans="1:10" ht="27.6" x14ac:dyDescent="0.3">
      <c r="A1" s="1" t="s">
        <v>17</v>
      </c>
    </row>
    <row r="2" spans="1:10" x14ac:dyDescent="0.3">
      <c r="A2" s="23"/>
    </row>
    <row r="3" spans="1:10" ht="17.399999999999999" x14ac:dyDescent="0.3">
      <c r="A3" s="6" t="s">
        <v>204</v>
      </c>
    </row>
    <row r="4" spans="1:10" ht="15.75" customHeight="1" x14ac:dyDescent="0.3"/>
    <row r="5" spans="1:10" ht="27.75" customHeight="1" x14ac:dyDescent="0.3">
      <c r="A5" s="148" t="s">
        <v>17</v>
      </c>
      <c r="B5" s="149"/>
      <c r="C5" s="149"/>
      <c r="D5" s="149"/>
      <c r="E5" s="149"/>
      <c r="F5" s="149"/>
      <c r="G5" s="149"/>
      <c r="H5" s="149"/>
      <c r="I5" s="149"/>
      <c r="J5" s="150"/>
    </row>
    <row r="6" spans="1:10" ht="26.25" customHeight="1" x14ac:dyDescent="0.3">
      <c r="A6" s="173" t="s">
        <v>18</v>
      </c>
      <c r="B6" s="174" t="s">
        <v>19</v>
      </c>
      <c r="C6" s="174" t="s">
        <v>20</v>
      </c>
      <c r="D6" s="174" t="s">
        <v>21</v>
      </c>
      <c r="E6" s="174" t="s">
        <v>22</v>
      </c>
      <c r="F6" s="174" t="s">
        <v>23</v>
      </c>
      <c r="G6" s="174" t="s">
        <v>24</v>
      </c>
      <c r="H6" s="175" t="s">
        <v>25</v>
      </c>
      <c r="I6" s="175" t="s">
        <v>26</v>
      </c>
      <c r="J6" s="176" t="s">
        <v>27</v>
      </c>
    </row>
    <row r="7" spans="1:10" s="2" customFormat="1" ht="18.75" customHeight="1" x14ac:dyDescent="0.3">
      <c r="A7" s="178" t="s">
        <v>28</v>
      </c>
      <c r="B7" s="179" t="s">
        <v>29</v>
      </c>
      <c r="C7" s="180" t="s">
        <v>30</v>
      </c>
      <c r="D7" s="180" t="s">
        <v>31</v>
      </c>
      <c r="E7" s="180" t="s">
        <v>32</v>
      </c>
      <c r="F7" s="180" t="s">
        <v>33</v>
      </c>
      <c r="G7" s="181" t="s">
        <v>34</v>
      </c>
      <c r="H7" s="182">
        <v>148484848</v>
      </c>
      <c r="I7" s="182">
        <v>689898989</v>
      </c>
      <c r="J7" s="183"/>
    </row>
    <row r="8" spans="1:10" s="2" customFormat="1" ht="18.75" customHeight="1" x14ac:dyDescent="0.3">
      <c r="A8" s="178" t="s">
        <v>35</v>
      </c>
      <c r="B8" s="177" t="s">
        <v>95</v>
      </c>
      <c r="C8" s="180" t="s">
        <v>96</v>
      </c>
      <c r="D8" s="180" t="s">
        <v>107</v>
      </c>
      <c r="E8" s="180" t="s">
        <v>56</v>
      </c>
      <c r="F8" s="180" t="s">
        <v>57</v>
      </c>
      <c r="G8" s="181" t="s">
        <v>97</v>
      </c>
      <c r="H8" s="182" t="s">
        <v>98</v>
      </c>
      <c r="I8" s="182" t="s">
        <v>99</v>
      </c>
      <c r="J8" s="183"/>
    </row>
    <row r="9" spans="1:10" s="2" customFormat="1" ht="18.75" customHeight="1" x14ac:dyDescent="0.3">
      <c r="A9" s="178" t="s">
        <v>36</v>
      </c>
      <c r="B9" s="177" t="s">
        <v>101</v>
      </c>
      <c r="C9" s="180" t="s">
        <v>58</v>
      </c>
      <c r="D9" s="180" t="s">
        <v>100</v>
      </c>
      <c r="E9" s="180" t="s">
        <v>59</v>
      </c>
      <c r="F9" s="180" t="s">
        <v>106</v>
      </c>
      <c r="G9" s="181" t="s">
        <v>102</v>
      </c>
      <c r="H9" s="182" t="s">
        <v>103</v>
      </c>
      <c r="I9" s="182" t="s">
        <v>60</v>
      </c>
      <c r="J9" s="183"/>
    </row>
    <row r="10" spans="1:10" s="2" customFormat="1" ht="18.75" customHeight="1" x14ac:dyDescent="0.3">
      <c r="A10" s="184" t="s">
        <v>37</v>
      </c>
      <c r="B10" s="185" t="s">
        <v>104</v>
      </c>
      <c r="C10" s="186" t="s">
        <v>85</v>
      </c>
      <c r="D10" s="186" t="s">
        <v>105</v>
      </c>
      <c r="E10" s="186" t="s">
        <v>86</v>
      </c>
      <c r="F10" s="186" t="s">
        <v>87</v>
      </c>
      <c r="G10" s="187" t="s">
        <v>88</v>
      </c>
      <c r="H10" s="188" t="s">
        <v>89</v>
      </c>
      <c r="I10" s="188" t="s">
        <v>90</v>
      </c>
      <c r="J10" s="189"/>
    </row>
  </sheetData>
  <mergeCells count="1">
    <mergeCell ref="A5:J5"/>
  </mergeCells>
  <phoneticPr fontId="57" type="noConversion"/>
  <hyperlinks>
    <hyperlink ref="G7" r:id="rId1" xr:uid="{74B34361-3F5F-4835-B68C-3B0A4321BC49}"/>
    <hyperlink ref="G8" r:id="rId2" xr:uid="{01831749-E783-4D6E-A22A-27828606B95B}"/>
    <hyperlink ref="G9" r:id="rId3" xr:uid="{66720D7A-1A76-40FF-BD8F-1123A586A736}"/>
    <hyperlink ref="G10" r:id="rId4" xr:uid="{3BDC9199-DA79-49B3-B23B-805D6785778B}"/>
  </hyperlinks>
  <pageMargins left="0.7" right="0.7" top="0.75" bottom="0.75" header="0.3" footer="0.3"/>
  <drawing r:id="rId5"/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32B40-7F21-4CEA-BE73-8BCB746399FE}">
  <sheetPr codeName="Feuil9"/>
  <dimension ref="A1:BV12"/>
  <sheetViews>
    <sheetView workbookViewId="0">
      <selection activeCell="N15" sqref="N15"/>
    </sheetView>
  </sheetViews>
  <sheetFormatPr baseColWidth="10" defaultRowHeight="14.4" x14ac:dyDescent="0.3"/>
  <cols>
    <col min="1" max="1" width="16" style="166" customWidth="1"/>
    <col min="2" max="2" width="17.33203125" style="166" customWidth="1"/>
    <col min="3" max="3" width="19.33203125" style="166" customWidth="1"/>
    <col min="4" max="4" width="14" style="166" customWidth="1"/>
    <col min="5" max="5" width="11.21875" style="166" customWidth="1"/>
    <col min="6" max="6" width="12.21875" style="166" customWidth="1"/>
    <col min="7" max="7" width="18.88671875" style="166" customWidth="1"/>
    <col min="8" max="8" width="9" style="166" customWidth="1"/>
    <col min="9" max="9" width="11" style="166" customWidth="1"/>
    <col min="10" max="10" width="9.6640625" style="168" customWidth="1"/>
    <col min="11" max="11" width="18.88671875" style="166" customWidth="1"/>
    <col min="12" max="12" width="9" style="166" customWidth="1"/>
    <col min="13" max="13" width="11" style="166" customWidth="1"/>
    <col min="14" max="14" width="9.6640625" style="168" customWidth="1"/>
    <col min="15" max="15" width="18.88671875" style="166" customWidth="1"/>
    <col min="16" max="16" width="9" style="166" customWidth="1"/>
    <col min="17" max="17" width="11" style="166" customWidth="1"/>
    <col min="18" max="18" width="9.6640625" style="168" customWidth="1"/>
    <col min="19" max="19" width="18.88671875" style="166" customWidth="1"/>
    <col min="20" max="20" width="9" style="166" customWidth="1"/>
    <col min="21" max="21" width="11" style="166" customWidth="1"/>
    <col min="22" max="22" width="9.6640625" style="168" customWidth="1"/>
    <col min="23" max="23" width="18.88671875" style="166" customWidth="1"/>
    <col min="24" max="24" width="9" style="166" customWidth="1"/>
    <col min="25" max="25" width="11" style="166" customWidth="1"/>
    <col min="26" max="26" width="9.6640625" style="168" customWidth="1"/>
    <col min="27" max="27" width="18.88671875" style="166" customWidth="1"/>
    <col min="28" max="28" width="9" style="166" customWidth="1"/>
    <col min="29" max="29" width="11" style="166" customWidth="1"/>
    <col min="30" max="30" width="9.6640625" style="168" customWidth="1"/>
    <col min="31" max="31" width="18.88671875" style="166" customWidth="1"/>
    <col min="32" max="32" width="9" style="166" customWidth="1"/>
    <col min="33" max="33" width="11" style="166" customWidth="1"/>
    <col min="34" max="34" width="9.6640625" style="168" customWidth="1"/>
    <col min="35" max="35" width="18.88671875" style="166" customWidth="1"/>
    <col min="36" max="36" width="9" style="166" customWidth="1"/>
    <col min="37" max="37" width="11" style="166" customWidth="1"/>
    <col min="38" max="38" width="9.6640625" style="168" customWidth="1"/>
    <col min="39" max="39" width="18.88671875" style="166" customWidth="1"/>
    <col min="40" max="40" width="9" style="166" customWidth="1"/>
    <col min="41" max="41" width="11" style="166" customWidth="1"/>
    <col min="42" max="42" width="9.6640625" style="168" customWidth="1"/>
    <col min="43" max="43" width="18.88671875" style="166" customWidth="1"/>
    <col min="44" max="44" width="9" style="166" customWidth="1"/>
    <col min="45" max="45" width="11" style="166" customWidth="1"/>
    <col min="46" max="46" width="9.6640625" style="168" customWidth="1"/>
    <col min="47" max="47" width="18.88671875" style="166" customWidth="1"/>
    <col min="48" max="48" width="9" style="166" customWidth="1"/>
    <col min="49" max="49" width="11" style="166" customWidth="1"/>
    <col min="50" max="50" width="9.6640625" style="168" customWidth="1"/>
    <col min="51" max="51" width="18.88671875" style="166" customWidth="1"/>
    <col min="52" max="52" width="9" style="166" customWidth="1"/>
    <col min="53" max="53" width="11" style="166" customWidth="1"/>
    <col min="54" max="54" width="9.6640625" style="168" customWidth="1"/>
    <col min="55" max="55" width="18.88671875" style="166" customWidth="1"/>
    <col min="56" max="56" width="9" style="166" customWidth="1"/>
    <col min="57" max="57" width="11" style="166" customWidth="1"/>
    <col min="58" max="58" width="9.6640625" style="168" customWidth="1"/>
    <col min="59" max="59" width="18.88671875" style="166" customWidth="1"/>
    <col min="60" max="60" width="9" style="166" customWidth="1"/>
    <col min="61" max="61" width="11" style="166" customWidth="1"/>
    <col min="62" max="62" width="9.6640625" style="168" customWidth="1"/>
    <col min="63" max="63" width="18.88671875" style="166" customWidth="1"/>
    <col min="64" max="64" width="9" style="166" customWidth="1"/>
    <col min="65" max="65" width="11" style="166" customWidth="1"/>
    <col min="66" max="66" width="9.6640625" style="168" customWidth="1"/>
    <col min="67" max="67" width="13.33203125" style="248" customWidth="1"/>
    <col min="68" max="70" width="14.33203125" style="248" customWidth="1"/>
    <col min="71" max="71" width="14.33203125" style="166" customWidth="1"/>
    <col min="72" max="73" width="11.5546875" style="166"/>
    <col min="74" max="74" width="27.6640625" style="166" customWidth="1"/>
    <col min="75" max="16384" width="11.5546875" style="166"/>
  </cols>
  <sheetData>
    <row r="1" spans="1:74" s="165" customFormat="1" ht="31.2" customHeight="1" x14ac:dyDescent="0.3">
      <c r="A1" s="158" t="s">
        <v>183</v>
      </c>
      <c r="B1" s="158" t="s">
        <v>185</v>
      </c>
      <c r="C1" s="159" t="s">
        <v>120</v>
      </c>
      <c r="D1" s="160" t="s">
        <v>119</v>
      </c>
      <c r="E1" s="160" t="s">
        <v>121</v>
      </c>
      <c r="F1" s="161" t="s">
        <v>122</v>
      </c>
      <c r="G1" s="162" t="s">
        <v>123</v>
      </c>
      <c r="H1" s="163" t="s">
        <v>124</v>
      </c>
      <c r="I1" s="167" t="s">
        <v>125</v>
      </c>
      <c r="J1" s="164" t="s">
        <v>126</v>
      </c>
      <c r="K1" s="162" t="s">
        <v>177</v>
      </c>
      <c r="L1" s="163" t="s">
        <v>178</v>
      </c>
      <c r="M1" s="167" t="s">
        <v>179</v>
      </c>
      <c r="N1" s="164" t="s">
        <v>180</v>
      </c>
      <c r="O1" s="162" t="s">
        <v>181</v>
      </c>
      <c r="P1" s="163" t="s">
        <v>182</v>
      </c>
      <c r="Q1" s="167" t="s">
        <v>176</v>
      </c>
      <c r="R1" s="164" t="s">
        <v>175</v>
      </c>
      <c r="S1" s="162" t="s">
        <v>174</v>
      </c>
      <c r="T1" s="163" t="s">
        <v>173</v>
      </c>
      <c r="U1" s="167" t="s">
        <v>172</v>
      </c>
      <c r="V1" s="164" t="s">
        <v>171</v>
      </c>
      <c r="W1" s="162" t="s">
        <v>170</v>
      </c>
      <c r="X1" s="163" t="s">
        <v>169</v>
      </c>
      <c r="Y1" s="167" t="s">
        <v>168</v>
      </c>
      <c r="Z1" s="164" t="s">
        <v>167</v>
      </c>
      <c r="AA1" s="162" t="s">
        <v>166</v>
      </c>
      <c r="AB1" s="163" t="s">
        <v>165</v>
      </c>
      <c r="AC1" s="167" t="s">
        <v>164</v>
      </c>
      <c r="AD1" s="164" t="s">
        <v>163</v>
      </c>
      <c r="AE1" s="162" t="s">
        <v>162</v>
      </c>
      <c r="AF1" s="163" t="s">
        <v>161</v>
      </c>
      <c r="AG1" s="167" t="s">
        <v>160</v>
      </c>
      <c r="AH1" s="164" t="s">
        <v>159</v>
      </c>
      <c r="AI1" s="162" t="s">
        <v>155</v>
      </c>
      <c r="AJ1" s="163" t="s">
        <v>156</v>
      </c>
      <c r="AK1" s="167" t="s">
        <v>157</v>
      </c>
      <c r="AL1" s="164" t="s">
        <v>158</v>
      </c>
      <c r="AM1" s="162" t="s">
        <v>151</v>
      </c>
      <c r="AN1" s="163" t="s">
        <v>152</v>
      </c>
      <c r="AO1" s="167" t="s">
        <v>153</v>
      </c>
      <c r="AP1" s="164" t="s">
        <v>154</v>
      </c>
      <c r="AQ1" s="162" t="s">
        <v>147</v>
      </c>
      <c r="AR1" s="163" t="s">
        <v>148</v>
      </c>
      <c r="AS1" s="167" t="s">
        <v>149</v>
      </c>
      <c r="AT1" s="164" t="s">
        <v>150</v>
      </c>
      <c r="AU1" s="162" t="s">
        <v>143</v>
      </c>
      <c r="AV1" s="163" t="s">
        <v>144</v>
      </c>
      <c r="AW1" s="167" t="s">
        <v>145</v>
      </c>
      <c r="AX1" s="164" t="s">
        <v>146</v>
      </c>
      <c r="AY1" s="162" t="s">
        <v>139</v>
      </c>
      <c r="AZ1" s="163" t="s">
        <v>140</v>
      </c>
      <c r="BA1" s="167" t="s">
        <v>141</v>
      </c>
      <c r="BB1" s="164" t="s">
        <v>142</v>
      </c>
      <c r="BC1" s="162" t="s">
        <v>136</v>
      </c>
      <c r="BD1" s="163" t="s">
        <v>137</v>
      </c>
      <c r="BE1" s="167" t="s">
        <v>138</v>
      </c>
      <c r="BF1" s="164" t="s">
        <v>135</v>
      </c>
      <c r="BG1" s="162" t="s">
        <v>134</v>
      </c>
      <c r="BH1" s="163" t="s">
        <v>133</v>
      </c>
      <c r="BI1" s="167" t="s">
        <v>132</v>
      </c>
      <c r="BJ1" s="164" t="s">
        <v>131</v>
      </c>
      <c r="BK1" s="162" t="s">
        <v>130</v>
      </c>
      <c r="BL1" s="163" t="s">
        <v>129</v>
      </c>
      <c r="BM1" s="167" t="s">
        <v>128</v>
      </c>
      <c r="BN1" s="164" t="s">
        <v>127</v>
      </c>
      <c r="BO1" s="246" t="s">
        <v>186</v>
      </c>
      <c r="BP1" s="246" t="s">
        <v>187</v>
      </c>
      <c r="BQ1" s="247" t="s">
        <v>190</v>
      </c>
      <c r="BR1" s="246" t="s">
        <v>191</v>
      </c>
      <c r="BS1" s="250" t="s">
        <v>199</v>
      </c>
      <c r="BT1" s="250" t="s">
        <v>201</v>
      </c>
      <c r="BU1" s="250" t="s">
        <v>198</v>
      </c>
      <c r="BV1" s="251" t="s">
        <v>27</v>
      </c>
    </row>
    <row r="2" spans="1:74" s="165" customFormat="1" ht="26.4" x14ac:dyDescent="0.3">
      <c r="A2" s="190" t="s">
        <v>184</v>
      </c>
      <c r="B2" s="191" t="s">
        <v>35</v>
      </c>
      <c r="C2" s="192" t="str">
        <f>IF(ISBLANK(B2),"",VLOOKUP(B2,'Base clients'!$A$6:$C$97,2,0))</f>
        <v>LEDUC</v>
      </c>
      <c r="D2" s="193">
        <v>44986</v>
      </c>
      <c r="E2" s="194"/>
      <c r="F2" s="195">
        <v>0.2</v>
      </c>
      <c r="G2" s="196" t="s">
        <v>39</v>
      </c>
      <c r="H2" s="197">
        <v>0.2</v>
      </c>
      <c r="I2" s="198">
        <v>200</v>
      </c>
      <c r="J2" s="199">
        <v>1</v>
      </c>
      <c r="K2" s="196" t="s">
        <v>91</v>
      </c>
      <c r="L2" s="197">
        <v>0.2</v>
      </c>
      <c r="M2" s="198">
        <v>45</v>
      </c>
      <c r="N2" s="199">
        <v>5</v>
      </c>
      <c r="O2" s="196"/>
      <c r="P2" s="197"/>
      <c r="Q2" s="198"/>
      <c r="R2" s="199"/>
      <c r="S2" s="196"/>
      <c r="T2" s="197"/>
      <c r="U2" s="198"/>
      <c r="V2" s="199"/>
      <c r="W2" s="196"/>
      <c r="X2" s="197"/>
      <c r="Y2" s="198"/>
      <c r="Z2" s="199"/>
      <c r="AA2" s="196"/>
      <c r="AB2" s="197"/>
      <c r="AC2" s="198"/>
      <c r="AD2" s="199"/>
      <c r="AE2" s="196"/>
      <c r="AF2" s="197"/>
      <c r="AG2" s="198"/>
      <c r="AH2" s="199"/>
      <c r="AI2" s="196"/>
      <c r="AJ2" s="197"/>
      <c r="AK2" s="198"/>
      <c r="AL2" s="199"/>
      <c r="AM2" s="196"/>
      <c r="AN2" s="197"/>
      <c r="AO2" s="198"/>
      <c r="AP2" s="199"/>
      <c r="AQ2" s="196"/>
      <c r="AR2" s="197"/>
      <c r="AS2" s="198"/>
      <c r="AT2" s="199"/>
      <c r="AU2" s="196"/>
      <c r="AV2" s="197"/>
      <c r="AW2" s="198"/>
      <c r="AX2" s="199"/>
      <c r="AY2" s="196"/>
      <c r="AZ2" s="197"/>
      <c r="BA2" s="198"/>
      <c r="BB2" s="199"/>
      <c r="BC2" s="196"/>
      <c r="BD2" s="197"/>
      <c r="BE2" s="198"/>
      <c r="BF2" s="199"/>
      <c r="BG2" s="196"/>
      <c r="BH2" s="197"/>
      <c r="BI2" s="198"/>
      <c r="BJ2" s="199"/>
      <c r="BK2" s="196"/>
      <c r="BL2" s="197"/>
      <c r="BM2" s="198"/>
      <c r="BN2" s="199"/>
      <c r="BO2" s="247">
        <v>425</v>
      </c>
      <c r="BP2" s="247">
        <v>340</v>
      </c>
      <c r="BQ2" s="247">
        <v>510</v>
      </c>
      <c r="BR2" s="247">
        <v>408</v>
      </c>
      <c r="BS2" s="247" t="s">
        <v>63</v>
      </c>
      <c r="BT2" s="247"/>
      <c r="BU2" s="247"/>
      <c r="BV2" s="247"/>
    </row>
    <row r="3" spans="1:74" s="165" customFormat="1" ht="27.6" x14ac:dyDescent="0.3">
      <c r="A3" s="200" t="s">
        <v>111</v>
      </c>
      <c r="B3" s="201" t="s">
        <v>28</v>
      </c>
      <c r="C3" s="202" t="str">
        <f>IF(ISBLANK(B3),"",VLOOKUP(B3,'Base clients'!$A$6:$C$97,2,0))</f>
        <v>Durand SARL</v>
      </c>
      <c r="D3" s="203">
        <v>45023</v>
      </c>
      <c r="E3" s="203">
        <v>45046</v>
      </c>
      <c r="F3" s="204">
        <v>0.2</v>
      </c>
      <c r="G3" s="205" t="s">
        <v>40</v>
      </c>
      <c r="H3" s="206">
        <v>5.5E-2</v>
      </c>
      <c r="I3" s="207">
        <v>25</v>
      </c>
      <c r="J3" s="208">
        <v>5</v>
      </c>
      <c r="K3" s="205" t="s">
        <v>39</v>
      </c>
      <c r="L3" s="206">
        <v>0.2</v>
      </c>
      <c r="M3" s="207">
        <v>200</v>
      </c>
      <c r="N3" s="208">
        <v>1</v>
      </c>
      <c r="O3" s="205"/>
      <c r="P3" s="206"/>
      <c r="Q3" s="207"/>
      <c r="R3" s="208"/>
      <c r="S3" s="205"/>
      <c r="T3" s="206"/>
      <c r="U3" s="207"/>
      <c r="V3" s="208"/>
      <c r="W3" s="205"/>
      <c r="X3" s="206"/>
      <c r="Y3" s="207"/>
      <c r="Z3" s="208"/>
      <c r="AA3" s="205"/>
      <c r="AB3" s="206"/>
      <c r="AC3" s="207"/>
      <c r="AD3" s="208"/>
      <c r="AE3" s="205"/>
      <c r="AF3" s="206"/>
      <c r="AG3" s="207"/>
      <c r="AH3" s="208"/>
      <c r="AI3" s="205"/>
      <c r="AJ3" s="206"/>
      <c r="AK3" s="207"/>
      <c r="AL3" s="208"/>
      <c r="AM3" s="205"/>
      <c r="AN3" s="206"/>
      <c r="AO3" s="207"/>
      <c r="AP3" s="208"/>
      <c r="AQ3" s="205"/>
      <c r="AR3" s="206"/>
      <c r="AS3" s="207"/>
      <c r="AT3" s="208"/>
      <c r="AU3" s="205"/>
      <c r="AV3" s="206"/>
      <c r="AW3" s="207"/>
      <c r="AX3" s="208"/>
      <c r="AY3" s="205"/>
      <c r="AZ3" s="206"/>
      <c r="BA3" s="207"/>
      <c r="BB3" s="208"/>
      <c r="BC3" s="205"/>
      <c r="BD3" s="206"/>
      <c r="BE3" s="207"/>
      <c r="BF3" s="208"/>
      <c r="BG3" s="205"/>
      <c r="BH3" s="206"/>
      <c r="BI3" s="207"/>
      <c r="BJ3" s="208"/>
      <c r="BK3" s="205"/>
      <c r="BL3" s="206"/>
      <c r="BM3" s="207"/>
      <c r="BN3" s="208"/>
      <c r="BO3" s="247">
        <v>325</v>
      </c>
      <c r="BP3" s="247">
        <v>260</v>
      </c>
      <c r="BQ3" s="247">
        <v>371.88</v>
      </c>
      <c r="BR3" s="247">
        <v>297.5</v>
      </c>
      <c r="BS3" s="247" t="s">
        <v>63</v>
      </c>
      <c r="BT3" s="247"/>
      <c r="BU3" s="247"/>
      <c r="BV3" s="247"/>
    </row>
    <row r="4" spans="1:74" s="165" customFormat="1" ht="15.6" x14ac:dyDescent="0.3">
      <c r="A4" s="200" t="s">
        <v>112</v>
      </c>
      <c r="B4" s="209" t="s">
        <v>35</v>
      </c>
      <c r="C4" s="210" t="str">
        <f>IF(ISBLANK(B4),"",VLOOKUP(B4,'Base clients'!$A$6:$C$97,2,0))</f>
        <v>LEDUC</v>
      </c>
      <c r="D4" s="211">
        <v>45073</v>
      </c>
      <c r="E4" s="211">
        <v>45139</v>
      </c>
      <c r="F4" s="212">
        <v>0</v>
      </c>
      <c r="G4" s="213" t="s">
        <v>108</v>
      </c>
      <c r="H4" s="214">
        <v>0.2</v>
      </c>
      <c r="I4" s="215">
        <v>50</v>
      </c>
      <c r="J4" s="216">
        <v>2</v>
      </c>
      <c r="K4" s="213" t="s">
        <v>110</v>
      </c>
      <c r="L4" s="214">
        <v>0.2</v>
      </c>
      <c r="M4" s="215">
        <v>20</v>
      </c>
      <c r="N4" s="216">
        <v>3</v>
      </c>
      <c r="O4" s="213"/>
      <c r="P4" s="214"/>
      <c r="Q4" s="215"/>
      <c r="R4" s="216"/>
      <c r="S4" s="213"/>
      <c r="T4" s="214"/>
      <c r="U4" s="215"/>
      <c r="V4" s="216"/>
      <c r="W4" s="213"/>
      <c r="X4" s="214"/>
      <c r="Y4" s="215"/>
      <c r="Z4" s="216"/>
      <c r="AA4" s="213"/>
      <c r="AB4" s="214"/>
      <c r="AC4" s="215"/>
      <c r="AD4" s="216"/>
      <c r="AE4" s="213"/>
      <c r="AF4" s="214"/>
      <c r="AG4" s="215"/>
      <c r="AH4" s="216"/>
      <c r="AI4" s="213"/>
      <c r="AJ4" s="214"/>
      <c r="AK4" s="215"/>
      <c r="AL4" s="216"/>
      <c r="AM4" s="213"/>
      <c r="AN4" s="214"/>
      <c r="AO4" s="215"/>
      <c r="AP4" s="216"/>
      <c r="AQ4" s="213"/>
      <c r="AR4" s="214"/>
      <c r="AS4" s="215"/>
      <c r="AT4" s="216"/>
      <c r="AU4" s="213"/>
      <c r="AV4" s="214"/>
      <c r="AW4" s="215"/>
      <c r="AX4" s="216"/>
      <c r="AY4" s="213"/>
      <c r="AZ4" s="214"/>
      <c r="BA4" s="215"/>
      <c r="BB4" s="216"/>
      <c r="BC4" s="213"/>
      <c r="BD4" s="214"/>
      <c r="BE4" s="215"/>
      <c r="BF4" s="216"/>
      <c r="BG4" s="213"/>
      <c r="BH4" s="214"/>
      <c r="BI4" s="215"/>
      <c r="BJ4" s="216"/>
      <c r="BK4" s="213"/>
      <c r="BL4" s="214"/>
      <c r="BM4" s="215"/>
      <c r="BN4" s="216"/>
      <c r="BO4" s="247">
        <v>160</v>
      </c>
      <c r="BP4" s="247">
        <v>160</v>
      </c>
      <c r="BQ4" s="247">
        <v>192</v>
      </c>
      <c r="BR4" s="247">
        <v>192</v>
      </c>
      <c r="BS4" s="247"/>
      <c r="BT4" s="247"/>
      <c r="BU4" s="247"/>
      <c r="BV4" s="247"/>
    </row>
    <row r="5" spans="1:74" s="165" customFormat="1" ht="15.6" x14ac:dyDescent="0.3">
      <c r="A5" s="200" t="s">
        <v>113</v>
      </c>
      <c r="B5" s="209" t="s">
        <v>37</v>
      </c>
      <c r="C5" s="210" t="str">
        <f>IF(ISBLANK(B5),"",VLOOKUP(B5,'Base clients'!$A$6:$C$97,2,0))</f>
        <v>DUBOUCO</v>
      </c>
      <c r="D5" s="211">
        <v>45073</v>
      </c>
      <c r="E5" s="211">
        <v>45170</v>
      </c>
      <c r="F5" s="212">
        <v>0</v>
      </c>
      <c r="G5" s="213" t="s">
        <v>109</v>
      </c>
      <c r="H5" s="214">
        <v>0.2</v>
      </c>
      <c r="I5" s="215">
        <v>30</v>
      </c>
      <c r="J5" s="216">
        <v>4</v>
      </c>
      <c r="K5" s="213"/>
      <c r="L5" s="214"/>
      <c r="M5" s="215"/>
      <c r="N5" s="216"/>
      <c r="O5" s="213"/>
      <c r="P5" s="214"/>
      <c r="Q5" s="215"/>
      <c r="R5" s="216"/>
      <c r="S5" s="213"/>
      <c r="T5" s="214"/>
      <c r="U5" s="215"/>
      <c r="V5" s="216"/>
      <c r="W5" s="213"/>
      <c r="X5" s="214"/>
      <c r="Y5" s="215"/>
      <c r="Z5" s="216"/>
      <c r="AA5" s="213"/>
      <c r="AB5" s="214"/>
      <c r="AC5" s="215"/>
      <c r="AD5" s="216"/>
      <c r="AE5" s="213"/>
      <c r="AF5" s="214"/>
      <c r="AG5" s="215"/>
      <c r="AH5" s="216"/>
      <c r="AI5" s="213"/>
      <c r="AJ5" s="214"/>
      <c r="AK5" s="215"/>
      <c r="AL5" s="216"/>
      <c r="AM5" s="213"/>
      <c r="AN5" s="214"/>
      <c r="AO5" s="215"/>
      <c r="AP5" s="216"/>
      <c r="AQ5" s="213"/>
      <c r="AR5" s="214"/>
      <c r="AS5" s="215"/>
      <c r="AT5" s="216"/>
      <c r="AU5" s="213"/>
      <c r="AV5" s="214"/>
      <c r="AW5" s="215"/>
      <c r="AX5" s="216"/>
      <c r="AY5" s="213"/>
      <c r="AZ5" s="214"/>
      <c r="BA5" s="215"/>
      <c r="BB5" s="216"/>
      <c r="BC5" s="213"/>
      <c r="BD5" s="214"/>
      <c r="BE5" s="215"/>
      <c r="BF5" s="216"/>
      <c r="BG5" s="213"/>
      <c r="BH5" s="214"/>
      <c r="BI5" s="215"/>
      <c r="BJ5" s="216"/>
      <c r="BK5" s="213"/>
      <c r="BL5" s="214"/>
      <c r="BM5" s="215"/>
      <c r="BN5" s="216"/>
      <c r="BO5" s="247">
        <v>120</v>
      </c>
      <c r="BP5" s="247">
        <v>120</v>
      </c>
      <c r="BQ5" s="247">
        <v>144</v>
      </c>
      <c r="BR5" s="247">
        <v>144</v>
      </c>
      <c r="BS5" s="247"/>
      <c r="BT5" s="247"/>
      <c r="BU5" s="247"/>
      <c r="BV5" s="247"/>
    </row>
    <row r="6" spans="1:74" s="165" customFormat="1" ht="15.6" x14ac:dyDescent="0.3">
      <c r="A6" s="217" t="s">
        <v>114</v>
      </c>
      <c r="B6" s="209" t="s">
        <v>35</v>
      </c>
      <c r="C6" s="210" t="str">
        <f>IF(ISBLANK(B6),"",VLOOKUP(B6,'Base clients'!$A$6:$C$97,2,0))</f>
        <v>LEDUC</v>
      </c>
      <c r="D6" s="211">
        <v>45078</v>
      </c>
      <c r="E6" s="211">
        <v>45209</v>
      </c>
      <c r="F6" s="212">
        <v>0</v>
      </c>
      <c r="G6" s="213" t="s">
        <v>93</v>
      </c>
      <c r="H6" s="214">
        <v>0.2</v>
      </c>
      <c r="I6" s="215">
        <v>150</v>
      </c>
      <c r="J6" s="216">
        <v>1</v>
      </c>
      <c r="K6" s="213"/>
      <c r="L6" s="214"/>
      <c r="M6" s="215"/>
      <c r="N6" s="216"/>
      <c r="O6" s="213"/>
      <c r="P6" s="214"/>
      <c r="Q6" s="215"/>
      <c r="R6" s="216"/>
      <c r="S6" s="213"/>
      <c r="T6" s="214"/>
      <c r="U6" s="215"/>
      <c r="V6" s="216"/>
      <c r="W6" s="213"/>
      <c r="X6" s="214"/>
      <c r="Y6" s="215"/>
      <c r="Z6" s="216"/>
      <c r="AA6" s="213"/>
      <c r="AB6" s="214"/>
      <c r="AC6" s="215"/>
      <c r="AD6" s="216"/>
      <c r="AE6" s="213"/>
      <c r="AF6" s="214"/>
      <c r="AG6" s="215"/>
      <c r="AH6" s="216"/>
      <c r="AI6" s="213"/>
      <c r="AJ6" s="214"/>
      <c r="AK6" s="215"/>
      <c r="AL6" s="216"/>
      <c r="AM6" s="213"/>
      <c r="AN6" s="214"/>
      <c r="AO6" s="215"/>
      <c r="AP6" s="216"/>
      <c r="AQ6" s="213"/>
      <c r="AR6" s="214"/>
      <c r="AS6" s="215"/>
      <c r="AT6" s="216"/>
      <c r="AU6" s="213"/>
      <c r="AV6" s="214"/>
      <c r="AW6" s="215"/>
      <c r="AX6" s="216"/>
      <c r="AY6" s="213"/>
      <c r="AZ6" s="214"/>
      <c r="BA6" s="215"/>
      <c r="BB6" s="216"/>
      <c r="BC6" s="213"/>
      <c r="BD6" s="214"/>
      <c r="BE6" s="215"/>
      <c r="BF6" s="216"/>
      <c r="BG6" s="213"/>
      <c r="BH6" s="214"/>
      <c r="BI6" s="215"/>
      <c r="BJ6" s="216"/>
      <c r="BK6" s="213"/>
      <c r="BL6" s="214"/>
      <c r="BM6" s="215"/>
      <c r="BN6" s="216"/>
      <c r="BO6" s="247">
        <v>150</v>
      </c>
      <c r="BP6" s="247">
        <v>150</v>
      </c>
      <c r="BQ6" s="247">
        <v>180</v>
      </c>
      <c r="BR6" s="247">
        <v>180</v>
      </c>
      <c r="BS6" s="247"/>
      <c r="BT6" s="247"/>
      <c r="BU6" s="247"/>
      <c r="BV6" s="247"/>
    </row>
    <row r="7" spans="1:74" s="165" customFormat="1" ht="15.6" x14ac:dyDescent="0.3">
      <c r="A7" s="200" t="s">
        <v>115</v>
      </c>
      <c r="B7" s="209" t="s">
        <v>35</v>
      </c>
      <c r="C7" s="210" t="s">
        <v>95</v>
      </c>
      <c r="D7" s="211" t="s">
        <v>116</v>
      </c>
      <c r="E7" s="211">
        <v>45074</v>
      </c>
      <c r="F7" s="212">
        <v>0.05</v>
      </c>
      <c r="G7" s="213" t="s">
        <v>118</v>
      </c>
      <c r="H7" s="214">
        <v>0.2</v>
      </c>
      <c r="I7" s="215">
        <v>12.36</v>
      </c>
      <c r="J7" s="216">
        <v>2</v>
      </c>
      <c r="K7" s="213" t="s">
        <v>117</v>
      </c>
      <c r="L7" s="214">
        <v>0.2</v>
      </c>
      <c r="M7" s="215">
        <v>25.69</v>
      </c>
      <c r="N7" s="216">
        <v>1</v>
      </c>
      <c r="O7" s="213"/>
      <c r="P7" s="214"/>
      <c r="Q7" s="215"/>
      <c r="R7" s="216"/>
      <c r="S7" s="213"/>
      <c r="T7" s="214"/>
      <c r="U7" s="215"/>
      <c r="V7" s="216"/>
      <c r="W7" s="213"/>
      <c r="X7" s="214"/>
      <c r="Y7" s="215"/>
      <c r="Z7" s="216"/>
      <c r="AA7" s="213"/>
      <c r="AB7" s="214"/>
      <c r="AC7" s="215"/>
      <c r="AD7" s="216"/>
      <c r="AE7" s="213"/>
      <c r="AF7" s="214"/>
      <c r="AG7" s="215"/>
      <c r="AH7" s="216"/>
      <c r="AI7" s="213"/>
      <c r="AJ7" s="214"/>
      <c r="AK7" s="215"/>
      <c r="AL7" s="216"/>
      <c r="AM7" s="213"/>
      <c r="AN7" s="214"/>
      <c r="AO7" s="215"/>
      <c r="AP7" s="216"/>
      <c r="AQ7" s="213"/>
      <c r="AR7" s="214"/>
      <c r="AS7" s="215"/>
      <c r="AT7" s="216"/>
      <c r="AU7" s="213"/>
      <c r="AV7" s="214"/>
      <c r="AW7" s="215"/>
      <c r="AX7" s="216"/>
      <c r="AY7" s="213"/>
      <c r="AZ7" s="214"/>
      <c r="BA7" s="215"/>
      <c r="BB7" s="216"/>
      <c r="BC7" s="213"/>
      <c r="BD7" s="214"/>
      <c r="BE7" s="215"/>
      <c r="BF7" s="216"/>
      <c r="BG7" s="213"/>
      <c r="BH7" s="214"/>
      <c r="BI7" s="215"/>
      <c r="BJ7" s="216"/>
      <c r="BK7" s="213"/>
      <c r="BL7" s="214"/>
      <c r="BM7" s="215"/>
      <c r="BN7" s="216"/>
      <c r="BO7" s="247">
        <v>50.41</v>
      </c>
      <c r="BP7" s="247">
        <v>47.89</v>
      </c>
      <c r="BQ7" s="247">
        <v>60.49</v>
      </c>
      <c r="BR7" s="247">
        <v>57.47</v>
      </c>
      <c r="BS7" s="247"/>
      <c r="BT7" s="247"/>
      <c r="BU7" s="247"/>
      <c r="BV7" s="247"/>
    </row>
    <row r="8" spans="1:74" ht="15.6" x14ac:dyDescent="0.3">
      <c r="A8" s="217" t="s">
        <v>115</v>
      </c>
      <c r="B8" s="209" t="s">
        <v>35</v>
      </c>
      <c r="C8" s="210" t="s">
        <v>95</v>
      </c>
      <c r="D8" s="267">
        <v>45075</v>
      </c>
      <c r="E8" s="267"/>
      <c r="F8" s="268"/>
      <c r="G8" s="269" t="s">
        <v>202</v>
      </c>
      <c r="H8" s="270">
        <v>0.2</v>
      </c>
      <c r="I8" s="271">
        <v>14.5</v>
      </c>
      <c r="J8" s="271">
        <v>5</v>
      </c>
      <c r="K8" s="269" t="s">
        <v>203</v>
      </c>
      <c r="L8" s="270">
        <v>0.2</v>
      </c>
      <c r="M8" s="271">
        <v>55.5</v>
      </c>
      <c r="N8" s="271">
        <v>1</v>
      </c>
      <c r="O8" s="269"/>
      <c r="P8" s="270"/>
      <c r="Q8" s="271"/>
      <c r="R8" s="271"/>
      <c r="S8" s="269"/>
      <c r="T8" s="270"/>
      <c r="U8" s="271"/>
      <c r="V8" s="271"/>
      <c r="W8" s="269"/>
      <c r="X8" s="270"/>
      <c r="Y8" s="271"/>
      <c r="Z8" s="271"/>
      <c r="AA8" s="269"/>
      <c r="AB8" s="270"/>
      <c r="AC8" s="271"/>
      <c r="AD8" s="271"/>
      <c r="AE8" s="269"/>
      <c r="AF8" s="270"/>
      <c r="AG8" s="271"/>
      <c r="AH8" s="271"/>
      <c r="AI8" s="269"/>
      <c r="AJ8" s="270"/>
      <c r="AK8" s="271"/>
      <c r="AL8" s="271"/>
      <c r="AM8" s="269"/>
      <c r="AN8" s="270"/>
      <c r="AO8" s="271"/>
      <c r="AP8" s="271"/>
      <c r="AQ8" s="269"/>
      <c r="AR8" s="270"/>
      <c r="AS8" s="271"/>
      <c r="AT8" s="271"/>
      <c r="AU8" s="269"/>
      <c r="AV8" s="270"/>
      <c r="AW8" s="271"/>
      <c r="AX8" s="271"/>
      <c r="AY8" s="269"/>
      <c r="AZ8" s="270"/>
      <c r="BA8" s="271"/>
      <c r="BB8" s="271"/>
      <c r="BC8" s="269"/>
      <c r="BD8" s="270"/>
      <c r="BE8" s="271"/>
      <c r="BF8" s="271"/>
      <c r="BG8" s="269"/>
      <c r="BH8" s="270"/>
      <c r="BI8" s="271"/>
      <c r="BJ8" s="271"/>
      <c r="BK8" s="269"/>
      <c r="BL8" s="270"/>
      <c r="BM8" s="271"/>
      <c r="BN8" s="271"/>
      <c r="BO8" s="272">
        <v>128</v>
      </c>
      <c r="BP8" s="272">
        <v>128</v>
      </c>
      <c r="BQ8" s="272">
        <v>128</v>
      </c>
      <c r="BR8" s="272">
        <v>128</v>
      </c>
      <c r="BS8" s="272"/>
      <c r="BT8" s="272"/>
      <c r="BU8" s="272"/>
      <c r="BV8" s="272"/>
    </row>
    <row r="10" spans="1:74" x14ac:dyDescent="0.3">
      <c r="V10" s="166"/>
      <c r="Z10" s="166"/>
      <c r="AD10" s="166"/>
      <c r="AH10" s="166"/>
      <c r="AL10" s="166"/>
      <c r="AP10" s="166"/>
      <c r="AT10" s="166"/>
      <c r="AX10" s="166"/>
      <c r="BB10" s="166"/>
      <c r="BF10" s="166"/>
      <c r="BJ10" s="166"/>
      <c r="BN10" s="166"/>
    </row>
    <row r="12" spans="1:74" x14ac:dyDescent="0.3">
      <c r="M12" s="168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82EEF-FF51-426F-A52C-9D1B83AB1145}">
  <sheetPr codeName="Feuil10"/>
  <dimension ref="A1"/>
  <sheetViews>
    <sheetView showGridLines="0" showRowColHeaders="0" tabSelected="1" workbookViewId="0">
      <selection activeCell="F21" sqref="F21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E33E8-2B3C-40F4-9C0E-A091B395D62E}">
  <sheetPr codeName="Feuil4"/>
  <dimension ref="A1:Q49"/>
  <sheetViews>
    <sheetView zoomScaleNormal="100" workbookViewId="0">
      <selection activeCell="D3" sqref="D3"/>
    </sheetView>
  </sheetViews>
  <sheetFormatPr baseColWidth="10" defaultColWidth="11.44140625" defaultRowHeight="13.8" x14ac:dyDescent="0.3"/>
  <cols>
    <col min="1" max="1" width="2.44140625" style="2" customWidth="1"/>
    <col min="2" max="2" width="2.6640625" style="2" customWidth="1"/>
    <col min="3" max="3" width="31.6640625" style="2" customWidth="1"/>
    <col min="4" max="4" width="13" style="2" customWidth="1"/>
    <col min="5" max="5" width="10.33203125" style="2" customWidth="1"/>
    <col min="6" max="6" width="13" style="2" customWidth="1"/>
    <col min="7" max="7" width="8" style="2" customWidth="1"/>
    <col min="8" max="8" width="13" style="2" customWidth="1"/>
    <col min="9" max="9" width="2.44140625" style="2" customWidth="1"/>
    <col min="10" max="10" width="11.44140625" style="2"/>
    <col min="11" max="13" width="17.33203125" style="2" hidden="1" customWidth="1"/>
    <col min="14" max="14" width="0" style="2" hidden="1" customWidth="1"/>
    <col min="15" max="16384" width="11.44140625" style="2"/>
  </cols>
  <sheetData>
    <row r="1" spans="1:16" s="20" customFormat="1" ht="14.4" x14ac:dyDescent="0.3">
      <c r="B1" s="2"/>
      <c r="C1" s="169" t="s">
        <v>42</v>
      </c>
      <c r="D1" s="2"/>
      <c r="E1" s="2"/>
      <c r="F1" s="2"/>
      <c r="G1" s="2"/>
      <c r="H1" s="2"/>
      <c r="I1" s="2"/>
      <c r="J1" s="2"/>
      <c r="K1" s="2"/>
    </row>
    <row r="2" spans="1:16" s="20" customFormat="1" ht="15.6" x14ac:dyDescent="0.3">
      <c r="A2" s="172">
        <f>MATCH(C2,T_Data[[Numéro facture ]],0)</f>
        <v>4</v>
      </c>
      <c r="B2" s="28"/>
      <c r="C2" s="147" t="s">
        <v>113</v>
      </c>
      <c r="E2" s="2"/>
      <c r="F2" s="2"/>
      <c r="I2" s="2"/>
      <c r="J2" s="29"/>
    </row>
    <row r="3" spans="1:16" s="20" customFormat="1" ht="15.6" x14ac:dyDescent="0.3">
      <c r="B3" s="30"/>
      <c r="C3" s="2"/>
      <c r="E3" s="2"/>
      <c r="F3" s="2"/>
      <c r="G3" s="2"/>
      <c r="H3" s="2"/>
      <c r="I3" s="2"/>
      <c r="J3" s="29"/>
      <c r="K3" s="2"/>
    </row>
    <row r="4" spans="1:16" s="20" customFormat="1" ht="14.4" thickBot="1" x14ac:dyDescent="0.35">
      <c r="B4" s="2"/>
      <c r="C4" s="2"/>
      <c r="D4" s="2"/>
      <c r="E4" s="2"/>
      <c r="F4" s="2"/>
      <c r="G4" s="2"/>
      <c r="H4" s="2"/>
      <c r="I4" s="2"/>
      <c r="J4" s="2"/>
      <c r="K4" s="2"/>
    </row>
    <row r="5" spans="1:16" s="20" customFormat="1" ht="14.4" thickTop="1" x14ac:dyDescent="0.3">
      <c r="B5" s="31"/>
      <c r="C5" s="32"/>
      <c r="D5" s="32"/>
      <c r="E5" s="32"/>
      <c r="F5" s="32"/>
      <c r="G5" s="32"/>
      <c r="H5" s="32"/>
      <c r="I5" s="33"/>
      <c r="J5" s="2"/>
      <c r="K5" s="2"/>
    </row>
    <row r="6" spans="1:16" s="20" customFormat="1" ht="24.6" x14ac:dyDescent="0.3">
      <c r="B6" s="34"/>
      <c r="C6" s="35" t="str">
        <f>IF(ISBLANK(Paramètres!B7),"",Paramètres!B7)</f>
        <v>Librairie</v>
      </c>
      <c r="E6" s="234"/>
      <c r="F6" s="145" t="str">
        <f>IF(LEFT(C2,3)="Fac","FACTURE N° ","DEVIS")</f>
        <v xml:space="preserve">FACTURE N° </v>
      </c>
      <c r="G6" s="233" t="str">
        <f>C2</f>
        <v>Fac202305003</v>
      </c>
      <c r="H6" s="146"/>
      <c r="I6" s="36"/>
      <c r="J6" s="37"/>
      <c r="K6" s="2"/>
      <c r="O6" s="171"/>
    </row>
    <row r="7" spans="1:16" s="20" customFormat="1" ht="24.6" x14ac:dyDescent="0.3">
      <c r="B7" s="34"/>
      <c r="C7" s="38" t="str">
        <f>IF(ISBLANK(Paramètres!B9),"",Paramètres!B9)</f>
        <v>Entreprise individuelle</v>
      </c>
      <c r="F7" s="220"/>
      <c r="G7" s="40"/>
      <c r="H7" s="144"/>
      <c r="I7" s="36"/>
      <c r="J7" s="37"/>
      <c r="K7" s="2"/>
      <c r="P7" s="28"/>
    </row>
    <row r="8" spans="1:16" s="20" customFormat="1" ht="16.5" customHeight="1" x14ac:dyDescent="0.3">
      <c r="B8" s="34"/>
      <c r="C8"/>
      <c r="D8" s="2"/>
      <c r="E8" s="2"/>
      <c r="F8" s="39" t="s">
        <v>43</v>
      </c>
      <c r="G8" s="232">
        <f>INDEX(T_Data[],FACTURE!$A$2,5)</f>
        <v>45170</v>
      </c>
      <c r="H8" s="232"/>
      <c r="I8" s="41"/>
      <c r="J8" s="2"/>
      <c r="K8" s="2"/>
      <c r="O8" s="170"/>
    </row>
    <row r="9" spans="1:16" s="20" customFormat="1" ht="15.6" x14ac:dyDescent="0.3">
      <c r="B9" s="34"/>
      <c r="C9" s="38" t="str">
        <f>IF(ISBLANK(Paramètres!B11),"",Paramètres!B11)&amp;" "&amp;IF(ISBLANK(Paramètres!B12),"",Paramètres!B12)</f>
        <v>94220 Charenton le Pont</v>
      </c>
      <c r="D9" s="42" t="str">
        <f>IF(IF(ISERROR(VLOOKUP(#REF!,'Base clients'!$A$6:$L$99,2,0)),"",VLOOKUP(#REF!,'Base clients'!$A$6:$L$99,2,0))=0,"",IF(ISERROR(VLOOKUP(#REF!,'Base clients'!$A$6:$L$99,2,0)),"",VLOOKUP(#REF!,'Base clients'!$A$6:$L$99,2,0)))</f>
        <v/>
      </c>
      <c r="E9" s="2"/>
      <c r="F9" s="2"/>
      <c r="G9" s="43"/>
      <c r="H9" s="43"/>
      <c r="I9" s="41"/>
      <c r="J9" s="2"/>
      <c r="K9" s="2"/>
    </row>
    <row r="10" spans="1:16" s="20" customFormat="1" ht="16.5" customHeight="1" x14ac:dyDescent="0.3">
      <c r="B10" s="34"/>
      <c r="C10" s="38" t="str">
        <f>"Téléphone : "&amp;IF(ISBLANK(Paramètres!B13),"",Paramètres!B13)</f>
        <v>Téléphone : 01 27 71 00 00</v>
      </c>
      <c r="D10" s="44" t="str">
        <f>IF(IF(ISERROR(VLOOKUP(#REF!,'Base clients'!$A$6:$L$99,3,0)),"",VLOOKUP(#REF!,'Base clients'!$A$6:$L$99,3,0))=0,"",IF(ISERROR(VLOOKUP(#REF!,'Base clients'!$A$6:$L$99,3,0)),"",VLOOKUP(#REF!,'Base clients'!$A$6:$L$99,3,0)))</f>
        <v/>
      </c>
      <c r="E10" s="2"/>
      <c r="G10" s="2"/>
      <c r="H10" s="2"/>
      <c r="I10" s="41"/>
      <c r="J10" s="2"/>
      <c r="K10" s="2"/>
    </row>
    <row r="11" spans="1:16" s="20" customFormat="1" ht="16.5" customHeight="1" x14ac:dyDescent="0.3">
      <c r="B11" s="34"/>
      <c r="C11" s="38" t="str">
        <f>"Siret : "&amp;IF(ISBLANK(Paramètres!B14),"",Paramètres!B14)</f>
        <v>Siret : 519 787 999 00011</v>
      </c>
      <c r="D11" s="219" t="str">
        <f>INDEX(T_Data[],A2,2)</f>
        <v>C0004</v>
      </c>
      <c r="E11" s="2"/>
      <c r="G11" s="2"/>
      <c r="H11" s="2"/>
      <c r="I11" s="41"/>
      <c r="J11" s="2"/>
      <c r="K11" s="2"/>
    </row>
    <row r="12" spans="1:16" s="20" customFormat="1" ht="16.5" customHeight="1" x14ac:dyDescent="0.3">
      <c r="B12" s="34"/>
      <c r="C12" s="38" t="str">
        <f>IF(ISBLANK(Paramètres!B15),"","N° TVA : "&amp;Paramètres!B15)</f>
        <v>N° TVA : FR895645875</v>
      </c>
      <c r="E12" s="45" t="str">
        <f>INDEX(T_Client[],MATCH(D$11,Liste_client,0),2)</f>
        <v>DUBOUCO</v>
      </c>
      <c r="F12" s="2"/>
      <c r="G12" s="45" t="str">
        <f>INDEX(T_Client[],MATCH($D$11,Liste_client,0),3)</f>
        <v>Jeannine</v>
      </c>
      <c r="H12" s="2"/>
      <c r="I12" s="41"/>
      <c r="J12" s="2"/>
      <c r="K12" s="2"/>
    </row>
    <row r="13" spans="1:16" s="20" customFormat="1" x14ac:dyDescent="0.3">
      <c r="B13" s="34"/>
      <c r="E13" s="45" t="str">
        <f>INDEX(T_Client[],MATCH($D$11,Liste_client,0),4)</f>
        <v>2 rue de l'étang</v>
      </c>
      <c r="F13" s="4"/>
      <c r="H13" s="2"/>
      <c r="I13" s="41"/>
      <c r="J13" s="2"/>
      <c r="K13" s="2"/>
    </row>
    <row r="14" spans="1:16" s="20" customFormat="1" x14ac:dyDescent="0.3">
      <c r="B14" s="34"/>
      <c r="C14" s="45"/>
      <c r="E14" s="218" t="str">
        <f>INDEX(T_Client[],MATCH($D$11,Liste_client,0),5)</f>
        <v>02200</v>
      </c>
      <c r="F14" s="45" t="str">
        <f>INDEX(T_Client[],MATCH($D$11,Liste_client,0),6)</f>
        <v>Soisson</v>
      </c>
      <c r="H14" s="2"/>
      <c r="I14" s="41"/>
      <c r="J14" s="2"/>
      <c r="K14" s="2"/>
    </row>
    <row r="15" spans="1:16" s="20" customFormat="1" x14ac:dyDescent="0.3">
      <c r="B15" s="34"/>
      <c r="C15" s="46"/>
      <c r="G15" s="2"/>
      <c r="H15" s="2"/>
      <c r="I15" s="41"/>
      <c r="J15" s="2"/>
      <c r="K15" s="2"/>
    </row>
    <row r="16" spans="1:16" x14ac:dyDescent="0.3">
      <c r="B16" s="34"/>
      <c r="C16" s="151"/>
      <c r="D16" s="151"/>
      <c r="I16" s="41"/>
      <c r="L16" s="47"/>
    </row>
    <row r="17" spans="1:16" ht="14.4" x14ac:dyDescent="0.3">
      <c r="B17" s="34"/>
      <c r="D17" s="48"/>
      <c r="I17" s="41"/>
      <c r="K17" s="49">
        <f>Paramètres!B17</f>
        <v>0</v>
      </c>
      <c r="L17" s="50">
        <f>Paramètres!B18</f>
        <v>5.5E-2</v>
      </c>
      <c r="M17" s="50">
        <f>Paramètres!B19</f>
        <v>0.2</v>
      </c>
    </row>
    <row r="18" spans="1:16" ht="27.6" x14ac:dyDescent="0.3">
      <c r="B18" s="34"/>
      <c r="C18" s="224" t="s">
        <v>44</v>
      </c>
      <c r="D18" s="51" t="s">
        <v>45</v>
      </c>
      <c r="E18" s="51" t="s">
        <v>46</v>
      </c>
      <c r="F18" s="51" t="s">
        <v>47</v>
      </c>
      <c r="G18" s="225" t="s">
        <v>48</v>
      </c>
      <c r="H18" s="51" t="s">
        <v>188</v>
      </c>
      <c r="I18" s="41"/>
      <c r="K18" s="52" t="s">
        <v>49</v>
      </c>
      <c r="L18" s="52" t="s">
        <v>49</v>
      </c>
      <c r="M18" s="52" t="s">
        <v>49</v>
      </c>
      <c r="P18" s="221"/>
    </row>
    <row r="19" spans="1:16" ht="15" x14ac:dyDescent="0.3">
      <c r="B19" s="34"/>
      <c r="C19" s="226"/>
      <c r="D19" s="227"/>
      <c r="E19" s="228"/>
      <c r="F19" s="228"/>
      <c r="G19" s="229"/>
      <c r="H19" s="223"/>
      <c r="I19" s="41"/>
    </row>
    <row r="20" spans="1:16" ht="15" x14ac:dyDescent="0.3">
      <c r="A20" s="53"/>
      <c r="B20" s="34"/>
      <c r="C20" s="222" t="str">
        <f>IF(INDEX(T_Data[],FACTURE!$A$2,7)&lt;&gt;0,INDEX(T_Data[],FACTURE!$A$2,7),"")</f>
        <v>Revues</v>
      </c>
      <c r="D20" s="223">
        <f>IF(C20&lt;&gt;"",INDEX(T_Data[],FACTURE!$A$2,9),"")</f>
        <v>30</v>
      </c>
      <c r="E20" s="245">
        <f>IF(C20&lt;&gt;"",INDEX(T_Data[],FACTURE!$A$2,10),"")</f>
        <v>4</v>
      </c>
      <c r="F20" s="223">
        <f>IF(D20&lt;&gt;"",D20*E20,"")</f>
        <v>120</v>
      </c>
      <c r="G20" s="230">
        <f>IF(C20&lt;&gt;"",INDEX(T_Data[],FACTURE!$A$2,8),"")</f>
        <v>0.2</v>
      </c>
      <c r="H20" s="223">
        <f>IF(C20&lt;&gt;"",F20+(F20*G20),"")</f>
        <v>144</v>
      </c>
      <c r="I20" s="41"/>
      <c r="K20" s="54">
        <f>IF($G20=K$17,$F20*$G20,0)</f>
        <v>0</v>
      </c>
      <c r="L20" s="54">
        <f t="shared" ref="L20:M34" si="0">IF($G20=L$17,$F20*$G20,0)</f>
        <v>0</v>
      </c>
      <c r="M20" s="54">
        <f t="shared" si="0"/>
        <v>24</v>
      </c>
    </row>
    <row r="21" spans="1:16" ht="15" x14ac:dyDescent="0.3">
      <c r="A21" s="53"/>
      <c r="B21" s="34"/>
      <c r="C21" s="222" t="str">
        <f>IF(INDEX(T_Data[],FACTURE!$A$2,11)&lt;&gt;0,INDEX(T_Data[],FACTURE!$A$2,11),"")</f>
        <v/>
      </c>
      <c r="D21" s="223" t="str">
        <f>IF(C21&lt;&gt;"",INDEX(T_Data[],FACTURE!$A$2,13),"")</f>
        <v/>
      </c>
      <c r="E21" s="245" t="str">
        <f>IF(C21&lt;&gt;"",INDEX(T_Data[],FACTURE!$A$2,14),"")</f>
        <v/>
      </c>
      <c r="F21" s="223" t="str">
        <f t="shared" ref="F21:F34" si="1">IF(D21&lt;&gt;"",D21*E21,"")</f>
        <v/>
      </c>
      <c r="G21" s="230" t="str">
        <f>IF(C21&lt;&gt;"",INDEX(T_Data[],FACTURE!$A$2,12),"")</f>
        <v/>
      </c>
      <c r="H21" s="223" t="str">
        <f t="shared" ref="H21:H34" si="2">IF(C21&lt;&gt;"",F21+(F21*G21),"")</f>
        <v/>
      </c>
      <c r="I21" s="41"/>
      <c r="K21" s="55">
        <f t="shared" ref="K21:K34" si="3">IF($G21=K$17,$F21*$G21,0)</f>
        <v>0</v>
      </c>
      <c r="L21" s="55">
        <f t="shared" si="0"/>
        <v>0</v>
      </c>
      <c r="M21" s="55">
        <f t="shared" si="0"/>
        <v>0</v>
      </c>
    </row>
    <row r="22" spans="1:16" ht="15" x14ac:dyDescent="0.3">
      <c r="A22" s="53"/>
      <c r="B22" s="34"/>
      <c r="C22" s="222" t="str">
        <f>IF(INDEX(T_Data[],FACTURE!$A$2,15)&lt;&gt;0,INDEX(T_Data[],FACTURE!$A$2,15),"")</f>
        <v/>
      </c>
      <c r="D22" s="223" t="str">
        <f>IF(C22&lt;&gt;"",INDEX(T_Data[],FACTURE!$A$2,17),"")</f>
        <v/>
      </c>
      <c r="E22" s="245" t="str">
        <f>IF(C22&lt;&gt;"",INDEX(T_Data[],FACTURE!$A$2,18),"")</f>
        <v/>
      </c>
      <c r="F22" s="223" t="str">
        <f t="shared" si="1"/>
        <v/>
      </c>
      <c r="G22" s="230" t="str">
        <f>IF(C22&lt;&gt;"",INDEX(T_Data[],FACTURE!$A$2,16),"")</f>
        <v/>
      </c>
      <c r="H22" s="223" t="str">
        <f t="shared" si="2"/>
        <v/>
      </c>
      <c r="I22" s="41"/>
      <c r="K22" s="55">
        <f t="shared" si="3"/>
        <v>0</v>
      </c>
      <c r="L22" s="55">
        <f t="shared" si="0"/>
        <v>0</v>
      </c>
      <c r="M22" s="55">
        <f t="shared" si="0"/>
        <v>0</v>
      </c>
    </row>
    <row r="23" spans="1:16" ht="15" x14ac:dyDescent="0.3">
      <c r="A23" s="53"/>
      <c r="B23" s="34"/>
      <c r="C23" s="222" t="str">
        <f>IF(INDEX(T_Data[],FACTURE!$A$2,19)&lt;&gt;0,INDEX(T_Data[],FACTURE!$A$2,19),"")</f>
        <v/>
      </c>
      <c r="D23" s="223" t="str">
        <f>IF(C23&lt;&gt;"",INDEX(T_Data[],FACTURE!$A$2,21),"")</f>
        <v/>
      </c>
      <c r="E23" s="245" t="str">
        <f>IF(C23&lt;&gt;"",INDEX(T_Data[],FACTURE!$A$2,22),"")</f>
        <v/>
      </c>
      <c r="F23" s="223" t="str">
        <f t="shared" si="1"/>
        <v/>
      </c>
      <c r="G23" s="230" t="str">
        <f>IF(C23&lt;&gt;"",INDEX(T_Data[],FACTURE!$A$2,20),"")</f>
        <v/>
      </c>
      <c r="H23" s="223" t="str">
        <f t="shared" si="2"/>
        <v/>
      </c>
      <c r="I23" s="41"/>
      <c r="K23" s="55">
        <f t="shared" si="3"/>
        <v>0</v>
      </c>
      <c r="L23" s="55">
        <f t="shared" si="0"/>
        <v>0</v>
      </c>
      <c r="M23" s="55">
        <f t="shared" si="0"/>
        <v>0</v>
      </c>
    </row>
    <row r="24" spans="1:16" ht="15" x14ac:dyDescent="0.3">
      <c r="A24" s="53"/>
      <c r="B24" s="34"/>
      <c r="C24" s="222" t="str">
        <f>IF(INDEX(T_Data[],FACTURE!$A$2,23)&lt;&gt;0,INDEX(T_Data[],FACTURE!$A$2,23),"")</f>
        <v/>
      </c>
      <c r="D24" s="223" t="str">
        <f>IF(C24&lt;&gt;"",INDEX(T_Data[],FACTURE!$A$2,25),"")</f>
        <v/>
      </c>
      <c r="E24" s="245" t="str">
        <f>IF(C24&lt;&gt;"",INDEX(T_Data[],FACTURE!$A$2,26),"")</f>
        <v/>
      </c>
      <c r="F24" s="223" t="str">
        <f t="shared" si="1"/>
        <v/>
      </c>
      <c r="G24" s="230" t="str">
        <f>IF(C24&lt;&gt;"",INDEX(T_Data[],FACTURE!$A$2,24),"")</f>
        <v/>
      </c>
      <c r="H24" s="223" t="str">
        <f t="shared" si="2"/>
        <v/>
      </c>
      <c r="I24" s="41"/>
      <c r="K24" s="55">
        <f t="shared" si="3"/>
        <v>0</v>
      </c>
      <c r="L24" s="55">
        <f t="shared" si="0"/>
        <v>0</v>
      </c>
      <c r="M24" s="55">
        <f t="shared" si="0"/>
        <v>0</v>
      </c>
    </row>
    <row r="25" spans="1:16" ht="15" x14ac:dyDescent="0.3">
      <c r="A25" s="53"/>
      <c r="B25" s="34"/>
      <c r="C25" s="222" t="str">
        <f>IF(INDEX(T_Data[],FACTURE!$A$2,27)&lt;&gt;0,INDEX(T_Data[],FACTURE!$A$2,27),"")</f>
        <v/>
      </c>
      <c r="D25" s="223" t="str">
        <f>IF(C25&lt;&gt;"",INDEX(T_Data[],FACTURE!$A$2,29),"")</f>
        <v/>
      </c>
      <c r="E25" s="245" t="str">
        <f>IF(C25&lt;&gt;"",INDEX(T_Data[],FACTURE!$A$2,30),"")</f>
        <v/>
      </c>
      <c r="F25" s="223" t="str">
        <f t="shared" si="1"/>
        <v/>
      </c>
      <c r="G25" s="230" t="str">
        <f>IF(C25&lt;&gt;"",INDEX(T_Data[],FACTURE!$A$2,28),"")</f>
        <v/>
      </c>
      <c r="H25" s="223" t="str">
        <f t="shared" si="2"/>
        <v/>
      </c>
      <c r="I25" s="41"/>
      <c r="K25" s="55">
        <f t="shared" si="3"/>
        <v>0</v>
      </c>
      <c r="L25" s="55">
        <f t="shared" si="0"/>
        <v>0</v>
      </c>
      <c r="M25" s="55">
        <f t="shared" si="0"/>
        <v>0</v>
      </c>
    </row>
    <row r="26" spans="1:16" ht="15" x14ac:dyDescent="0.3">
      <c r="A26" s="53"/>
      <c r="B26" s="34"/>
      <c r="C26" s="222" t="str">
        <f>IF(INDEX(T_Data[],FACTURE!$A$2,31)&lt;&gt;0,INDEX(T_Data[],FACTURE!$A$2,31),"")</f>
        <v/>
      </c>
      <c r="D26" s="223" t="str">
        <f>IF(C26&lt;&gt;"",INDEX(T_Data[],FACTURE!$A$2,33),"")</f>
        <v/>
      </c>
      <c r="E26" s="245" t="str">
        <f>IF(C26&lt;&gt;"",INDEX(T_Data[],FACTURE!$A$2,34),"")</f>
        <v/>
      </c>
      <c r="F26" s="223" t="str">
        <f t="shared" si="1"/>
        <v/>
      </c>
      <c r="G26" s="230" t="str">
        <f>IF(C26&lt;&gt;"",INDEX(T_Data[],FACTURE!$A$2,32),"")</f>
        <v/>
      </c>
      <c r="H26" s="223" t="str">
        <f t="shared" si="2"/>
        <v/>
      </c>
      <c r="I26" s="41"/>
      <c r="K26" s="55">
        <f t="shared" si="3"/>
        <v>0</v>
      </c>
      <c r="L26" s="55">
        <f t="shared" si="0"/>
        <v>0</v>
      </c>
      <c r="M26" s="55">
        <f t="shared" si="0"/>
        <v>0</v>
      </c>
    </row>
    <row r="27" spans="1:16" ht="15" x14ac:dyDescent="0.3">
      <c r="A27" s="53"/>
      <c r="B27" s="34"/>
      <c r="C27" s="222" t="str">
        <f>IF(INDEX(T_Data[],FACTURE!$A$2,35)&lt;&gt;0,INDEX(T_Data[],FACTURE!$A$2,35),"")</f>
        <v/>
      </c>
      <c r="D27" s="223" t="str">
        <f>IF(C27&lt;&gt;"",INDEX(T_Data[],FACTURE!$A$2,37),"")</f>
        <v/>
      </c>
      <c r="E27" s="245" t="str">
        <f>IF(C27&lt;&gt;"",INDEX(T_Data[],FACTURE!$A$2,38),"")</f>
        <v/>
      </c>
      <c r="F27" s="223" t="str">
        <f t="shared" si="1"/>
        <v/>
      </c>
      <c r="G27" s="230" t="str">
        <f>IF(C27&lt;&gt;"",INDEX(T_Data[],FACTURE!$A$2,36),"")</f>
        <v/>
      </c>
      <c r="H27" s="223" t="str">
        <f t="shared" si="2"/>
        <v/>
      </c>
      <c r="I27" s="41"/>
      <c r="K27" s="55">
        <f t="shared" si="3"/>
        <v>0</v>
      </c>
      <c r="L27" s="55">
        <f t="shared" si="0"/>
        <v>0</v>
      </c>
      <c r="M27" s="55">
        <f t="shared" si="0"/>
        <v>0</v>
      </c>
    </row>
    <row r="28" spans="1:16" ht="15" x14ac:dyDescent="0.3">
      <c r="A28" s="53"/>
      <c r="B28" s="34"/>
      <c r="C28" s="222" t="str">
        <f>IF(INDEX(T_Data[],FACTURE!$A$2,39)&lt;&gt;0,INDEX(T_Data[],FACTURE!$A$2,39),"")</f>
        <v/>
      </c>
      <c r="D28" s="223" t="str">
        <f>IF(C28&lt;&gt;"",INDEX(T_Data[],FACTURE!$A$2,41),"")</f>
        <v/>
      </c>
      <c r="E28" s="245" t="str">
        <f>IF(C28&lt;&gt;"",INDEX(T_Data[],FACTURE!$A$2,42),"")</f>
        <v/>
      </c>
      <c r="F28" s="223" t="str">
        <f t="shared" si="1"/>
        <v/>
      </c>
      <c r="G28" s="230" t="str">
        <f>IF(C28&lt;&gt;"",INDEX(T_Data[],FACTURE!$A$2,40),"")</f>
        <v/>
      </c>
      <c r="H28" s="223" t="str">
        <f t="shared" si="2"/>
        <v/>
      </c>
      <c r="I28" s="41"/>
      <c r="K28" s="55">
        <f t="shared" si="3"/>
        <v>0</v>
      </c>
      <c r="L28" s="55">
        <f t="shared" si="0"/>
        <v>0</v>
      </c>
      <c r="M28" s="55">
        <f t="shared" si="0"/>
        <v>0</v>
      </c>
    </row>
    <row r="29" spans="1:16" ht="15" x14ac:dyDescent="0.3">
      <c r="A29" s="53"/>
      <c r="B29" s="34"/>
      <c r="C29" s="222" t="str">
        <f>IF(INDEX(T_Data[],FACTURE!$A$2,43)&lt;&gt;0,INDEX(T_Data[],FACTURE!$A$2,43),"")</f>
        <v/>
      </c>
      <c r="D29" s="223" t="str">
        <f>IF(C29&lt;&gt;"",INDEX(T_Data[],FACTURE!$A$2,45),"")</f>
        <v/>
      </c>
      <c r="E29" s="245" t="str">
        <f>IF(C29&lt;&gt;"",INDEX(T_Data[],FACTURE!$A$2,46),"")</f>
        <v/>
      </c>
      <c r="F29" s="223" t="str">
        <f t="shared" si="1"/>
        <v/>
      </c>
      <c r="G29" s="230" t="str">
        <f>IF(C29&lt;&gt;"",INDEX(T_Data[],FACTURE!$A$2,44),"")</f>
        <v/>
      </c>
      <c r="H29" s="223" t="str">
        <f t="shared" si="2"/>
        <v/>
      </c>
      <c r="I29" s="41"/>
      <c r="K29" s="55">
        <f t="shared" si="3"/>
        <v>0</v>
      </c>
      <c r="L29" s="55">
        <f t="shared" si="0"/>
        <v>0</v>
      </c>
      <c r="M29" s="55">
        <f t="shared" si="0"/>
        <v>0</v>
      </c>
    </row>
    <row r="30" spans="1:16" ht="15" x14ac:dyDescent="0.3">
      <c r="A30" s="53"/>
      <c r="B30" s="34"/>
      <c r="C30" s="222" t="str">
        <f>IF(INDEX(T_Data[],FACTURE!$A$2,47)&lt;&gt;0,INDEX(T_Data[],FACTURE!$A$2,47),"")</f>
        <v/>
      </c>
      <c r="D30" s="223" t="str">
        <f>IF(C30&lt;&gt;"",INDEX(T_Data[],FACTURE!$A$2,49),"")</f>
        <v/>
      </c>
      <c r="E30" s="245" t="str">
        <f>IF(C30&lt;&gt;"",INDEX(T_Data[],FACTURE!$A$2,50),"")</f>
        <v/>
      </c>
      <c r="F30" s="223" t="str">
        <f t="shared" si="1"/>
        <v/>
      </c>
      <c r="G30" s="230" t="str">
        <f>IF(C30&lt;&gt;"",INDEX(T_Data[],FACTURE!$A$2,48),"")</f>
        <v/>
      </c>
      <c r="H30" s="223" t="str">
        <f t="shared" si="2"/>
        <v/>
      </c>
      <c r="I30" s="41"/>
      <c r="K30" s="55">
        <f t="shared" si="3"/>
        <v>0</v>
      </c>
      <c r="L30" s="55">
        <f t="shared" si="0"/>
        <v>0</v>
      </c>
      <c r="M30" s="55">
        <f t="shared" si="0"/>
        <v>0</v>
      </c>
    </row>
    <row r="31" spans="1:16" ht="15" x14ac:dyDescent="0.3">
      <c r="A31" s="53"/>
      <c r="B31" s="34"/>
      <c r="C31" s="222" t="str">
        <f>IF(INDEX(T_Data[],FACTURE!$A$2,51)&lt;&gt;0,INDEX(T_Data[],FACTURE!$A$2,51),"")</f>
        <v/>
      </c>
      <c r="D31" s="223" t="str">
        <f>IF(C31&lt;&gt;"",INDEX(T_Data[],FACTURE!$A$2,53),"")</f>
        <v/>
      </c>
      <c r="E31" s="245" t="str">
        <f>IF(C31&lt;&gt;"",INDEX(T_Data[],FACTURE!$A$2,54),"")</f>
        <v/>
      </c>
      <c r="F31" s="223" t="str">
        <f t="shared" si="1"/>
        <v/>
      </c>
      <c r="G31" s="230" t="str">
        <f>IF(C31&lt;&gt;"",INDEX(T_Data[],FACTURE!$A$2,52),"")</f>
        <v/>
      </c>
      <c r="H31" s="223" t="str">
        <f t="shared" si="2"/>
        <v/>
      </c>
      <c r="I31" s="41"/>
      <c r="K31" s="55">
        <f t="shared" si="3"/>
        <v>0</v>
      </c>
      <c r="L31" s="55">
        <f t="shared" si="0"/>
        <v>0</v>
      </c>
      <c r="M31" s="55">
        <f t="shared" si="0"/>
        <v>0</v>
      </c>
    </row>
    <row r="32" spans="1:16" ht="15" x14ac:dyDescent="0.3">
      <c r="A32" s="53"/>
      <c r="B32" s="34"/>
      <c r="C32" s="222" t="str">
        <f>IF(INDEX(T_Data[],FACTURE!$A$2,55)&lt;&gt;0,INDEX(T_Data[],FACTURE!$A$2,55),"")</f>
        <v/>
      </c>
      <c r="D32" s="223" t="str">
        <f>IF(C32&lt;&gt;"",INDEX(T_Data[],FACTURE!$A$2,57),"")</f>
        <v/>
      </c>
      <c r="E32" s="245" t="str">
        <f>IF(C32&lt;&gt;"",INDEX(T_Data[],FACTURE!$A$2,58),"")</f>
        <v/>
      </c>
      <c r="F32" s="223" t="str">
        <f t="shared" si="1"/>
        <v/>
      </c>
      <c r="G32" s="230" t="str">
        <f>IF(C32&lt;&gt;"",INDEX(T_Data[],FACTURE!$A$2,56),"")</f>
        <v/>
      </c>
      <c r="H32" s="223" t="str">
        <f t="shared" si="2"/>
        <v/>
      </c>
      <c r="I32" s="41"/>
      <c r="K32" s="55">
        <f t="shared" si="3"/>
        <v>0</v>
      </c>
      <c r="L32" s="55">
        <f t="shared" si="0"/>
        <v>0</v>
      </c>
      <c r="M32" s="55">
        <f t="shared" si="0"/>
        <v>0</v>
      </c>
    </row>
    <row r="33" spans="1:14" ht="15" x14ac:dyDescent="0.3">
      <c r="A33" s="53"/>
      <c r="B33" s="34"/>
      <c r="C33" s="222" t="str">
        <f>IF(INDEX(T_Data[],FACTURE!$A$2,59)&lt;&gt;0,INDEX(T_Data[],FACTURE!$A$2,59),"")</f>
        <v/>
      </c>
      <c r="D33" s="223" t="str">
        <f>IF(C33&lt;&gt;"",INDEX(T_Data[],FACTURE!$A$2,61),"")</f>
        <v/>
      </c>
      <c r="E33" s="245" t="str">
        <f>IF(C33&lt;&gt;"",INDEX(T_Data[],FACTURE!$A$2,62),"")</f>
        <v/>
      </c>
      <c r="F33" s="223" t="str">
        <f t="shared" si="1"/>
        <v/>
      </c>
      <c r="G33" s="230" t="str">
        <f>IF(C33&lt;&gt;"",INDEX(T_Data[],FACTURE!$A$2,60),"")</f>
        <v/>
      </c>
      <c r="H33" s="223" t="str">
        <f t="shared" si="2"/>
        <v/>
      </c>
      <c r="I33" s="41"/>
      <c r="K33" s="55">
        <f t="shared" si="3"/>
        <v>0</v>
      </c>
      <c r="L33" s="55">
        <f t="shared" si="0"/>
        <v>0</v>
      </c>
      <c r="M33" s="55">
        <f t="shared" si="0"/>
        <v>0</v>
      </c>
    </row>
    <row r="34" spans="1:14" ht="15" x14ac:dyDescent="0.3">
      <c r="A34" s="53"/>
      <c r="B34" s="34"/>
      <c r="C34" s="222" t="str">
        <f>IF(INDEX(T_Data[],FACTURE!$A$2,63)&lt;&gt;0,INDEX(T_Data[],FACTURE!$A$2,63),"")</f>
        <v/>
      </c>
      <c r="D34" s="223" t="str">
        <f>IF(C34&lt;&gt;"",INDEX(T_Data[],FACTURE!$A$2,65),"")</f>
        <v/>
      </c>
      <c r="E34" s="245" t="str">
        <f>IF(C34&lt;&gt;"",INDEX(T_Data[],FACTURE!$A$2,66),"")</f>
        <v/>
      </c>
      <c r="F34" s="223" t="str">
        <f t="shared" si="1"/>
        <v/>
      </c>
      <c r="G34" s="230" t="str">
        <f>IF(C34&lt;&gt;"",INDEX(T_Data[],FACTURE!$A$2,64),"")</f>
        <v/>
      </c>
      <c r="H34" s="223" t="str">
        <f t="shared" si="2"/>
        <v/>
      </c>
      <c r="I34" s="41"/>
      <c r="K34" s="56">
        <f t="shared" si="3"/>
        <v>0</v>
      </c>
      <c r="L34" s="56">
        <f t="shared" si="0"/>
        <v>0</v>
      </c>
      <c r="M34" s="56">
        <f t="shared" si="0"/>
        <v>0</v>
      </c>
    </row>
    <row r="35" spans="1:14" ht="89.25" customHeight="1" x14ac:dyDescent="0.3">
      <c r="A35" s="53"/>
      <c r="B35" s="34"/>
      <c r="C35" s="57"/>
      <c r="D35" s="58"/>
      <c r="E35" s="59"/>
      <c r="F35" s="60"/>
      <c r="G35" s="61"/>
      <c r="H35" s="61"/>
      <c r="I35" s="41"/>
      <c r="K35" s="62">
        <f>SUM(K20:K34)</f>
        <v>0</v>
      </c>
      <c r="L35" s="62">
        <f t="shared" ref="L35:M35" si="4">SUM(L20:L34)</f>
        <v>0</v>
      </c>
      <c r="M35" s="62">
        <f t="shared" si="4"/>
        <v>24</v>
      </c>
      <c r="N35" s="63" t="s">
        <v>50</v>
      </c>
    </row>
    <row r="36" spans="1:14" x14ac:dyDescent="0.3">
      <c r="B36" s="34"/>
      <c r="C36" s="64"/>
      <c r="F36" s="20" t="s">
        <v>53</v>
      </c>
      <c r="G36" s="240"/>
      <c r="H36" s="240" t="s">
        <v>54</v>
      </c>
      <c r="I36" s="41"/>
    </row>
    <row r="37" spans="1:14" x14ac:dyDescent="0.3">
      <c r="B37" s="34"/>
      <c r="C37" s="236" t="s">
        <v>51</v>
      </c>
      <c r="D37" s="231"/>
      <c r="E37" s="239"/>
      <c r="F37" s="243">
        <f>SUM(F20:F35)</f>
        <v>120</v>
      </c>
      <c r="G37" s="67"/>
      <c r="H37" s="243">
        <f>SUM(H20:H35)</f>
        <v>144</v>
      </c>
      <c r="I37" s="41"/>
    </row>
    <row r="38" spans="1:14" x14ac:dyDescent="0.3">
      <c r="B38" s="34"/>
      <c r="C38" s="237">
        <f>INDEX(T_Data[],FACTURE!A2,5)</f>
        <v>45170</v>
      </c>
      <c r="D38" s="231"/>
      <c r="E38" s="241" t="str">
        <f>IF(ISBLANK(HLOOKUP($C$2,#REF!,6,0)),"","Remise :")</f>
        <v>Remise :</v>
      </c>
      <c r="F38" s="238">
        <f>INDEX(T_Data[],FACTURE!A2,6)</f>
        <v>0</v>
      </c>
      <c r="G38" s="67"/>
      <c r="I38" s="41"/>
    </row>
    <row r="39" spans="1:14" ht="15.6" x14ac:dyDescent="0.3">
      <c r="B39" s="34"/>
      <c r="C39" s="66"/>
      <c r="E39" s="242" t="s">
        <v>52</v>
      </c>
      <c r="F39" s="243">
        <f>IF(ISERROR(F37-F38*F37),F37,(F37-F38*F37))</f>
        <v>120</v>
      </c>
      <c r="G39" s="67"/>
      <c r="H39" s="244">
        <f>H37-(H37*F38)</f>
        <v>144</v>
      </c>
      <c r="I39" s="41"/>
    </row>
    <row r="40" spans="1:14" ht="15.6" customHeight="1" x14ac:dyDescent="0.3">
      <c r="B40" s="34"/>
      <c r="C40" s="235" t="s">
        <v>189</v>
      </c>
      <c r="D40" s="67"/>
      <c r="E40" s="239"/>
      <c r="F40" s="239"/>
      <c r="G40" s="67"/>
      <c r="H40" s="67"/>
      <c r="I40" s="41"/>
    </row>
    <row r="41" spans="1:14" x14ac:dyDescent="0.3">
      <c r="B41" s="34"/>
      <c r="C41" s="235"/>
      <c r="E41" s="231"/>
      <c r="F41" s="231"/>
      <c r="G41" s="67"/>
      <c r="H41" s="67"/>
      <c r="I41" s="41"/>
    </row>
    <row r="42" spans="1:14" ht="18" customHeight="1" x14ac:dyDescent="0.3">
      <c r="B42" s="34"/>
      <c r="C42" s="235"/>
      <c r="E42" s="68" t="str">
        <f>IF(ISBLANK(Paramètres!B17),"","TVA à "&amp;Paramètres!B17*100&amp;"% :")</f>
        <v>TVA à 0% :</v>
      </c>
      <c r="F42" s="69">
        <f>IF(F38="",K35,IF(ISERROR(K35-K35*F38),0,K35-K35*F38))</f>
        <v>0</v>
      </c>
      <c r="G42" s="67"/>
      <c r="H42" s="67"/>
      <c r="I42" s="41"/>
    </row>
    <row r="43" spans="1:14" ht="18" customHeight="1" x14ac:dyDescent="0.3">
      <c r="B43" s="34"/>
      <c r="C43" s="235"/>
      <c r="E43" s="70" t="str">
        <f>IF(ISBLANK(Paramètres!B18),"","TVA à "&amp;Paramètres!B18*100&amp;"% :")</f>
        <v>TVA à 5.5% :</v>
      </c>
      <c r="F43" s="71">
        <f>COUNTIF(G20:G34,0.055)</f>
        <v>0</v>
      </c>
      <c r="G43" s="67"/>
      <c r="H43" s="67"/>
      <c r="I43" s="41"/>
    </row>
    <row r="44" spans="1:14" ht="18" customHeight="1" x14ac:dyDescent="0.3">
      <c r="B44" s="34"/>
      <c r="E44" s="70" t="str">
        <f>IF(ISBLANK(Paramètres!B19),"","TVA à "&amp;Paramètres!B19*100&amp;"% :")</f>
        <v>TVA à 20% :</v>
      </c>
      <c r="F44" s="72">
        <f>COUNTIF(G20:G34,0.2)</f>
        <v>1</v>
      </c>
      <c r="G44" s="67"/>
      <c r="H44" s="67"/>
      <c r="I44" s="41"/>
    </row>
    <row r="45" spans="1:14" ht="18" customHeight="1" x14ac:dyDescent="0.3">
      <c r="B45" s="34"/>
      <c r="E45" s="73" t="s">
        <v>55</v>
      </c>
      <c r="F45" s="74">
        <f>SUM(F42:F44)</f>
        <v>1</v>
      </c>
      <c r="I45" s="41"/>
    </row>
    <row r="46" spans="1:14" ht="14.4" thickBot="1" x14ac:dyDescent="0.35">
      <c r="B46" s="75"/>
      <c r="C46" s="76"/>
      <c r="D46" s="76"/>
      <c r="E46" s="76"/>
      <c r="F46" s="76"/>
      <c r="G46" s="76"/>
      <c r="H46" s="76"/>
      <c r="I46" s="77"/>
    </row>
    <row r="47" spans="1:14" ht="14.4" thickTop="1" x14ac:dyDescent="0.3"/>
    <row r="49" spans="5:6" x14ac:dyDescent="0.3">
      <c r="E49" s="28"/>
      <c r="F49" s="78"/>
    </row>
  </sheetData>
  <mergeCells count="3">
    <mergeCell ref="C16:D16"/>
    <mergeCell ref="G8:H8"/>
    <mergeCell ref="C40:C43"/>
  </mergeCells>
  <dataValidations count="1">
    <dataValidation type="list" allowBlank="1" showInputMessage="1" showErrorMessage="1" sqref="C2" xr:uid="{4D27CEC5-91EB-428D-AE4B-922E40F2F286}">
      <formula1>Liste_facture</formula1>
    </dataValidation>
  </dataValidations>
  <pageMargins left="0.25" right="0.25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sauvegarde">
                <anchor moveWithCells="1" sizeWithCells="1">
                  <from>
                    <xdr:col>4</xdr:col>
                    <xdr:colOff>556260</xdr:colOff>
                    <xdr:row>1</xdr:row>
                    <xdr:rowOff>30480</xdr:rowOff>
                  </from>
                  <to>
                    <xdr:col>6</xdr:col>
                    <xdr:colOff>464820</xdr:colOff>
                    <xdr:row>3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A659B-B906-4A7E-B7B0-3F91DBE489CB}">
  <sheetPr codeName="Feuil6"/>
  <dimension ref="B1:M10"/>
  <sheetViews>
    <sheetView workbookViewId="0">
      <selection activeCell="K16" sqref="K16"/>
    </sheetView>
  </sheetViews>
  <sheetFormatPr baseColWidth="10" defaultColWidth="11.44140625" defaultRowHeight="13.2" x14ac:dyDescent="0.3"/>
  <cols>
    <col min="1" max="1" width="1.44140625" style="91" customWidth="1"/>
    <col min="2" max="2" width="17" style="91" customWidth="1"/>
    <col min="3" max="3" width="7.33203125" style="99" customWidth="1"/>
    <col min="4" max="4" width="18.88671875" style="91" customWidth="1"/>
    <col min="5" max="5" width="17.88671875" style="264" customWidth="1"/>
    <col min="6" max="6" width="15.109375" style="100" customWidth="1"/>
    <col min="7" max="7" width="16.109375" style="101" customWidth="1"/>
    <col min="8" max="8" width="19" style="101" customWidth="1"/>
    <col min="9" max="9" width="22.33203125" style="102" customWidth="1"/>
    <col min="10" max="10" width="14.21875" style="103" customWidth="1"/>
    <col min="11" max="11" width="13.44140625" style="104" customWidth="1"/>
    <col min="12" max="12" width="22.5546875" style="104" customWidth="1"/>
    <col min="13" max="13" width="3.77734375" style="105" hidden="1" customWidth="1"/>
    <col min="14" max="16384" width="11.44140625" style="91"/>
  </cols>
  <sheetData>
    <row r="1" spans="2:13" s="2" customFormat="1" ht="26.25" customHeight="1" x14ac:dyDescent="0.3">
      <c r="B1" s="79" t="s">
        <v>61</v>
      </c>
      <c r="C1" s="3"/>
      <c r="E1" s="259"/>
      <c r="F1" s="80"/>
      <c r="G1" s="81"/>
      <c r="H1" s="81"/>
      <c r="I1" s="26"/>
      <c r="J1" s="82"/>
      <c r="K1" s="83"/>
      <c r="L1" s="83"/>
      <c r="M1" s="84"/>
    </row>
    <row r="2" spans="2:13" s="2" customFormat="1" ht="29.25" customHeight="1" x14ac:dyDescent="0.3">
      <c r="C2" s="3"/>
      <c r="E2" s="259"/>
      <c r="F2" s="80"/>
      <c r="G2" s="81"/>
      <c r="H2" s="81"/>
      <c r="I2" s="26"/>
      <c r="J2" s="85" t="s">
        <v>62</v>
      </c>
      <c r="K2" s="83"/>
      <c r="L2" s="83"/>
      <c r="M2" s="84"/>
    </row>
    <row r="3" spans="2:13" s="2" customFormat="1" ht="19.5" hidden="1" customHeight="1" x14ac:dyDescent="0.3">
      <c r="C3" s="3"/>
      <c r="E3" s="259"/>
      <c r="F3" s="80"/>
      <c r="G3" s="81"/>
      <c r="H3" s="81"/>
      <c r="I3" s="26"/>
      <c r="J3" s="82" t="s">
        <v>63</v>
      </c>
      <c r="K3" s="83"/>
      <c r="L3" s="83"/>
      <c r="M3" s="84"/>
    </row>
    <row r="4" spans="2:13" s="2" customFormat="1" ht="19.5" hidden="1" customHeight="1" x14ac:dyDescent="0.3">
      <c r="C4" s="86">
        <f ca="1">TODAY()</f>
        <v>45075</v>
      </c>
      <c r="D4" s="20">
        <v>3</v>
      </c>
      <c r="E4" s="260">
        <v>4</v>
      </c>
      <c r="F4" s="80">
        <v>70</v>
      </c>
      <c r="G4" s="20">
        <v>5</v>
      </c>
      <c r="H4" s="20">
        <v>6</v>
      </c>
      <c r="I4" s="26"/>
      <c r="J4" s="82" t="s">
        <v>64</v>
      </c>
      <c r="K4" s="81"/>
      <c r="L4" s="81"/>
      <c r="M4" s="84"/>
    </row>
    <row r="5" spans="2:13" s="2" customFormat="1" ht="42.75" customHeight="1" x14ac:dyDescent="0.3">
      <c r="B5" s="87" t="s">
        <v>65</v>
      </c>
      <c r="C5" s="87" t="s">
        <v>192</v>
      </c>
      <c r="D5" s="87" t="s">
        <v>193</v>
      </c>
      <c r="E5" s="261" t="s">
        <v>194</v>
      </c>
      <c r="F5" s="249" t="s">
        <v>195</v>
      </c>
      <c r="G5" s="249" t="s">
        <v>196</v>
      </c>
      <c r="H5" s="88" t="s">
        <v>197</v>
      </c>
      <c r="I5" s="89" t="s">
        <v>66</v>
      </c>
      <c r="J5" s="89" t="s">
        <v>67</v>
      </c>
      <c r="K5" s="89" t="s">
        <v>68</v>
      </c>
      <c r="L5" s="90" t="s">
        <v>27</v>
      </c>
      <c r="M5" s="89" t="s">
        <v>200</v>
      </c>
    </row>
    <row r="6" spans="2:13" ht="19.5" customHeight="1" x14ac:dyDescent="0.3">
      <c r="B6" s="92" t="s">
        <v>112</v>
      </c>
      <c r="C6" s="93" t="s">
        <v>35</v>
      </c>
      <c r="D6" s="93" t="s">
        <v>95</v>
      </c>
      <c r="E6" s="262">
        <v>192</v>
      </c>
      <c r="F6" s="94">
        <v>45073</v>
      </c>
      <c r="G6" s="94">
        <v>45139</v>
      </c>
      <c r="H6" s="95" t="str">
        <f ca="1">IF(G6="","",IF($C$4&gt;G6,"OUI","non"))</f>
        <v>non</v>
      </c>
      <c r="I6" s="96"/>
      <c r="J6" s="97"/>
      <c r="K6" s="97"/>
      <c r="L6" s="98"/>
      <c r="M6" s="265">
        <v>3</v>
      </c>
    </row>
    <row r="7" spans="2:13" x14ac:dyDescent="0.3">
      <c r="B7" s="252" t="s">
        <v>113</v>
      </c>
      <c r="C7" s="253" t="s">
        <v>37</v>
      </c>
      <c r="D7" s="253" t="s">
        <v>104</v>
      </c>
      <c r="E7" s="263">
        <v>144</v>
      </c>
      <c r="F7" s="254">
        <v>45073</v>
      </c>
      <c r="G7" s="254">
        <v>45170</v>
      </c>
      <c r="H7" s="255" t="str">
        <f ca="1">IF(G7="","",IF($C$4&gt;G7,"OUI","non"))</f>
        <v>non</v>
      </c>
      <c r="I7" s="256"/>
      <c r="J7" s="257"/>
      <c r="K7" s="257"/>
      <c r="L7" s="258"/>
      <c r="M7" s="266">
        <v>4</v>
      </c>
    </row>
    <row r="8" spans="2:13" x14ac:dyDescent="0.3">
      <c r="B8" s="252" t="s">
        <v>114</v>
      </c>
      <c r="C8" s="253" t="s">
        <v>35</v>
      </c>
      <c r="D8" s="253" t="s">
        <v>95</v>
      </c>
      <c r="E8" s="263">
        <v>180</v>
      </c>
      <c r="F8" s="254">
        <v>45078</v>
      </c>
      <c r="G8" s="254">
        <v>45209</v>
      </c>
      <c r="H8" s="255" t="str">
        <f ca="1">IF(G8="","",IF($C$4&gt;G8,"OUI","non"))</f>
        <v>non</v>
      </c>
      <c r="I8" s="256"/>
      <c r="J8" s="257"/>
      <c r="K8" s="257"/>
      <c r="L8" s="258"/>
      <c r="M8" s="266">
        <v>5</v>
      </c>
    </row>
    <row r="9" spans="2:13" x14ac:dyDescent="0.3">
      <c r="B9" s="252" t="s">
        <v>115</v>
      </c>
      <c r="C9" s="253" t="s">
        <v>35</v>
      </c>
      <c r="D9" s="253" t="s">
        <v>95</v>
      </c>
      <c r="E9" s="263">
        <v>57.47</v>
      </c>
      <c r="F9" s="254" t="s">
        <v>116</v>
      </c>
      <c r="G9" s="254">
        <v>45074</v>
      </c>
      <c r="H9" s="255" t="str">
        <f ca="1">IF(G9="","",IF($C$4&gt;G9,"OUI","non"))</f>
        <v>OUI</v>
      </c>
      <c r="I9" s="256"/>
      <c r="J9" s="257"/>
      <c r="K9" s="257"/>
      <c r="L9" s="258"/>
      <c r="M9" s="266">
        <v>6</v>
      </c>
    </row>
    <row r="10" spans="2:13" x14ac:dyDescent="0.3">
      <c r="B10" s="252" t="s">
        <v>115</v>
      </c>
      <c r="C10" s="253" t="s">
        <v>35</v>
      </c>
      <c r="D10" s="253" t="s">
        <v>95</v>
      </c>
      <c r="E10" s="263">
        <v>128</v>
      </c>
      <c r="F10" s="254">
        <v>45075</v>
      </c>
      <c r="G10" s="254"/>
      <c r="H10" s="255" t="str">
        <f>IF(G10="","",IF($C$4&gt;G10,"OUI","non"))</f>
        <v/>
      </c>
      <c r="I10" s="256"/>
      <c r="J10" s="257"/>
      <c r="K10" s="257"/>
      <c r="L10" s="258"/>
      <c r="M10" s="266">
        <v>7</v>
      </c>
    </row>
  </sheetData>
  <conditionalFormatting sqref="H6:H10">
    <cfRule type="cellIs" dxfId="1" priority="2" operator="equal">
      <formula>"OUI"</formula>
    </cfRule>
  </conditionalFormatting>
  <conditionalFormatting sqref="I6:I10">
    <cfRule type="cellIs" dxfId="0" priority="1" operator="equal">
      <formula>"Oui"</formula>
    </cfRule>
  </conditionalFormatting>
  <dataValidations count="1">
    <dataValidation type="list" allowBlank="1" showInputMessage="1" showErrorMessage="1" sqref="I6:I10" xr:uid="{D2EF9369-4BB3-4E71-A7AD-BECA77FC3CEC}">
      <formula1>$J$3:$J$4</formula1>
    </dataValidation>
  </dataValidations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F8095-4E4D-4352-84D4-6A88B6867D3D}">
  <sheetPr codeName="Feuil7"/>
  <dimension ref="A1:K50"/>
  <sheetViews>
    <sheetView showGridLines="0" zoomScaleNormal="100" workbookViewId="0">
      <selection activeCell="G2" sqref="G2"/>
    </sheetView>
  </sheetViews>
  <sheetFormatPr baseColWidth="10" defaultColWidth="11.44140625" defaultRowHeight="13.8" x14ac:dyDescent="0.3"/>
  <cols>
    <col min="1" max="1" width="3.5546875" style="2" customWidth="1"/>
    <col min="2" max="2" width="5.5546875" style="2" customWidth="1"/>
    <col min="3" max="3" width="24.44140625" style="2" customWidth="1"/>
    <col min="4" max="4" width="24.5546875" style="2" customWidth="1"/>
    <col min="5" max="5" width="10.33203125" style="2" customWidth="1"/>
    <col min="6" max="6" width="13.109375" style="2" customWidth="1"/>
    <col min="7" max="7" width="16.109375" style="2" customWidth="1"/>
    <col min="8" max="8" width="4.6640625" style="2" customWidth="1"/>
    <col min="9" max="9" width="0.88671875" style="2" customWidth="1"/>
    <col min="10" max="16384" width="11.44140625" style="2"/>
  </cols>
  <sheetData>
    <row r="1" spans="1:10" s="20" customFormat="1" ht="7.5" customHeight="1" x14ac:dyDescent="0.3">
      <c r="B1" s="2"/>
      <c r="C1" s="2"/>
      <c r="D1" s="2"/>
      <c r="E1" s="2"/>
      <c r="F1" s="2"/>
      <c r="G1" s="2"/>
      <c r="H1" s="2"/>
      <c r="I1" s="2"/>
      <c r="J1" s="2"/>
    </row>
    <row r="2" spans="1:10" s="20" customFormat="1" ht="15.6" x14ac:dyDescent="0.3">
      <c r="A2" s="172">
        <f>MATCH(G2,T_Data[[Numéro facture ]],0)</f>
        <v>4</v>
      </c>
      <c r="B2" s="28" t="s">
        <v>41</v>
      </c>
      <c r="C2" s="2"/>
      <c r="D2" s="2"/>
      <c r="E2" s="29"/>
      <c r="F2" s="106" t="s">
        <v>69</v>
      </c>
      <c r="G2" s="147" t="s">
        <v>113</v>
      </c>
      <c r="I2" s="2"/>
      <c r="J2" s="2"/>
    </row>
    <row r="3" spans="1:10" s="20" customFormat="1" x14ac:dyDescent="0.3">
      <c r="B3" s="107" t="s">
        <v>70</v>
      </c>
      <c r="C3" s="2"/>
      <c r="D3" s="2"/>
      <c r="E3" s="2"/>
      <c r="F3" s="2"/>
      <c r="G3" s="2"/>
      <c r="H3" s="2"/>
      <c r="I3" s="2"/>
      <c r="J3" s="2"/>
    </row>
    <row r="4" spans="1:10" s="20" customFormat="1" ht="15" customHeight="1" x14ac:dyDescent="0.3">
      <c r="B4" s="2"/>
      <c r="C4" s="2"/>
      <c r="D4" s="2"/>
      <c r="E4" s="2"/>
      <c r="F4" s="2"/>
      <c r="G4" s="2"/>
      <c r="H4" s="2"/>
      <c r="I4" s="2"/>
      <c r="J4" s="2"/>
    </row>
    <row r="5" spans="1:10" s="20" customFormat="1" ht="5.25" customHeight="1" x14ac:dyDescent="0.3">
      <c r="B5" s="2"/>
      <c r="C5" s="2"/>
      <c r="D5" s="2"/>
      <c r="E5" s="2"/>
      <c r="F5" s="2"/>
      <c r="G5" s="2"/>
      <c r="H5" s="2"/>
      <c r="I5" s="2"/>
      <c r="J5" s="2"/>
    </row>
    <row r="6" spans="1:10" s="20" customFormat="1" ht="27.75" customHeight="1" x14ac:dyDescent="0.25">
      <c r="B6" s="2"/>
      <c r="C6" s="108" t="str">
        <f>IF(ISBLANK(Paramètres!B7),"",Paramètres!B7)</f>
        <v>Librairie</v>
      </c>
      <c r="D6" s="108"/>
      <c r="E6" s="153"/>
      <c r="F6" s="153"/>
      <c r="G6" s="154"/>
      <c r="H6" s="154"/>
      <c r="I6" s="37"/>
      <c r="J6" s="37"/>
    </row>
    <row r="7" spans="1:10" s="20" customFormat="1" ht="16.5" customHeight="1" x14ac:dyDescent="0.3">
      <c r="B7" s="2"/>
      <c r="C7" s="109" t="str">
        <f>IF(ISBLANK(Paramètres!B9),"",Paramètres!B9)</f>
        <v>Entreprise individuelle</v>
      </c>
      <c r="D7" s="109"/>
      <c r="H7" s="40"/>
      <c r="I7" s="37"/>
      <c r="J7" s="37"/>
    </row>
    <row r="8" spans="1:10" s="20" customFormat="1" ht="16.5" customHeight="1" x14ac:dyDescent="0.3">
      <c r="B8" s="2"/>
      <c r="C8" s="109" t="str">
        <f>IF(ISBLANK(Paramètres!B10),"",Paramètres!B10)</f>
        <v>Charenton le Pont</v>
      </c>
      <c r="D8" s="109"/>
      <c r="E8" s="2"/>
      <c r="F8" s="2"/>
      <c r="G8" s="2"/>
      <c r="H8" s="2"/>
      <c r="I8" s="2"/>
      <c r="J8" s="2"/>
    </row>
    <row r="9" spans="1:10" s="20" customFormat="1" ht="16.5" customHeight="1" x14ac:dyDescent="0.3">
      <c r="B9" s="2"/>
      <c r="C9" s="109" t="str">
        <f>IF(ISBLANK(Paramètres!B11),"",Paramètres!B11)&amp;" "&amp;IF(ISBLANK(Paramètres!B12),"",Paramètres!B12)</f>
        <v>94220 Charenton le Pont</v>
      </c>
      <c r="D9" s="109"/>
      <c r="G9" s="2"/>
      <c r="H9" s="43"/>
      <c r="I9" s="2"/>
      <c r="J9" s="2"/>
    </row>
    <row r="10" spans="1:10" s="20" customFormat="1" ht="16.5" customHeight="1" x14ac:dyDescent="0.3">
      <c r="B10" s="2"/>
      <c r="C10" s="109" t="str">
        <f>"Téléphone : "&amp;IF(ISBLANK(Paramètres!B13),"",Paramètres!B13)</f>
        <v>Téléphone : 01 27 71 00 00</v>
      </c>
      <c r="D10" s="109"/>
      <c r="H10" s="2"/>
      <c r="I10" s="2"/>
      <c r="J10" s="2"/>
    </row>
    <row r="11" spans="1:10" s="20" customFormat="1" ht="16.5" customHeight="1" x14ac:dyDescent="0.3">
      <c r="B11" s="2"/>
      <c r="C11" s="109" t="str">
        <f>"Siret : "&amp;IF(ISBLANK(Paramètres!B14),"",Paramètres!B14)</f>
        <v>Siret : 519 787 999 00011</v>
      </c>
      <c r="D11" s="109"/>
      <c r="H11" s="2"/>
      <c r="I11" s="2"/>
      <c r="J11" s="2"/>
    </row>
    <row r="12" spans="1:10" s="20" customFormat="1" ht="16.5" customHeight="1" x14ac:dyDescent="0.3">
      <c r="B12" s="2"/>
      <c r="C12" s="109" t="str">
        <f>IF(ISBLANK(Paramètres!B15),"","N° TVA : "&amp;Paramètres!B15)</f>
        <v>N° TVA : FR895645875</v>
      </c>
      <c r="D12" s="109"/>
      <c r="H12" s="2"/>
      <c r="I12" s="2"/>
      <c r="J12" s="2"/>
    </row>
    <row r="13" spans="1:10" s="20" customFormat="1" ht="16.5" customHeight="1" x14ac:dyDescent="0.3">
      <c r="B13" s="2"/>
      <c r="E13" s="45" t="str">
        <f>IF(IF(ISERROR(VLOOKUP(#REF!,'Base clients'!$A$6:$L$99,2,0)),"",VLOOKUP(#REF!,'Base clients'!$A$6:$L$99,2,0))=0,"",IF(ISERROR(VLOOKUP(#REF!,'Base clients'!$A$6:$L$99,2,0)),"",VLOOKUP(#REF!,'Base clients'!$A$6:$L$99,2,0)))</f>
        <v/>
      </c>
      <c r="F13" s="2"/>
      <c r="H13" s="2"/>
      <c r="I13" s="2"/>
      <c r="J13" s="2"/>
    </row>
    <row r="14" spans="1:10" s="20" customFormat="1" ht="16.5" customHeight="1" x14ac:dyDescent="0.3">
      <c r="B14" s="2"/>
      <c r="C14" s="45"/>
      <c r="D14" s="219" t="str">
        <f>INDEX(T_Data[],A2,2)</f>
        <v>C0004</v>
      </c>
      <c r="E14" s="2"/>
      <c r="G14" s="2"/>
      <c r="H14" s="2"/>
      <c r="I14" s="2"/>
      <c r="J14" s="2"/>
    </row>
    <row r="15" spans="1:10" s="20" customFormat="1" ht="16.5" customHeight="1" x14ac:dyDescent="0.3">
      <c r="B15" s="2"/>
      <c r="C15" s="46"/>
      <c r="D15" s="45" t="str">
        <f>INDEX(T_Client[],MATCH(D14,Liste_client,0),2)</f>
        <v>DUBOUCO</v>
      </c>
      <c r="E15" s="2"/>
      <c r="F15" s="45" t="str">
        <f>INDEX(T_Client[],MATCH($D$14,Liste_client,0),3)</f>
        <v>Jeannine</v>
      </c>
      <c r="H15" s="2"/>
      <c r="I15" s="2"/>
      <c r="J15" s="2"/>
    </row>
    <row r="16" spans="1:10" s="20" customFormat="1" ht="16.5" customHeight="1" x14ac:dyDescent="0.3">
      <c r="B16" s="2"/>
      <c r="C16" s="46"/>
      <c r="D16" s="45" t="str">
        <f>INDEX(T_Client[],MATCH(D$14,Liste_client,0),4)</f>
        <v>2 rue de l'étang</v>
      </c>
      <c r="E16" s="4"/>
      <c r="H16" s="2"/>
      <c r="I16" s="2"/>
      <c r="J16" s="2"/>
    </row>
    <row r="17" spans="1:11" s="20" customFormat="1" ht="16.5" customHeight="1" x14ac:dyDescent="0.3">
      <c r="B17" s="2"/>
      <c r="C17" s="46"/>
      <c r="D17" s="218" t="str">
        <f>INDEX(T_Client[],MATCH($D$14,Liste_client,0),5)</f>
        <v>02200</v>
      </c>
      <c r="E17" s="45" t="str">
        <f>INDEX(T_Client[],MATCH($D$14,Liste_client,0),6)</f>
        <v>Soisson</v>
      </c>
      <c r="H17" s="2"/>
      <c r="I17" s="2"/>
      <c r="J17" s="2"/>
    </row>
    <row r="18" spans="1:11" ht="16.5" customHeight="1" x14ac:dyDescent="0.3">
      <c r="E18" s="155"/>
      <c r="F18" s="155"/>
      <c r="K18" s="47"/>
    </row>
    <row r="19" spans="1:11" ht="18" customHeight="1" x14ac:dyDescent="0.3"/>
    <row r="20" spans="1:11" ht="18" customHeight="1" x14ac:dyDescent="0.3">
      <c r="C20" s="110"/>
      <c r="D20" s="110"/>
      <c r="E20" s="111"/>
      <c r="F20" s="111"/>
      <c r="G20" s="112"/>
      <c r="H20" s="113"/>
    </row>
    <row r="21" spans="1:11" ht="18" customHeight="1" x14ac:dyDescent="0.3">
      <c r="C21" s="110"/>
      <c r="D21" s="110"/>
      <c r="E21" s="111"/>
      <c r="F21" s="111"/>
      <c r="G21" s="112"/>
      <c r="H21" s="113"/>
    </row>
    <row r="22" spans="1:11" s="114" customFormat="1" ht="18" customHeight="1" x14ac:dyDescent="0.25">
      <c r="E22" s="115" t="str">
        <f>Paramètres!B12&amp;", le"</f>
        <v>Charenton le Pont, le</v>
      </c>
      <c r="F22" s="152">
        <f ca="1">TODAY()</f>
        <v>45075</v>
      </c>
      <c r="G22" s="152"/>
      <c r="H22" s="116"/>
    </row>
    <row r="23" spans="1:11" ht="18" customHeight="1" x14ac:dyDescent="0.3">
      <c r="A23" s="53"/>
      <c r="E23" s="117"/>
      <c r="F23" s="118"/>
      <c r="G23" s="119"/>
      <c r="H23" s="120"/>
    </row>
    <row r="24" spans="1:11" ht="18" customHeight="1" x14ac:dyDescent="0.3">
      <c r="A24" s="53"/>
      <c r="E24" s="117"/>
      <c r="F24" s="118"/>
      <c r="G24" s="119"/>
      <c r="H24" s="120"/>
    </row>
    <row r="25" spans="1:11" ht="18" customHeight="1" x14ac:dyDescent="0.3">
      <c r="A25" s="121"/>
      <c r="C25" s="122" t="s">
        <v>71</v>
      </c>
      <c r="D25" s="122"/>
      <c r="E25" s="117"/>
      <c r="F25" s="118"/>
      <c r="G25" s="119"/>
      <c r="H25" s="123"/>
    </row>
    <row r="26" spans="1:11" ht="18" customHeight="1" x14ac:dyDescent="0.3">
      <c r="A26" s="121"/>
      <c r="C26" s="124"/>
      <c r="D26" s="124"/>
      <c r="E26" s="124"/>
      <c r="F26" s="118"/>
      <c r="G26" s="119"/>
      <c r="H26" s="123"/>
    </row>
    <row r="27" spans="1:11" ht="18" customHeight="1" x14ac:dyDescent="0.3">
      <c r="A27" s="121"/>
      <c r="C27" s="64"/>
      <c r="D27" s="64"/>
      <c r="E27" s="117"/>
      <c r="F27" s="118"/>
      <c r="G27" s="119"/>
      <c r="H27" s="123"/>
    </row>
    <row r="28" spans="1:11" ht="18" customHeight="1" x14ac:dyDescent="0.3">
      <c r="A28" s="121"/>
      <c r="C28" s="125" t="s">
        <v>72</v>
      </c>
      <c r="D28" s="125"/>
      <c r="E28" s="117"/>
      <c r="F28" s="118"/>
      <c r="G28" s="119"/>
      <c r="H28" s="123"/>
    </row>
    <row r="29" spans="1:11" ht="18" customHeight="1" x14ac:dyDescent="0.3">
      <c r="A29" s="121"/>
      <c r="E29" s="117"/>
      <c r="F29" s="118"/>
      <c r="G29" s="119"/>
      <c r="H29" s="123"/>
    </row>
    <row r="30" spans="1:11" ht="18" customHeight="1" x14ac:dyDescent="0.3">
      <c r="A30" s="121"/>
      <c r="C30" s="156" t="s">
        <v>73</v>
      </c>
      <c r="D30" s="156"/>
      <c r="E30" s="156"/>
      <c r="F30" s="156"/>
      <c r="G30" s="156"/>
      <c r="H30" s="123"/>
    </row>
    <row r="31" spans="1:11" ht="18" customHeight="1" x14ac:dyDescent="0.3">
      <c r="A31" s="121"/>
      <c r="C31" s="156"/>
      <c r="D31" s="156"/>
      <c r="E31" s="156"/>
      <c r="F31" s="156"/>
      <c r="G31" s="156"/>
      <c r="H31" s="123"/>
    </row>
    <row r="32" spans="1:11" ht="18" customHeight="1" x14ac:dyDescent="0.3">
      <c r="A32" s="121"/>
      <c r="C32" s="156"/>
      <c r="D32" s="156"/>
      <c r="E32" s="156"/>
      <c r="F32" s="156"/>
      <c r="G32" s="156"/>
      <c r="H32" s="123"/>
    </row>
    <row r="33" spans="1:8" ht="18" customHeight="1" x14ac:dyDescent="0.3">
      <c r="A33" s="121"/>
      <c r="C33" s="126" t="s">
        <v>74</v>
      </c>
      <c r="D33" s="124" t="str">
        <f>G2</f>
        <v>Fac202305003</v>
      </c>
      <c r="E33" s="117"/>
      <c r="F33" s="118"/>
      <c r="G33" s="119"/>
      <c r="H33" s="123"/>
    </row>
    <row r="34" spans="1:8" ht="18" customHeight="1" x14ac:dyDescent="0.3">
      <c r="A34" s="121"/>
      <c r="C34" s="126" t="s">
        <v>75</v>
      </c>
      <c r="D34" s="127">
        <f>INDEX(T_Data[],A$2,4)</f>
        <v>45073</v>
      </c>
      <c r="E34" s="117"/>
      <c r="F34" s="118"/>
      <c r="G34" s="119"/>
      <c r="H34" s="123"/>
    </row>
    <row r="35" spans="1:8" ht="18" customHeight="1" x14ac:dyDescent="0.3">
      <c r="A35" s="121"/>
      <c r="C35" s="126" t="s">
        <v>76</v>
      </c>
      <c r="D35" s="128">
        <f>INDEX(T_Data[],A$2,70)</f>
        <v>144</v>
      </c>
      <c r="E35" s="117"/>
      <c r="F35" s="118"/>
      <c r="G35" s="119"/>
      <c r="H35" s="123"/>
    </row>
    <row r="36" spans="1:8" ht="18" customHeight="1" x14ac:dyDescent="0.3">
      <c r="A36" s="121"/>
      <c r="C36" s="126" t="s">
        <v>77</v>
      </c>
      <c r="D36" s="127">
        <f>INDEX(T_Data[],A$2,5)</f>
        <v>45170</v>
      </c>
      <c r="E36" s="117"/>
      <c r="F36" s="118"/>
      <c r="G36" s="119"/>
      <c r="H36" s="123"/>
    </row>
    <row r="37" spans="1:8" ht="18" customHeight="1" x14ac:dyDescent="0.3">
      <c r="A37" s="121"/>
      <c r="E37" s="117"/>
      <c r="F37" s="118"/>
      <c r="G37" s="119"/>
      <c r="H37" s="123"/>
    </row>
    <row r="38" spans="1:8" ht="18" customHeight="1" x14ac:dyDescent="0.3">
      <c r="A38" s="121"/>
      <c r="C38" s="157" t="s">
        <v>78</v>
      </c>
      <c r="D38" s="157"/>
      <c r="E38" s="157"/>
      <c r="F38" s="157"/>
      <c r="G38" s="157"/>
      <c r="H38" s="123"/>
    </row>
    <row r="39" spans="1:8" ht="18" customHeight="1" x14ac:dyDescent="0.3">
      <c r="A39" s="121"/>
      <c r="C39" s="157"/>
      <c r="D39" s="157"/>
      <c r="E39" s="157"/>
      <c r="F39" s="157"/>
      <c r="G39" s="157"/>
      <c r="H39" s="123"/>
    </row>
    <row r="40" spans="1:8" ht="18" customHeight="1" x14ac:dyDescent="0.3">
      <c r="A40" s="121"/>
      <c r="C40" s="157"/>
      <c r="D40" s="157"/>
      <c r="E40" s="157"/>
      <c r="F40" s="157"/>
      <c r="G40" s="157"/>
      <c r="H40" s="123"/>
    </row>
    <row r="41" spans="1:8" ht="18" customHeight="1" x14ac:dyDescent="0.3">
      <c r="A41" s="121"/>
      <c r="C41" s="157"/>
      <c r="D41" s="157"/>
      <c r="E41" s="157"/>
      <c r="F41" s="157"/>
      <c r="G41" s="157"/>
      <c r="H41" s="123"/>
    </row>
    <row r="42" spans="1:8" ht="18" customHeight="1" x14ac:dyDescent="0.3">
      <c r="A42" s="121"/>
      <c r="C42" s="157"/>
      <c r="D42" s="157"/>
      <c r="E42" s="157"/>
      <c r="F42" s="157"/>
      <c r="G42" s="157"/>
      <c r="H42" s="123"/>
    </row>
    <row r="43" spans="1:8" ht="18" customHeight="1" x14ac:dyDescent="0.3">
      <c r="A43" s="121"/>
      <c r="C43" s="157"/>
      <c r="D43" s="157"/>
      <c r="E43" s="157"/>
      <c r="F43" s="157"/>
      <c r="G43" s="157"/>
      <c r="H43" s="129"/>
    </row>
    <row r="44" spans="1:8" ht="18" customHeight="1" x14ac:dyDescent="0.3">
      <c r="C44" s="157"/>
      <c r="D44" s="157"/>
      <c r="E44" s="157"/>
      <c r="F44" s="157"/>
      <c r="G44" s="157"/>
      <c r="H44" s="65"/>
    </row>
    <row r="45" spans="1:8" ht="18" customHeight="1" x14ac:dyDescent="0.3">
      <c r="C45" s="157"/>
      <c r="D45" s="157"/>
      <c r="E45" s="157"/>
      <c r="F45" s="157"/>
      <c r="G45" s="157"/>
      <c r="H45" s="65"/>
    </row>
    <row r="46" spans="1:8" ht="18" customHeight="1" x14ac:dyDescent="0.25">
      <c r="C46" s="130" t="s">
        <v>79</v>
      </c>
      <c r="D46" s="27"/>
      <c r="H46" s="65"/>
    </row>
    <row r="47" spans="1:8" ht="18" customHeight="1" x14ac:dyDescent="0.3">
      <c r="F47" s="131"/>
      <c r="G47" s="132"/>
    </row>
    <row r="50" spans="3:7" x14ac:dyDescent="0.3">
      <c r="C50" s="28"/>
      <c r="D50" s="28"/>
      <c r="F50" s="28"/>
      <c r="G50" s="78"/>
    </row>
  </sheetData>
  <mergeCells count="6">
    <mergeCell ref="C30:G32"/>
    <mergeCell ref="C38:G45"/>
    <mergeCell ref="F22:G22"/>
    <mergeCell ref="E6:F6"/>
    <mergeCell ref="G6:H6"/>
    <mergeCell ref="E18:F18"/>
  </mergeCells>
  <dataValidations count="1">
    <dataValidation type="list" allowBlank="1" showInputMessage="1" showErrorMessage="1" sqref="G2" xr:uid="{EFB6B98C-EAE9-42DC-B29E-6338220FF7CB}">
      <formula1>Liste_facture</formula1>
    </dataValidation>
  </dataValidations>
  <pageMargins left="0.25" right="0.25" top="0.75" bottom="0.75" header="0.3" footer="0.3"/>
  <pageSetup paperSize="9" orientation="portrait" horizontalDpi="360" verticalDpi="36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5B265-735F-4389-B2F6-5671CB9A0CBE}">
  <sheetPr codeName="Feuil8"/>
  <dimension ref="A1:H20"/>
  <sheetViews>
    <sheetView topLeftCell="C1" workbookViewId="0">
      <selection activeCell="H1" sqref="H1"/>
    </sheetView>
  </sheetViews>
  <sheetFormatPr baseColWidth="10" defaultColWidth="11.44140625" defaultRowHeight="14.4" x14ac:dyDescent="0.3"/>
  <cols>
    <col min="1" max="2" width="0" style="133" hidden="1" customWidth="1"/>
    <col min="3" max="3" width="4.88671875" style="133" customWidth="1"/>
    <col min="4" max="4" width="37.5546875" style="133" bestFit="1" customWidth="1"/>
    <col min="5" max="5" width="17.33203125" style="135" customWidth="1"/>
    <col min="6" max="16384" width="11.44140625" style="133"/>
  </cols>
  <sheetData>
    <row r="1" spans="1:8" ht="31.2" x14ac:dyDescent="0.3">
      <c r="C1" s="134" t="s">
        <v>80</v>
      </c>
      <c r="H1" s="276"/>
    </row>
    <row r="2" spans="1:8" ht="18" x14ac:dyDescent="0.3">
      <c r="C2" s="136" t="s">
        <v>81</v>
      </c>
    </row>
    <row r="4" spans="1:8" ht="18" x14ac:dyDescent="0.3">
      <c r="C4" s="137" t="s">
        <v>82</v>
      </c>
    </row>
    <row r="6" spans="1:8" ht="18.75" customHeight="1" x14ac:dyDescent="0.3">
      <c r="B6" s="138">
        <f ca="1">TODAY()</f>
        <v>45075</v>
      </c>
      <c r="D6" s="139">
        <f ca="1">YEAR(B6)</f>
        <v>2023</v>
      </c>
      <c r="E6" s="140" t="s">
        <v>83</v>
      </c>
    </row>
    <row r="7" spans="1:8" x14ac:dyDescent="0.3">
      <c r="A7" s="133">
        <v>1</v>
      </c>
      <c r="B7" s="133" t="str">
        <f ca="1">A7&amp;"."&amp;YEAR($B$6)</f>
        <v>1.2023</v>
      </c>
      <c r="D7" s="274">
        <f ca="1">DATE($D$6,1,1)</f>
        <v>44927</v>
      </c>
      <c r="E7" s="273">
        <f ca="1">SUMIFS(Data!BP:BP, Data!D:D, "&gt;="&amp;Statistiques!D7,Data!D:D, "&lt;"&amp;Statistiques!D8)</f>
        <v>0</v>
      </c>
    </row>
    <row r="8" spans="1:8" x14ac:dyDescent="0.3">
      <c r="A8" s="133">
        <v>2</v>
      </c>
      <c r="B8" s="133" t="str">
        <f t="shared" ref="B8:B18" ca="1" si="0">A8&amp;"."&amp;YEAR($B$6)</f>
        <v>2.2023</v>
      </c>
      <c r="D8" s="274">
        <f ca="1">DATE($D$6,2,1)</f>
        <v>44958</v>
      </c>
      <c r="E8" s="273">
        <f ca="1">SUMIFS(Data!BP:BP, Data!D:D, "&gt;="&amp;Statistiques!D8,Data!D:D, "&lt;"&amp;Statistiques!D9)</f>
        <v>0</v>
      </c>
    </row>
    <row r="9" spans="1:8" x14ac:dyDescent="0.3">
      <c r="A9" s="133">
        <v>3</v>
      </c>
      <c r="B9" s="133" t="str">
        <f t="shared" ca="1" si="0"/>
        <v>3.2023</v>
      </c>
      <c r="D9" s="274">
        <f ca="1">DATE($D$6,3,1)</f>
        <v>44986</v>
      </c>
      <c r="E9" s="273">
        <f ca="1">SUMIFS(Data!BP:BP, Data!D:D, "&gt;="&amp;Statistiques!D9,Data!D:D, "&lt;"&amp;Statistiques!D10)</f>
        <v>340</v>
      </c>
    </row>
    <row r="10" spans="1:8" x14ac:dyDescent="0.3">
      <c r="A10" s="133">
        <v>4</v>
      </c>
      <c r="B10" s="133" t="str">
        <f t="shared" ca="1" si="0"/>
        <v>4.2023</v>
      </c>
      <c r="D10" s="274">
        <f ca="1">DATE($D$6,4,1)</f>
        <v>45017</v>
      </c>
      <c r="E10" s="273">
        <f ca="1">SUMIFS(Data!BP:BP, Data!D:D, "&gt;="&amp;Statistiques!D10,Data!D:D, "&lt;"&amp;Statistiques!D11)</f>
        <v>260</v>
      </c>
    </row>
    <row r="11" spans="1:8" x14ac:dyDescent="0.3">
      <c r="A11" s="133">
        <v>5</v>
      </c>
      <c r="B11" s="133" t="str">
        <f t="shared" ca="1" si="0"/>
        <v>5.2023</v>
      </c>
      <c r="D11" s="274">
        <f ca="1">DATE($D$6,5,1)</f>
        <v>45047</v>
      </c>
      <c r="E11" s="273">
        <f ca="1">SUMIFS(Data!BP:BP, Data!D:D, "&gt;="&amp;Statistiques!D11,Data!D:D, "&lt;"&amp;Statistiques!D12)</f>
        <v>408</v>
      </c>
    </row>
    <row r="12" spans="1:8" x14ac:dyDescent="0.3">
      <c r="A12" s="133">
        <v>6</v>
      </c>
      <c r="B12" s="133" t="str">
        <f t="shared" ca="1" si="0"/>
        <v>6.2023</v>
      </c>
      <c r="D12" s="274">
        <f ca="1">DATE($D$6,6,1)</f>
        <v>45078</v>
      </c>
      <c r="E12" s="273">
        <f ca="1">SUMIFS(Data!BP:BP, Data!D:D, "&gt;="&amp;Statistiques!D12,Data!D:D, "&lt;"&amp;Statistiques!D13)</f>
        <v>150</v>
      </c>
    </row>
    <row r="13" spans="1:8" x14ac:dyDescent="0.3">
      <c r="A13" s="133">
        <v>7</v>
      </c>
      <c r="B13" s="133" t="str">
        <f t="shared" ca="1" si="0"/>
        <v>7.2023</v>
      </c>
      <c r="D13" s="274">
        <f ca="1">DATE($D$6,7,1)</f>
        <v>45108</v>
      </c>
      <c r="E13" s="273">
        <f ca="1">SUMIFS(Data!BP:BP, Data!D:D, "&gt;="&amp;Statistiques!D13,Data!D:D, "&lt;"&amp;Statistiques!D14)</f>
        <v>0</v>
      </c>
    </row>
    <row r="14" spans="1:8" x14ac:dyDescent="0.3">
      <c r="A14" s="133">
        <v>8</v>
      </c>
      <c r="B14" s="133" t="str">
        <f t="shared" ca="1" si="0"/>
        <v>8.2023</v>
      </c>
      <c r="D14" s="274">
        <f ca="1">DATE($D$6,8,1)</f>
        <v>45139</v>
      </c>
      <c r="E14" s="273">
        <f ca="1">SUMIFS(Data!BP:BP, Data!D:D, "&gt;="&amp;Statistiques!D14,Data!D:D, "&lt;"&amp;Statistiques!D15)</f>
        <v>0</v>
      </c>
    </row>
    <row r="15" spans="1:8" x14ac:dyDescent="0.3">
      <c r="A15" s="133">
        <v>9</v>
      </c>
      <c r="B15" s="133" t="str">
        <f t="shared" ca="1" si="0"/>
        <v>9.2023</v>
      </c>
      <c r="D15" s="274">
        <f ca="1">DATE($D$6,9,1)</f>
        <v>45170</v>
      </c>
      <c r="E15" s="273">
        <f ca="1">SUMIFS(Data!BP:BP, Data!D:D, "&gt;="&amp;Statistiques!D15,Data!D:D, "&lt;"&amp;Statistiques!D16)</f>
        <v>0</v>
      </c>
    </row>
    <row r="16" spans="1:8" x14ac:dyDescent="0.3">
      <c r="A16" s="133">
        <v>10</v>
      </c>
      <c r="B16" s="133" t="str">
        <f t="shared" ca="1" si="0"/>
        <v>10.2023</v>
      </c>
      <c r="D16" s="274">
        <f ca="1">DATE($D$6,10,1)</f>
        <v>45200</v>
      </c>
      <c r="E16" s="273">
        <f ca="1">SUMIFS(Data!BP:BP, Data!D:D, "&gt;="&amp;Statistiques!D16,Data!D:D, "&lt;"&amp;Statistiques!D17)</f>
        <v>0</v>
      </c>
    </row>
    <row r="17" spans="1:5" x14ac:dyDescent="0.3">
      <c r="A17" s="133">
        <v>11</v>
      </c>
      <c r="B17" s="133" t="str">
        <f t="shared" ca="1" si="0"/>
        <v>11.2023</v>
      </c>
      <c r="D17" s="274">
        <f ca="1">DATE($D$6,11,1)</f>
        <v>45231</v>
      </c>
      <c r="E17" s="273">
        <f ca="1">SUMIFS(Data!BP:BP, Data!D:D, "&gt;="&amp;Statistiques!D17,Data!D:D, "&lt;"&amp;Statistiques!D18)</f>
        <v>0</v>
      </c>
    </row>
    <row r="18" spans="1:5" x14ac:dyDescent="0.3">
      <c r="A18" s="133">
        <v>12</v>
      </c>
      <c r="B18" s="133" t="str">
        <f t="shared" ca="1" si="0"/>
        <v>12.2023</v>
      </c>
      <c r="D18" s="274">
        <f ca="1">DATE($D$6,12,1)</f>
        <v>45261</v>
      </c>
      <c r="E18" s="273">
        <f ca="1">SUMIFS(Data!BP:BP, Data!D:D, "&gt;="&amp;Statistiques!D18,Data!D:D, "&lt;"&amp;Statistiques!D19)</f>
        <v>0</v>
      </c>
    </row>
    <row r="19" spans="1:5" x14ac:dyDescent="0.3">
      <c r="D19" s="275">
        <f ca="1">DATE($D$6+1,1,1)</f>
        <v>45292</v>
      </c>
      <c r="E19" s="141"/>
    </row>
    <row r="20" spans="1:5" ht="15.6" x14ac:dyDescent="0.3">
      <c r="D20" s="142" t="s">
        <v>84</v>
      </c>
      <c r="E20" s="143">
        <f ca="1">SUM(E7:E18)</f>
        <v>1158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6</vt:i4>
      </vt:variant>
    </vt:vector>
  </HeadingPairs>
  <TitlesOfParts>
    <vt:vector size="14" baseType="lpstr">
      <vt:lpstr>Paramètres</vt:lpstr>
      <vt:lpstr>Base clients</vt:lpstr>
      <vt:lpstr>Data</vt:lpstr>
      <vt:lpstr>Menu</vt:lpstr>
      <vt:lpstr>FACTURE</vt:lpstr>
      <vt:lpstr>Suivi des paiements</vt:lpstr>
      <vt:lpstr>Lettre relance</vt:lpstr>
      <vt:lpstr>Statistiques</vt:lpstr>
      <vt:lpstr>l_date</vt:lpstr>
      <vt:lpstr>l_ht</vt:lpstr>
      <vt:lpstr>Liste_client</vt:lpstr>
      <vt:lpstr>Liste_facture</vt:lpstr>
      <vt:lpstr>FACTURE!Zone_d_impression</vt:lpstr>
      <vt:lpstr>'Lettre relance'!Zone_d_impression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</dc:creator>
  <cp:lastModifiedBy>François ROUZE</cp:lastModifiedBy>
  <cp:lastPrinted>2023-05-29T08:33:03Z</cp:lastPrinted>
  <dcterms:created xsi:type="dcterms:W3CDTF">2023-05-27T20:03:27Z</dcterms:created>
  <dcterms:modified xsi:type="dcterms:W3CDTF">2023-05-29T13:13:35Z</dcterms:modified>
</cp:coreProperties>
</file>