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1D48F93-DC41-49C8-B252-3283B81FC211}" xr6:coauthVersionLast="36" xr6:coauthVersionMax="47" xr10:uidLastSave="{00000000-0000-0000-0000-000000000000}"/>
  <bookViews>
    <workbookView xWindow="0" yWindow="0" windowWidth="20496" windowHeight="10920" firstSheet="1" activeTab="1" xr2:uid="{00000000-000D-0000-FFFF-FFFF00000000}"/>
  </bookViews>
  <sheets>
    <sheet name="BULLETIN DETAILLE" sheetId="4" r:id="rId1"/>
    <sheet name="Maladie" sheetId="19" r:id="rId2"/>
    <sheet name="Evenements" sheetId="20" r:id="rId3"/>
    <sheet name="Fériés" sheetId="17" r:id="rId4"/>
    <sheet name="COTISATION" sheetId="13" r:id="rId5"/>
    <sheet name="Plafond sécu" sheetId="5" r:id="rId6"/>
    <sheet name="FILLION" sheetId="6" r:id="rId7"/>
    <sheet name="HS CODE DU TRAVAIL" sheetId="11" r:id="rId8"/>
    <sheet name="HC" sheetId="10" r:id="rId9"/>
    <sheet name="HS-HCR" sheetId="8" r:id="rId10"/>
    <sheet name="SMIC" sheetId="15" r:id="rId11"/>
  </sheets>
  <definedNames>
    <definedName name="_xlnm._FilterDatabase" localSheetId="10" hidden="1">SMIC!$D$17:$H$29</definedName>
    <definedName name="ACOMPTE" localSheetId="2">#REF!</definedName>
    <definedName name="ACOMPTE">#REF!</definedName>
    <definedName name="AN" localSheetId="2">#REF!</definedName>
    <definedName name="AN">#REF!</definedName>
    <definedName name="année">SMIC!$A$1:$J$1</definedName>
    <definedName name="août">SMIC!$B$6:$J$6</definedName>
    <definedName name="avril">SMIC!$B$10:$J$10</definedName>
    <definedName name="boisson">SMIC!$B$18:$B$20</definedName>
    <definedName name="brillant_savarin">SMIC!$E$17:$F$17</definedName>
    <definedName name="BRUT" localSheetId="2">#REF!</definedName>
    <definedName name="BRUT">#REF!</definedName>
    <definedName name="CHARGESDEDUCT" localSheetId="2">#REF!</definedName>
    <definedName name="CHARGESDEDUCT">#REF!</definedName>
    <definedName name="CHARGESNONDEDUCT" localSheetId="2">#REF!</definedName>
    <definedName name="CHARGESNONDEDUCT">#REF!</definedName>
    <definedName name="compté">SMIC!$E$19:$F$19</definedName>
    <definedName name="COTIS">COTISATION!$A$3:$CB$6</definedName>
    <definedName name="couteau">SMIC!$F$17:$F$19</definedName>
    <definedName name="décembre">SMIC!$B$2:$J$2</definedName>
    <definedName name="dirigeant">'BULLETIN DETAILLE'!$F$11</definedName>
    <definedName name="février">SMIC!$B$12:$J$12</definedName>
    <definedName name="fromage">SMIC!$E$17:$F$19</definedName>
    <definedName name="gateau">SMIC!$A$18:$A$20</definedName>
    <definedName name="horaire_du_salarié" localSheetId="2">'BULLETIN DETAILLE'!#REF!</definedName>
    <definedName name="horaire_du_salarié">'BULLETIN DETAILLE'!#REF!</definedName>
    <definedName name="janvier">SMIC!$B$13:$J$13</definedName>
    <definedName name="juilllet">SMIC!$B$7:$J$7</definedName>
    <definedName name="juin">SMIC!$B$8:$J$8</definedName>
    <definedName name="mai">SMIC!$B$9:$J$9</definedName>
    <definedName name="mars">SMIC!$B$11:$J$11</definedName>
    <definedName name="MUT">'BULLETIN DETAILLE'!$G$65</definedName>
    <definedName name="novembre">SMIC!$B$3:$J$3</definedName>
    <definedName name="octobre">SMIC!$B$4:$J$4</definedName>
    <definedName name="PAT">COTISATION!$AO$1</definedName>
    <definedName name="PMSS_2021" localSheetId="2">'BULLETIN DETAILLE'!#REF!</definedName>
    <definedName name="PMSS_2021">'BULLETIN DETAILLE'!#REF!</definedName>
    <definedName name="PPMUT" localSheetId="2">#REF!</definedName>
    <definedName name="PPMUT">#REF!</definedName>
    <definedName name="PREVT1">'BULLETIN DETAILLE'!$G$67</definedName>
    <definedName name="PREVT2">'BULLETIN DETAILLE'!$G$68</definedName>
    <definedName name="RETENUES_NONDEDUCT">'BULLETIN DETAILLE'!$D$77</definedName>
    <definedName name="RETENUESDEDUCTIBLES">'BULLETIN DETAILLE'!$D$76</definedName>
    <definedName name="SAL">COTISATION!$A$1</definedName>
    <definedName name="SALAIREBRUT">'BULLETIN DETAILLE'!$D$31</definedName>
    <definedName name="septembre">SMIC!$B$5:$J$5</definedName>
    <definedName name="st_marcellin">SMIC!$E$18:$F$18</definedName>
    <definedName name="STATUT">COTISATION!$A$3:$A$6</definedName>
    <definedName name="T1_et_assiette_plafonnée">'BULLETIN DETAILLE'!#REF!</definedName>
    <definedName name="T2_">'BULLETIN DETAILLE'!#REF!</definedName>
    <definedName name="TAB">SMIC!$D$17:$H$29</definedName>
    <definedName name="tabS" localSheetId="2">#REF!</definedName>
    <definedName name="tabS">#REF!</definedName>
    <definedName name="Taux_AT" localSheetId="2">'BULLETIN DETAILLE'!#REF!</definedName>
    <definedName name="Taux_AT">'BULLETIN DETAILLE'!#REF!</definedName>
    <definedName name="Taux_de_PAS" localSheetId="2">'BULLETIN DETAILLE'!#REF!</definedName>
    <definedName name="Taux_de_PAS">'BULLETIN DETAILLE'!#REF!</definedName>
    <definedName name="Taux_horaire_SMIC" localSheetId="2">'BULLETIN DETAILLE'!#REF!</definedName>
    <definedName name="Taux_horaire_SMIC">'BULLETIN DETAILLE'!#REF!</definedName>
    <definedName name="Taux_versement_transport" localSheetId="2">'BULLETIN DETAILLE'!#REF!</definedName>
    <definedName name="Taux_versement_transport">'BULLETIN DETAILLE'!#REF!</definedName>
    <definedName name="TAUXAT">'BULLETIN DETAILLE'!#REF!</definedName>
    <definedName name="TOTAL_COTISATIONS_SALARIALES">'BULLETIN DETAILLE'!$D$78</definedName>
    <definedName name="TOTALPP">#REF!</definedName>
    <definedName name="TOTALPS" localSheetId="2">#REF!</definedName>
    <definedName name="TOTALPS">#REF!</definedName>
    <definedName name="VALEUR_PMSS_ANNEE" localSheetId="2">#REF!</definedName>
    <definedName name="VALEUR_PMSS_ANNEE">#REF!</definedName>
    <definedName name="verre">SMIC!$C$18:$C$20</definedName>
    <definedName name="vin">SMIC!$E$17:$E$18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9" i="19" l="1"/>
  <c r="AH8" i="19"/>
  <c r="E3" i="19"/>
  <c r="D3" i="19" l="1"/>
  <c r="B7" i="19" s="1"/>
  <c r="C7" i="19" s="1"/>
  <c r="D7" i="19" s="1"/>
  <c r="E7" i="19" s="1"/>
  <c r="F7" i="19" s="1"/>
  <c r="G7" i="19" s="1"/>
  <c r="H7" i="19" s="1"/>
  <c r="I7" i="19" s="1"/>
  <c r="J7" i="19" s="1"/>
  <c r="K7" i="19" s="1"/>
  <c r="B1" i="17"/>
  <c r="B14" i="17" s="1"/>
  <c r="L7" i="19" l="1"/>
  <c r="M7" i="19" s="1"/>
  <c r="N7" i="19" s="1"/>
  <c r="O7" i="19" s="1"/>
  <c r="P7" i="19" s="1"/>
  <c r="Q7" i="19" s="1"/>
  <c r="R7" i="19" s="1"/>
  <c r="S7" i="19" s="1"/>
  <c r="T7" i="19" s="1"/>
  <c r="U7" i="19" s="1"/>
  <c r="V7" i="19" s="1"/>
  <c r="W7" i="19" s="1"/>
  <c r="X7" i="19" s="1"/>
  <c r="Y7" i="19" s="1"/>
  <c r="Z7" i="19" s="1"/>
  <c r="AA7" i="19" s="1"/>
  <c r="AB7" i="19" s="1"/>
  <c r="AC7" i="19" s="1"/>
  <c r="AD7" i="19" s="1"/>
  <c r="AE7" i="19" s="1"/>
  <c r="AF7" i="19" s="1"/>
  <c r="B5" i="19"/>
  <c r="B15" i="17"/>
  <c r="A4" i="11"/>
  <c r="A4" i="8"/>
  <c r="A4" i="10"/>
  <c r="D30" i="4"/>
  <c r="D27" i="4"/>
  <c r="D26" i="4"/>
  <c r="D25" i="4"/>
  <c r="D24" i="4"/>
  <c r="B12" i="4"/>
  <c r="E15" i="4" a="1"/>
  <c r="E15" i="4" s="1"/>
  <c r="M5" i="15" a="1"/>
  <c r="M5" i="15" s="1"/>
  <c r="M4" i="15" a="1"/>
  <c r="M4" i="15" s="1"/>
  <c r="M3" i="15" a="1"/>
  <c r="M3" i="15" s="1"/>
  <c r="M2" i="15" a="1"/>
  <c r="M2" i="15" s="1"/>
  <c r="M1" i="15" a="1"/>
  <c r="M1" i="15" s="1"/>
  <c r="B4" i="17" l="1"/>
  <c r="B12" i="17"/>
  <c r="B6" i="17"/>
  <c r="B7" i="17"/>
  <c r="B13" i="17"/>
  <c r="B11" i="17"/>
  <c r="B3" i="17"/>
  <c r="B86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46" i="4"/>
  <c r="F47" i="4"/>
  <c r="C33" i="4"/>
  <c r="C72" i="4"/>
  <c r="C71" i="4"/>
  <c r="C70" i="4"/>
  <c r="C69" i="4"/>
  <c r="C68" i="4"/>
  <c r="C67" i="4"/>
  <c r="C64" i="4"/>
  <c r="C63" i="4"/>
  <c r="C66" i="4"/>
  <c r="C65" i="4"/>
  <c r="C62" i="4"/>
  <c r="C56" i="4"/>
  <c r="C55" i="4"/>
  <c r="C54" i="4"/>
  <c r="C53" i="4"/>
  <c r="C52" i="4"/>
  <c r="C51" i="4"/>
  <c r="C50" i="4"/>
  <c r="C49" i="4"/>
  <c r="C48" i="4"/>
  <c r="C46" i="4"/>
  <c r="C47" i="4"/>
  <c r="C61" i="4"/>
  <c r="C60" i="4"/>
  <c r="C59" i="4"/>
  <c r="C58" i="4"/>
  <c r="C57" i="4"/>
  <c r="C45" i="4"/>
  <c r="C44" i="4"/>
  <c r="C43" i="4"/>
  <c r="C42" i="4"/>
  <c r="C41" i="4"/>
  <c r="C40" i="4"/>
  <c r="C39" i="4"/>
  <c r="C38" i="4"/>
  <c r="C37" i="4"/>
  <c r="C36" i="4"/>
  <c r="C35" i="4"/>
  <c r="C34" i="4"/>
  <c r="B10" i="17" l="1"/>
  <c r="B9" i="17"/>
  <c r="B8" i="17"/>
  <c r="B5" i="17"/>
  <c r="C4" i="10"/>
  <c r="B4" i="11"/>
  <c r="C4" i="11" s="1"/>
  <c r="B4" i="10"/>
  <c r="C16" i="11"/>
  <c r="D16" i="11" s="1"/>
  <c r="E16" i="11" s="1"/>
  <c r="B16" i="10"/>
  <c r="C16" i="10"/>
  <c r="C4" i="8"/>
  <c r="D74" i="4"/>
  <c r="C16" i="8"/>
  <c r="D16" i="8" s="1"/>
  <c r="B16" i="8"/>
  <c r="E16" i="8" l="1"/>
  <c r="E17" i="11"/>
  <c r="D17" i="11"/>
  <c r="D17" i="8"/>
  <c r="F16" i="8" l="1"/>
  <c r="E17" i="8"/>
  <c r="F16" i="11"/>
  <c r="F17" i="8"/>
  <c r="G16" i="8" l="1"/>
  <c r="G17" i="8"/>
  <c r="G18" i="8" s="1"/>
  <c r="E10" i="6"/>
  <c r="E11" i="6"/>
  <c r="E12" i="6"/>
  <c r="E13" i="6"/>
  <c r="E14" i="6"/>
  <c r="E15" i="6"/>
  <c r="E16" i="6"/>
  <c r="E17" i="6"/>
  <c r="E18" i="6"/>
  <c r="E9" i="6"/>
  <c r="E8" i="6"/>
  <c r="E7" i="6"/>
  <c r="B2" i="6" l="1"/>
  <c r="B1" i="6"/>
  <c r="I1" i="6" s="1"/>
  <c r="D4" i="5" l="1"/>
  <c r="D79" i="4"/>
  <c r="D73" i="4" l="1"/>
  <c r="D77" i="4"/>
  <c r="G54" i="4"/>
  <c r="G73" i="4"/>
  <c r="G74" i="4"/>
  <c r="G75" i="4"/>
  <c r="G76" i="4"/>
  <c r="G77" i="4"/>
  <c r="C19" i="4"/>
  <c r="H4" i="5"/>
  <c r="K4" i="5" s="1"/>
  <c r="L4" i="5" s="1"/>
  <c r="G4" i="5"/>
  <c r="J4" i="5"/>
  <c r="J5" i="5" s="1"/>
  <c r="J6" i="5" s="1"/>
  <c r="J7" i="5" s="1"/>
  <c r="D5" i="5"/>
  <c r="H5" i="5" s="1"/>
  <c r="K5" i="5" s="1"/>
  <c r="G5" i="5"/>
  <c r="D6" i="5"/>
  <c r="H6" i="5" s="1"/>
  <c r="K6" i="5" s="1"/>
  <c r="G6" i="5"/>
  <c r="D7" i="5"/>
  <c r="H7" i="5" s="1"/>
  <c r="K7" i="5" s="1"/>
  <c r="G7" i="5"/>
  <c r="D8" i="5"/>
  <c r="H8" i="5" s="1"/>
  <c r="K8" i="5" s="1"/>
  <c r="G8" i="5"/>
  <c r="D9" i="5"/>
  <c r="H9" i="5" s="1"/>
  <c r="K9" i="5" s="1"/>
  <c r="G9" i="5"/>
  <c r="D10" i="5"/>
  <c r="G10" i="5"/>
  <c r="H10" i="5"/>
  <c r="K10" i="5" s="1"/>
  <c r="D11" i="5"/>
  <c r="H11" i="5" s="1"/>
  <c r="K11" i="5" s="1"/>
  <c r="G11" i="5"/>
  <c r="D12" i="5"/>
  <c r="H12" i="5" s="1"/>
  <c r="K12" i="5" s="1"/>
  <c r="G12" i="5"/>
  <c r="D13" i="5"/>
  <c r="H13" i="5" s="1"/>
  <c r="K13" i="5" s="1"/>
  <c r="G13" i="5"/>
  <c r="D14" i="5"/>
  <c r="H14" i="5" s="1"/>
  <c r="K14" i="5" s="1"/>
  <c r="G14" i="5"/>
  <c r="D15" i="5"/>
  <c r="H15" i="5" s="1"/>
  <c r="K15" i="5" s="1"/>
  <c r="G15" i="5"/>
  <c r="I16" i="5"/>
  <c r="D31" i="4" l="1"/>
  <c r="B39" i="4" s="1"/>
  <c r="D39" i="4" s="1"/>
  <c r="B54" i="4"/>
  <c r="D54" i="4" s="1"/>
  <c r="J8" i="5"/>
  <c r="M4" i="5"/>
  <c r="N4" i="5" s="1"/>
  <c r="L5" i="5"/>
  <c r="L6" i="5" s="1"/>
  <c r="L7" i="5" s="1"/>
  <c r="L8" i="5" s="1"/>
  <c r="L9" i="5" s="1"/>
  <c r="L10" i="5" s="1"/>
  <c r="L11" i="5" s="1"/>
  <c r="L12" i="5" s="1"/>
  <c r="L13" i="5" s="1"/>
  <c r="L14" i="5" s="1"/>
  <c r="L15" i="5" s="1"/>
  <c r="B33" i="4" l="1"/>
  <c r="E33" i="4" s="1"/>
  <c r="G33" i="4" s="1"/>
  <c r="B57" i="4"/>
  <c r="D57" i="4" s="1"/>
  <c r="B52" i="4"/>
  <c r="E52" i="4" s="1"/>
  <c r="G52" i="4" s="1"/>
  <c r="B47" i="4"/>
  <c r="E47" i="4" s="1"/>
  <c r="G47" i="4" s="1"/>
  <c r="B46" i="4"/>
  <c r="D46" i="4" s="1"/>
  <c r="B58" i="4"/>
  <c r="E58" i="4" s="1"/>
  <c r="G58" i="4" s="1"/>
  <c r="B69" i="4"/>
  <c r="D69" i="4" s="1"/>
  <c r="B72" i="4"/>
  <c r="E72" i="4" s="1"/>
  <c r="G72" i="4" s="1"/>
  <c r="B43" i="4"/>
  <c r="E43" i="4" s="1"/>
  <c r="G43" i="4" s="1"/>
  <c r="B63" i="4"/>
  <c r="D63" i="4" s="1"/>
  <c r="B71" i="4"/>
  <c r="D71" i="4" s="1"/>
  <c r="B35" i="4"/>
  <c r="E35" i="4" s="1"/>
  <c r="G35" i="4" s="1"/>
  <c r="B60" i="4"/>
  <c r="E60" i="4" s="1"/>
  <c r="G60" i="4" s="1"/>
  <c r="B55" i="4"/>
  <c r="E55" i="4" s="1"/>
  <c r="G55" i="4" s="1"/>
  <c r="B53" i="4"/>
  <c r="D53" i="4" s="1"/>
  <c r="B67" i="4"/>
  <c r="E67" i="4" s="1"/>
  <c r="G67" i="4" s="1"/>
  <c r="B51" i="4"/>
  <c r="E51" i="4" s="1"/>
  <c r="G51" i="4" s="1"/>
  <c r="B37" i="4"/>
  <c r="D37" i="4" s="1"/>
  <c r="B56" i="4"/>
  <c r="E56" i="4" s="1"/>
  <c r="G56" i="4" s="1"/>
  <c r="B34" i="4"/>
  <c r="D34" i="4" s="1"/>
  <c r="B41" i="4"/>
  <c r="D41" i="4" s="1"/>
  <c r="B70" i="4"/>
  <c r="E70" i="4" s="1"/>
  <c r="G70" i="4" s="1"/>
  <c r="B68" i="4"/>
  <c r="D68" i="4" s="1"/>
  <c r="B38" i="4"/>
  <c r="D38" i="4" s="1"/>
  <c r="B42" i="4"/>
  <c r="D42" i="4" s="1"/>
  <c r="E39" i="4"/>
  <c r="G39" i="4" s="1"/>
  <c r="B40" i="4"/>
  <c r="D40" i="4" s="1"/>
  <c r="B65" i="4"/>
  <c r="E65" i="4" s="1"/>
  <c r="G65" i="4" s="1"/>
  <c r="B61" i="4"/>
  <c r="E61" i="4" s="1"/>
  <c r="G61" i="4" s="1"/>
  <c r="B59" i="4"/>
  <c r="D59" i="4" s="1"/>
  <c r="B66" i="4"/>
  <c r="D66" i="4" s="1"/>
  <c r="B62" i="4"/>
  <c r="E62" i="4" s="1"/>
  <c r="G62" i="4" s="1"/>
  <c r="B50" i="4"/>
  <c r="E50" i="4" s="1"/>
  <c r="G50" i="4" s="1"/>
  <c r="B36" i="4"/>
  <c r="E36" i="4" s="1"/>
  <c r="G36" i="4" s="1"/>
  <c r="B64" i="4"/>
  <c r="D64" i="4" s="1"/>
  <c r="D35" i="4"/>
  <c r="D43" i="4"/>
  <c r="D70" i="4"/>
  <c r="E71" i="4"/>
  <c r="G71" i="4" s="1"/>
  <c r="E46" i="4"/>
  <c r="G46" i="4" s="1"/>
  <c r="D33" i="4"/>
  <c r="E57" i="4"/>
  <c r="G57" i="4" s="1"/>
  <c r="D60" i="4"/>
  <c r="O4" i="5"/>
  <c r="M5" i="5"/>
  <c r="N5" i="5" s="1"/>
  <c r="O5" i="5" s="1"/>
  <c r="M6" i="5"/>
  <c r="M8" i="5"/>
  <c r="J9" i="5"/>
  <c r="M7" i="5"/>
  <c r="E37" i="4" l="1"/>
  <c r="G37" i="4" s="1"/>
  <c r="D52" i="4"/>
  <c r="D58" i="4"/>
  <c r="D55" i="4"/>
  <c r="E63" i="4"/>
  <c r="G63" i="4" s="1"/>
  <c r="E53" i="4"/>
  <c r="G53" i="4" s="1"/>
  <c r="E69" i="4"/>
  <c r="G69" i="4" s="1"/>
  <c r="D51" i="4"/>
  <c r="D56" i="4"/>
  <c r="D50" i="4"/>
  <c r="D61" i="4"/>
  <c r="D47" i="4"/>
  <c r="D72" i="4"/>
  <c r="D67" i="4"/>
  <c r="E34" i="4"/>
  <c r="G34" i="4" s="1"/>
  <c r="E41" i="4"/>
  <c r="G41" i="4" s="1"/>
  <c r="E40" i="4"/>
  <c r="G40" i="4" s="1"/>
  <c r="E38" i="4"/>
  <c r="G38" i="4" s="1"/>
  <c r="E59" i="4"/>
  <c r="G59" i="4" s="1"/>
  <c r="E68" i="4"/>
  <c r="G68" i="4" s="1"/>
  <c r="B45" i="4" s="1"/>
  <c r="E42" i="4"/>
  <c r="G42" i="4" s="1"/>
  <c r="E66" i="4"/>
  <c r="G66" i="4" s="1"/>
  <c r="D36" i="4"/>
  <c r="D62" i="4"/>
  <c r="D65" i="4"/>
  <c r="E64" i="4"/>
  <c r="G64" i="4" s="1"/>
  <c r="N6" i="5"/>
  <c r="O6" i="5" s="1"/>
  <c r="B44" i="4"/>
  <c r="N7" i="5"/>
  <c r="O7" i="5" s="1"/>
  <c r="M9" i="5"/>
  <c r="N9" i="5" s="1"/>
  <c r="O9" i="5" s="1"/>
  <c r="J10" i="5"/>
  <c r="N8" i="5"/>
  <c r="O8" i="5" s="1"/>
  <c r="D45" i="4" l="1"/>
  <c r="E45" i="4"/>
  <c r="G45" i="4" s="1"/>
  <c r="D44" i="4"/>
  <c r="E44" i="4"/>
  <c r="G44" i="4" s="1"/>
  <c r="J11" i="5"/>
  <c r="M10" i="5"/>
  <c r="N10" i="5" s="1"/>
  <c r="O10" i="5" s="1"/>
  <c r="B85" i="4" l="1"/>
  <c r="B88" i="4" s="1"/>
  <c r="G78" i="4"/>
  <c r="D76" i="4"/>
  <c r="D78" i="4" s="1"/>
  <c r="B90" i="4" s="1"/>
  <c r="J12" i="5"/>
  <c r="M11" i="5"/>
  <c r="N11" i="5" s="1"/>
  <c r="O11" i="5" l="1"/>
  <c r="M12" i="5"/>
  <c r="N12" i="5" s="1"/>
  <c r="J13" i="5"/>
  <c r="M13" i="5" l="1"/>
  <c r="N13" i="5" s="1"/>
  <c r="O13" i="5" s="1"/>
  <c r="J14" i="5"/>
  <c r="O12" i="5"/>
  <c r="J15" i="5" l="1"/>
  <c r="M15" i="5" s="1"/>
  <c r="M14" i="5"/>
  <c r="N14" i="5" s="1"/>
  <c r="O14" i="5" s="1"/>
  <c r="N15" i="5" l="1"/>
  <c r="O15" i="5" l="1"/>
  <c r="N16" i="5"/>
  <c r="O16" i="5" l="1"/>
  <c r="D16" i="10"/>
  <c r="E16" i="10" l="1"/>
  <c r="F16" i="10"/>
  <c r="F17" i="10" s="1"/>
  <c r="D17" i="10"/>
  <c r="E17" i="10"/>
  <c r="G16" i="10" l="1"/>
  <c r="G17" i="10" s="1"/>
  <c r="G18" i="10" s="1"/>
  <c r="F17" i="11"/>
  <c r="F18" i="1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D81" authorId="0" shapeId="0" xr:uid="{384DB2B6-7B88-477B-A564-19C1470086E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Mettre un - devant les sommes à retenir (saisie arret, AN etc,,,</t>
        </r>
      </text>
    </comment>
    <comment ref="B86" authorId="0" shapeId="0" xr:uid="{24EC5FF9-C06F-45A0-BB19-AD608EBE13B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mettre le signe -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<sst xmlns="http://schemas.openxmlformats.org/spreadsheetml/2006/main" count="407" uniqueCount="226">
  <si>
    <t>Salaire de base</t>
  </si>
  <si>
    <t>Maladie-maternité-invalidité-décès</t>
  </si>
  <si>
    <t>Contribution solidarité autonomie</t>
  </si>
  <si>
    <t>Vieillesse déplafonnée</t>
  </si>
  <si>
    <t>Vieillesse plafonnée</t>
  </si>
  <si>
    <t>Allocations familiales</t>
  </si>
  <si>
    <t>Accident du travail</t>
  </si>
  <si>
    <t>CSG déductible</t>
  </si>
  <si>
    <t>CSG non déductible et CRDS</t>
  </si>
  <si>
    <t>Contribution au dialogue social</t>
  </si>
  <si>
    <t>Assurance chomage TA + TB</t>
  </si>
  <si>
    <t>AGS</t>
  </si>
  <si>
    <t>Mutuelle</t>
  </si>
  <si>
    <t>Eléments de paie</t>
  </si>
  <si>
    <t>Base</t>
  </si>
  <si>
    <t>Forfait social sur contribution de prévoyance</t>
  </si>
  <si>
    <t>Salaire brut total</t>
  </si>
  <si>
    <t>Cotisations patronales</t>
  </si>
  <si>
    <t>Taux</t>
  </si>
  <si>
    <t xml:space="preserve">Taux </t>
  </si>
  <si>
    <t>Détermination salaire brut et cotisations salariales</t>
  </si>
  <si>
    <t>Formation professionnelle</t>
  </si>
  <si>
    <t>Employeur</t>
  </si>
  <si>
    <t>Nom</t>
  </si>
  <si>
    <t>Adresse</t>
  </si>
  <si>
    <t>Siret</t>
  </si>
  <si>
    <t>Code Naf</t>
  </si>
  <si>
    <t>Nom et Prénom du salarié</t>
  </si>
  <si>
    <t>Adresse du salarié</t>
  </si>
  <si>
    <t>Emploi du salarié :</t>
  </si>
  <si>
    <t>Classification conventionnelle :</t>
  </si>
  <si>
    <t>Date d'entrée:</t>
  </si>
  <si>
    <t>Convention collective :</t>
  </si>
  <si>
    <t>TEPA</t>
  </si>
  <si>
    <t xml:space="preserve">Net à payer en € </t>
  </si>
  <si>
    <t>Part employeur</t>
  </si>
  <si>
    <t>Montant/Partsalarié</t>
  </si>
  <si>
    <t>TOTAL DES COTISATIONS ET CONTRIBUTIONS</t>
  </si>
  <si>
    <t>Retraite complémentaire T2</t>
  </si>
  <si>
    <t>Effectif</t>
  </si>
  <si>
    <t>BULLETIN DE SALAIRE (DETAILLE)</t>
  </si>
  <si>
    <t>Complément maladie</t>
  </si>
  <si>
    <t>Complément allocations familiales</t>
  </si>
  <si>
    <t>Retraite complémentaire T1</t>
  </si>
  <si>
    <t>CET T1</t>
  </si>
  <si>
    <t>CET T2</t>
  </si>
  <si>
    <t>CEG T1</t>
  </si>
  <si>
    <t>CEG T2</t>
  </si>
  <si>
    <t>APEC T1</t>
  </si>
  <si>
    <t>APEC T2</t>
  </si>
  <si>
    <t>Exonération cotisation sur HC/HS</t>
  </si>
  <si>
    <t>Prévoyance TB</t>
  </si>
  <si>
    <t>Total des retenues déductibles</t>
  </si>
  <si>
    <t>Total des retenues non déductibles</t>
  </si>
  <si>
    <t>Impôt sur le revenu prélévé à la source- PAS</t>
  </si>
  <si>
    <t>Salaire net à payer théorique</t>
  </si>
  <si>
    <t>Net à payer avant impôt sur le revenu</t>
  </si>
  <si>
    <t>Prévoyance TA</t>
  </si>
  <si>
    <t>Taxe d'apprentissage</t>
  </si>
  <si>
    <t>1 % CDD</t>
  </si>
  <si>
    <t>Effort construction</t>
  </si>
  <si>
    <t>Taux horaire SMIC</t>
  </si>
  <si>
    <t>Statut</t>
  </si>
  <si>
    <t>Nature du contrat</t>
  </si>
  <si>
    <t>Tranche 1 du mois</t>
  </si>
  <si>
    <t>Tranche 2 du mois</t>
  </si>
  <si>
    <t>Réduction générale des cotisations pat retraite</t>
  </si>
  <si>
    <t>Réduction générale des cotisations patronales URS</t>
  </si>
  <si>
    <t>CSG CRDS SUR HS/HC non déductible</t>
  </si>
  <si>
    <t>Tickets restaurants</t>
  </si>
  <si>
    <t>Acompte</t>
  </si>
  <si>
    <t>Prêt</t>
  </si>
  <si>
    <t>Avantage en nature, saisie arrêt, IK, allocation repas, indemnité licenciement</t>
  </si>
  <si>
    <t>CSG CRDS SUR SUPRALEGALE</t>
  </si>
  <si>
    <t>Mutuelle optionnelle</t>
  </si>
  <si>
    <t>dont évolution de la rémunération liée à la suppression des cotisations chômage et maladie</t>
  </si>
  <si>
    <t>Coût global employeur</t>
  </si>
  <si>
    <t>IJSS SUBROGEES</t>
  </si>
  <si>
    <t>Fnal</t>
  </si>
  <si>
    <t>Versement mobilité (plus de 11 salariés)</t>
  </si>
  <si>
    <t>il s'agit d'indiquer ici le salaire net imposable</t>
  </si>
  <si>
    <t>Plafond de la Sécurité Social</t>
  </si>
  <si>
    <t>Total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</si>
  <si>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</si>
  <si>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</si>
  <si>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</si>
  <si>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</si>
  <si>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</si>
  <si>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</si>
  <si>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</si>
  <si>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</si>
  <si>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</si>
  <si>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</si>
  <si>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</si>
  <si>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</si>
  <si>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T2</t>
  </si>
  <si>
    <t>T1 et assiette plafonnée</t>
  </si>
  <si>
    <t>Assiette plafond T1 cumulée</t>
  </si>
  <si>
    <t>Cumul plafond T1</t>
  </si>
  <si>
    <t>Plafond du mois</t>
  </si>
  <si>
    <t>Cumul Salaire brut</t>
  </si>
  <si>
    <t>Salaire brut du mois</t>
  </si>
  <si>
    <t>Plafond à retenir</t>
  </si>
  <si>
    <t>Jours présents</t>
  </si>
  <si>
    <t>Jours abs non maintenus</t>
  </si>
  <si>
    <t>Jours calend./mois</t>
  </si>
  <si>
    <t xml:space="preserve">Plafond du salarié </t>
  </si>
  <si>
    <t>Heures complementaires</t>
  </si>
  <si>
    <t>Heures contrat palafonnés à 151,67</t>
  </si>
  <si>
    <t>T1 et T2 sur le bulletin</t>
  </si>
  <si>
    <t>Tableau combinée plafond sécu</t>
  </si>
  <si>
    <t>Prime exeptionnelle</t>
  </si>
  <si>
    <t>Heures supplementaires 25%</t>
  </si>
  <si>
    <t>Exoneration sur HC/HS montant net fiscal</t>
  </si>
  <si>
    <t>Coeff charge</t>
  </si>
  <si>
    <t>Cotisation URSAFF</t>
  </si>
  <si>
    <t>MOIS</t>
  </si>
  <si>
    <t xml:space="preserve">HEURES CONTRACTUELLE </t>
  </si>
  <si>
    <t>SALAIRE DE BASE</t>
  </si>
  <si>
    <t>MONTANT HS/HC</t>
  </si>
  <si>
    <t>MONTNAT DE L'ABS (hors CP)</t>
  </si>
  <si>
    <t>MAINTIENT DE L'ABS</t>
  </si>
  <si>
    <t>IJSS</t>
  </si>
  <si>
    <t>SALAIRE BRUT</t>
  </si>
  <si>
    <t>SALAIRE DE BASE + (Prime d'ancienneté+prime d'assiduité)</t>
  </si>
  <si>
    <t>SMIC HEURE CONTRAT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</si>
  <si>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</si>
  <si>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</si>
  <si>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</si>
  <si>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</si>
  <si>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</si>
  <si>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</si>
  <si>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</si>
  <si>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</si>
  <si>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</si>
  <si>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</si>
  <si>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</si>
  <si>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</si>
  <si>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SMIC A RETENIR (tenir compte des abs et HS/HC)</t>
  </si>
  <si>
    <t>NUMERATEUR SMIC (SMIC*1,6)</t>
  </si>
  <si>
    <t>NUMERATEUR SMIC CUMUL</t>
  </si>
  <si>
    <t>DENOMINATEUR CUMUL BRUT</t>
  </si>
  <si>
    <t>COEF ANNUEL</t>
  </si>
  <si>
    <t>COEFF  ANNUEL CORRIGE</t>
  </si>
  <si>
    <t>FILLON ANNUALISEE</t>
  </si>
  <si>
    <t>REGULARISATION PROGRESSIVE</t>
  </si>
  <si>
    <t>URSSAF</t>
  </si>
  <si>
    <t>RETRAITE</t>
  </si>
  <si>
    <t>CUMUL SMIC</t>
  </si>
  <si>
    <t>AF AU TAUX DE 1,80 %</t>
  </si>
  <si>
    <t>BASE AF SUR BULLETIN</t>
  </si>
  <si>
    <t>COMPLEMENT MALADIE A 6 %</t>
  </si>
  <si>
    <t>BASE COMPLEMENT MALADIE SUR BULLETIN</t>
  </si>
  <si>
    <t>ELEMENTS NON IMPACTE PAR L'ABS (prime excep, indemnité fin de contrat)</t>
  </si>
  <si>
    <t>DENOMINATEUR (Salaire brut)</t>
  </si>
  <si>
    <t>Lundi</t>
  </si>
  <si>
    <t>Mercredi</t>
  </si>
  <si>
    <t>Jeudi</t>
  </si>
  <si>
    <t>Vendredi</t>
  </si>
  <si>
    <t>Samedi</t>
  </si>
  <si>
    <t>Dimanche</t>
  </si>
  <si>
    <t>TOTAL</t>
  </si>
  <si>
    <t>JOURS</t>
  </si>
  <si>
    <t xml:space="preserve">Mardi </t>
  </si>
  <si>
    <t>HEURES CONTRACTUELLES</t>
  </si>
  <si>
    <t>HEURES TRAVAILLE</t>
  </si>
  <si>
    <t>40è à la 43è heures à 20%</t>
  </si>
  <si>
    <t>36è à la 39è heures à 10%</t>
  </si>
  <si>
    <t>44è à + heures à 50%</t>
  </si>
  <si>
    <t>Heure contractuelle à 0%</t>
  </si>
  <si>
    <t>HEURES CONTRACTUELLE MOIS</t>
  </si>
  <si>
    <t>TAUX HORAIRE</t>
  </si>
  <si>
    <t>Montant</t>
  </si>
  <si>
    <t>TEMPS PARTIEL</t>
  </si>
  <si>
    <t>TEMPS PLEIN HCR</t>
  </si>
  <si>
    <t xml:space="preserve"> heures à 10%</t>
  </si>
  <si>
    <t xml:space="preserve"> heures à 25%</t>
  </si>
  <si>
    <t>heures à 50%</t>
  </si>
  <si>
    <t>TEMPS PLEIN CODE DU TRAVAIL</t>
  </si>
  <si>
    <t>36è à la 43è heures à 25%</t>
  </si>
  <si>
    <t>HS/HC</t>
  </si>
  <si>
    <t>CADRE</t>
  </si>
  <si>
    <t>NON CADRE</t>
  </si>
  <si>
    <t>MANDATAIRE</t>
  </si>
  <si>
    <t>HEURES TRAVAILLEE</t>
  </si>
  <si>
    <t>COTISATIONS PATRONALLES</t>
  </si>
  <si>
    <t xml:space="preserve"> COTISATION SALARIALES</t>
  </si>
  <si>
    <t>Ancienneté :</t>
  </si>
  <si>
    <t>mai</t>
  </si>
  <si>
    <t>décembre</t>
  </si>
  <si>
    <t>janvier</t>
  </si>
  <si>
    <t>février</t>
  </si>
  <si>
    <t>mars</t>
  </si>
  <si>
    <t>avril</t>
  </si>
  <si>
    <t>juin</t>
  </si>
  <si>
    <t>août</t>
  </si>
  <si>
    <t>septembre</t>
  </si>
  <si>
    <t>octobre</t>
  </si>
  <si>
    <t>novembre</t>
  </si>
  <si>
    <t>juilllet</t>
  </si>
  <si>
    <t>Année</t>
  </si>
  <si>
    <t>Liste année sans trou</t>
  </si>
  <si>
    <t>Mois</t>
  </si>
  <si>
    <t>Heures supplémentaires 10%</t>
  </si>
  <si>
    <t>Heures supplémentaires 20%</t>
  </si>
  <si>
    <t>Heures supplémentaires 50%</t>
  </si>
  <si>
    <t>Congés payés pris DATE</t>
  </si>
  <si>
    <t>Indémnités congés payés DATE</t>
  </si>
  <si>
    <t>Absence maladie DATE</t>
  </si>
  <si>
    <t>Indémnités complémentaires DATE</t>
  </si>
  <si>
    <t xml:space="preserve">Année </t>
  </si>
  <si>
    <t>Pâques</t>
  </si>
  <si>
    <t>Lundi de Pâques</t>
  </si>
  <si>
    <t>Ascencsion</t>
  </si>
  <si>
    <t>Pentecôte</t>
  </si>
  <si>
    <t>Lundi de la Pentecôte</t>
  </si>
  <si>
    <t>Assoption</t>
  </si>
  <si>
    <t>VENTILATION DES HEURES SUP PAR MAJORATION</t>
  </si>
  <si>
    <t>Fevrier</t>
  </si>
  <si>
    <t>Heures normalement travaillées</t>
  </si>
  <si>
    <t>Heures réellement travaillées</t>
  </si>
  <si>
    <t>Calcul en heures réelles</t>
  </si>
  <si>
    <t>Date</t>
  </si>
  <si>
    <t>evenement</t>
  </si>
  <si>
    <t>ligne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</si>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</sst>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€&quot;_-;\-* #,##0.00\ &quot;€&quot;_-;_-* &quot;-&quot;??\ &quot;€&quot;_-;_-@_-"/>
    <numFmt numFmtId="164" formatCode="0.0000"/>
    <numFmt numFmtId="165" formatCode="0.0%"/>
    <numFmt numFmtId="166" formatCode="0.000%"/>
    <numFmt numFmtId="167" formatCode="0.0000%"/>
    <numFmt numFmtId="168" formatCode="_-* #,##0.0000\ &quot;€&quot;_-;\-* #,##0.0000\ &quot;€&quot;_-;_-* &quot;-&quot;??\ &quot;€&quot;_-;_-@_-"/>
    <numFmt numFmtId="169" formatCode="_-* #,##0.00\ [$€-40C]_-;\-* #,##0.00\ [$€-40C]_-;_-* &quot;-&quot;??\ [$€-40C]_-;_-@_-"/>
    <numFmt numFmtId="170" formatCode="ddd\ dd"/>
    <numFmt numFmtId="171" formatCode="[$-40C]d\ mmmm\ yyyy;@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color theme="1"/>
      <name val="Calibri"/>
      <family val="2"/>
      <scheme val="minor"/>
    </font>
    <font>
      <u/>
      <sz val="24"/>
      <color theme="1"/>
      <name val="Courier New"/>
      <family val="3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i/>
      <sz val="15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CDED8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4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tted">
        <color auto="1"/>
      </right>
      <top style="double">
        <color auto="1"/>
      </top>
      <bottom style="double">
        <color auto="1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uble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ashDotDot">
        <color auto="1"/>
      </right>
      <top/>
      <bottom style="dashDotDot">
        <color auto="1"/>
      </bottom>
      <diagonal/>
    </border>
    <border>
      <left/>
      <right style="dashDotDot">
        <color auto="1"/>
      </right>
      <top style="dashDotDot">
        <color auto="1"/>
      </top>
      <bottom style="dashDotDot">
        <color auto="1"/>
      </bottom>
      <diagonal/>
    </border>
    <border>
      <left/>
      <right style="dashDotDot">
        <color auto="1"/>
      </right>
      <top style="dashDotDot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ashDotDot">
        <color auto="1"/>
      </right>
      <top style="thin">
        <color indexed="64"/>
      </top>
      <bottom style="thin">
        <color indexed="64"/>
      </bottom>
      <diagonal/>
    </border>
    <border>
      <left style="dashDotDot">
        <color auto="1"/>
      </left>
      <right style="dashDotDot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Dot">
        <color auto="1"/>
      </right>
      <top style="dashDotDot">
        <color auto="1"/>
      </top>
      <bottom style="thin">
        <color indexed="64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thin">
        <color indexed="64"/>
      </bottom>
      <diagonal/>
    </border>
    <border>
      <left style="thin">
        <color indexed="64"/>
      </left>
      <right style="dashDotDot">
        <color auto="1"/>
      </right>
      <top style="thin">
        <color indexed="64"/>
      </top>
      <bottom style="double">
        <color indexed="64"/>
      </bottom>
      <diagonal/>
    </border>
    <border>
      <left style="dashDotDot">
        <color auto="1"/>
      </left>
      <right style="dashDotDot">
        <color auto="1"/>
      </right>
      <top style="thin">
        <color indexed="64"/>
      </top>
      <bottom style="double">
        <color indexed="64"/>
      </bottom>
      <diagonal/>
    </border>
    <border>
      <left style="dashDotDot">
        <color auto="1"/>
      </left>
      <right style="dashDotDot">
        <color auto="1"/>
      </right>
      <top style="double">
        <color auto="1"/>
      </top>
      <bottom style="thin">
        <color indexed="64"/>
      </bottom>
      <diagonal/>
    </border>
    <border>
      <left style="dashDotDot">
        <color auto="1"/>
      </left>
      <right style="double">
        <color auto="1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auto="1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DotDot">
        <color auto="1"/>
      </right>
      <top style="double">
        <color indexed="64"/>
      </top>
      <bottom style="thin">
        <color indexed="64"/>
      </bottom>
      <diagonal/>
    </border>
    <border>
      <left style="dashDotDot">
        <color auto="1"/>
      </left>
      <right/>
      <top style="double">
        <color auto="1"/>
      </top>
      <bottom style="thin">
        <color indexed="64"/>
      </bottom>
      <diagonal/>
    </border>
    <border>
      <left style="dashDotDot">
        <color auto="1"/>
      </left>
      <right/>
      <top style="dashDotDot">
        <color auto="1"/>
      </top>
      <bottom style="dashDotDot">
        <color auto="1"/>
      </bottom>
      <diagonal/>
    </border>
    <border>
      <left style="dashDotDot">
        <color auto="1"/>
      </left>
      <right/>
      <top style="dashDotDot">
        <color auto="1"/>
      </top>
      <bottom style="double">
        <color auto="1"/>
      </bottom>
      <diagonal/>
    </border>
    <border>
      <left style="dashDotDot">
        <color auto="1"/>
      </left>
      <right style="thin">
        <color indexed="64"/>
      </right>
      <top style="thin">
        <color indexed="64"/>
      </top>
      <bottom style="dashDotDot">
        <color auto="1"/>
      </bottom>
      <diagonal/>
    </border>
    <border>
      <left style="thick">
        <color indexed="64"/>
      </left>
      <right style="dashDotDot">
        <color auto="1"/>
      </right>
      <top style="double">
        <color auto="1"/>
      </top>
      <bottom style="thin">
        <color indexed="64"/>
      </bottom>
      <diagonal/>
    </border>
    <border>
      <left style="thick">
        <color indexed="64"/>
      </left>
      <right/>
      <top style="double">
        <color auto="1"/>
      </top>
      <bottom style="double">
        <color indexed="64"/>
      </bottom>
      <diagonal/>
    </border>
    <border>
      <left style="dashDotDot">
        <color auto="1"/>
      </left>
      <right style="thick">
        <color indexed="64"/>
      </right>
      <top style="thin">
        <color indexed="64"/>
      </top>
      <bottom style="dashDotDot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dashDotDot">
        <color indexed="64"/>
      </right>
      <top style="double">
        <color indexed="64"/>
      </top>
      <bottom style="thick">
        <color indexed="64"/>
      </bottom>
      <diagonal/>
    </border>
    <border>
      <left style="dashDotDot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dashDotDot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dashDotDot">
        <color indexed="64"/>
      </right>
      <top style="double">
        <color indexed="64"/>
      </top>
      <bottom style="thick">
        <color indexed="64"/>
      </bottom>
      <diagonal/>
    </border>
    <border>
      <left style="dashDotDot">
        <color indexed="64"/>
      </left>
      <right style="dashDotDot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double">
        <color auto="1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dashDotDot">
        <color indexed="64"/>
      </bottom>
      <diagonal/>
    </border>
    <border>
      <left style="dashDotDot">
        <color indexed="64"/>
      </left>
      <right style="thin">
        <color indexed="64"/>
      </right>
      <top style="dashDotDot">
        <color indexed="64"/>
      </top>
      <bottom style="thin">
        <color indexed="64"/>
      </bottom>
      <diagonal/>
    </border>
    <border>
      <left style="thick">
        <color indexed="64"/>
      </left>
      <right style="dashed">
        <color indexed="64"/>
      </right>
      <top style="thick">
        <color indexed="64"/>
      </top>
      <bottom style="thick">
        <color indexed="64"/>
      </bottom>
      <diagonal/>
    </border>
    <border>
      <left style="dashed">
        <color indexed="64"/>
      </left>
      <right style="dashed">
        <color indexed="64"/>
      </right>
      <top style="thick">
        <color indexed="64"/>
      </top>
      <bottom style="thick">
        <color indexed="64"/>
      </bottom>
      <diagonal/>
    </border>
    <border>
      <left style="dashed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ashed">
        <color indexed="64"/>
      </left>
      <right style="dashed">
        <color indexed="64"/>
      </right>
      <top style="thick">
        <color indexed="64"/>
      </top>
      <bottom/>
      <diagonal/>
    </border>
    <border>
      <left style="dashed">
        <color indexed="64"/>
      </left>
      <right/>
      <top style="thick">
        <color indexed="64"/>
      </top>
      <bottom/>
      <diagonal/>
    </border>
    <border>
      <left style="double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ouble">
        <color auto="1"/>
      </right>
      <top/>
      <bottom style="dashed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ashed">
        <color auto="1"/>
      </right>
      <top/>
      <bottom style="dashed">
        <color auto="1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double">
        <color auto="1"/>
      </bottom>
      <diagonal/>
    </border>
    <border>
      <left style="dashed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ashed">
        <color auto="1"/>
      </right>
      <top style="double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dashed">
        <color auto="1"/>
      </bottom>
      <diagonal/>
    </border>
    <border>
      <left style="dashed">
        <color auto="1"/>
      </left>
      <right style="double">
        <color auto="1"/>
      </right>
      <top style="double">
        <color auto="1"/>
      </top>
      <bottom style="dashed">
        <color auto="1"/>
      </bottom>
      <diagonal/>
    </border>
    <border>
      <left/>
      <right style="dashed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9" fontId="6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396">
    <xf numFmtId="0" fontId="0" fillId="0" borderId="0" xfId="0"/>
    <xf numFmtId="0" fontId="0" fillId="0" borderId="6" xfId="0" applyBorder="1"/>
    <xf numFmtId="2" fontId="0" fillId="0" borderId="6" xfId="0" applyNumberFormat="1" applyBorder="1"/>
    <xf numFmtId="0" fontId="0" fillId="4" borderId="6" xfId="0" applyFill="1" applyBorder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2" xfId="0" applyFont="1" applyFill="1" applyBorder="1" applyAlignment="1">
      <alignment wrapText="1"/>
    </xf>
    <xf numFmtId="0" fontId="1" fillId="3" borderId="2" xfId="0" applyFont="1" applyFill="1" applyBorder="1" applyAlignment="1">
      <alignment horizontal="center" wrapText="1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0" fontId="1" fillId="3" borderId="20" xfId="0" applyFont="1" applyFill="1" applyBorder="1"/>
    <xf numFmtId="0" fontId="1" fillId="3" borderId="21" xfId="0" applyFont="1" applyFill="1" applyBorder="1"/>
    <xf numFmtId="0" fontId="1" fillId="3" borderId="22" xfId="0" applyFont="1" applyFill="1" applyBorder="1"/>
    <xf numFmtId="0" fontId="0" fillId="3" borderId="24" xfId="0" applyFill="1" applyBorder="1"/>
    <xf numFmtId="0" fontId="0" fillId="3" borderId="25" xfId="0" applyFill="1" applyBorder="1"/>
    <xf numFmtId="2" fontId="0" fillId="7" borderId="12" xfId="0" applyNumberFormat="1" applyFill="1" applyBorder="1"/>
    <xf numFmtId="2" fontId="0" fillId="8" borderId="14" xfId="0" applyNumberFormat="1" applyFill="1" applyBorder="1"/>
    <xf numFmtId="2" fontId="0" fillId="9" borderId="14" xfId="0" applyNumberFormat="1" applyFill="1" applyBorder="1"/>
    <xf numFmtId="2" fontId="0" fillId="10" borderId="14" xfId="0" applyNumberFormat="1" applyFill="1" applyBorder="1"/>
    <xf numFmtId="2" fontId="0" fillId="11" borderId="14" xfId="0" applyNumberFormat="1" applyFill="1" applyBorder="1"/>
    <xf numFmtId="2" fontId="0" fillId="2" borderId="14" xfId="0" applyNumberFormat="1" applyFill="1" applyBorder="1"/>
    <xf numFmtId="2" fontId="0" fillId="2" borderId="6" xfId="0" applyNumberFormat="1" applyFill="1" applyBorder="1"/>
    <xf numFmtId="2" fontId="0" fillId="6" borderId="14" xfId="0" applyNumberFormat="1" applyFill="1" applyBorder="1"/>
    <xf numFmtId="2" fontId="0" fillId="6" borderId="6" xfId="0" applyNumberFormat="1" applyFill="1" applyBorder="1"/>
    <xf numFmtId="2" fontId="0" fillId="12" borderId="14" xfId="0" applyNumberFormat="1" applyFill="1" applyBorder="1"/>
    <xf numFmtId="2" fontId="0" fillId="7" borderId="14" xfId="0" applyNumberFormat="1" applyFill="1" applyBorder="1"/>
    <xf numFmtId="2" fontId="0" fillId="7" borderId="17" xfId="0" applyNumberFormat="1" applyFill="1" applyBorder="1"/>
    <xf numFmtId="2" fontId="0" fillId="8" borderId="9" xfId="0" applyNumberFormat="1" applyFill="1" applyBorder="1"/>
    <xf numFmtId="2" fontId="0" fillId="9" borderId="9" xfId="0" applyNumberFormat="1" applyFill="1" applyBorder="1"/>
    <xf numFmtId="2" fontId="0" fillId="9" borderId="13" xfId="0" applyNumberFormat="1" applyFill="1" applyBorder="1"/>
    <xf numFmtId="2" fontId="0" fillId="10" borderId="9" xfId="0" applyNumberFormat="1" applyFill="1" applyBorder="1"/>
    <xf numFmtId="2" fontId="0" fillId="11" borderId="9" xfId="0" applyNumberFormat="1" applyFill="1" applyBorder="1"/>
    <xf numFmtId="2" fontId="0" fillId="2" borderId="9" xfId="0" applyNumberFormat="1" applyFill="1" applyBorder="1"/>
    <xf numFmtId="2" fontId="0" fillId="6" borderId="9" xfId="0" applyNumberFormat="1" applyFill="1" applyBorder="1"/>
    <xf numFmtId="2" fontId="0" fillId="12" borderId="9" xfId="0" applyNumberFormat="1" applyFill="1" applyBorder="1"/>
    <xf numFmtId="2" fontId="0" fillId="7" borderId="9" xfId="0" applyNumberFormat="1" applyFill="1" applyBorder="1"/>
    <xf numFmtId="2" fontId="0" fillId="7" borderId="10" xfId="0" applyNumberFormat="1" applyFill="1" applyBorder="1"/>
    <xf numFmtId="2" fontId="0" fillId="8" borderId="13" xfId="0" applyNumberFormat="1" applyFill="1" applyBorder="1"/>
    <xf numFmtId="2" fontId="0" fillId="10" borderId="13" xfId="0" applyNumberFormat="1" applyFill="1" applyBorder="1"/>
    <xf numFmtId="2" fontId="0" fillId="11" borderId="13" xfId="0" applyNumberFormat="1" applyFill="1" applyBorder="1"/>
    <xf numFmtId="2" fontId="0" fillId="2" borderId="13" xfId="0" applyNumberFormat="1" applyFill="1" applyBorder="1"/>
    <xf numFmtId="2" fontId="0" fillId="6" borderId="13" xfId="0" applyNumberFormat="1" applyFill="1" applyBorder="1"/>
    <xf numFmtId="2" fontId="0" fillId="12" borderId="13" xfId="0" applyNumberFormat="1" applyFill="1" applyBorder="1"/>
    <xf numFmtId="2" fontId="0" fillId="7" borderId="13" xfId="0" applyNumberFormat="1" applyFill="1" applyBorder="1"/>
    <xf numFmtId="2" fontId="0" fillId="12" borderId="8" xfId="0" applyNumberFormat="1" applyFill="1" applyBorder="1"/>
    <xf numFmtId="2" fontId="0" fillId="7" borderId="28" xfId="0" applyNumberFormat="1" applyFill="1" applyBorder="1"/>
    <xf numFmtId="2" fontId="0" fillId="7" borderId="29" xfId="0" applyNumberFormat="1" applyFill="1" applyBorder="1"/>
    <xf numFmtId="2" fontId="0" fillId="7" borderId="5" xfId="0" applyNumberFormat="1" applyFill="1" applyBorder="1"/>
    <xf numFmtId="4" fontId="0" fillId="0" borderId="6" xfId="0" applyNumberFormat="1" applyBorder="1"/>
    <xf numFmtId="2" fontId="0" fillId="7" borderId="16" xfId="0" applyNumberFormat="1" applyFill="1" applyBorder="1"/>
    <xf numFmtId="2" fontId="1" fillId="4" borderId="6" xfId="0" applyNumberFormat="1" applyFont="1" applyFill="1" applyBorder="1"/>
    <xf numFmtId="2" fontId="4" fillId="2" borderId="2" xfId="0" applyNumberFormat="1" applyFont="1" applyFill="1" applyBorder="1"/>
    <xf numFmtId="2" fontId="1" fillId="2" borderId="26" xfId="0" applyNumberFormat="1" applyFont="1" applyFill="1" applyBorder="1"/>
    <xf numFmtId="4" fontId="0" fillId="12" borderId="16" xfId="0" applyNumberFormat="1" applyFill="1" applyBorder="1"/>
    <xf numFmtId="4" fontId="0" fillId="7" borderId="16" xfId="0" applyNumberFormat="1" applyFill="1" applyBorder="1"/>
    <xf numFmtId="165" fontId="0" fillId="7" borderId="11" xfId="1" applyNumberFormat="1" applyFont="1" applyFill="1" applyBorder="1"/>
    <xf numFmtId="9" fontId="0" fillId="7" borderId="4" xfId="1" applyFont="1" applyFill="1" applyBorder="1"/>
    <xf numFmtId="2" fontId="0" fillId="4" borderId="6" xfId="0" applyNumberFormat="1" applyFill="1" applyBorder="1"/>
    <xf numFmtId="10" fontId="0" fillId="8" borderId="6" xfId="0" applyNumberFormat="1" applyFill="1" applyBorder="1"/>
    <xf numFmtId="10" fontId="0" fillId="9" borderId="6" xfId="1" applyNumberFormat="1" applyFont="1" applyFill="1" applyBorder="1"/>
    <xf numFmtId="10" fontId="0" fillId="10" borderId="6" xfId="0" applyNumberFormat="1" applyFill="1" applyBorder="1"/>
    <xf numFmtId="9" fontId="0" fillId="8" borderId="6" xfId="1" applyFont="1" applyFill="1" applyBorder="1"/>
    <xf numFmtId="10" fontId="0" fillId="8" borderId="6" xfId="1" applyNumberFormat="1" applyFont="1" applyFill="1" applyBorder="1"/>
    <xf numFmtId="10" fontId="0" fillId="2" borderId="6" xfId="1" applyNumberFormat="1" applyFont="1" applyFill="1" applyBorder="1"/>
    <xf numFmtId="166" fontId="0" fillId="8" borderId="6" xfId="0" applyNumberFormat="1" applyFill="1" applyBorder="1"/>
    <xf numFmtId="10" fontId="0" fillId="12" borderId="6" xfId="0" applyNumberFormat="1" applyFill="1" applyBorder="1"/>
    <xf numFmtId="166" fontId="0" fillId="12" borderId="6" xfId="0" applyNumberFormat="1" applyFill="1" applyBorder="1"/>
    <xf numFmtId="0" fontId="1" fillId="4" borderId="6" xfId="0" applyFont="1" applyFill="1" applyBorder="1"/>
    <xf numFmtId="2" fontId="1" fillId="5" borderId="6" xfId="0" applyNumberFormat="1" applyFont="1" applyFill="1" applyBorder="1"/>
    <xf numFmtId="0" fontId="0" fillId="14" borderId="10" xfId="0" applyFill="1" applyBorder="1"/>
    <xf numFmtId="0" fontId="0" fillId="14" borderId="13" xfId="0" applyFill="1" applyBorder="1"/>
    <xf numFmtId="0" fontId="0" fillId="14" borderId="30" xfId="0" applyFill="1" applyBorder="1"/>
    <xf numFmtId="10" fontId="0" fillId="7" borderId="6" xfId="0" applyNumberFormat="1" applyFill="1" applyBorder="1"/>
    <xf numFmtId="2" fontId="0" fillId="15" borderId="13" xfId="0" applyNumberFormat="1" applyFill="1" applyBorder="1"/>
    <xf numFmtId="0" fontId="0" fillId="15" borderId="6" xfId="0" applyFill="1" applyBorder="1"/>
    <xf numFmtId="2" fontId="0" fillId="15" borderId="14" xfId="0" applyNumberFormat="1" applyFill="1" applyBorder="1"/>
    <xf numFmtId="2" fontId="0" fillId="15" borderId="9" xfId="0" applyNumberFormat="1" applyFill="1" applyBorder="1"/>
    <xf numFmtId="0" fontId="0" fillId="15" borderId="6" xfId="1" applyNumberFormat="1" applyFont="1" applyFill="1" applyBorder="1"/>
    <xf numFmtId="2" fontId="0" fillId="4" borderId="13" xfId="0" applyNumberFormat="1" applyFill="1" applyBorder="1"/>
    <xf numFmtId="2" fontId="0" fillId="4" borderId="14" xfId="0" applyNumberFormat="1" applyFill="1" applyBorder="1"/>
    <xf numFmtId="2" fontId="0" fillId="4" borderId="9" xfId="0" applyNumberFormat="1" applyFill="1" applyBorder="1"/>
    <xf numFmtId="10" fontId="0" fillId="4" borderId="6" xfId="1" applyNumberFormat="1" applyFont="1" applyFill="1" applyBorder="1"/>
    <xf numFmtId="9" fontId="1" fillId="4" borderId="0" xfId="1" applyFont="1" applyFill="1" applyBorder="1"/>
    <xf numFmtId="165" fontId="0" fillId="0" borderId="6" xfId="1" applyNumberFormat="1" applyFont="1" applyBorder="1"/>
    <xf numFmtId="2" fontId="1" fillId="13" borderId="6" xfId="0" applyNumberFormat="1" applyFont="1" applyFill="1" applyBorder="1"/>
    <xf numFmtId="167" fontId="0" fillId="7" borderId="6" xfId="1" applyNumberFormat="1" applyFont="1" applyFill="1" applyBorder="1"/>
    <xf numFmtId="164" fontId="0" fillId="4" borderId="6" xfId="0" applyNumberFormat="1" applyFill="1" applyBorder="1"/>
    <xf numFmtId="10" fontId="1" fillId="4" borderId="0" xfId="1" applyNumberFormat="1" applyFont="1" applyFill="1" applyBorder="1"/>
    <xf numFmtId="0" fontId="0" fillId="0" borderId="32" xfId="0" applyBorder="1"/>
    <xf numFmtId="0" fontId="1" fillId="15" borderId="33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1" fontId="0" fillId="10" borderId="35" xfId="0" applyNumberFormat="1" applyFill="1" applyBorder="1" applyAlignment="1">
      <alignment horizontal="center" vertical="center"/>
    </xf>
    <xf numFmtId="1" fontId="0" fillId="10" borderId="36" xfId="0" applyNumberFormat="1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2" fontId="0" fillId="0" borderId="36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2" fontId="0" fillId="10" borderId="36" xfId="0" applyNumberFormat="1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/>
    </xf>
    <xf numFmtId="0" fontId="0" fillId="10" borderId="37" xfId="0" applyFill="1" applyBorder="1" applyAlignment="1">
      <alignment horizontal="left"/>
    </xf>
    <xf numFmtId="2" fontId="0" fillId="17" borderId="38" xfId="0" applyNumberFormat="1" applyFill="1" applyBorder="1" applyAlignment="1">
      <alignment horizontal="center" vertical="center"/>
    </xf>
    <xf numFmtId="2" fontId="0" fillId="17" borderId="39" xfId="0" applyNumberFormat="1" applyFill="1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/>
    </xf>
    <xf numFmtId="2" fontId="0" fillId="9" borderId="39" xfId="0" applyNumberFormat="1" applyFill="1" applyBorder="1" applyAlignment="1">
      <alignment horizontal="center" vertical="center"/>
    </xf>
    <xf numFmtId="0" fontId="0" fillId="18" borderId="39" xfId="0" applyFill="1" applyBorder="1" applyAlignment="1">
      <alignment horizontal="center" vertical="center"/>
    </xf>
    <xf numFmtId="2" fontId="0" fillId="18" borderId="39" xfId="0" applyNumberFormat="1" applyFill="1" applyBorder="1" applyAlignment="1">
      <alignment horizontal="center" vertical="center"/>
    </xf>
    <xf numFmtId="2" fontId="0" fillId="18" borderId="39" xfId="0" applyNumberFormat="1" applyFill="1" applyBorder="1" applyAlignment="1">
      <alignment horizontal="center" vertical="center" wrapText="1"/>
    </xf>
    <xf numFmtId="0" fontId="0" fillId="0" borderId="40" xfId="0" applyBorder="1" applyAlignment="1">
      <alignment horizontal="left"/>
    </xf>
    <xf numFmtId="0" fontId="0" fillId="17" borderId="41" xfId="0" applyFill="1" applyBorder="1" applyAlignment="1">
      <alignment horizontal="center" vertical="center" wrapText="1"/>
    </xf>
    <xf numFmtId="0" fontId="0" fillId="17" borderId="42" xfId="0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9" borderId="43" xfId="0" applyFill="1" applyBorder="1" applyAlignment="1">
      <alignment horizontal="center" vertical="center" wrapText="1"/>
    </xf>
    <xf numFmtId="0" fontId="0" fillId="18" borderId="43" xfId="0" applyFill="1" applyBorder="1" applyAlignment="1">
      <alignment horizontal="center" vertical="center" wrapText="1"/>
    </xf>
    <xf numFmtId="0" fontId="0" fillId="0" borderId="44" xfId="0" applyBorder="1"/>
    <xf numFmtId="0" fontId="0" fillId="0" borderId="45" xfId="0" applyBorder="1"/>
    <xf numFmtId="0" fontId="11" fillId="0" borderId="48" xfId="0" applyFont="1" applyBorder="1" applyAlignment="1">
      <alignment horizontal="center" vertical="center"/>
    </xf>
    <xf numFmtId="168" fontId="0" fillId="0" borderId="6" xfId="0" applyNumberFormat="1" applyBorder="1"/>
    <xf numFmtId="165" fontId="0" fillId="9" borderId="6" xfId="0" applyNumberFormat="1" applyFill="1" applyBorder="1"/>
    <xf numFmtId="165" fontId="0" fillId="8" borderId="6" xfId="0" applyNumberFormat="1" applyFill="1" applyBorder="1"/>
    <xf numFmtId="165" fontId="0" fillId="10" borderId="6" xfId="0" applyNumberFormat="1" applyFill="1" applyBorder="1"/>
    <xf numFmtId="165" fontId="0" fillId="11" borderId="6" xfId="0" applyNumberFormat="1" applyFill="1" applyBorder="1"/>
    <xf numFmtId="165" fontId="0" fillId="7" borderId="6" xfId="1" applyNumberFormat="1" applyFont="1" applyFill="1" applyBorder="1"/>
    <xf numFmtId="0" fontId="0" fillId="0" borderId="0" xfId="0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0" fillId="0" borderId="57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/>
    <xf numFmtId="0" fontId="0" fillId="0" borderId="58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2" fontId="0" fillId="0" borderId="58" xfId="0" applyNumberFormat="1" applyBorder="1"/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3" fillId="0" borderId="54" xfId="0" applyFont="1" applyBorder="1" applyAlignment="1">
      <alignment horizontal="center" vertical="center"/>
    </xf>
    <xf numFmtId="0" fontId="10" fillId="0" borderId="55" xfId="0" applyFont="1" applyBorder="1" applyAlignment="1">
      <alignment horizontal="right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10" fillId="0" borderId="69" xfId="0" applyFont="1" applyBorder="1" applyAlignment="1">
      <alignment horizontal="right"/>
    </xf>
    <xf numFmtId="0" fontId="0" fillId="0" borderId="49" xfId="0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10" fillId="0" borderId="65" xfId="0" applyFont="1" applyBorder="1" applyAlignment="1">
      <alignment horizontal="right"/>
    </xf>
    <xf numFmtId="0" fontId="3" fillId="0" borderId="71" xfId="0" applyFont="1" applyBorder="1" applyAlignment="1">
      <alignment horizontal="center" vertical="center"/>
    </xf>
    <xf numFmtId="0" fontId="0" fillId="0" borderId="72" xfId="0" applyBorder="1" applyAlignment="1">
      <alignment horizontal="center"/>
    </xf>
    <xf numFmtId="0" fontId="0" fillId="0" borderId="73" xfId="0" applyBorder="1" applyAlignment="1">
      <alignment horizontal="center"/>
    </xf>
    <xf numFmtId="0" fontId="3" fillId="0" borderId="75" xfId="0" applyFont="1" applyBorder="1" applyAlignment="1">
      <alignment horizontal="center" vertical="center" wrapText="1"/>
    </xf>
    <xf numFmtId="0" fontId="0" fillId="0" borderId="77" xfId="0" applyBorder="1" applyAlignment="1">
      <alignment horizontal="center"/>
    </xf>
    <xf numFmtId="0" fontId="16" fillId="0" borderId="78" xfId="0" applyFont="1" applyBorder="1" applyAlignment="1">
      <alignment horizontal="right"/>
    </xf>
    <xf numFmtId="0" fontId="1" fillId="0" borderId="79" xfId="0" applyFont="1" applyBorder="1" applyAlignment="1">
      <alignment horizontal="center" vertical="center"/>
    </xf>
    <xf numFmtId="0" fontId="1" fillId="0" borderId="80" xfId="0" applyFont="1" applyBorder="1" applyAlignment="1">
      <alignment horizontal="center" vertical="center"/>
    </xf>
    <xf numFmtId="0" fontId="1" fillId="0" borderId="81" xfId="0" applyFont="1" applyBorder="1"/>
    <xf numFmtId="0" fontId="1" fillId="0" borderId="82" xfId="0" applyFont="1" applyBorder="1" applyAlignment="1">
      <alignment horizontal="center" vertical="center"/>
    </xf>
    <xf numFmtId="0" fontId="1" fillId="0" borderId="83" xfId="0" applyFont="1" applyBorder="1"/>
    <xf numFmtId="0" fontId="16" fillId="0" borderId="89" xfId="0" applyFont="1" applyBorder="1"/>
    <xf numFmtId="0" fontId="16" fillId="0" borderId="90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164" fontId="0" fillId="0" borderId="91" xfId="0" applyNumberFormat="1" applyBorder="1"/>
    <xf numFmtId="0" fontId="16" fillId="17" borderId="92" xfId="0" applyFont="1" applyFill="1" applyBorder="1" applyAlignment="1">
      <alignment horizontal="center" vertical="center"/>
    </xf>
    <xf numFmtId="169" fontId="0" fillId="17" borderId="93" xfId="0" applyNumberFormat="1" applyFill="1" applyBorder="1"/>
    <xf numFmtId="0" fontId="0" fillId="0" borderId="86" xfId="0" applyBorder="1"/>
    <xf numFmtId="169" fontId="0" fillId="17" borderId="95" xfId="0" applyNumberFormat="1" applyFill="1" applyBorder="1"/>
    <xf numFmtId="169" fontId="0" fillId="17" borderId="96" xfId="0" applyNumberFormat="1" applyFill="1" applyBorder="1"/>
    <xf numFmtId="0" fontId="19" fillId="17" borderId="92" xfId="0" applyFont="1" applyFill="1" applyBorder="1" applyAlignment="1">
      <alignment horizontal="center" vertical="center"/>
    </xf>
    <xf numFmtId="169" fontId="19" fillId="17" borderId="94" xfId="0" applyNumberFormat="1" applyFont="1" applyFill="1" applyBorder="1"/>
    <xf numFmtId="1" fontId="1" fillId="0" borderId="79" xfId="0" applyNumberFormat="1" applyFont="1" applyBorder="1" applyAlignment="1">
      <alignment horizontal="center" vertical="center"/>
    </xf>
    <xf numFmtId="2" fontId="0" fillId="0" borderId="60" xfId="0" applyNumberFormat="1" applyBorder="1"/>
    <xf numFmtId="0" fontId="0" fillId="0" borderId="72" xfId="0" quotePrefix="1" applyBorder="1" applyAlignment="1">
      <alignment horizontal="center"/>
    </xf>
    <xf numFmtId="2" fontId="1" fillId="0" borderId="83" xfId="0" applyNumberFormat="1" applyFont="1" applyBorder="1"/>
    <xf numFmtId="2" fontId="1" fillId="0" borderId="81" xfId="0" applyNumberFormat="1" applyFont="1" applyBorder="1"/>
    <xf numFmtId="0" fontId="1" fillId="0" borderId="52" xfId="0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/>
    </xf>
    <xf numFmtId="2" fontId="21" fillId="0" borderId="52" xfId="0" applyNumberFormat="1" applyFont="1" applyBorder="1" applyAlignment="1">
      <alignment horizontal="center" vertical="center" wrapText="1" shrinkToFit="1"/>
    </xf>
    <xf numFmtId="0" fontId="1" fillId="0" borderId="53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right"/>
    </xf>
    <xf numFmtId="0" fontId="5" fillId="0" borderId="56" xfId="0" applyFont="1" applyBorder="1" applyAlignment="1">
      <alignment horizontal="right"/>
    </xf>
    <xf numFmtId="0" fontId="0" fillId="7" borderId="15" xfId="0" applyFill="1" applyBorder="1" applyAlignment="1">
      <alignment horizontal="center" vertical="center" wrapText="1"/>
    </xf>
    <xf numFmtId="0" fontId="0" fillId="7" borderId="27" xfId="0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  <xf numFmtId="0" fontId="0" fillId="9" borderId="16" xfId="0" applyFill="1" applyBorder="1" applyAlignment="1">
      <alignment horizontal="center" vertical="center" wrapText="1"/>
    </xf>
    <xf numFmtId="0" fontId="0" fillId="10" borderId="16" xfId="0" applyFill="1" applyBorder="1" applyAlignment="1">
      <alignment horizontal="center" vertical="center" wrapText="1"/>
    </xf>
    <xf numFmtId="0" fontId="0" fillId="11" borderId="16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12" borderId="16" xfId="0" applyFill="1" applyBorder="1" applyAlignment="1">
      <alignment horizontal="center" vertical="center" wrapText="1"/>
    </xf>
    <xf numFmtId="3" fontId="0" fillId="9" borderId="13" xfId="0" applyNumberFormat="1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9" fontId="0" fillId="0" borderId="0" xfId="1" applyFont="1"/>
    <xf numFmtId="10" fontId="0" fillId="0" borderId="0" xfId="1" applyNumberFormat="1" applyFont="1"/>
    <xf numFmtId="166" fontId="0" fillId="0" borderId="0" xfId="1" applyNumberFormat="1" applyFont="1"/>
    <xf numFmtId="10" fontId="0" fillId="7" borderId="4" xfId="1" applyNumberFormat="1" applyFont="1" applyFill="1" applyBorder="1"/>
    <xf numFmtId="10" fontId="0" fillId="10" borderId="6" xfId="1" applyNumberFormat="1" applyFont="1" applyFill="1" applyBorder="1"/>
    <xf numFmtId="10" fontId="0" fillId="11" borderId="6" xfId="1" applyNumberFormat="1" applyFont="1" applyFill="1" applyBorder="1"/>
    <xf numFmtId="10" fontId="0" fillId="6" borderId="6" xfId="1" applyNumberFormat="1" applyFont="1" applyFill="1" applyBorder="1"/>
    <xf numFmtId="10" fontId="0" fillId="12" borderId="6" xfId="1" applyNumberFormat="1" applyFont="1" applyFill="1" applyBorder="1"/>
    <xf numFmtId="10" fontId="0" fillId="7" borderId="6" xfId="1" applyNumberFormat="1" applyFont="1" applyFill="1" applyBorder="1"/>
    <xf numFmtId="0" fontId="0" fillId="14" borderId="12" xfId="0" applyFill="1" applyBorder="1" applyAlignment="1">
      <alignment horizontal="center" vertical="center"/>
    </xf>
    <xf numFmtId="166" fontId="0" fillId="0" borderId="0" xfId="0" applyNumberFormat="1"/>
    <xf numFmtId="0" fontId="5" fillId="0" borderId="98" xfId="0" applyFont="1" applyBorder="1" applyAlignment="1">
      <alignment horizontal="center" vertical="center"/>
    </xf>
    <xf numFmtId="169" fontId="0" fillId="0" borderId="99" xfId="0" applyNumberFormat="1" applyBorder="1"/>
    <xf numFmtId="169" fontId="0" fillId="18" borderId="99" xfId="0" applyNumberFormat="1" applyFill="1" applyBorder="1"/>
    <xf numFmtId="169" fontId="0" fillId="9" borderId="99" xfId="0" applyNumberFormat="1" applyFill="1" applyBorder="1"/>
    <xf numFmtId="0" fontId="5" fillId="11" borderId="98" xfId="0" applyFont="1" applyFill="1" applyBorder="1" applyAlignment="1">
      <alignment horizontal="center" vertical="center"/>
    </xf>
    <xf numFmtId="169" fontId="0" fillId="11" borderId="99" xfId="0" applyNumberFormat="1" applyFill="1" applyBorder="1"/>
    <xf numFmtId="0" fontId="5" fillId="21" borderId="98" xfId="0" applyFont="1" applyFill="1" applyBorder="1" applyAlignment="1">
      <alignment horizontal="center" vertical="center"/>
    </xf>
    <xf numFmtId="169" fontId="0" fillId="21" borderId="99" xfId="0" applyNumberFormat="1" applyFill="1" applyBorder="1"/>
    <xf numFmtId="169" fontId="0" fillId="20" borderId="99" xfId="0" applyNumberFormat="1" applyFill="1" applyBorder="1"/>
    <xf numFmtId="0" fontId="5" fillId="20" borderId="98" xfId="0" applyFont="1" applyFill="1" applyBorder="1" applyAlignment="1">
      <alignment horizontal="center" vertical="center"/>
    </xf>
    <xf numFmtId="0" fontId="5" fillId="22" borderId="98" xfId="0" applyFont="1" applyFill="1" applyBorder="1" applyAlignment="1">
      <alignment horizontal="center" vertical="center"/>
    </xf>
    <xf numFmtId="169" fontId="0" fillId="22" borderId="99" xfId="0" applyNumberFormat="1" applyFill="1" applyBorder="1"/>
    <xf numFmtId="0" fontId="5" fillId="22" borderId="101" xfId="0" applyFont="1" applyFill="1" applyBorder="1" applyAlignment="1">
      <alignment horizontal="center" vertical="center"/>
    </xf>
    <xf numFmtId="169" fontId="0" fillId="22" borderId="102" xfId="0" applyNumberFormat="1" applyFill="1" applyBorder="1"/>
    <xf numFmtId="169" fontId="0" fillId="18" borderId="104" xfId="0" applyNumberFormat="1" applyFill="1" applyBorder="1" applyAlignment="1">
      <alignment horizontal="center"/>
    </xf>
    <xf numFmtId="0" fontId="5" fillId="11" borderId="103" xfId="0" applyFont="1" applyFill="1" applyBorder="1" applyAlignment="1">
      <alignment horizontal="center" vertical="center"/>
    </xf>
    <xf numFmtId="169" fontId="0" fillId="11" borderId="104" xfId="0" applyNumberFormat="1" applyFill="1" applyBorder="1"/>
    <xf numFmtId="0" fontId="5" fillId="20" borderId="103" xfId="0" applyFont="1" applyFill="1" applyBorder="1" applyAlignment="1">
      <alignment horizontal="center" vertical="center"/>
    </xf>
    <xf numFmtId="169" fontId="0" fillId="20" borderId="104" xfId="0" applyNumberFormat="1" applyFill="1" applyBorder="1"/>
    <xf numFmtId="0" fontId="5" fillId="0" borderId="103" xfId="0" applyFont="1" applyBorder="1" applyAlignment="1">
      <alignment horizontal="center" vertical="center"/>
    </xf>
    <xf numFmtId="169" fontId="0" fillId="0" borderId="104" xfId="0" applyNumberFormat="1" applyBorder="1"/>
    <xf numFmtId="0" fontId="5" fillId="22" borderId="103" xfId="0" applyFont="1" applyFill="1" applyBorder="1" applyAlignment="1">
      <alignment horizontal="center" vertical="center"/>
    </xf>
    <xf numFmtId="169" fontId="0" fillId="22" borderId="104" xfId="0" applyNumberFormat="1" applyFill="1" applyBorder="1"/>
    <xf numFmtId="0" fontId="1" fillId="0" borderId="105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1" fillId="0" borderId="66" xfId="0" applyFont="1" applyBorder="1" applyAlignment="1">
      <alignment horizontal="center" vertical="center"/>
    </xf>
    <xf numFmtId="0" fontId="5" fillId="18" borderId="106" xfId="0" applyFont="1" applyFill="1" applyBorder="1" applyAlignment="1">
      <alignment horizontal="center" vertical="center"/>
    </xf>
    <xf numFmtId="0" fontId="5" fillId="18" borderId="97" xfId="0" applyFont="1" applyFill="1" applyBorder="1" applyAlignment="1">
      <alignment horizontal="center" vertical="center"/>
    </xf>
    <xf numFmtId="0" fontId="5" fillId="9" borderId="97" xfId="0" applyFont="1" applyFill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100" xfId="0" applyFont="1" applyBorder="1" applyAlignment="1">
      <alignment horizontal="center" vertical="center"/>
    </xf>
    <xf numFmtId="169" fontId="0" fillId="0" borderId="102" xfId="0" applyNumberFormat="1" applyBorder="1"/>
    <xf numFmtId="0" fontId="5" fillId="21" borderId="101" xfId="0" applyFont="1" applyFill="1" applyBorder="1" applyAlignment="1">
      <alignment horizontal="center" vertical="center"/>
    </xf>
    <xf numFmtId="169" fontId="0" fillId="21" borderId="102" xfId="0" applyNumberFormat="1" applyFill="1" applyBorder="1"/>
    <xf numFmtId="0" fontId="5" fillId="20" borderId="101" xfId="0" applyFont="1" applyFill="1" applyBorder="1" applyAlignment="1">
      <alignment horizontal="center" vertical="center"/>
    </xf>
    <xf numFmtId="169" fontId="0" fillId="20" borderId="102" xfId="0" applyNumberFormat="1" applyFill="1" applyBorder="1"/>
    <xf numFmtId="0" fontId="5" fillId="0" borderId="10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14" borderId="31" xfId="0" applyFill="1" applyBorder="1" applyAlignment="1">
      <alignment horizontal="center" vertical="center"/>
    </xf>
    <xf numFmtId="0" fontId="0" fillId="14" borderId="14" xfId="0" applyFill="1" applyBorder="1" applyAlignment="1">
      <alignment horizontal="center" vertical="center"/>
    </xf>
    <xf numFmtId="0" fontId="0" fillId="23" borderId="3" xfId="0" applyFill="1" applyBorder="1"/>
    <xf numFmtId="0" fontId="0" fillId="23" borderId="5" xfId="0" applyFill="1" applyBorder="1"/>
    <xf numFmtId="0" fontId="0" fillId="23" borderId="9" xfId="0" applyFill="1" applyBorder="1"/>
    <xf numFmtId="14" fontId="0" fillId="23" borderId="9" xfId="0" applyNumberFormat="1" applyFill="1" applyBorder="1"/>
    <xf numFmtId="0" fontId="0" fillId="0" borderId="107" xfId="0" applyBorder="1"/>
    <xf numFmtId="0" fontId="0" fillId="0" borderId="67" xfId="0" applyBorder="1"/>
    <xf numFmtId="0" fontId="4" fillId="2" borderId="67" xfId="0" applyFont="1" applyFill="1" applyBorder="1"/>
    <xf numFmtId="0" fontId="0" fillId="0" borderId="48" xfId="0" applyBorder="1"/>
    <xf numFmtId="2" fontId="1" fillId="4" borderId="67" xfId="0" applyNumberFormat="1" applyFont="1" applyFill="1" applyBorder="1"/>
    <xf numFmtId="2" fontId="1" fillId="5" borderId="109" xfId="0" applyNumberFormat="1" applyFont="1" applyFill="1" applyBorder="1"/>
    <xf numFmtId="0" fontId="0" fillId="0" borderId="109" xfId="0" applyBorder="1"/>
    <xf numFmtId="0" fontId="0" fillId="0" borderId="110" xfId="0" applyBorder="1"/>
    <xf numFmtId="2" fontId="0" fillId="15" borderId="109" xfId="0" applyNumberFormat="1" applyFill="1" applyBorder="1"/>
    <xf numFmtId="2" fontId="0" fillId="4" borderId="109" xfId="0" applyNumberFormat="1" applyFill="1" applyBorder="1"/>
    <xf numFmtId="2" fontId="0" fillId="8" borderId="109" xfId="0" applyNumberFormat="1" applyFill="1" applyBorder="1"/>
    <xf numFmtId="2" fontId="0" fillId="7" borderId="109" xfId="0" applyNumberFormat="1" applyFill="1" applyBorder="1"/>
    <xf numFmtId="2" fontId="0" fillId="12" borderId="109" xfId="0" applyNumberFormat="1" applyFill="1" applyBorder="1"/>
    <xf numFmtId="2" fontId="0" fillId="9" borderId="109" xfId="0" applyNumberFormat="1" applyFill="1" applyBorder="1"/>
    <xf numFmtId="0" fontId="0" fillId="0" borderId="111" xfId="0" applyBorder="1"/>
    <xf numFmtId="0" fontId="2" fillId="0" borderId="4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7" xfId="0" applyFont="1" applyBorder="1" applyAlignment="1">
      <alignment horizontal="center"/>
    </xf>
    <xf numFmtId="0" fontId="0" fillId="23" borderId="45" xfId="0" applyFill="1" applyBorder="1"/>
    <xf numFmtId="0" fontId="0" fillId="3" borderId="119" xfId="0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0" fillId="3" borderId="67" xfId="0" applyFill="1" applyBorder="1"/>
    <xf numFmtId="0" fontId="0" fillId="23" borderId="120" xfId="0" applyFill="1" applyBorder="1"/>
    <xf numFmtId="0" fontId="0" fillId="3" borderId="107" xfId="0" applyFill="1" applyBorder="1"/>
    <xf numFmtId="0" fontId="1" fillId="23" borderId="121" xfId="0" applyFont="1" applyFill="1" applyBorder="1"/>
    <xf numFmtId="0" fontId="1" fillId="0" borderId="45" xfId="0" applyFont="1" applyBorder="1"/>
    <xf numFmtId="0" fontId="1" fillId="3" borderId="122" xfId="0" applyFont="1" applyFill="1" applyBorder="1"/>
    <xf numFmtId="0" fontId="1" fillId="3" borderId="123" xfId="0" applyFont="1" applyFill="1" applyBorder="1" applyAlignment="1">
      <alignment horizontal="center" wrapText="1"/>
    </xf>
    <xf numFmtId="0" fontId="0" fillId="0" borderId="55" xfId="0" applyBorder="1"/>
    <xf numFmtId="0" fontId="0" fillId="0" borderId="119" xfId="0" applyBorder="1"/>
    <xf numFmtId="2" fontId="0" fillId="0" borderId="0" xfId="0" applyNumberFormat="1"/>
    <xf numFmtId="164" fontId="0" fillId="0" borderId="0" xfId="0" applyNumberFormat="1"/>
    <xf numFmtId="0" fontId="1" fillId="0" borderId="0" xfId="0" applyFont="1"/>
    <xf numFmtId="0" fontId="0" fillId="0" borderId="124" xfId="0" applyBorder="1"/>
    <xf numFmtId="0" fontId="0" fillId="7" borderId="125" xfId="0" applyFill="1" applyBorder="1"/>
    <xf numFmtId="2" fontId="0" fillId="7" borderId="126" xfId="0" applyNumberFormat="1" applyFill="1" applyBorder="1"/>
    <xf numFmtId="0" fontId="0" fillId="7" borderId="120" xfId="0" applyFill="1" applyBorder="1"/>
    <xf numFmtId="10" fontId="0" fillId="7" borderId="0" xfId="1" applyNumberFormat="1" applyFont="1" applyFill="1" applyBorder="1"/>
    <xf numFmtId="2" fontId="0" fillId="7" borderId="127" xfId="0" applyNumberFormat="1" applyFill="1" applyBorder="1"/>
    <xf numFmtId="0" fontId="0" fillId="8" borderId="121" xfId="0" applyFill="1" applyBorder="1"/>
    <xf numFmtId="0" fontId="0" fillId="9" borderId="121" xfId="0" applyFill="1" applyBorder="1"/>
    <xf numFmtId="0" fontId="0" fillId="10" borderId="121" xfId="0" applyFill="1" applyBorder="1"/>
    <xf numFmtId="2" fontId="0" fillId="10" borderId="109" xfId="0" applyNumberFormat="1" applyFill="1" applyBorder="1"/>
    <xf numFmtId="0" fontId="0" fillId="11" borderId="121" xfId="0" applyFill="1" applyBorder="1"/>
    <xf numFmtId="2" fontId="0" fillId="11" borderId="109" xfId="0" applyNumberFormat="1" applyFill="1" applyBorder="1"/>
    <xf numFmtId="0" fontId="0" fillId="8" borderId="121" xfId="0" applyFill="1" applyBorder="1" applyAlignment="1">
      <alignment wrapText="1"/>
    </xf>
    <xf numFmtId="0" fontId="0" fillId="2" borderId="121" xfId="0" applyFill="1" applyBorder="1"/>
    <xf numFmtId="2" fontId="0" fillId="2" borderId="109" xfId="0" applyNumberFormat="1" applyFill="1" applyBorder="1"/>
    <xf numFmtId="0" fontId="0" fillId="6" borderId="121" xfId="0" applyFill="1" applyBorder="1"/>
    <xf numFmtId="2" fontId="0" fillId="6" borderId="109" xfId="0" applyNumberFormat="1" applyFill="1" applyBorder="1"/>
    <xf numFmtId="0" fontId="0" fillId="4" borderId="121" xfId="0" applyFill="1" applyBorder="1"/>
    <xf numFmtId="0" fontId="0" fillId="12" borderId="121" xfId="0" applyFill="1" applyBorder="1"/>
    <xf numFmtId="3" fontId="0" fillId="9" borderId="55" xfId="0" applyNumberFormat="1" applyFill="1" applyBorder="1"/>
    <xf numFmtId="0" fontId="0" fillId="7" borderId="121" xfId="0" applyFill="1" applyBorder="1"/>
    <xf numFmtId="2" fontId="1" fillId="7" borderId="109" xfId="0" applyNumberFormat="1" applyFont="1" applyFill="1" applyBorder="1"/>
    <xf numFmtId="0" fontId="0" fillId="15" borderId="121" xfId="0" applyFill="1" applyBorder="1"/>
    <xf numFmtId="0" fontId="0" fillId="4" borderId="45" xfId="0" applyFill="1" applyBorder="1"/>
    <xf numFmtId="4" fontId="0" fillId="0" borderId="0" xfId="0" applyNumberFormat="1"/>
    <xf numFmtId="0" fontId="0" fillId="4" borderId="55" xfId="0" applyFill="1" applyBorder="1"/>
    <xf numFmtId="0" fontId="1" fillId="4" borderId="55" xfId="0" applyFont="1" applyFill="1" applyBorder="1"/>
    <xf numFmtId="0" fontId="5" fillId="4" borderId="45" xfId="0" applyFont="1" applyFill="1" applyBorder="1" applyAlignment="1">
      <alignment vertical="center"/>
    </xf>
    <xf numFmtId="0" fontId="5" fillId="4" borderId="0" xfId="0" applyFont="1" applyFill="1" applyAlignment="1">
      <alignment vertical="center"/>
    </xf>
    <xf numFmtId="9" fontId="5" fillId="4" borderId="0" xfId="1" applyFont="1" applyFill="1" applyBorder="1" applyAlignment="1">
      <alignment vertical="center"/>
    </xf>
    <xf numFmtId="2" fontId="12" fillId="4" borderId="0" xfId="0" applyNumberFormat="1" applyFont="1" applyFill="1" applyAlignment="1">
      <alignment vertical="center"/>
    </xf>
    <xf numFmtId="0" fontId="1" fillId="4" borderId="0" xfId="0" applyFont="1" applyFill="1"/>
    <xf numFmtId="2" fontId="1" fillId="4" borderId="0" xfId="0" applyNumberFormat="1" applyFont="1" applyFill="1"/>
    <xf numFmtId="0" fontId="1" fillId="4" borderId="45" xfId="0" applyFont="1" applyFill="1" applyBorder="1"/>
    <xf numFmtId="0" fontId="5" fillId="4" borderId="55" xfId="0" applyFont="1" applyFill="1" applyBorder="1"/>
    <xf numFmtId="0" fontId="0" fillId="4" borderId="120" xfId="0" applyFill="1" applyBorder="1"/>
    <xf numFmtId="0" fontId="4" fillId="2" borderId="45" xfId="0" applyFont="1" applyFill="1" applyBorder="1"/>
    <xf numFmtId="0" fontId="4" fillId="2" borderId="0" xfId="0" applyFont="1" applyFill="1"/>
    <xf numFmtId="2" fontId="4" fillId="2" borderId="0" xfId="0" applyNumberFormat="1" applyFont="1" applyFill="1"/>
    <xf numFmtId="0" fontId="10" fillId="2" borderId="45" xfId="0" applyFont="1" applyFill="1" applyBorder="1" applyAlignment="1">
      <alignment wrapText="1"/>
    </xf>
    <xf numFmtId="0" fontId="0" fillId="4" borderId="0" xfId="0" applyFill="1"/>
    <xf numFmtId="0" fontId="0" fillId="0" borderId="129" xfId="0" applyBorder="1"/>
    <xf numFmtId="0" fontId="0" fillId="0" borderId="0" xfId="0" applyAlignment="1">
      <alignment horizontal="center"/>
    </xf>
    <xf numFmtId="0" fontId="22" fillId="0" borderId="130" xfId="0" applyFont="1" applyBorder="1" applyAlignment="1">
      <alignment horizontal="center" vertical="center"/>
    </xf>
    <xf numFmtId="0" fontId="2" fillId="0" borderId="131" xfId="0" applyFont="1" applyBorder="1" applyAlignment="1">
      <alignment horizontal="center" vertical="center"/>
    </xf>
    <xf numFmtId="17" fontId="22" fillId="0" borderId="131" xfId="0" applyNumberFormat="1" applyFont="1" applyBorder="1" applyAlignment="1">
      <alignment horizontal="center" vertical="center"/>
    </xf>
    <xf numFmtId="0" fontId="2" fillId="0" borderId="132" xfId="0" applyFont="1" applyBorder="1" applyAlignment="1">
      <alignment horizontal="center" vertical="center"/>
    </xf>
    <xf numFmtId="2" fontId="0" fillId="0" borderId="59" xfId="0" applyNumberFormat="1" applyBorder="1"/>
    <xf numFmtId="14" fontId="0" fillId="0" borderId="0" xfId="0" applyNumberFormat="1"/>
    <xf numFmtId="170" fontId="0" fillId="0" borderId="134" xfId="0" applyNumberFormat="1" applyBorder="1" applyAlignment="1">
      <alignment horizontal="center" vertical="center" textRotation="90"/>
    </xf>
    <xf numFmtId="170" fontId="0" fillId="0" borderId="135" xfId="0" applyNumberFormat="1" applyBorder="1" applyAlignment="1">
      <alignment horizontal="center" vertical="center" textRotation="90"/>
    </xf>
    <xf numFmtId="171" fontId="0" fillId="0" borderId="136" xfId="0" applyNumberFormat="1" applyBorder="1" applyAlignment="1">
      <alignment horizontal="left" vertical="center"/>
    </xf>
    <xf numFmtId="14" fontId="0" fillId="0" borderId="138" xfId="0" applyNumberFormat="1" applyBorder="1"/>
    <xf numFmtId="0" fontId="0" fillId="0" borderId="97" xfId="0" applyBorder="1" applyAlignment="1">
      <alignment horizontal="left" vertical="center"/>
    </xf>
    <xf numFmtId="14" fontId="0" fillId="0" borderId="99" xfId="0" applyNumberFormat="1" applyBorder="1"/>
    <xf numFmtId="16" fontId="0" fillId="0" borderId="97" xfId="0" applyNumberFormat="1" applyBorder="1" applyAlignment="1">
      <alignment horizontal="left" vertical="center"/>
    </xf>
    <xf numFmtId="16" fontId="0" fillId="0" borderId="100" xfId="0" applyNumberFormat="1" applyBorder="1" applyAlignment="1">
      <alignment horizontal="left" vertical="center"/>
    </xf>
    <xf numFmtId="14" fontId="0" fillId="0" borderId="102" xfId="0" applyNumberFormat="1" applyBorder="1"/>
    <xf numFmtId="0" fontId="0" fillId="0" borderId="133" xfId="0" applyBorder="1"/>
    <xf numFmtId="0" fontId="0" fillId="0" borderId="88" xfId="0" applyBorder="1"/>
    <xf numFmtId="0" fontId="0" fillId="0" borderId="140" xfId="0" applyBorder="1"/>
    <xf numFmtId="0" fontId="0" fillId="0" borderId="141" xfId="0" applyBorder="1"/>
    <xf numFmtId="170" fontId="0" fillId="0" borderId="139" xfId="0" applyNumberFormat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14" fontId="18" fillId="0" borderId="0" xfId="0" applyNumberFormat="1" applyFont="1"/>
    <xf numFmtId="0" fontId="18" fillId="0" borderId="0" xfId="0" applyFont="1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2" fontId="0" fillId="0" borderId="114" xfId="0" applyNumberFormat="1" applyBorder="1"/>
    <xf numFmtId="0" fontId="0" fillId="0" borderId="115" xfId="0" applyBorder="1"/>
    <xf numFmtId="0" fontId="0" fillId="6" borderId="112" xfId="0" applyFill="1" applyBorder="1"/>
    <xf numFmtId="0" fontId="0" fillId="6" borderId="113" xfId="0" applyFill="1" applyBorder="1"/>
    <xf numFmtId="0" fontId="2" fillId="17" borderId="117" xfId="0" applyFont="1" applyFill="1" applyBorder="1" applyAlignment="1">
      <alignment horizontal="center"/>
    </xf>
    <xf numFmtId="0" fontId="2" fillId="17" borderId="108" xfId="0" applyFont="1" applyFill="1" applyBorder="1" applyAlignment="1">
      <alignment horizontal="center"/>
    </xf>
    <xf numFmtId="0" fontId="2" fillId="17" borderId="116" xfId="0" applyFont="1" applyFill="1" applyBorder="1" applyAlignment="1">
      <alignment horizontal="center"/>
    </xf>
    <xf numFmtId="0" fontId="1" fillId="23" borderId="118" xfId="0" applyFont="1" applyFill="1" applyBorder="1" applyAlignment="1">
      <alignment horizontal="center"/>
    </xf>
    <xf numFmtId="0" fontId="1" fillId="23" borderId="1" xfId="0" applyFont="1" applyFill="1" applyBorder="1" applyAlignment="1">
      <alignment horizontal="center"/>
    </xf>
    <xf numFmtId="0" fontId="1" fillId="3" borderId="7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9" xfId="0" applyFont="1" applyFill="1" applyBorder="1" applyAlignment="1">
      <alignment wrapText="1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110" xfId="0" applyFont="1" applyFill="1" applyBorder="1" applyAlignment="1">
      <alignment horizontal="center"/>
    </xf>
    <xf numFmtId="0" fontId="1" fillId="16" borderId="5" xfId="0" applyFont="1" applyFill="1" applyBorder="1" applyAlignment="1">
      <alignment horizontal="center" wrapText="1"/>
    </xf>
    <xf numFmtId="0" fontId="1" fillId="16" borderId="4" xfId="0" applyFont="1" applyFill="1" applyBorder="1" applyAlignment="1">
      <alignment horizontal="center" wrapText="1"/>
    </xf>
    <xf numFmtId="0" fontId="1" fillId="5" borderId="11" xfId="0" applyFont="1" applyFill="1" applyBorder="1" applyAlignment="1">
      <alignment wrapText="1"/>
    </xf>
    <xf numFmtId="0" fontId="1" fillId="5" borderId="126" xfId="0" applyFont="1" applyFill="1" applyBorder="1"/>
    <xf numFmtId="0" fontId="1" fillId="4" borderId="18" xfId="0" applyFont="1" applyFill="1" applyBorder="1"/>
    <xf numFmtId="0" fontId="1" fillId="0" borderId="19" xfId="0" applyFont="1" applyBorder="1"/>
    <xf numFmtId="2" fontId="0" fillId="0" borderId="19" xfId="0" applyNumberFormat="1" applyBorder="1"/>
    <xf numFmtId="0" fontId="0" fillId="0" borderId="128" xfId="0" applyBorder="1"/>
    <xf numFmtId="0" fontId="23" fillId="11" borderId="0" xfId="0" applyFont="1" applyFill="1" applyAlignment="1">
      <alignment horizontal="center" vertical="center"/>
    </xf>
    <xf numFmtId="0" fontId="24" fillId="19" borderId="0" xfId="0" applyFont="1" applyFill="1" applyAlignment="1">
      <alignment horizontal="center" vertical="center"/>
    </xf>
    <xf numFmtId="0" fontId="18" fillId="19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/>
    </xf>
    <xf numFmtId="0" fontId="0" fillId="17" borderId="47" xfId="0" applyFill="1" applyBorder="1" applyAlignment="1">
      <alignment horizontal="center" vertical="center"/>
    </xf>
    <xf numFmtId="0" fontId="0" fillId="17" borderId="46" xfId="0" applyFill="1" applyBorder="1" applyAlignment="1">
      <alignment horizontal="center" vertical="center"/>
    </xf>
    <xf numFmtId="0" fontId="17" fillId="0" borderId="76" xfId="0" applyFont="1" applyBorder="1" applyAlignment="1">
      <alignment horizontal="center" vertical="center"/>
    </xf>
    <xf numFmtId="0" fontId="17" fillId="0" borderId="68" xfId="0" applyFont="1" applyBorder="1" applyAlignment="1">
      <alignment horizontal="center" vertical="center"/>
    </xf>
    <xf numFmtId="0" fontId="17" fillId="0" borderId="66" xfId="0" applyFont="1" applyBorder="1" applyAlignment="1">
      <alignment horizontal="center" vertical="center"/>
    </xf>
    <xf numFmtId="0" fontId="0" fillId="18" borderId="84" xfId="0" applyFill="1" applyBorder="1" applyAlignment="1">
      <alignment horizontal="center"/>
    </xf>
    <xf numFmtId="0" fontId="0" fillId="18" borderId="32" xfId="0" applyFill="1" applyBorder="1" applyAlignment="1">
      <alignment horizontal="center"/>
    </xf>
    <xf numFmtId="0" fontId="0" fillId="18" borderId="85" xfId="0" applyFill="1" applyBorder="1" applyAlignment="1">
      <alignment horizontal="center"/>
    </xf>
    <xf numFmtId="0" fontId="0" fillId="18" borderId="86" xfId="0" applyFill="1" applyBorder="1" applyAlignment="1">
      <alignment horizontal="center"/>
    </xf>
    <xf numFmtId="0" fontId="0" fillId="18" borderId="0" xfId="0" applyFill="1" applyAlignment="1">
      <alignment horizontal="center"/>
    </xf>
    <xf numFmtId="0" fontId="0" fillId="18" borderId="67" xfId="0" applyFill="1" applyBorder="1" applyAlignment="1">
      <alignment horizontal="center"/>
    </xf>
    <xf numFmtId="0" fontId="0" fillId="18" borderId="87" xfId="0" applyFill="1" applyBorder="1" applyAlignment="1">
      <alignment horizontal="center"/>
    </xf>
    <xf numFmtId="0" fontId="0" fillId="18" borderId="48" xfId="0" applyFill="1" applyBorder="1" applyAlignment="1">
      <alignment horizontal="center"/>
    </xf>
    <xf numFmtId="0" fontId="0" fillId="18" borderId="88" xfId="0" applyFill="1" applyBorder="1" applyAlignment="1">
      <alignment horizontal="center"/>
    </xf>
    <xf numFmtId="0" fontId="20" fillId="19" borderId="0" xfId="0" applyFont="1" applyFill="1" applyAlignment="1">
      <alignment horizontal="center" vertical="center"/>
    </xf>
    <xf numFmtId="0" fontId="0" fillId="0" borderId="136" xfId="0" applyFill="1" applyBorder="1"/>
    <xf numFmtId="0" fontId="0" fillId="0" borderId="137" xfId="0" applyFill="1" applyBorder="1"/>
    <xf numFmtId="0" fontId="0" fillId="0" borderId="138" xfId="0" applyFill="1" applyBorder="1"/>
    <xf numFmtId="0" fontId="0" fillId="0" borderId="100" xfId="0" applyFill="1" applyBorder="1"/>
    <xf numFmtId="0" fontId="0" fillId="0" borderId="101" xfId="0" applyFill="1" applyBorder="1"/>
    <xf numFmtId="0" fontId="0" fillId="0" borderId="102" xfId="0" applyFill="1" applyBorder="1"/>
  </cellXfs>
  <cellStyles count="3">
    <cellStyle name="Euro" xfId="2" xr:uid="{68DACD5C-ACA3-4066-8791-B1618AB887A7}"/>
    <cellStyle name="Normal" xfId="0" builtinId="0"/>
    <cellStyle name="Pourcentage" xfId="1" builtinId="5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fmlaLink="$B$2" fmlaRange="$BF$1:$BF$12" noThreeD="1" sel="12" val="4"/>
</file>

<file path=xl/ctrlProps/ctrlProp2.xml><?xml version="1.0" encoding="utf-8"?>
<formControlPr xmlns="http://schemas.microsoft.com/office/spreadsheetml/2009/9/main" objectType="Drop" dropStyle="combo" dx="22" fmlaLink="$B$3" fmlaRange="$BG$1:$BG$12" noThreeD="1" sel="6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7620</xdr:rowOff>
        </xdr:from>
        <xdr:to>
          <xdr:col>1</xdr:col>
          <xdr:colOff>7620</xdr:colOff>
          <xdr:row>2</xdr:row>
          <xdr:rowOff>0</xdr:rowOff>
        </xdr:to>
        <xdr:sp macro="" textlink="">
          <xdr:nvSpPr>
            <xdr:cNvPr id="13313" name="Drop Dow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1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7620</xdr:rowOff>
        </xdr:from>
        <xdr:to>
          <xdr:col>1</xdr:col>
          <xdr:colOff>0</xdr:colOff>
          <xdr:row>3</xdr:row>
          <xdr:rowOff>0</xdr:rowOff>
        </xdr:to>
        <xdr:sp macro="" textlink="">
          <xdr:nvSpPr>
            <xdr:cNvPr id="13314" name="Drop Dow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1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C1AF63-D738-4F89-B27C-805CEB197230}" name="T_evenement" displayName="T_evenement" ref="A1:D81" totalsRowShown="0" headerRowDxfId="3">
  <tableColumns count="4">
    <tableColumn id="1" xr3:uid="{621FC2F6-BFC0-4BCD-A320-8ACF0C0ED9D0}" name="Date"/>
    <tableColumn id="2" xr3:uid="{3908736C-F0B8-49D5-AA3E-CBDE3CC8B93A}" name="evenement"/>
    <tableColumn id="3" xr3:uid="{69D6F3C8-E74F-4909-AEBC-F86F298E90DB}" name="ligne"/>
    <tableColumn id="4" xr3:uid="{A0AC7CAF-63E1-4397-BD4A-FA777D7F4CDB}" name="colon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061C5-492D-4524-B08E-D5234738F09F}">
  <sheetPr codeName="Feuil1">
    <pageSetUpPr fitToPage="1"/>
  </sheetPr>
  <dimension ref="A1:G95"/>
  <sheetViews>
    <sheetView topLeftCell="A12" zoomScale="78" zoomScaleNormal="78" workbookViewId="0">
      <selection activeCell="B29" sqref="B29"/>
    </sheetView>
  </sheetViews>
  <sheetFormatPr baseColWidth="10" defaultColWidth="9.109375" defaultRowHeight="14.4" x14ac:dyDescent="0.3"/>
  <cols>
    <col min="1" max="1" width="49.109375" customWidth="1"/>
    <col min="2" max="2" width="17.109375" customWidth="1"/>
    <col min="3" max="3" width="14.5546875" customWidth="1"/>
    <col min="4" max="4" width="25.33203125" customWidth="1"/>
    <col min="5" max="5" width="16.33203125" bestFit="1" customWidth="1"/>
    <col min="6" max="6" width="12" customWidth="1"/>
    <col min="7" max="7" width="15.109375" bestFit="1" customWidth="1"/>
  </cols>
  <sheetData>
    <row r="1" spans="1:7" ht="20.399999999999999" thickTop="1" x14ac:dyDescent="0.4">
      <c r="A1" s="351" t="s">
        <v>40</v>
      </c>
      <c r="B1" s="352"/>
      <c r="C1" s="352"/>
      <c r="D1" s="352"/>
      <c r="E1" s="352"/>
      <c r="F1" s="352"/>
      <c r="G1" s="353"/>
    </row>
    <row r="2" spans="1:7" ht="19.8" x14ac:dyDescent="0.4">
      <c r="A2" s="260"/>
      <c r="B2" s="261"/>
      <c r="C2" s="261"/>
      <c r="D2" s="261"/>
      <c r="E2" s="261"/>
      <c r="F2" s="261"/>
      <c r="G2" s="262"/>
    </row>
    <row r="3" spans="1:7" ht="19.8" x14ac:dyDescent="0.4">
      <c r="A3" s="114"/>
      <c r="C3" s="261"/>
      <c r="D3" s="322" t="s">
        <v>200</v>
      </c>
      <c r="E3" s="323">
        <v>2022</v>
      </c>
      <c r="F3" s="324" t="s">
        <v>202</v>
      </c>
      <c r="G3" s="325" t="s">
        <v>188</v>
      </c>
    </row>
    <row r="4" spans="1:7" x14ac:dyDescent="0.3">
      <c r="A4" s="354" t="s">
        <v>22</v>
      </c>
      <c r="B4" s="355"/>
      <c r="E4" s="321"/>
      <c r="G4" s="246"/>
    </row>
    <row r="5" spans="1:7" ht="15" thickBot="1" x14ac:dyDescent="0.35">
      <c r="A5" s="263" t="s">
        <v>23</v>
      </c>
      <c r="B5" s="241"/>
      <c r="G5" s="246"/>
    </row>
    <row r="6" spans="1:7" x14ac:dyDescent="0.3">
      <c r="A6" s="263" t="s">
        <v>24</v>
      </c>
      <c r="B6" s="241"/>
      <c r="D6" s="11" t="s">
        <v>27</v>
      </c>
      <c r="E6" s="12"/>
      <c r="F6" s="12"/>
      <c r="G6" s="264"/>
    </row>
    <row r="7" spans="1:7" ht="22.5" customHeight="1" x14ac:dyDescent="0.3">
      <c r="A7" s="263"/>
      <c r="B7" s="241"/>
      <c r="D7" s="13" t="s">
        <v>28</v>
      </c>
      <c r="E7" s="265"/>
      <c r="F7" s="266"/>
      <c r="G7" s="267"/>
    </row>
    <row r="8" spans="1:7" ht="15" thickBot="1" x14ac:dyDescent="0.35">
      <c r="A8" s="268" t="s">
        <v>25</v>
      </c>
      <c r="B8" s="242" t="s">
        <v>26</v>
      </c>
      <c r="D8" s="14"/>
      <c r="E8" s="15"/>
      <c r="F8" s="15"/>
      <c r="G8" s="269"/>
    </row>
    <row r="9" spans="1:7" ht="15" thickBot="1" x14ac:dyDescent="0.35">
      <c r="A9" s="270" t="s">
        <v>29</v>
      </c>
      <c r="B9" s="243"/>
      <c r="G9" s="246"/>
    </row>
    <row r="10" spans="1:7" x14ac:dyDescent="0.3">
      <c r="A10" s="270" t="s">
        <v>30</v>
      </c>
      <c r="B10" s="243"/>
      <c r="D10" s="70" t="s">
        <v>62</v>
      </c>
      <c r="E10" s="199" t="s">
        <v>181</v>
      </c>
      <c r="G10" s="246"/>
    </row>
    <row r="11" spans="1:7" x14ac:dyDescent="0.3">
      <c r="A11" s="270" t="s">
        <v>31</v>
      </c>
      <c r="B11" s="244">
        <v>36815</v>
      </c>
      <c r="D11" s="71" t="s">
        <v>39</v>
      </c>
      <c r="E11" s="240">
        <v>15</v>
      </c>
      <c r="G11" s="246"/>
    </row>
    <row r="12" spans="1:7" x14ac:dyDescent="0.3">
      <c r="A12" s="270" t="s">
        <v>187</v>
      </c>
      <c r="B12" s="243">
        <f ca="1">DATEDIF(B11,TODAY(),"Y")</f>
        <v>22</v>
      </c>
      <c r="D12" s="71" t="s">
        <v>63</v>
      </c>
      <c r="E12" s="240"/>
      <c r="G12" s="246"/>
    </row>
    <row r="13" spans="1:7" x14ac:dyDescent="0.3">
      <c r="A13" s="270" t="s">
        <v>32</v>
      </c>
      <c r="B13" s="243"/>
      <c r="D13" s="71" t="s">
        <v>64</v>
      </c>
      <c r="E13" s="240"/>
      <c r="G13" s="246"/>
    </row>
    <row r="14" spans="1:7" x14ac:dyDescent="0.3">
      <c r="A14" s="271"/>
      <c r="B14" s="89"/>
      <c r="D14" s="71" t="s">
        <v>65</v>
      </c>
      <c r="E14" s="240"/>
      <c r="G14" s="246"/>
    </row>
    <row r="15" spans="1:7" ht="15" thickBot="1" x14ac:dyDescent="0.35">
      <c r="A15" s="271"/>
      <c r="D15" s="72" t="s">
        <v>61</v>
      </c>
      <c r="E15" s="239" cm="1">
        <f t="array" ref="E15">SUMPRODUCT((SMIC!A1:I1=E3)*(SMIC!A2:I13=G3),(SMIC!B2:J13))</f>
        <v>10.85</v>
      </c>
      <c r="G15" s="246"/>
    </row>
    <row r="16" spans="1:7" x14ac:dyDescent="0.3">
      <c r="A16" s="271"/>
      <c r="G16" s="246"/>
    </row>
    <row r="17" spans="1:7" ht="48" customHeight="1" thickBot="1" x14ac:dyDescent="0.35">
      <c r="A17" s="114"/>
      <c r="B17" s="356" t="s">
        <v>20</v>
      </c>
      <c r="C17" s="357"/>
      <c r="D17" s="358"/>
      <c r="E17" s="359" t="s">
        <v>17</v>
      </c>
      <c r="F17" s="360"/>
      <c r="G17" s="361"/>
    </row>
    <row r="18" spans="1:7" ht="58.5" customHeight="1" thickBot="1" x14ac:dyDescent="0.35">
      <c r="A18" s="272" t="s">
        <v>13</v>
      </c>
      <c r="B18" s="4" t="s">
        <v>14</v>
      </c>
      <c r="C18" s="5" t="s">
        <v>18</v>
      </c>
      <c r="D18" s="6" t="s">
        <v>36</v>
      </c>
      <c r="E18" s="7" t="s">
        <v>14</v>
      </c>
      <c r="F18" s="7" t="s">
        <v>19</v>
      </c>
      <c r="G18" s="273" t="s">
        <v>35</v>
      </c>
    </row>
    <row r="19" spans="1:7" x14ac:dyDescent="0.3">
      <c r="A19" s="274" t="s">
        <v>0</v>
      </c>
      <c r="B19" s="58">
        <v>151.66999999999999</v>
      </c>
      <c r="C19" s="116">
        <f>D19/B19</f>
        <v>13.18652337311268</v>
      </c>
      <c r="D19" s="2">
        <v>2000</v>
      </c>
      <c r="E19" s="8"/>
      <c r="F19" s="8"/>
      <c r="G19" s="275"/>
    </row>
    <row r="20" spans="1:7" x14ac:dyDescent="0.3">
      <c r="A20" s="114" t="s">
        <v>203</v>
      </c>
      <c r="B20" s="276"/>
      <c r="C20" s="277"/>
      <c r="D20" s="276"/>
      <c r="G20" s="246"/>
    </row>
    <row r="21" spans="1:7" x14ac:dyDescent="0.3">
      <c r="A21" s="114" t="s">
        <v>204</v>
      </c>
      <c r="B21" s="276"/>
      <c r="C21" s="277"/>
      <c r="D21" s="276"/>
      <c r="G21" s="246"/>
    </row>
    <row r="22" spans="1:7" x14ac:dyDescent="0.3">
      <c r="A22" s="114" t="s">
        <v>112</v>
      </c>
      <c r="B22" s="276"/>
      <c r="C22" s="277"/>
      <c r="D22" s="276"/>
      <c r="G22" s="246"/>
    </row>
    <row r="23" spans="1:7" x14ac:dyDescent="0.3">
      <c r="A23" s="114" t="s">
        <v>205</v>
      </c>
      <c r="B23" s="276"/>
      <c r="C23" s="277"/>
      <c r="D23" s="276"/>
      <c r="G23" s="246"/>
    </row>
    <row r="24" spans="1:7" x14ac:dyDescent="0.3">
      <c r="A24" s="114" t="s">
        <v>111</v>
      </c>
      <c r="B24" s="276"/>
      <c r="C24" s="277"/>
      <c r="D24" s="276">
        <f>B24*C24</f>
        <v>0</v>
      </c>
      <c r="G24" s="246"/>
    </row>
    <row r="25" spans="1:7" x14ac:dyDescent="0.3">
      <c r="A25" s="114" t="s">
        <v>206</v>
      </c>
      <c r="B25" s="276"/>
      <c r="D25" s="276">
        <f>B25*C25</f>
        <v>0</v>
      </c>
      <c r="G25" s="246"/>
    </row>
    <row r="26" spans="1:7" x14ac:dyDescent="0.3">
      <c r="A26" s="114" t="s">
        <v>207</v>
      </c>
      <c r="B26" s="276"/>
      <c r="C26" s="276"/>
      <c r="D26" s="276">
        <f>B26*C26</f>
        <v>0</v>
      </c>
      <c r="G26" s="246"/>
    </row>
    <row r="27" spans="1:7" x14ac:dyDescent="0.3">
      <c r="A27" s="114" t="s">
        <v>208</v>
      </c>
      <c r="B27" s="276"/>
      <c r="D27" s="276">
        <f>B27*C27</f>
        <v>0</v>
      </c>
      <c r="G27" s="246"/>
    </row>
    <row r="28" spans="1:7" x14ac:dyDescent="0.3">
      <c r="A28" s="114" t="s">
        <v>209</v>
      </c>
      <c r="B28" s="276"/>
      <c r="D28" s="276"/>
      <c r="G28" s="246"/>
    </row>
    <row r="29" spans="1:7" x14ac:dyDescent="0.3">
      <c r="A29" s="114" t="s">
        <v>122</v>
      </c>
      <c r="B29" s="276"/>
      <c r="D29" s="276"/>
      <c r="G29" s="246"/>
    </row>
    <row r="30" spans="1:7" ht="15" thickBot="1" x14ac:dyDescent="0.35">
      <c r="A30" s="114"/>
      <c r="B30" s="276"/>
      <c r="D30" s="276">
        <f>B30*C30</f>
        <v>0</v>
      </c>
      <c r="G30" s="246"/>
    </row>
    <row r="31" spans="1:7" ht="15" thickBot="1" x14ac:dyDescent="0.35">
      <c r="A31" s="271" t="s">
        <v>16</v>
      </c>
      <c r="B31" s="278"/>
      <c r="C31" s="278"/>
      <c r="D31" s="53">
        <f>SUM(D19:D27)</f>
        <v>2000</v>
      </c>
      <c r="G31" s="246"/>
    </row>
    <row r="32" spans="1:7" ht="15" thickBot="1" x14ac:dyDescent="0.35">
      <c r="A32" s="279"/>
      <c r="B32" s="10"/>
      <c r="C32" s="10"/>
      <c r="D32" s="10"/>
      <c r="E32" s="10"/>
      <c r="F32" s="10"/>
      <c r="G32" s="245"/>
    </row>
    <row r="33" spans="1:7" x14ac:dyDescent="0.3">
      <c r="A33" s="280" t="s">
        <v>1</v>
      </c>
      <c r="B33" s="37">
        <f>SALAIREBRUT</f>
        <v>2000</v>
      </c>
      <c r="C33" s="193">
        <f>VLOOKUP($E$10,COTIS,2,FALSE)</f>
        <v>0</v>
      </c>
      <c r="D33" s="16">
        <f t="shared" ref="D33:D47" si="0">B33*C33</f>
        <v>0</v>
      </c>
      <c r="E33" s="27">
        <f t="shared" ref="E33:E47" si="1">B33</f>
        <v>2000</v>
      </c>
      <c r="F33" s="56">
        <f>VLOOKUP($E$10,COTIS,41,FALSE)</f>
        <v>7.0000000000000007E-2</v>
      </c>
      <c r="G33" s="281">
        <f>E33*F33</f>
        <v>140</v>
      </c>
    </row>
    <row r="34" spans="1:7" x14ac:dyDescent="0.3">
      <c r="A34" s="282" t="s">
        <v>41</v>
      </c>
      <c r="B34" s="46">
        <f>IF(E15*151.67&lt;E15*151.67*2.5,SALAIREBRUT,E15*151.67*2.5)</f>
        <v>2000</v>
      </c>
      <c r="C34" s="283">
        <f>VLOOKUP($E$10,COTIS,3,FALSE)</f>
        <v>0</v>
      </c>
      <c r="D34" s="47">
        <f t="shared" si="0"/>
        <v>0</v>
      </c>
      <c r="E34" s="48">
        <f t="shared" si="1"/>
        <v>2000</v>
      </c>
      <c r="F34" s="57">
        <f>VLOOKUP($E$10,COTIS,42,FALSE)</f>
        <v>0.06</v>
      </c>
      <c r="G34" s="284">
        <f t="shared" ref="G34:G77" si="2">E34*F34</f>
        <v>120</v>
      </c>
    </row>
    <row r="35" spans="1:7" x14ac:dyDescent="0.3">
      <c r="A35" s="285" t="s">
        <v>2</v>
      </c>
      <c r="B35" s="38">
        <f>SALAIREBRUT</f>
        <v>2000</v>
      </c>
      <c r="C35" s="63">
        <f>VLOOKUP($E$10,COTIS,4,FALSE)</f>
        <v>0</v>
      </c>
      <c r="D35" s="17">
        <f t="shared" si="0"/>
        <v>0</v>
      </c>
      <c r="E35" s="28">
        <f t="shared" si="1"/>
        <v>2000</v>
      </c>
      <c r="F35" s="118">
        <f>VLOOKUP($E$10,COTIS,43,FALSE)</f>
        <v>3.0000000000000001E-3</v>
      </c>
      <c r="G35" s="255">
        <f t="shared" si="2"/>
        <v>6</v>
      </c>
    </row>
    <row r="36" spans="1:7" x14ac:dyDescent="0.3">
      <c r="A36" s="286" t="s">
        <v>3</v>
      </c>
      <c r="B36" s="30">
        <f>SALAIREBRUT</f>
        <v>2000</v>
      </c>
      <c r="C36" s="60">
        <f>VLOOKUP($E$10,COTIS,5,FALSE)</f>
        <v>4.0000000000000001E-3</v>
      </c>
      <c r="D36" s="18">
        <f t="shared" si="0"/>
        <v>8</v>
      </c>
      <c r="E36" s="29">
        <f t="shared" si="1"/>
        <v>2000</v>
      </c>
      <c r="F36" s="117">
        <f>VLOOKUP($E$10,COTIS,44,FALSE)</f>
        <v>1.9E-2</v>
      </c>
      <c r="G36" s="258">
        <f t="shared" si="2"/>
        <v>38</v>
      </c>
    </row>
    <row r="37" spans="1:7" x14ac:dyDescent="0.3">
      <c r="A37" s="286" t="s">
        <v>4</v>
      </c>
      <c r="B37" s="30">
        <f>IF(SALAIREBRUT&lt;3428,SALAIREBRUT,3428)</f>
        <v>2000</v>
      </c>
      <c r="C37" s="60">
        <f>VLOOKUP($E$10,COTIS,6,FALSE)</f>
        <v>6.9000000000000006E-2</v>
      </c>
      <c r="D37" s="18">
        <f t="shared" si="0"/>
        <v>138</v>
      </c>
      <c r="E37" s="30">
        <f t="shared" si="1"/>
        <v>2000</v>
      </c>
      <c r="F37" s="60">
        <f>VLOOKUP($E$10,COTIS,45,FALSE)</f>
        <v>8.5500000000000007E-2</v>
      </c>
      <c r="G37" s="258">
        <f t="shared" si="2"/>
        <v>171</v>
      </c>
    </row>
    <row r="38" spans="1:7" x14ac:dyDescent="0.3">
      <c r="A38" s="287" t="s">
        <v>5</v>
      </c>
      <c r="B38" s="39">
        <f>SALAIREBRUT</f>
        <v>2000</v>
      </c>
      <c r="C38" s="194">
        <f>VLOOKUP($E$10,COTIS,7,FALSE)</f>
        <v>0</v>
      </c>
      <c r="D38" s="19">
        <f t="shared" si="0"/>
        <v>0</v>
      </c>
      <c r="E38" s="31">
        <f t="shared" si="1"/>
        <v>2000</v>
      </c>
      <c r="F38" s="61">
        <f>VLOOKUP($E$10,COTIS,46,FALSE)</f>
        <v>3.4500000000000003E-2</v>
      </c>
      <c r="G38" s="288">
        <f t="shared" si="2"/>
        <v>69</v>
      </c>
    </row>
    <row r="39" spans="1:7" x14ac:dyDescent="0.3">
      <c r="A39" s="287" t="s">
        <v>42</v>
      </c>
      <c r="B39" s="39">
        <f>IF(E15*151.67&lt;E15*151.67*3.5,SALAIREBRUT,E15*151.67*3.5)</f>
        <v>2000</v>
      </c>
      <c r="C39" s="194">
        <f>VLOOKUP($E$10,COTIS,8,FALSE)</f>
        <v>0</v>
      </c>
      <c r="D39" s="19">
        <f t="shared" si="0"/>
        <v>0</v>
      </c>
      <c r="E39" s="31">
        <f t="shared" si="1"/>
        <v>2000</v>
      </c>
      <c r="F39" s="119">
        <f>VLOOKUP($E$10,COTIS,47,FALSE)</f>
        <v>1.7999999999999999E-2</v>
      </c>
      <c r="G39" s="288">
        <f t="shared" si="2"/>
        <v>36</v>
      </c>
    </row>
    <row r="40" spans="1:7" x14ac:dyDescent="0.3">
      <c r="A40" s="289" t="s">
        <v>6</v>
      </c>
      <c r="B40" s="40">
        <f>SALAIREBRUT</f>
        <v>2000</v>
      </c>
      <c r="C40" s="195">
        <f>VLOOKUP($E$10,COTIS,9,FALSE)</f>
        <v>0</v>
      </c>
      <c r="D40" s="20">
        <f t="shared" si="0"/>
        <v>0</v>
      </c>
      <c r="E40" s="32">
        <f t="shared" si="1"/>
        <v>2000</v>
      </c>
      <c r="F40" s="120">
        <f>VLOOKUP($E$10,COTIS,48,FALSE)</f>
        <v>0</v>
      </c>
      <c r="G40" s="290">
        <f t="shared" si="2"/>
        <v>0</v>
      </c>
    </row>
    <row r="41" spans="1:7" x14ac:dyDescent="0.3">
      <c r="A41" s="291" t="s">
        <v>78</v>
      </c>
      <c r="B41" s="38">
        <f>SALAIREBRUT</f>
        <v>2000</v>
      </c>
      <c r="C41" s="63">
        <f>VLOOKUP($E$10,COTIS,10,FALSE)</f>
        <v>0</v>
      </c>
      <c r="D41" s="17">
        <f t="shared" si="0"/>
        <v>0</v>
      </c>
      <c r="E41" s="28">
        <f t="shared" si="1"/>
        <v>2000</v>
      </c>
      <c r="F41" s="63">
        <f>VLOOKUP($E$10,COTIS,49,FALSE)</f>
        <v>1E-3</v>
      </c>
      <c r="G41" s="255">
        <f t="shared" si="2"/>
        <v>2</v>
      </c>
    </row>
    <row r="42" spans="1:7" x14ac:dyDescent="0.3">
      <c r="A42" s="285" t="s">
        <v>79</v>
      </c>
      <c r="B42" s="38">
        <f>SALAIREBRUT</f>
        <v>2000</v>
      </c>
      <c r="C42" s="63">
        <f>VLOOKUP($E$10,COTIS,11,FALSE)</f>
        <v>0</v>
      </c>
      <c r="D42" s="17">
        <f t="shared" si="0"/>
        <v>0</v>
      </c>
      <c r="E42" s="28">
        <f t="shared" si="1"/>
        <v>2000</v>
      </c>
      <c r="F42" s="59">
        <f>VLOOKUP($E$10,COTIS,50,FALSE)</f>
        <v>5.0000000000000001E-3</v>
      </c>
      <c r="G42" s="255">
        <f t="shared" si="2"/>
        <v>10</v>
      </c>
    </row>
    <row r="43" spans="1:7" x14ac:dyDescent="0.3">
      <c r="A43" s="285" t="s">
        <v>15</v>
      </c>
      <c r="B43" s="38">
        <f>SALAIREBRUT</f>
        <v>2000</v>
      </c>
      <c r="C43" s="63">
        <f>VLOOKUP($E$10,COTIS,12,FALSE)</f>
        <v>0</v>
      </c>
      <c r="D43" s="17">
        <f t="shared" si="0"/>
        <v>0</v>
      </c>
      <c r="E43" s="28">
        <f t="shared" si="1"/>
        <v>2000</v>
      </c>
      <c r="F43" s="28">
        <f>VLOOKUP($E$10,COTIS,51,FALSE)</f>
        <v>0</v>
      </c>
      <c r="G43" s="255">
        <f t="shared" si="2"/>
        <v>0</v>
      </c>
    </row>
    <row r="44" spans="1:7" x14ac:dyDescent="0.3">
      <c r="A44" s="292" t="s">
        <v>7</v>
      </c>
      <c r="B44" s="41">
        <f>+((SALAIREBRUT-D27-D30)*98.25/100)+MUT+PREVT1+PREVT2</f>
        <v>1995</v>
      </c>
      <c r="C44" s="64">
        <f>VLOOKUP($E$10,COTIS,13,FALSE)</f>
        <v>6.8000000000000005E-2</v>
      </c>
      <c r="D44" s="21">
        <f t="shared" si="0"/>
        <v>135.66</v>
      </c>
      <c r="E44" s="33">
        <f t="shared" si="1"/>
        <v>1995</v>
      </c>
      <c r="F44" s="33">
        <f>VLOOKUP($E$10,COTIS,52,FALSE)</f>
        <v>0</v>
      </c>
      <c r="G44" s="293">
        <f t="shared" si="2"/>
        <v>0</v>
      </c>
    </row>
    <row r="45" spans="1:7" x14ac:dyDescent="0.3">
      <c r="A45" s="292" t="s">
        <v>8</v>
      </c>
      <c r="B45" s="41">
        <f>+((SALAIREBRUT-D27-D30)*98.25/100)+MUT+PREVT1+PREVT2</f>
        <v>1995</v>
      </c>
      <c r="C45" s="64">
        <f>VLOOKUP($E$10,COTIS,14,FALSE)</f>
        <v>2.9000000000000001E-2</v>
      </c>
      <c r="D45" s="21">
        <f t="shared" si="0"/>
        <v>57.855000000000004</v>
      </c>
      <c r="E45" s="33">
        <f t="shared" si="1"/>
        <v>1995</v>
      </c>
      <c r="F45" s="22">
        <f>VLOOKUP($E$10,COTIS,53,FALSE)</f>
        <v>0</v>
      </c>
      <c r="G45" s="293">
        <f t="shared" si="2"/>
        <v>0</v>
      </c>
    </row>
    <row r="46" spans="1:7" hidden="1" x14ac:dyDescent="0.3">
      <c r="A46" s="292" t="s">
        <v>68</v>
      </c>
      <c r="B46" s="41">
        <f t="shared" ref="B46:B53" si="3">SALAIREBRUT</f>
        <v>2000</v>
      </c>
      <c r="C46" s="64">
        <f>VLOOKUP($E$10,COTIS,14,FALSE)</f>
        <v>2.9000000000000001E-2</v>
      </c>
      <c r="D46" s="21">
        <f t="shared" si="0"/>
        <v>58</v>
      </c>
      <c r="E46" s="33">
        <f t="shared" si="1"/>
        <v>2000</v>
      </c>
      <c r="F46" s="22">
        <f>VLOOKUP($E$10,COTIS,2,FALSE)</f>
        <v>0</v>
      </c>
      <c r="G46" s="293">
        <f t="shared" si="2"/>
        <v>0</v>
      </c>
    </row>
    <row r="47" spans="1:7" hidden="1" x14ac:dyDescent="0.3">
      <c r="A47" s="292" t="s">
        <v>73</v>
      </c>
      <c r="B47" s="41">
        <f t="shared" si="3"/>
        <v>2000</v>
      </c>
      <c r="C47" s="64">
        <f>VLOOKUP($E$10,COTIS,14,FALSE)</f>
        <v>2.9000000000000001E-2</v>
      </c>
      <c r="D47" s="21">
        <f t="shared" si="0"/>
        <v>58</v>
      </c>
      <c r="E47" s="33">
        <f t="shared" si="1"/>
        <v>2000</v>
      </c>
      <c r="F47" s="22">
        <f>VLOOKUP($E$10,COTIS,2,FALSE)</f>
        <v>0</v>
      </c>
      <c r="G47" s="293">
        <f t="shared" si="2"/>
        <v>0</v>
      </c>
    </row>
    <row r="48" spans="1:7" x14ac:dyDescent="0.3">
      <c r="A48" s="292" t="s">
        <v>68</v>
      </c>
      <c r="B48" s="41"/>
      <c r="C48" s="64">
        <f>VLOOKUP($E$10,COTIS,15,FALSE)</f>
        <v>0</v>
      </c>
      <c r="D48" s="21"/>
      <c r="E48" s="33"/>
      <c r="F48" s="22">
        <f>VLOOKUP($E$10,COTIS,54,FALSE)</f>
        <v>0</v>
      </c>
      <c r="G48" s="293"/>
    </row>
    <row r="49" spans="1:7" x14ac:dyDescent="0.3">
      <c r="A49" s="292" t="s">
        <v>73</v>
      </c>
      <c r="B49" s="41"/>
      <c r="C49" s="64">
        <f>VLOOKUP($E$10,COTIS,16,FALSE)</f>
        <v>0</v>
      </c>
      <c r="D49" s="21"/>
      <c r="E49" s="33"/>
      <c r="F49" s="22">
        <f>VLOOKUP($E$10,COTIS,55,FALSE)</f>
        <v>0</v>
      </c>
      <c r="G49" s="293"/>
    </row>
    <row r="50" spans="1:7" x14ac:dyDescent="0.3">
      <c r="A50" s="294" t="s">
        <v>67</v>
      </c>
      <c r="B50" s="42">
        <f t="shared" si="3"/>
        <v>2000</v>
      </c>
      <c r="C50" s="196">
        <f>VLOOKUP($E$10,COTIS,17,FALSE)</f>
        <v>0</v>
      </c>
      <c r="D50" s="23">
        <f t="shared" ref="D50:D74" si="4">B50*C50</f>
        <v>0</v>
      </c>
      <c r="E50" s="34">
        <f>B50</f>
        <v>2000</v>
      </c>
      <c r="F50" s="24">
        <f>VLOOKUP($E$10,COTIS,56,FALSE)</f>
        <v>0</v>
      </c>
      <c r="G50" s="295">
        <f t="shared" si="2"/>
        <v>0</v>
      </c>
    </row>
    <row r="51" spans="1:7" x14ac:dyDescent="0.3">
      <c r="A51" s="294" t="s">
        <v>66</v>
      </c>
      <c r="B51" s="42">
        <f t="shared" si="3"/>
        <v>2000</v>
      </c>
      <c r="C51" s="196">
        <f>VLOOKUP($E$10,COTIS,18,FALSE)</f>
        <v>0</v>
      </c>
      <c r="D51" s="23">
        <f t="shared" si="4"/>
        <v>0</v>
      </c>
      <c r="E51" s="34">
        <f>B51</f>
        <v>2000</v>
      </c>
      <c r="F51" s="24">
        <f>VLOOKUP($E$10,COTIS,57,FALSE)</f>
        <v>0</v>
      </c>
      <c r="G51" s="295">
        <f t="shared" si="2"/>
        <v>0</v>
      </c>
    </row>
    <row r="52" spans="1:7" x14ac:dyDescent="0.3">
      <c r="A52" s="294" t="s">
        <v>33</v>
      </c>
      <c r="B52" s="42">
        <f t="shared" si="3"/>
        <v>2000</v>
      </c>
      <c r="C52" s="196">
        <f>VLOOKUP($E$10,COTIS,19,FALSE)</f>
        <v>0</v>
      </c>
      <c r="D52" s="23">
        <f t="shared" si="4"/>
        <v>0</v>
      </c>
      <c r="E52" s="34">
        <f>B52</f>
        <v>2000</v>
      </c>
      <c r="F52" s="24">
        <f>VLOOKUP($E$10,COTIS,58,FALSE)</f>
        <v>0</v>
      </c>
      <c r="G52" s="295">
        <f t="shared" si="2"/>
        <v>0</v>
      </c>
    </row>
    <row r="53" spans="1:7" x14ac:dyDescent="0.3">
      <c r="A53" s="285" t="s">
        <v>9</v>
      </c>
      <c r="B53" s="38">
        <f t="shared" si="3"/>
        <v>2000</v>
      </c>
      <c r="C53" s="63">
        <f>VLOOKUP($E$10,COTIS,20,FALSE)</f>
        <v>0</v>
      </c>
      <c r="D53" s="17">
        <f t="shared" si="4"/>
        <v>0</v>
      </c>
      <c r="E53" s="28">
        <f>B53</f>
        <v>2000</v>
      </c>
      <c r="F53" s="65">
        <f>VLOOKUP($E$10,COTIS,59,FALSE)</f>
        <v>1.6000000000000001E-4</v>
      </c>
      <c r="G53" s="255">
        <f t="shared" si="2"/>
        <v>0.32</v>
      </c>
    </row>
    <row r="54" spans="1:7" x14ac:dyDescent="0.3">
      <c r="A54" s="296" t="s">
        <v>50</v>
      </c>
      <c r="B54" s="79">
        <f>D24</f>
        <v>0</v>
      </c>
      <c r="C54" s="82">
        <f>VLOOKUP($E$10,COTIS,21,FALSE)</f>
        <v>0</v>
      </c>
      <c r="D54" s="80">
        <f t="shared" si="4"/>
        <v>0</v>
      </c>
      <c r="E54" s="81"/>
      <c r="F54" s="87">
        <f>VLOOKUP($E$10,COTIS,60,FALSE)</f>
        <v>0</v>
      </c>
      <c r="G54" s="254">
        <f t="shared" si="2"/>
        <v>0</v>
      </c>
    </row>
    <row r="55" spans="1:7" x14ac:dyDescent="0.3">
      <c r="A55" s="297" t="s">
        <v>10</v>
      </c>
      <c r="B55" s="43">
        <f>IF(SALAIREBRUT&lt;13712,SALAIREBRUT,13712)</f>
        <v>2000</v>
      </c>
      <c r="C55" s="197">
        <f>VLOOKUP($E$10,COTIS,22,FALSE)</f>
        <v>0</v>
      </c>
      <c r="D55" s="25">
        <f t="shared" si="4"/>
        <v>0</v>
      </c>
      <c r="E55" s="35">
        <f t="shared" ref="E55:E72" si="5">B55</f>
        <v>2000</v>
      </c>
      <c r="F55" s="66">
        <f>VLOOKUP($E$10,COTIS,61,FALSE)</f>
        <v>4.0500000000000001E-2</v>
      </c>
      <c r="G55" s="257">
        <f t="shared" si="2"/>
        <v>81</v>
      </c>
    </row>
    <row r="56" spans="1:7" x14ac:dyDescent="0.3">
      <c r="A56" s="297" t="s">
        <v>11</v>
      </c>
      <c r="B56" s="43">
        <f>IF(SALAIREBRUT&lt;13712,SALAIREBRUT,13712)</f>
        <v>2000</v>
      </c>
      <c r="C56" s="197">
        <f>VLOOKUP($E$10,COTIS,23,FALSE)</f>
        <v>0</v>
      </c>
      <c r="D56" s="25">
        <f t="shared" si="4"/>
        <v>0</v>
      </c>
      <c r="E56" s="35">
        <f t="shared" si="5"/>
        <v>2000</v>
      </c>
      <c r="F56" s="66">
        <f>VLOOKUP($E$10,COTIS,62,FALSE)</f>
        <v>1.5E-3</v>
      </c>
      <c r="G56" s="257">
        <f t="shared" si="2"/>
        <v>3</v>
      </c>
    </row>
    <row r="57" spans="1:7" x14ac:dyDescent="0.3">
      <c r="A57" s="298" t="s">
        <v>43</v>
      </c>
      <c r="B57" s="30">
        <f>IF(SALAIREBRUT&lt;3428,SALAIREBRUT,3428)</f>
        <v>2000</v>
      </c>
      <c r="C57" s="60">
        <f>VLOOKUP($E$10,COTIS,24,FALSE)</f>
        <v>3.15E-2</v>
      </c>
      <c r="D57" s="18">
        <f t="shared" si="4"/>
        <v>63</v>
      </c>
      <c r="E57" s="30">
        <f t="shared" si="5"/>
        <v>2000</v>
      </c>
      <c r="F57" s="60">
        <f>VLOOKUP($E$10,COTIS,63,FALSE)</f>
        <v>4.7199999999999999E-2</v>
      </c>
      <c r="G57" s="258">
        <f t="shared" si="2"/>
        <v>94.399999999999991</v>
      </c>
    </row>
    <row r="58" spans="1:7" x14ac:dyDescent="0.3">
      <c r="A58" s="298" t="s">
        <v>38</v>
      </c>
      <c r="B58" s="30">
        <f>SALAIREBRUT</f>
        <v>2000</v>
      </c>
      <c r="C58" s="60">
        <f>VLOOKUP($E$10,COTIS,25,FALSE)</f>
        <v>8.6400000000000005E-2</v>
      </c>
      <c r="D58" s="18">
        <f t="shared" si="4"/>
        <v>172.8</v>
      </c>
      <c r="E58" s="30">
        <f t="shared" si="5"/>
        <v>2000</v>
      </c>
      <c r="F58" s="60">
        <f>VLOOKUP($E$10,COTIS,64,FALSE)</f>
        <v>0.12590000000000001</v>
      </c>
      <c r="G58" s="258">
        <f t="shared" si="2"/>
        <v>251.8</v>
      </c>
    </row>
    <row r="59" spans="1:7" x14ac:dyDescent="0.3">
      <c r="A59" s="298" t="s">
        <v>46</v>
      </c>
      <c r="B59" s="30">
        <f>IF(SALAIREBRUT&lt;3428,SALAIREBRUT,3428)</f>
        <v>2000</v>
      </c>
      <c r="C59" s="60">
        <f>VLOOKUP($E$10,COTIS,26,FALSE)</f>
        <v>8.6E-3</v>
      </c>
      <c r="D59" s="18">
        <f t="shared" si="4"/>
        <v>17.2</v>
      </c>
      <c r="E59" s="30">
        <f t="shared" si="5"/>
        <v>2000</v>
      </c>
      <c r="F59" s="60">
        <f>VLOOKUP($E$10,COTIS,65,FALSE)</f>
        <v>1.29E-2</v>
      </c>
      <c r="G59" s="258">
        <f t="shared" si="2"/>
        <v>25.8</v>
      </c>
    </row>
    <row r="60" spans="1:7" x14ac:dyDescent="0.3">
      <c r="A60" s="298" t="s">
        <v>47</v>
      </c>
      <c r="B60" s="30">
        <f>SALAIREBRUT</f>
        <v>2000</v>
      </c>
      <c r="C60" s="60">
        <f>VLOOKUP($E$10,COTIS,27,FALSE)</f>
        <v>1.0800000000000001E-2</v>
      </c>
      <c r="D60" s="18">
        <f t="shared" si="4"/>
        <v>21.6</v>
      </c>
      <c r="E60" s="30">
        <f t="shared" si="5"/>
        <v>2000</v>
      </c>
      <c r="F60" s="60">
        <f>VLOOKUP($E$10,COTIS,66,FALSE)</f>
        <v>1.6199999999999999E-2</v>
      </c>
      <c r="G60" s="258">
        <f t="shared" si="2"/>
        <v>32.4</v>
      </c>
    </row>
    <row r="61" spans="1:7" x14ac:dyDescent="0.3">
      <c r="A61" s="298" t="s">
        <v>44</v>
      </c>
      <c r="B61" s="30">
        <f>IF(SALAIREBRUT&lt;27424,SALAIREBRUT,27424)</f>
        <v>2000</v>
      </c>
      <c r="C61" s="60">
        <f>VLOOKUP($E$10,COTIS,28,FALSE)</f>
        <v>1.4E-3</v>
      </c>
      <c r="D61" s="18">
        <f t="shared" si="4"/>
        <v>2.8</v>
      </c>
      <c r="E61" s="30">
        <f t="shared" si="5"/>
        <v>2000</v>
      </c>
      <c r="F61" s="60">
        <f>VLOOKUP($E$10,COTIS,67,FALSE)</f>
        <v>2.0999999999999999E-3</v>
      </c>
      <c r="G61" s="258">
        <f t="shared" si="2"/>
        <v>4.2</v>
      </c>
    </row>
    <row r="62" spans="1:7" x14ac:dyDescent="0.3">
      <c r="A62" s="298" t="s">
        <v>45</v>
      </c>
      <c r="B62" s="30">
        <f t="shared" ref="B62:B72" si="6">SALAIREBRUT</f>
        <v>2000</v>
      </c>
      <c r="C62" s="60">
        <f>VLOOKUP($E$10,COTIS,29,FALSE)</f>
        <v>1.4E-3</v>
      </c>
      <c r="D62" s="18">
        <f t="shared" si="4"/>
        <v>2.8</v>
      </c>
      <c r="E62" s="30">
        <f t="shared" si="5"/>
        <v>2000</v>
      </c>
      <c r="F62" s="60">
        <f>VLOOKUP($E$10,COTIS,68,FALSE)</f>
        <v>2.0999999999999999E-3</v>
      </c>
      <c r="G62" s="258">
        <f t="shared" si="2"/>
        <v>4.2</v>
      </c>
    </row>
    <row r="63" spans="1:7" x14ac:dyDescent="0.3">
      <c r="A63" s="297" t="s">
        <v>48</v>
      </c>
      <c r="B63" s="54">
        <f t="shared" si="6"/>
        <v>2000</v>
      </c>
      <c r="C63" s="197">
        <f>VLOOKUP($E$10,COTIS,30,FALSE)</f>
        <v>2.4000000000000001E-4</v>
      </c>
      <c r="D63" s="45">
        <f t="shared" si="4"/>
        <v>0.48000000000000004</v>
      </c>
      <c r="E63" s="54">
        <f t="shared" si="5"/>
        <v>2000</v>
      </c>
      <c r="F63" s="67">
        <f>VLOOKUP($E$10,COTIS,69,FALSE)</f>
        <v>3.6000000000000002E-4</v>
      </c>
      <c r="G63" s="257">
        <f t="shared" si="2"/>
        <v>0.72000000000000008</v>
      </c>
    </row>
    <row r="64" spans="1:7" x14ac:dyDescent="0.3">
      <c r="A64" s="297" t="s">
        <v>49</v>
      </c>
      <c r="B64" s="54">
        <f t="shared" si="6"/>
        <v>2000</v>
      </c>
      <c r="C64" s="197">
        <f>VLOOKUP($E$10,COTIS,31,FALSE)</f>
        <v>2.4000000000000001E-4</v>
      </c>
      <c r="D64" s="45">
        <f t="shared" si="4"/>
        <v>0.48000000000000004</v>
      </c>
      <c r="E64" s="54">
        <f t="shared" si="5"/>
        <v>2000</v>
      </c>
      <c r="F64" s="67">
        <f>VLOOKUP($E$10,COTIS,70,FALSE)</f>
        <v>3.6000000000000002E-4</v>
      </c>
      <c r="G64" s="257">
        <f t="shared" si="2"/>
        <v>0.72000000000000008</v>
      </c>
    </row>
    <row r="65" spans="1:7" x14ac:dyDescent="0.3">
      <c r="A65" s="299" t="s">
        <v>12</v>
      </c>
      <c r="B65" s="44">
        <f t="shared" si="6"/>
        <v>2000</v>
      </c>
      <c r="C65" s="198">
        <f>VLOOKUP($E$10,COTIS,32,FALSE)</f>
        <v>0</v>
      </c>
      <c r="D65" s="26">
        <f t="shared" si="4"/>
        <v>0</v>
      </c>
      <c r="E65" s="36">
        <f t="shared" si="5"/>
        <v>2000</v>
      </c>
      <c r="F65" s="73">
        <f>VLOOKUP($E$10,COTIS,71,FALSE)</f>
        <v>0</v>
      </c>
      <c r="G65" s="300">
        <f t="shared" si="2"/>
        <v>0</v>
      </c>
    </row>
    <row r="66" spans="1:7" x14ac:dyDescent="0.3">
      <c r="A66" s="299" t="s">
        <v>74</v>
      </c>
      <c r="B66" s="44">
        <f t="shared" si="6"/>
        <v>2000</v>
      </c>
      <c r="C66" s="198">
        <f>VLOOKUP($E$10,COTIS,33,FALSE)</f>
        <v>0</v>
      </c>
      <c r="D66" s="26">
        <f t="shared" si="4"/>
        <v>0</v>
      </c>
      <c r="E66" s="36">
        <f t="shared" si="5"/>
        <v>2000</v>
      </c>
      <c r="F66" s="73">
        <f>VLOOKUP($E$10,COTIS,72,FALSE)</f>
        <v>0</v>
      </c>
      <c r="G66" s="256">
        <f t="shared" si="2"/>
        <v>0</v>
      </c>
    </row>
    <row r="67" spans="1:7" x14ac:dyDescent="0.3">
      <c r="A67" s="299" t="s">
        <v>57</v>
      </c>
      <c r="B67" s="44">
        <f t="shared" si="6"/>
        <v>2000</v>
      </c>
      <c r="C67" s="198">
        <f>VLOOKUP($E$10,COTIS,34,FALSE)</f>
        <v>1.4999999999999999E-2</v>
      </c>
      <c r="D67" s="26">
        <f t="shared" si="4"/>
        <v>30</v>
      </c>
      <c r="E67" s="36">
        <f t="shared" si="5"/>
        <v>2000</v>
      </c>
      <c r="F67" s="121">
        <f>VLOOKUP($E$10,COTIS,73,FALSE)</f>
        <v>1.4999999999999999E-2</v>
      </c>
      <c r="G67" s="256">
        <f t="shared" si="2"/>
        <v>30</v>
      </c>
    </row>
    <row r="68" spans="1:7" x14ac:dyDescent="0.3">
      <c r="A68" s="299" t="s">
        <v>51</v>
      </c>
      <c r="B68" s="50">
        <f t="shared" si="6"/>
        <v>2000</v>
      </c>
      <c r="C68" s="198">
        <f>VLOOKUP($E$10,COTIS,35,FALSE)</f>
        <v>0</v>
      </c>
      <c r="D68" s="26">
        <f t="shared" si="4"/>
        <v>0</v>
      </c>
      <c r="E68" s="55">
        <f t="shared" si="5"/>
        <v>2000</v>
      </c>
      <c r="F68" s="86">
        <f>VLOOKUP($E$10,COTIS,74,FALSE)</f>
        <v>0</v>
      </c>
      <c r="G68" s="256">
        <f t="shared" si="2"/>
        <v>0</v>
      </c>
    </row>
    <row r="69" spans="1:7" x14ac:dyDescent="0.3">
      <c r="A69" s="285" t="s">
        <v>21</v>
      </c>
      <c r="B69" s="38">
        <f t="shared" si="6"/>
        <v>2000</v>
      </c>
      <c r="C69" s="63">
        <f>VLOOKUP($E$10,COTIS,36,FALSE)</f>
        <v>0</v>
      </c>
      <c r="D69" s="17">
        <f t="shared" si="4"/>
        <v>0</v>
      </c>
      <c r="E69" s="28">
        <f t="shared" si="5"/>
        <v>2000</v>
      </c>
      <c r="F69" s="63">
        <f>VLOOKUP($E$10,COTIS,75,FALSE)</f>
        <v>0</v>
      </c>
      <c r="G69" s="255">
        <f t="shared" si="2"/>
        <v>0</v>
      </c>
    </row>
    <row r="70" spans="1:7" x14ac:dyDescent="0.3">
      <c r="A70" s="285" t="s">
        <v>58</v>
      </c>
      <c r="B70" s="38">
        <f t="shared" si="6"/>
        <v>2000</v>
      </c>
      <c r="C70" s="63">
        <f>VLOOKUP($E$10,COTIS,37,FALSE)</f>
        <v>0</v>
      </c>
      <c r="D70" s="17">
        <f t="shared" si="4"/>
        <v>0</v>
      </c>
      <c r="E70" s="28">
        <f t="shared" si="5"/>
        <v>2000</v>
      </c>
      <c r="F70" s="63">
        <f>VLOOKUP($E$10,COTIS,76,FALSE)</f>
        <v>0</v>
      </c>
      <c r="G70" s="255">
        <f t="shared" si="2"/>
        <v>0</v>
      </c>
    </row>
    <row r="71" spans="1:7" x14ac:dyDescent="0.3">
      <c r="A71" s="285" t="s">
        <v>59</v>
      </c>
      <c r="B71" s="38">
        <f t="shared" si="6"/>
        <v>2000</v>
      </c>
      <c r="C71" s="63">
        <f>VLOOKUP($E$10,COTIS,38,FALSE)</f>
        <v>0</v>
      </c>
      <c r="D71" s="17">
        <f t="shared" si="4"/>
        <v>0</v>
      </c>
      <c r="E71" s="28">
        <f t="shared" si="5"/>
        <v>2000</v>
      </c>
      <c r="F71" s="62">
        <f>VLOOKUP($E$10,COTIS,77,FALSE)</f>
        <v>0</v>
      </c>
      <c r="G71" s="255">
        <f t="shared" si="2"/>
        <v>0</v>
      </c>
    </row>
    <row r="72" spans="1:7" x14ac:dyDescent="0.3">
      <c r="A72" s="285" t="s">
        <v>60</v>
      </c>
      <c r="B72" s="38">
        <f t="shared" si="6"/>
        <v>2000</v>
      </c>
      <c r="C72" s="63">
        <f>VLOOKUP($E$10,COTIS,39,FALSE)</f>
        <v>0</v>
      </c>
      <c r="D72" s="17">
        <f t="shared" si="4"/>
        <v>0</v>
      </c>
      <c r="E72" s="28">
        <f t="shared" si="5"/>
        <v>2000</v>
      </c>
      <c r="F72" s="63">
        <f>VLOOKUP($E$10,COTIS,78,FALSE)</f>
        <v>0</v>
      </c>
      <c r="G72" s="255">
        <f t="shared" si="2"/>
        <v>0</v>
      </c>
    </row>
    <row r="73" spans="1:7" x14ac:dyDescent="0.3">
      <c r="A73" s="296"/>
      <c r="B73" s="79"/>
      <c r="C73" s="3"/>
      <c r="D73" s="80">
        <f t="shared" si="4"/>
        <v>0</v>
      </c>
      <c r="E73" s="81"/>
      <c r="F73" s="82"/>
      <c r="G73" s="254">
        <f t="shared" si="2"/>
        <v>0</v>
      </c>
    </row>
    <row r="74" spans="1:7" x14ac:dyDescent="0.3">
      <c r="A74" s="301" t="s">
        <v>69</v>
      </c>
      <c r="B74" s="74"/>
      <c r="C74" s="75"/>
      <c r="D74" s="76">
        <f t="shared" si="4"/>
        <v>0</v>
      </c>
      <c r="E74" s="77"/>
      <c r="F74" s="78"/>
      <c r="G74" s="253">
        <f t="shared" si="2"/>
        <v>0</v>
      </c>
    </row>
    <row r="75" spans="1:7" x14ac:dyDescent="0.3">
      <c r="A75" s="302" t="s">
        <v>70</v>
      </c>
      <c r="B75" s="303"/>
      <c r="D75" s="276">
        <v>-300</v>
      </c>
      <c r="F75" s="276"/>
      <c r="G75" s="252">
        <f t="shared" si="2"/>
        <v>0</v>
      </c>
    </row>
    <row r="76" spans="1:7" x14ac:dyDescent="0.3">
      <c r="A76" s="304" t="s">
        <v>52</v>
      </c>
      <c r="B76" s="49"/>
      <c r="C76" s="1"/>
      <c r="D76" s="2">
        <f>SUM(D33:D74)-D45-D74-D66</f>
        <v>708.82</v>
      </c>
      <c r="E76" s="1"/>
      <c r="F76" s="2"/>
      <c r="G76" s="251">
        <f t="shared" si="2"/>
        <v>0</v>
      </c>
    </row>
    <row r="77" spans="1:7" x14ac:dyDescent="0.3">
      <c r="A77" s="304" t="s">
        <v>53</v>
      </c>
      <c r="B77" s="49"/>
      <c r="C77" s="1"/>
      <c r="D77" s="2">
        <f>B77*C77</f>
        <v>0</v>
      </c>
      <c r="E77" s="1"/>
      <c r="F77" s="2"/>
      <c r="G77" s="251">
        <f t="shared" si="2"/>
        <v>0</v>
      </c>
    </row>
    <row r="78" spans="1:7" x14ac:dyDescent="0.3">
      <c r="A78" s="305" t="s">
        <v>37</v>
      </c>
      <c r="B78" s="68"/>
      <c r="C78" s="68"/>
      <c r="D78" s="69">
        <f>SUM(D33:D77)</f>
        <v>1175.4950000000001</v>
      </c>
      <c r="E78" s="68"/>
      <c r="F78" s="51"/>
      <c r="G78" s="250">
        <f>SUM(G33:G77)</f>
        <v>1120.5600000000002</v>
      </c>
    </row>
    <row r="79" spans="1:7" ht="21" customHeight="1" x14ac:dyDescent="0.3">
      <c r="A79" s="306" t="s">
        <v>113</v>
      </c>
      <c r="B79" s="307">
        <v>32.97</v>
      </c>
      <c r="C79" s="308">
        <v>0.93320000000000003</v>
      </c>
      <c r="D79" s="309">
        <f>B79*C79</f>
        <v>30.767603999999999</v>
      </c>
      <c r="E79" s="310"/>
      <c r="F79" s="311"/>
      <c r="G79" s="249"/>
    </row>
    <row r="80" spans="1:7" ht="21" customHeight="1" x14ac:dyDescent="0.3">
      <c r="A80" s="312"/>
      <c r="B80" s="310"/>
      <c r="C80" s="310"/>
      <c r="D80" s="311"/>
      <c r="E80" s="310"/>
      <c r="F80" s="311"/>
      <c r="G80" s="249"/>
    </row>
    <row r="81" spans="1:7" x14ac:dyDescent="0.3">
      <c r="A81" s="312" t="s">
        <v>72</v>
      </c>
      <c r="B81" s="310"/>
      <c r="C81" s="83"/>
      <c r="D81" s="85"/>
      <c r="E81" s="310"/>
      <c r="F81" s="311"/>
      <c r="G81" s="249"/>
    </row>
    <row r="82" spans="1:7" x14ac:dyDescent="0.3">
      <c r="A82" s="312" t="s">
        <v>77</v>
      </c>
      <c r="B82" s="310"/>
      <c r="C82" s="88"/>
      <c r="D82" s="85"/>
      <c r="E82" s="310"/>
      <c r="F82" s="311"/>
      <c r="G82" s="249"/>
    </row>
    <row r="83" spans="1:7" x14ac:dyDescent="0.3">
      <c r="A83" s="312"/>
      <c r="B83" s="310"/>
      <c r="C83" s="83"/>
      <c r="D83" s="85"/>
      <c r="E83" s="310"/>
      <c r="F83" s="311"/>
      <c r="G83" s="249"/>
    </row>
    <row r="84" spans="1:7" x14ac:dyDescent="0.3">
      <c r="A84" s="312"/>
      <c r="B84" s="310"/>
      <c r="C84" s="83"/>
      <c r="D84" s="311"/>
      <c r="E84" s="310"/>
      <c r="F84" s="311"/>
      <c r="G84" s="249"/>
    </row>
    <row r="85" spans="1:7" x14ac:dyDescent="0.3">
      <c r="A85" s="313" t="s">
        <v>55</v>
      </c>
      <c r="B85" s="51">
        <f>SALAIREBRUT-D44-D45</f>
        <v>1806.4849999999999</v>
      </c>
      <c r="C85" s="310"/>
      <c r="D85" s="311"/>
      <c r="E85" s="310"/>
      <c r="F85" s="311"/>
      <c r="G85" s="249"/>
    </row>
    <row r="86" spans="1:7" x14ac:dyDescent="0.3">
      <c r="A86" s="296" t="s">
        <v>70</v>
      </c>
      <c r="B86" s="2">
        <f>D75</f>
        <v>-300</v>
      </c>
      <c r="F86" s="276"/>
      <c r="G86" s="246"/>
    </row>
    <row r="87" spans="1:7" x14ac:dyDescent="0.3">
      <c r="A87" s="314" t="s">
        <v>71</v>
      </c>
      <c r="B87" s="1"/>
      <c r="F87" s="276"/>
      <c r="G87" s="246"/>
    </row>
    <row r="88" spans="1:7" ht="18" x14ac:dyDescent="0.35">
      <c r="A88" s="315" t="s">
        <v>56</v>
      </c>
      <c r="B88" s="52">
        <f>B85-B86-B87</f>
        <v>2106.4849999999997</v>
      </c>
      <c r="C88" s="316"/>
      <c r="D88" s="317"/>
      <c r="E88" s="316"/>
      <c r="F88" s="316"/>
      <c r="G88" s="247"/>
    </row>
    <row r="89" spans="1:7" ht="31.8" x14ac:dyDescent="0.35">
      <c r="A89" s="318" t="s">
        <v>75</v>
      </c>
      <c r="B89" s="52"/>
      <c r="C89" s="316"/>
      <c r="D89" s="317"/>
      <c r="E89" s="316"/>
      <c r="F89" s="316"/>
      <c r="G89" s="247"/>
    </row>
    <row r="90" spans="1:7" x14ac:dyDescent="0.3">
      <c r="A90" s="274" t="s">
        <v>54</v>
      </c>
      <c r="B90" s="2">
        <f>SALAIREBRUT-TOTAL_COTISATIONS_SALARIALES-RETENUES_NONDEDUCT+MUT-D79</f>
        <v>793.73739599999988</v>
      </c>
      <c r="C90" s="84"/>
      <c r="D90" s="1"/>
      <c r="G90" s="246"/>
    </row>
    <row r="91" spans="1:7" ht="15" thickBot="1" x14ac:dyDescent="0.35">
      <c r="A91" s="114" t="s">
        <v>80</v>
      </c>
      <c r="B91" s="276"/>
      <c r="G91" s="245"/>
    </row>
    <row r="92" spans="1:7" ht="15" thickBot="1" x14ac:dyDescent="0.35">
      <c r="A92" s="114"/>
      <c r="B92" s="319"/>
      <c r="C92" s="319"/>
      <c r="D92" s="366" t="s">
        <v>34</v>
      </c>
      <c r="E92" s="367"/>
      <c r="F92" s="368"/>
      <c r="G92" s="369"/>
    </row>
    <row r="93" spans="1:7" ht="35.25" customHeight="1" x14ac:dyDescent="0.3">
      <c r="A93" s="114"/>
      <c r="C93" s="9"/>
      <c r="D93" s="362" t="s">
        <v>76</v>
      </c>
      <c r="E93" s="363"/>
      <c r="F93" s="364"/>
      <c r="G93" s="365"/>
    </row>
    <row r="94" spans="1:7" ht="26.25" customHeight="1" thickBot="1" x14ac:dyDescent="0.35">
      <c r="A94" s="320"/>
      <c r="B94" s="248"/>
      <c r="C94" s="259"/>
      <c r="D94" s="347"/>
      <c r="E94" s="348"/>
      <c r="F94" s="349"/>
      <c r="G94" s="350"/>
    </row>
    <row r="95" spans="1:7" ht="15" thickTop="1" x14ac:dyDescent="0.3"/>
  </sheetData>
  <dataConsolidate/>
  <mergeCells count="10">
    <mergeCell ref="D94:E94"/>
    <mergeCell ref="F94:G94"/>
    <mergeCell ref="A1:G1"/>
    <mergeCell ref="A4:B4"/>
    <mergeCell ref="B17:D17"/>
    <mergeCell ref="E17:G17"/>
    <mergeCell ref="D93:E93"/>
    <mergeCell ref="F93:G93"/>
    <mergeCell ref="D92:E92"/>
    <mergeCell ref="F92:G92"/>
  </mergeCells>
  <dataValidations count="1">
    <dataValidation type="list" allowBlank="1" showInputMessage="1" showErrorMessage="1" sqref="E10" xr:uid="{75801627-3870-4F33-B040-87BC2AA85658}">
      <formula1>STATUT</formula1>
    </dataValidation>
  </dataValidations>
  <printOptions horizontalCentered="1"/>
  <pageMargins left="0.23622047244094491" right="0.23622047244094491" top="0.19685039370078741" bottom="0" header="0.31496062992125984" footer="0.31496062992125984"/>
  <pageSetup paperSize="9" scale="56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C95570E-8DAB-4E49-8704-6A1656D41DC8}">
          <x14:formula1>
            <xm:f>SMIC!$M$1:$M$5</xm:f>
          </x14:formula1>
          <xm:sqref>E3</xm:sqref>
        </x14:dataValidation>
        <x14:dataValidation type="list" allowBlank="1" showInputMessage="1" showErrorMessage="1" xr:uid="{4C2C0181-760C-45F1-A530-E622ECED6297}">
          <x14:formula1>
            <xm:f>SMIC!$A$2:$A$13</xm:f>
          </x14:formula1>
          <xm:sqref>G3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7825A-B676-431F-AD8F-395EAE7DA6F0}">
  <sheetPr codeName="Feuil2"/>
  <dimension ref="A1:BG12"/>
  <sheetViews>
    <sheetView tabSelected="1" workbookViewId="0">
      <selection activeCell="S13" sqref="S13"/>
    </sheetView>
  </sheetViews>
  <sheetFormatPr baseColWidth="10" defaultRowHeight="14.4" x14ac:dyDescent="0.3"/>
  <cols>
    <col min="1" max="1" width="30" bestFit="1" customWidth="1"/>
    <col min="2" max="3" width="3.6640625" bestFit="1" customWidth="1"/>
    <col min="4" max="5" width="3.6640625" customWidth="1"/>
    <col min="6" max="29" width="3.6640625" bestFit="1" customWidth="1"/>
    <col min="30" max="32" width="3.6640625" customWidth="1"/>
    <col min="33" max="33" width="3.5546875" customWidth="1"/>
    <col min="34" max="34" width="5.44140625" bestFit="1" customWidth="1"/>
    <col min="35" max="59" width="3.5546875" customWidth="1"/>
  </cols>
  <sheetData>
    <row r="1" spans="1:59" x14ac:dyDescent="0.3">
      <c r="A1" s="371" t="s">
        <v>221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371"/>
      <c r="P1" s="371"/>
      <c r="Q1" s="371"/>
      <c r="R1" s="371"/>
      <c r="S1" s="371"/>
      <c r="T1" s="371"/>
      <c r="U1" s="371"/>
      <c r="V1" s="371"/>
      <c r="W1" s="371"/>
      <c r="X1" s="371"/>
      <c r="Y1" s="371"/>
      <c r="Z1" s="371"/>
      <c r="AA1" s="371"/>
      <c r="AB1" s="371"/>
      <c r="AC1" s="371"/>
      <c r="AD1" s="371"/>
      <c r="AE1" s="371"/>
      <c r="AF1" s="371"/>
      <c r="BF1" t="s">
        <v>94</v>
      </c>
      <c r="BG1">
        <v>2017</v>
      </c>
    </row>
    <row r="2" spans="1:59" x14ac:dyDescent="0.3">
      <c r="B2" s="344">
        <v>12</v>
      </c>
      <c r="BF2" t="s">
        <v>218</v>
      </c>
      <c r="BG2">
        <v>2018</v>
      </c>
    </row>
    <row r="3" spans="1:59" x14ac:dyDescent="0.3">
      <c r="B3" s="344">
        <v>6</v>
      </c>
      <c r="D3" s="343">
        <f>DATE(B3+2016,B2,1)</f>
        <v>44896</v>
      </c>
      <c r="E3" s="343">
        <f>DATE(B3+2016,B2+1,1)-1</f>
        <v>44926</v>
      </c>
      <c r="BF3" t="s">
        <v>92</v>
      </c>
      <c r="BG3">
        <v>2019</v>
      </c>
    </row>
    <row r="4" spans="1:59" x14ac:dyDescent="0.3">
      <c r="D4" s="327"/>
      <c r="BF4" t="s">
        <v>91</v>
      </c>
      <c r="BG4">
        <v>2020</v>
      </c>
    </row>
    <row r="5" spans="1:59" ht="18" x14ac:dyDescent="0.3">
      <c r="B5" s="370" t="str">
        <f>"Période du "&amp;TEXT(D3,"jj mmmm aaaa")&amp;" au "&amp;TEXT(E3,"jj mmmm aaaa")</f>
        <v>Période du 01 décembre 2022 au 31 décembre 2022</v>
      </c>
      <c r="C5" s="370"/>
      <c r="D5" s="370"/>
      <c r="E5" s="370"/>
      <c r="F5" s="370"/>
      <c r="G5" s="370"/>
      <c r="H5" s="370"/>
      <c r="I5" s="370"/>
      <c r="J5" s="370"/>
      <c r="K5" s="370"/>
      <c r="L5" s="370"/>
      <c r="M5" s="370"/>
      <c r="N5" s="370"/>
      <c r="O5" s="370"/>
      <c r="P5" s="370"/>
      <c r="Q5" s="370"/>
      <c r="R5" s="370"/>
      <c r="S5" s="370"/>
      <c r="T5" s="370"/>
      <c r="U5" s="370"/>
      <c r="V5" s="370"/>
      <c r="W5" s="370"/>
      <c r="X5" s="370"/>
      <c r="Y5" s="370"/>
      <c r="Z5" s="370"/>
      <c r="AA5" s="370"/>
      <c r="AB5" s="370"/>
      <c r="AC5" s="370"/>
      <c r="AD5" s="370"/>
      <c r="AE5" s="370"/>
      <c r="AF5" s="370"/>
      <c r="BF5" t="s">
        <v>90</v>
      </c>
      <c r="BG5">
        <v>2021</v>
      </c>
    </row>
    <row r="6" spans="1:59" ht="15" thickBot="1" x14ac:dyDescent="0.35">
      <c r="P6" s="342"/>
      <c r="Q6" s="342"/>
      <c r="R6" s="342"/>
      <c r="S6" s="342"/>
      <c r="T6" s="342"/>
      <c r="U6" s="342"/>
      <c r="V6" s="342"/>
      <c r="W6" s="342"/>
      <c r="BF6" t="s">
        <v>89</v>
      </c>
      <c r="BG6">
        <v>2022</v>
      </c>
    </row>
    <row r="7" spans="1:59" ht="37.799999999999997" thickTop="1" thickBot="1" x14ac:dyDescent="0.35">
      <c r="A7" s="338"/>
      <c r="B7" s="341">
        <f>D3</f>
        <v>44896</v>
      </c>
      <c r="C7" s="328">
        <f>B7+1</f>
        <v>44897</v>
      </c>
      <c r="D7" s="328">
        <f t="shared" ref="D7:AF7" si="0">C7+1</f>
        <v>44898</v>
      </c>
      <c r="E7" s="328">
        <f t="shared" si="0"/>
        <v>44899</v>
      </c>
      <c r="F7" s="328">
        <f t="shared" si="0"/>
        <v>44900</v>
      </c>
      <c r="G7" s="328">
        <f t="shared" si="0"/>
        <v>44901</v>
      </c>
      <c r="H7" s="328">
        <f t="shared" si="0"/>
        <v>44902</v>
      </c>
      <c r="I7" s="328">
        <f t="shared" si="0"/>
        <v>44903</v>
      </c>
      <c r="J7" s="328">
        <f t="shared" si="0"/>
        <v>44904</v>
      </c>
      <c r="K7" s="328">
        <f t="shared" si="0"/>
        <v>44905</v>
      </c>
      <c r="L7" s="328">
        <f>K7+1</f>
        <v>44906</v>
      </c>
      <c r="M7" s="328">
        <f t="shared" si="0"/>
        <v>44907</v>
      </c>
      <c r="N7" s="328">
        <f t="shared" si="0"/>
        <v>44908</v>
      </c>
      <c r="O7" s="328">
        <f t="shared" si="0"/>
        <v>44909</v>
      </c>
      <c r="P7" s="328">
        <f t="shared" si="0"/>
        <v>44910</v>
      </c>
      <c r="Q7" s="328">
        <f t="shared" si="0"/>
        <v>44911</v>
      </c>
      <c r="R7" s="328">
        <f t="shared" si="0"/>
        <v>44912</v>
      </c>
      <c r="S7" s="328">
        <f t="shared" si="0"/>
        <v>44913</v>
      </c>
      <c r="T7" s="328">
        <f t="shared" si="0"/>
        <v>44914</v>
      </c>
      <c r="U7" s="328">
        <f t="shared" si="0"/>
        <v>44915</v>
      </c>
      <c r="V7" s="328">
        <f t="shared" si="0"/>
        <v>44916</v>
      </c>
      <c r="W7" s="328">
        <f t="shared" si="0"/>
        <v>44917</v>
      </c>
      <c r="X7" s="328">
        <f t="shared" si="0"/>
        <v>44918</v>
      </c>
      <c r="Y7" s="328">
        <f t="shared" si="0"/>
        <v>44919</v>
      </c>
      <c r="Z7" s="328">
        <f t="shared" si="0"/>
        <v>44920</v>
      </c>
      <c r="AA7" s="328">
        <f t="shared" si="0"/>
        <v>44921</v>
      </c>
      <c r="AB7" s="328">
        <f t="shared" si="0"/>
        <v>44922</v>
      </c>
      <c r="AC7" s="328">
        <f t="shared" si="0"/>
        <v>44923</v>
      </c>
      <c r="AD7" s="328">
        <f t="shared" si="0"/>
        <v>44924</v>
      </c>
      <c r="AE7" s="328">
        <f t="shared" si="0"/>
        <v>44925</v>
      </c>
      <c r="AF7" s="329">
        <f t="shared" si="0"/>
        <v>44926</v>
      </c>
      <c r="AG7" s="327"/>
      <c r="AH7" s="346" t="s">
        <v>82</v>
      </c>
      <c r="BF7" t="s">
        <v>88</v>
      </c>
      <c r="BG7">
        <v>2023</v>
      </c>
    </row>
    <row r="8" spans="1:59" ht="15" thickTop="1" x14ac:dyDescent="0.3">
      <c r="A8" s="339" t="s">
        <v>219</v>
      </c>
      <c r="B8" s="390"/>
      <c r="C8" s="391"/>
      <c r="D8" s="391"/>
      <c r="E8" s="391"/>
      <c r="F8" s="391"/>
      <c r="G8" s="391"/>
      <c r="H8" s="391"/>
      <c r="I8" s="391"/>
      <c r="J8" s="391"/>
      <c r="K8" s="391"/>
      <c r="L8" s="391"/>
      <c r="M8" s="391"/>
      <c r="N8" s="391"/>
      <c r="O8" s="391"/>
      <c r="P8" s="391"/>
      <c r="Q8" s="391"/>
      <c r="R8" s="391"/>
      <c r="S8" s="391"/>
      <c r="T8" s="391"/>
      <c r="U8" s="391"/>
      <c r="V8" s="391"/>
      <c r="W8" s="391"/>
      <c r="X8" s="391"/>
      <c r="Y8" s="391"/>
      <c r="Z8" s="391"/>
      <c r="AA8" s="391"/>
      <c r="AB8" s="391"/>
      <c r="AC8" s="391"/>
      <c r="AD8" s="391"/>
      <c r="AE8" s="391"/>
      <c r="AF8" s="392"/>
      <c r="AH8" s="345">
        <f>SUM(B8:AF8)</f>
        <v>0</v>
      </c>
      <c r="BF8" t="s">
        <v>87</v>
      </c>
      <c r="BG8">
        <v>2024</v>
      </c>
    </row>
    <row r="9" spans="1:59" ht="15" thickBot="1" x14ac:dyDescent="0.35">
      <c r="A9" s="340" t="s">
        <v>220</v>
      </c>
      <c r="B9" s="393"/>
      <c r="C9" s="394"/>
      <c r="D9" s="394"/>
      <c r="E9" s="394"/>
      <c r="F9" s="394"/>
      <c r="G9" s="394"/>
      <c r="H9" s="394"/>
      <c r="I9" s="394"/>
      <c r="J9" s="394"/>
      <c r="K9" s="394"/>
      <c r="L9" s="394"/>
      <c r="M9" s="394"/>
      <c r="N9" s="394"/>
      <c r="O9" s="394"/>
      <c r="P9" s="394"/>
      <c r="Q9" s="394"/>
      <c r="R9" s="394"/>
      <c r="S9" s="394"/>
      <c r="T9" s="394"/>
      <c r="U9" s="394"/>
      <c r="V9" s="394"/>
      <c r="W9" s="394"/>
      <c r="X9" s="394"/>
      <c r="Y9" s="394"/>
      <c r="Z9" s="394"/>
      <c r="AA9" s="394"/>
      <c r="AB9" s="394"/>
      <c r="AC9" s="394"/>
      <c r="AD9" s="394"/>
      <c r="AE9" s="394"/>
      <c r="AF9" s="395"/>
      <c r="AH9" s="345">
        <f>SUM(B9:AF9)</f>
        <v>0</v>
      </c>
      <c r="BF9" t="s">
        <v>86</v>
      </c>
      <c r="BG9">
        <v>2025</v>
      </c>
    </row>
    <row r="10" spans="1:59" ht="15" thickTop="1" x14ac:dyDescent="0.3">
      <c r="BF10" t="s">
        <v>85</v>
      </c>
      <c r="BG10">
        <v>2026</v>
      </c>
    </row>
    <row r="11" spans="1:59" x14ac:dyDescent="0.3">
      <c r="BF11" t="s">
        <v>84</v>
      </c>
      <c r="BG11">
        <v>2027</v>
      </c>
    </row>
    <row r="12" spans="1:59" x14ac:dyDescent="0.3">
      <c r="BF12" t="s">
        <v>83</v>
      </c>
      <c r="BG12">
        <v>2028</v>
      </c>
    </row>
  </sheetData>
  <mergeCells count="2">
    <mergeCell ref="B5:AF5"/>
    <mergeCell ref="A1:AF1"/>
  </mergeCells>
  <phoneticPr fontId="13" type="noConversion"/>
  <conditionalFormatting sqref="B7:AF9">
    <cfRule type="expression" dxfId="2" priority="4">
      <formula>WEEKDAY(B$7,2)&gt;5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Drop Down 1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1</xdr:row>
                    <xdr:rowOff>7620</xdr:rowOff>
                  </from>
                  <to>
                    <xdr:col>1</xdr:col>
                    <xdr:colOff>7620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Drop Down 2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2</xdr:row>
                    <xdr:rowOff>7620</xdr:rowOff>
                  </from>
                  <to>
                    <xdr:col>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02515BDE-6C16-4D71-9072-C0D1BD0E1E69}">
            <xm:f>NOT(ISNA(VLOOKUP(B$7,Fériés!$B$3:$B$15,1,0)))</xm:f>
            <x14:dxf>
              <fill>
                <patternFill>
                  <bgColor theme="5" tint="0.59996337778862885"/>
                </patternFill>
              </fill>
            </x14:dxf>
          </x14:cfRule>
          <xm:sqref>B7:AF9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B8D6F-A20D-4717-B418-DD4F72A237DF}">
  <sheetPr codeName="Feuil11"/>
  <dimension ref="A1:D81"/>
  <sheetViews>
    <sheetView workbookViewId="0">
      <selection activeCell="F8" sqref="F8"/>
    </sheetView>
  </sheetViews>
  <sheetFormatPr baseColWidth="10" defaultRowHeight="14.4" x14ac:dyDescent="0.3"/>
  <cols>
    <col min="2" max="2" width="12.44140625" customWidth="1"/>
  </cols>
  <sheetData>
    <row r="1" spans="1:4" x14ac:dyDescent="0.3">
      <c r="A1" s="321" t="s">
        <v>222</v>
      </c>
      <c r="B1" s="321" t="s">
        <v>223</v>
      </c>
      <c r="C1" s="321" t="s">
        <v>224</v>
      </c>
      <c r="D1" s="321" t="s">
        <v>225</v>
      </c>
    </row>
    <row r="2" spans="1:4" x14ac:dyDescent="0.3">
      <c r="A2" s="327">
        <v>44594</v>
      </c>
      <c r="B2">
        <v>8</v>
      </c>
      <c r="C2">
        <v>8</v>
      </c>
      <c r="D2">
        <v>3</v>
      </c>
    </row>
    <row r="3" spans="1:4" x14ac:dyDescent="0.3">
      <c r="A3" s="327">
        <v>44594</v>
      </c>
      <c r="B3">
        <v>4</v>
      </c>
      <c r="C3">
        <v>9</v>
      </c>
      <c r="D3">
        <v>3</v>
      </c>
    </row>
    <row r="4" spans="1:4" x14ac:dyDescent="0.3">
      <c r="A4" s="327">
        <v>44601</v>
      </c>
      <c r="B4">
        <v>8</v>
      </c>
      <c r="C4">
        <v>8</v>
      </c>
      <c r="D4">
        <v>10</v>
      </c>
    </row>
    <row r="5" spans="1:4" x14ac:dyDescent="0.3">
      <c r="A5" s="327">
        <v>44601</v>
      </c>
      <c r="B5">
        <v>4</v>
      </c>
      <c r="C5">
        <v>9</v>
      </c>
      <c r="D5">
        <v>10</v>
      </c>
    </row>
    <row r="6" spans="1:4" x14ac:dyDescent="0.3">
      <c r="A6" s="327">
        <v>44608</v>
      </c>
      <c r="B6">
        <v>8</v>
      </c>
      <c r="C6">
        <v>8</v>
      </c>
      <c r="D6">
        <v>17</v>
      </c>
    </row>
    <row r="7" spans="1:4" x14ac:dyDescent="0.3">
      <c r="A7" s="327">
        <v>44608</v>
      </c>
      <c r="B7">
        <v>4</v>
      </c>
      <c r="C7">
        <v>9</v>
      </c>
      <c r="D7">
        <v>17</v>
      </c>
    </row>
    <row r="8" spans="1:4" x14ac:dyDescent="0.3">
      <c r="A8" s="327">
        <v>44615</v>
      </c>
      <c r="B8">
        <v>8</v>
      </c>
      <c r="C8">
        <v>8</v>
      </c>
      <c r="D8">
        <v>24</v>
      </c>
    </row>
    <row r="9" spans="1:4" x14ac:dyDescent="0.3">
      <c r="A9" s="327">
        <v>44615</v>
      </c>
      <c r="B9">
        <v>4</v>
      </c>
      <c r="C9">
        <v>9</v>
      </c>
      <c r="D9">
        <v>24</v>
      </c>
    </row>
    <row r="10" spans="1:4" x14ac:dyDescent="0.3">
      <c r="A10" s="327">
        <v>44683</v>
      </c>
      <c r="B10">
        <v>5</v>
      </c>
      <c r="C10">
        <v>8</v>
      </c>
      <c r="D10">
        <v>3</v>
      </c>
    </row>
    <row r="11" spans="1:4" x14ac:dyDescent="0.3">
      <c r="A11" s="327">
        <v>44684</v>
      </c>
      <c r="B11">
        <v>5</v>
      </c>
      <c r="C11">
        <v>8</v>
      </c>
      <c r="D11">
        <v>4</v>
      </c>
    </row>
    <row r="12" spans="1:4" x14ac:dyDescent="0.3">
      <c r="A12" s="327">
        <v>44685</v>
      </c>
      <c r="B12">
        <v>5</v>
      </c>
      <c r="C12">
        <v>8</v>
      </c>
      <c r="D12">
        <v>5</v>
      </c>
    </row>
    <row r="13" spans="1:4" x14ac:dyDescent="0.3">
      <c r="A13" s="327">
        <v>44686</v>
      </c>
      <c r="B13">
        <v>5</v>
      </c>
      <c r="C13">
        <v>8</v>
      </c>
      <c r="D13">
        <v>6</v>
      </c>
    </row>
    <row r="14" spans="1:4" x14ac:dyDescent="0.3">
      <c r="A14" s="327">
        <v>44687</v>
      </c>
      <c r="B14">
        <v>5</v>
      </c>
      <c r="C14">
        <v>8</v>
      </c>
      <c r="D14">
        <v>7</v>
      </c>
    </row>
    <row r="15" spans="1:4" x14ac:dyDescent="0.3">
      <c r="A15" s="327">
        <v>44690</v>
      </c>
      <c r="B15">
        <v>5</v>
      </c>
      <c r="C15">
        <v>8</v>
      </c>
      <c r="D15">
        <v>10</v>
      </c>
    </row>
    <row r="16" spans="1:4" x14ac:dyDescent="0.3">
      <c r="A16" s="327">
        <v>44691</v>
      </c>
      <c r="B16">
        <v>5</v>
      </c>
      <c r="C16">
        <v>8</v>
      </c>
      <c r="D16">
        <v>11</v>
      </c>
    </row>
    <row r="17" spans="1:4" x14ac:dyDescent="0.3">
      <c r="A17" s="327">
        <v>44692</v>
      </c>
      <c r="B17">
        <v>5</v>
      </c>
      <c r="C17">
        <v>8</v>
      </c>
      <c r="D17">
        <v>12</v>
      </c>
    </row>
    <row r="18" spans="1:4" x14ac:dyDescent="0.3">
      <c r="A18" s="327">
        <v>44693</v>
      </c>
      <c r="B18">
        <v>5</v>
      </c>
      <c r="C18">
        <v>8</v>
      </c>
      <c r="D18">
        <v>13</v>
      </c>
    </row>
    <row r="19" spans="1:4" x14ac:dyDescent="0.3">
      <c r="A19" s="327">
        <v>44694</v>
      </c>
      <c r="B19">
        <v>5</v>
      </c>
      <c r="C19">
        <v>8</v>
      </c>
      <c r="D19">
        <v>14</v>
      </c>
    </row>
    <row r="20" spans="1:4" x14ac:dyDescent="0.3">
      <c r="A20" s="327">
        <v>44697</v>
      </c>
      <c r="B20">
        <v>5</v>
      </c>
      <c r="C20">
        <v>8</v>
      </c>
      <c r="D20">
        <v>17</v>
      </c>
    </row>
    <row r="21" spans="1:4" x14ac:dyDescent="0.3">
      <c r="A21" s="327">
        <v>44699</v>
      </c>
      <c r="B21">
        <v>5</v>
      </c>
      <c r="C21">
        <v>8</v>
      </c>
      <c r="D21">
        <v>19</v>
      </c>
    </row>
    <row r="22" spans="1:4" x14ac:dyDescent="0.3">
      <c r="A22" s="327">
        <v>44698</v>
      </c>
      <c r="B22">
        <v>5</v>
      </c>
      <c r="C22">
        <v>8</v>
      </c>
      <c r="D22">
        <v>18</v>
      </c>
    </row>
    <row r="23" spans="1:4" x14ac:dyDescent="0.3">
      <c r="A23" s="327">
        <v>44700</v>
      </c>
      <c r="B23">
        <v>5</v>
      </c>
      <c r="C23">
        <v>8</v>
      </c>
      <c r="D23">
        <v>20</v>
      </c>
    </row>
    <row r="24" spans="1:4" x14ac:dyDescent="0.3">
      <c r="A24" s="327">
        <v>44701</v>
      </c>
      <c r="B24">
        <v>5</v>
      </c>
      <c r="C24">
        <v>8</v>
      </c>
      <c r="D24">
        <v>21</v>
      </c>
    </row>
    <row r="25" spans="1:4" x14ac:dyDescent="0.3">
      <c r="A25" s="327">
        <v>44704</v>
      </c>
      <c r="B25">
        <v>5</v>
      </c>
      <c r="C25">
        <v>8</v>
      </c>
      <c r="D25">
        <v>24</v>
      </c>
    </row>
    <row r="26" spans="1:4" x14ac:dyDescent="0.3">
      <c r="A26" s="327">
        <v>44705</v>
      </c>
      <c r="B26">
        <v>5</v>
      </c>
      <c r="C26">
        <v>8</v>
      </c>
      <c r="D26">
        <v>25</v>
      </c>
    </row>
    <row r="27" spans="1:4" x14ac:dyDescent="0.3">
      <c r="A27" s="327">
        <v>44706</v>
      </c>
      <c r="B27">
        <v>5</v>
      </c>
      <c r="C27">
        <v>8</v>
      </c>
      <c r="D27">
        <v>26</v>
      </c>
    </row>
    <row r="28" spans="1:4" x14ac:dyDescent="0.3">
      <c r="A28" s="327">
        <v>44707</v>
      </c>
      <c r="B28">
        <v>5</v>
      </c>
      <c r="C28">
        <v>8</v>
      </c>
      <c r="D28">
        <v>27</v>
      </c>
    </row>
    <row r="29" spans="1:4" x14ac:dyDescent="0.3">
      <c r="A29" s="327">
        <v>44707</v>
      </c>
      <c r="C29">
        <v>8</v>
      </c>
      <c r="D29">
        <v>27</v>
      </c>
    </row>
    <row r="30" spans="1:4" x14ac:dyDescent="0.3">
      <c r="A30" s="327">
        <v>44708</v>
      </c>
      <c r="B30">
        <v>5</v>
      </c>
      <c r="C30">
        <v>8</v>
      </c>
      <c r="D30">
        <v>28</v>
      </c>
    </row>
    <row r="31" spans="1:4" x14ac:dyDescent="0.3">
      <c r="A31" s="327">
        <v>44711</v>
      </c>
      <c r="B31">
        <v>5</v>
      </c>
      <c r="C31">
        <v>8</v>
      </c>
      <c r="D31">
        <v>31</v>
      </c>
    </row>
    <row r="32" spans="1:4" x14ac:dyDescent="0.3">
      <c r="A32" s="327">
        <v>44712</v>
      </c>
      <c r="B32">
        <v>5</v>
      </c>
      <c r="C32">
        <v>8</v>
      </c>
      <c r="D32">
        <v>32</v>
      </c>
    </row>
    <row r="33" spans="1:4" x14ac:dyDescent="0.3">
      <c r="A33" s="327">
        <v>44683</v>
      </c>
      <c r="B33">
        <v>5</v>
      </c>
      <c r="C33">
        <v>9</v>
      </c>
      <c r="D33">
        <v>3</v>
      </c>
    </row>
    <row r="34" spans="1:4" x14ac:dyDescent="0.3">
      <c r="A34" s="327">
        <v>44685</v>
      </c>
      <c r="B34">
        <v>5</v>
      </c>
      <c r="C34">
        <v>9</v>
      </c>
      <c r="D34">
        <v>5</v>
      </c>
    </row>
    <row r="35" spans="1:4" x14ac:dyDescent="0.3">
      <c r="A35" s="327">
        <v>44686</v>
      </c>
      <c r="B35">
        <v>5</v>
      </c>
      <c r="C35">
        <v>9</v>
      </c>
      <c r="D35">
        <v>6</v>
      </c>
    </row>
    <row r="36" spans="1:4" x14ac:dyDescent="0.3">
      <c r="A36" s="327">
        <v>44687</v>
      </c>
      <c r="B36">
        <v>5</v>
      </c>
      <c r="C36">
        <v>9</v>
      </c>
      <c r="D36">
        <v>7</v>
      </c>
    </row>
    <row r="37" spans="1:4" x14ac:dyDescent="0.3">
      <c r="A37" s="327">
        <v>44690</v>
      </c>
      <c r="B37">
        <v>5</v>
      </c>
      <c r="C37">
        <v>9</v>
      </c>
      <c r="D37">
        <v>10</v>
      </c>
    </row>
    <row r="38" spans="1:4" x14ac:dyDescent="0.3">
      <c r="A38" s="327">
        <v>44705</v>
      </c>
      <c r="B38">
        <v>5</v>
      </c>
      <c r="C38">
        <v>9</v>
      </c>
      <c r="D38">
        <v>25</v>
      </c>
    </row>
    <row r="39" spans="1:4" x14ac:dyDescent="0.3">
      <c r="A39" s="327">
        <v>44707</v>
      </c>
      <c r="C39">
        <v>9</v>
      </c>
      <c r="D39">
        <v>27</v>
      </c>
    </row>
    <row r="40" spans="1:4" x14ac:dyDescent="0.3">
      <c r="A40" s="327">
        <v>44706</v>
      </c>
      <c r="B40">
        <v>5</v>
      </c>
      <c r="C40">
        <v>9</v>
      </c>
      <c r="D40">
        <v>26</v>
      </c>
    </row>
    <row r="41" spans="1:4" x14ac:dyDescent="0.3">
      <c r="A41" s="327">
        <v>44708</v>
      </c>
      <c r="B41">
        <v>5</v>
      </c>
      <c r="C41">
        <v>9</v>
      </c>
      <c r="D41">
        <v>28</v>
      </c>
    </row>
    <row r="42" spans="1:4" x14ac:dyDescent="0.3">
      <c r="A42" s="327">
        <v>44711</v>
      </c>
      <c r="B42">
        <v>5</v>
      </c>
      <c r="C42">
        <v>9</v>
      </c>
      <c r="D42">
        <v>31</v>
      </c>
    </row>
    <row r="43" spans="1:4" x14ac:dyDescent="0.3">
      <c r="A43" s="327">
        <v>44712</v>
      </c>
      <c r="B43">
        <v>5</v>
      </c>
      <c r="C43">
        <v>9</v>
      </c>
      <c r="D43">
        <v>32</v>
      </c>
    </row>
    <row r="44" spans="1:4" x14ac:dyDescent="0.3">
      <c r="A44" s="327">
        <v>44774</v>
      </c>
      <c r="C44">
        <v>8</v>
      </c>
      <c r="D44">
        <v>2</v>
      </c>
    </row>
    <row r="45" spans="1:4" x14ac:dyDescent="0.3">
      <c r="A45" s="327">
        <v>44774</v>
      </c>
      <c r="C45">
        <v>8</v>
      </c>
      <c r="D45">
        <v>2</v>
      </c>
    </row>
    <row r="46" spans="1:4" x14ac:dyDescent="0.3">
      <c r="A46" s="327">
        <v>44682</v>
      </c>
      <c r="C46">
        <v>8</v>
      </c>
      <c r="D46">
        <v>2</v>
      </c>
    </row>
    <row r="47" spans="1:4" x14ac:dyDescent="0.3">
      <c r="A47" s="327">
        <v>44683</v>
      </c>
      <c r="B47">
        <v>5</v>
      </c>
      <c r="C47">
        <v>8</v>
      </c>
      <c r="D47">
        <v>3</v>
      </c>
    </row>
    <row r="48" spans="1:4" x14ac:dyDescent="0.3">
      <c r="A48" s="327">
        <v>44684</v>
      </c>
      <c r="B48">
        <v>5</v>
      </c>
      <c r="C48">
        <v>8</v>
      </c>
      <c r="D48">
        <v>4</v>
      </c>
    </row>
    <row r="49" spans="1:4" x14ac:dyDescent="0.3">
      <c r="A49" s="327">
        <v>44685</v>
      </c>
      <c r="B49">
        <v>5</v>
      </c>
      <c r="C49">
        <v>8</v>
      </c>
      <c r="D49">
        <v>5</v>
      </c>
    </row>
    <row r="50" spans="1:4" x14ac:dyDescent="0.3">
      <c r="A50" s="327">
        <v>44686</v>
      </c>
      <c r="B50">
        <v>5</v>
      </c>
      <c r="C50">
        <v>8</v>
      </c>
      <c r="D50">
        <v>6</v>
      </c>
    </row>
    <row r="51" spans="1:4" x14ac:dyDescent="0.3">
      <c r="A51" s="327">
        <v>44687</v>
      </c>
      <c r="B51">
        <v>5</v>
      </c>
      <c r="C51">
        <v>8</v>
      </c>
      <c r="D51">
        <v>7</v>
      </c>
    </row>
    <row r="52" spans="1:4" x14ac:dyDescent="0.3">
      <c r="A52" s="327">
        <v>44690</v>
      </c>
      <c r="B52">
        <v>5</v>
      </c>
      <c r="C52">
        <v>8</v>
      </c>
      <c r="D52">
        <v>10</v>
      </c>
    </row>
    <row r="53" spans="1:4" x14ac:dyDescent="0.3">
      <c r="A53" s="327">
        <v>44691</v>
      </c>
      <c r="B53">
        <v>5</v>
      </c>
      <c r="C53">
        <v>8</v>
      </c>
      <c r="D53">
        <v>11</v>
      </c>
    </row>
    <row r="54" spans="1:4" x14ac:dyDescent="0.3">
      <c r="A54" s="327">
        <v>44692</v>
      </c>
      <c r="B54">
        <v>5</v>
      </c>
      <c r="C54">
        <v>8</v>
      </c>
      <c r="D54">
        <v>12</v>
      </c>
    </row>
    <row r="55" spans="1:4" x14ac:dyDescent="0.3">
      <c r="A55" s="327">
        <v>44693</v>
      </c>
      <c r="B55">
        <v>5</v>
      </c>
      <c r="C55">
        <v>8</v>
      </c>
      <c r="D55">
        <v>13</v>
      </c>
    </row>
    <row r="56" spans="1:4" x14ac:dyDescent="0.3">
      <c r="A56" s="327">
        <v>44694</v>
      </c>
      <c r="B56">
        <v>5</v>
      </c>
      <c r="C56">
        <v>8</v>
      </c>
      <c r="D56">
        <v>14</v>
      </c>
    </row>
    <row r="57" spans="1:4" x14ac:dyDescent="0.3">
      <c r="A57" s="327">
        <v>44697</v>
      </c>
      <c r="B57">
        <v>5</v>
      </c>
      <c r="C57">
        <v>8</v>
      </c>
      <c r="D57">
        <v>17</v>
      </c>
    </row>
    <row r="58" spans="1:4" x14ac:dyDescent="0.3">
      <c r="A58" s="327">
        <v>44699</v>
      </c>
      <c r="B58">
        <v>5</v>
      </c>
      <c r="C58">
        <v>8</v>
      </c>
      <c r="D58">
        <v>19</v>
      </c>
    </row>
    <row r="59" spans="1:4" x14ac:dyDescent="0.3">
      <c r="A59" s="327">
        <v>44698</v>
      </c>
      <c r="B59">
        <v>5</v>
      </c>
      <c r="C59">
        <v>8</v>
      </c>
      <c r="D59">
        <v>18</v>
      </c>
    </row>
    <row r="60" spans="1:4" x14ac:dyDescent="0.3">
      <c r="A60" s="327">
        <v>44700</v>
      </c>
      <c r="B60">
        <v>5</v>
      </c>
      <c r="C60">
        <v>8</v>
      </c>
      <c r="D60">
        <v>20</v>
      </c>
    </row>
    <row r="61" spans="1:4" x14ac:dyDescent="0.3">
      <c r="A61" s="327">
        <v>44701</v>
      </c>
      <c r="B61">
        <v>5</v>
      </c>
      <c r="C61">
        <v>8</v>
      </c>
      <c r="D61">
        <v>21</v>
      </c>
    </row>
    <row r="62" spans="1:4" x14ac:dyDescent="0.3">
      <c r="A62" s="327">
        <v>44704</v>
      </c>
      <c r="B62">
        <v>5</v>
      </c>
      <c r="C62">
        <v>8</v>
      </c>
      <c r="D62">
        <v>24</v>
      </c>
    </row>
    <row r="63" spans="1:4" x14ac:dyDescent="0.3">
      <c r="A63" s="327">
        <v>44705</v>
      </c>
      <c r="B63">
        <v>5</v>
      </c>
      <c r="C63">
        <v>8</v>
      </c>
      <c r="D63">
        <v>25</v>
      </c>
    </row>
    <row r="64" spans="1:4" x14ac:dyDescent="0.3">
      <c r="A64" s="327">
        <v>44706</v>
      </c>
      <c r="B64">
        <v>5</v>
      </c>
      <c r="C64">
        <v>8</v>
      </c>
      <c r="D64">
        <v>26</v>
      </c>
    </row>
    <row r="65" spans="1:4" x14ac:dyDescent="0.3">
      <c r="A65" s="327">
        <v>44707</v>
      </c>
      <c r="B65">
        <v>5</v>
      </c>
      <c r="C65">
        <v>8</v>
      </c>
      <c r="D65">
        <v>27</v>
      </c>
    </row>
    <row r="66" spans="1:4" x14ac:dyDescent="0.3">
      <c r="A66" s="327">
        <v>44707</v>
      </c>
      <c r="C66">
        <v>8</v>
      </c>
      <c r="D66">
        <v>27</v>
      </c>
    </row>
    <row r="67" spans="1:4" x14ac:dyDescent="0.3">
      <c r="A67" s="327">
        <v>44708</v>
      </c>
      <c r="B67">
        <v>5</v>
      </c>
      <c r="C67">
        <v>8</v>
      </c>
      <c r="D67">
        <v>28</v>
      </c>
    </row>
    <row r="68" spans="1:4" x14ac:dyDescent="0.3">
      <c r="A68" s="327">
        <v>44711</v>
      </c>
      <c r="B68">
        <v>5</v>
      </c>
      <c r="C68">
        <v>8</v>
      </c>
      <c r="D68">
        <v>31</v>
      </c>
    </row>
    <row r="69" spans="1:4" x14ac:dyDescent="0.3">
      <c r="A69" s="327">
        <v>44712</v>
      </c>
      <c r="B69">
        <v>5</v>
      </c>
      <c r="C69">
        <v>8</v>
      </c>
      <c r="D69">
        <v>32</v>
      </c>
    </row>
    <row r="70" spans="1:4" x14ac:dyDescent="0.3">
      <c r="A70" s="327">
        <v>44683</v>
      </c>
      <c r="B70">
        <v>5</v>
      </c>
      <c r="C70">
        <v>9</v>
      </c>
      <c r="D70">
        <v>3</v>
      </c>
    </row>
    <row r="71" spans="1:4" x14ac:dyDescent="0.3">
      <c r="A71" s="327">
        <v>44685</v>
      </c>
      <c r="B71">
        <v>5</v>
      </c>
      <c r="C71">
        <v>9</v>
      </c>
      <c r="D71">
        <v>5</v>
      </c>
    </row>
    <row r="72" spans="1:4" x14ac:dyDescent="0.3">
      <c r="A72" s="327">
        <v>44686</v>
      </c>
      <c r="B72">
        <v>5</v>
      </c>
      <c r="C72">
        <v>9</v>
      </c>
      <c r="D72">
        <v>6</v>
      </c>
    </row>
    <row r="73" spans="1:4" x14ac:dyDescent="0.3">
      <c r="A73" s="327">
        <v>44687</v>
      </c>
      <c r="B73">
        <v>5</v>
      </c>
      <c r="C73">
        <v>9</v>
      </c>
      <c r="D73">
        <v>7</v>
      </c>
    </row>
    <row r="74" spans="1:4" x14ac:dyDescent="0.3">
      <c r="A74" s="327">
        <v>44690</v>
      </c>
      <c r="B74">
        <v>5</v>
      </c>
      <c r="C74">
        <v>9</v>
      </c>
      <c r="D74">
        <v>10</v>
      </c>
    </row>
    <row r="75" spans="1:4" x14ac:dyDescent="0.3">
      <c r="A75" s="327">
        <v>44705</v>
      </c>
      <c r="B75">
        <v>5</v>
      </c>
      <c r="C75">
        <v>9</v>
      </c>
      <c r="D75">
        <v>25</v>
      </c>
    </row>
    <row r="76" spans="1:4" x14ac:dyDescent="0.3">
      <c r="A76" s="327">
        <v>44707</v>
      </c>
      <c r="C76">
        <v>9</v>
      </c>
      <c r="D76">
        <v>27</v>
      </c>
    </row>
    <row r="77" spans="1:4" x14ac:dyDescent="0.3">
      <c r="A77" s="327">
        <v>44706</v>
      </c>
      <c r="B77">
        <v>5</v>
      </c>
      <c r="C77">
        <v>9</v>
      </c>
      <c r="D77">
        <v>26</v>
      </c>
    </row>
    <row r="78" spans="1:4" x14ac:dyDescent="0.3">
      <c r="A78" s="327">
        <v>44708</v>
      </c>
      <c r="B78">
        <v>5</v>
      </c>
      <c r="C78">
        <v>9</v>
      </c>
      <c r="D78">
        <v>28</v>
      </c>
    </row>
    <row r="79" spans="1:4" x14ac:dyDescent="0.3">
      <c r="A79" s="327">
        <v>44711</v>
      </c>
      <c r="B79">
        <v>5</v>
      </c>
      <c r="C79">
        <v>9</v>
      </c>
      <c r="D79">
        <v>31</v>
      </c>
    </row>
    <row r="80" spans="1:4" x14ac:dyDescent="0.3">
      <c r="A80" s="327">
        <v>44712</v>
      </c>
      <c r="B80">
        <v>5</v>
      </c>
      <c r="C80">
        <v>9</v>
      </c>
      <c r="D80">
        <v>32</v>
      </c>
    </row>
    <row r="81" spans="1:4" x14ac:dyDescent="0.3">
      <c r="A81" s="327">
        <v>44682</v>
      </c>
      <c r="C81">
        <v>8</v>
      </c>
      <c r="D81">
        <v>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3F28B-11D9-4B58-8B64-175D8F294D67}">
  <sheetPr codeName="Feuil10"/>
  <dimension ref="A1:B16"/>
  <sheetViews>
    <sheetView workbookViewId="0">
      <selection activeCell="B4" sqref="B4"/>
    </sheetView>
  </sheetViews>
  <sheetFormatPr baseColWidth="10" defaultRowHeight="14.4" x14ac:dyDescent="0.3"/>
  <cols>
    <col min="1" max="1" width="20.33203125" bestFit="1" customWidth="1"/>
  </cols>
  <sheetData>
    <row r="1" spans="1:2" ht="15.6" thickTop="1" thickBot="1" x14ac:dyDescent="0.35">
      <c r="A1" s="337" t="s">
        <v>210</v>
      </c>
      <c r="B1" s="337">
        <f>Maladie!B3+2016</f>
        <v>2022</v>
      </c>
    </row>
    <row r="2" spans="1:2" ht="15.6" thickTop="1" thickBot="1" x14ac:dyDescent="0.35"/>
    <row r="3" spans="1:2" ht="15" thickTop="1" x14ac:dyDescent="0.3">
      <c r="A3" s="330">
        <v>44562</v>
      </c>
      <c r="B3" s="331">
        <f>DATE($B$1,1,1)</f>
        <v>44562</v>
      </c>
    </row>
    <row r="4" spans="1:2" x14ac:dyDescent="0.3">
      <c r="A4" s="332" t="s">
        <v>211</v>
      </c>
      <c r="B4" s="333">
        <f>ROUND(DATE($B$1,4,MOD(234-11*MOD($B$1,19),30))/7,0)*7-6</f>
        <v>44668</v>
      </c>
    </row>
    <row r="5" spans="1:2" x14ac:dyDescent="0.3">
      <c r="A5" s="332" t="s">
        <v>212</v>
      </c>
      <c r="B5" s="333">
        <f>B4+1</f>
        <v>44669</v>
      </c>
    </row>
    <row r="6" spans="1:2" x14ac:dyDescent="0.3">
      <c r="A6" s="334">
        <v>44682</v>
      </c>
      <c r="B6" s="333">
        <f>DATE($B$1,5,1)</f>
        <v>44682</v>
      </c>
    </row>
    <row r="7" spans="1:2" x14ac:dyDescent="0.3">
      <c r="A7" s="334">
        <v>44689</v>
      </c>
      <c r="B7" s="333">
        <f>DATE($B$1,5,8)</f>
        <v>44689</v>
      </c>
    </row>
    <row r="8" spans="1:2" x14ac:dyDescent="0.3">
      <c r="A8" s="332" t="s">
        <v>213</v>
      </c>
      <c r="B8" s="333">
        <f>B4+39</f>
        <v>44707</v>
      </c>
    </row>
    <row r="9" spans="1:2" x14ac:dyDescent="0.3">
      <c r="A9" s="332" t="s">
        <v>214</v>
      </c>
      <c r="B9" s="333">
        <f>B4+49</f>
        <v>44717</v>
      </c>
    </row>
    <row r="10" spans="1:2" x14ac:dyDescent="0.3">
      <c r="A10" s="332" t="s">
        <v>215</v>
      </c>
      <c r="B10" s="333">
        <f>B4+50</f>
        <v>44718</v>
      </c>
    </row>
    <row r="11" spans="1:2" x14ac:dyDescent="0.3">
      <c r="A11" s="334">
        <v>44756</v>
      </c>
      <c r="B11" s="333">
        <f>DATE($B$1,7,14)</f>
        <v>44756</v>
      </c>
    </row>
    <row r="12" spans="1:2" x14ac:dyDescent="0.3">
      <c r="A12" s="334" t="s">
        <v>216</v>
      </c>
      <c r="B12" s="333">
        <f>DATE($B$1,8,15)</f>
        <v>44788</v>
      </c>
    </row>
    <row r="13" spans="1:2" x14ac:dyDescent="0.3">
      <c r="A13" s="334">
        <v>44866</v>
      </c>
      <c r="B13" s="333">
        <f>DATE($B$1,11,1)</f>
        <v>44866</v>
      </c>
    </row>
    <row r="14" spans="1:2" x14ac:dyDescent="0.3">
      <c r="A14" s="334">
        <v>44876</v>
      </c>
      <c r="B14" s="333">
        <f>DATE($B$1,11,11)</f>
        <v>44876</v>
      </c>
    </row>
    <row r="15" spans="1:2" ht="15" thickBot="1" x14ac:dyDescent="0.35">
      <c r="A15" s="335">
        <v>44920</v>
      </c>
      <c r="B15" s="336">
        <f>DATE($B$1,12,25)</f>
        <v>44920</v>
      </c>
    </row>
    <row r="16" spans="1:2" ht="15" thickTop="1" x14ac:dyDescent="0.3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19DFF-8214-4CC3-BF3A-200895B5CD2D}">
  <sheetPr codeName="Feuil3"/>
  <dimension ref="A1:CB7"/>
  <sheetViews>
    <sheetView topLeftCell="AW1" zoomScale="60" zoomScaleNormal="60" workbookViewId="0">
      <selection activeCell="BI7" sqref="BI7"/>
    </sheetView>
  </sheetViews>
  <sheetFormatPr baseColWidth="10" defaultRowHeight="14.4" x14ac:dyDescent="0.3"/>
  <cols>
    <col min="1" max="1" width="25.44140625" customWidth="1"/>
    <col min="2" max="2" width="18.109375" customWidth="1"/>
    <col min="3" max="3" width="12.6640625" customWidth="1"/>
    <col min="4" max="4" width="12.5546875" customWidth="1"/>
    <col min="5" max="5" width="19.109375" customWidth="1"/>
    <col min="6" max="6" width="20.109375" bestFit="1" customWidth="1"/>
    <col min="7" max="7" width="32.33203125" bestFit="1" customWidth="1"/>
    <col min="34" max="34" width="12.109375" customWidth="1"/>
    <col min="35" max="36" width="12.5546875" customWidth="1"/>
    <col min="37" max="37" width="16.109375" customWidth="1"/>
    <col min="40" max="40" width="13.33203125" customWidth="1"/>
    <col min="41" max="41" width="16.88671875" customWidth="1"/>
    <col min="42" max="42" width="17.109375" customWidth="1"/>
  </cols>
  <sheetData>
    <row r="1" spans="1:80" x14ac:dyDescent="0.3">
      <c r="A1" s="372" t="s">
        <v>186</v>
      </c>
      <c r="B1" s="372"/>
      <c r="AN1" s="373"/>
      <c r="AO1" s="372" t="s">
        <v>185</v>
      </c>
      <c r="AP1" s="372"/>
    </row>
    <row r="2" spans="1:80" ht="15" thickBot="1" x14ac:dyDescent="0.35">
      <c r="A2" s="372"/>
      <c r="B2" s="372"/>
      <c r="AN2" s="373"/>
      <c r="AO2" s="372"/>
      <c r="AP2" s="372"/>
    </row>
    <row r="3" spans="1:80" ht="72" x14ac:dyDescent="0.3">
      <c r="B3" s="177" t="s">
        <v>1</v>
      </c>
      <c r="C3" s="178" t="s">
        <v>41</v>
      </c>
      <c r="D3" s="179" t="s">
        <v>2</v>
      </c>
      <c r="E3" s="180" t="s">
        <v>3</v>
      </c>
      <c r="F3" s="180" t="s">
        <v>4</v>
      </c>
      <c r="G3" s="181" t="s">
        <v>5</v>
      </c>
      <c r="H3" s="181" t="s">
        <v>42</v>
      </c>
      <c r="I3" s="182" t="s">
        <v>6</v>
      </c>
      <c r="J3" s="179" t="s">
        <v>78</v>
      </c>
      <c r="K3" s="179" t="s">
        <v>79</v>
      </c>
      <c r="L3" s="179" t="s">
        <v>15</v>
      </c>
      <c r="M3" s="183" t="s">
        <v>7</v>
      </c>
      <c r="N3" s="183" t="s">
        <v>8</v>
      </c>
      <c r="O3" s="183" t="s">
        <v>68</v>
      </c>
      <c r="P3" s="183" t="s">
        <v>73</v>
      </c>
      <c r="Q3" s="184" t="s">
        <v>67</v>
      </c>
      <c r="R3" s="184" t="s">
        <v>66</v>
      </c>
      <c r="S3" s="184" t="s">
        <v>33</v>
      </c>
      <c r="T3" s="179" t="s">
        <v>9</v>
      </c>
      <c r="U3" s="185" t="s">
        <v>50</v>
      </c>
      <c r="V3" s="186" t="s">
        <v>10</v>
      </c>
      <c r="W3" s="186" t="s">
        <v>11</v>
      </c>
      <c r="X3" s="187" t="s">
        <v>43</v>
      </c>
      <c r="Y3" s="187" t="s">
        <v>38</v>
      </c>
      <c r="Z3" s="187" t="s">
        <v>46</v>
      </c>
      <c r="AA3" s="187" t="s">
        <v>47</v>
      </c>
      <c r="AB3" s="187" t="s">
        <v>44</v>
      </c>
      <c r="AC3" s="187" t="s">
        <v>45</v>
      </c>
      <c r="AD3" s="186" t="s">
        <v>48</v>
      </c>
      <c r="AE3" s="186" t="s">
        <v>49</v>
      </c>
      <c r="AF3" s="188" t="s">
        <v>12</v>
      </c>
      <c r="AG3" s="188" t="s">
        <v>74</v>
      </c>
      <c r="AH3" s="188" t="s">
        <v>57</v>
      </c>
      <c r="AI3" s="188" t="s">
        <v>51</v>
      </c>
      <c r="AJ3" s="179" t="s">
        <v>21</v>
      </c>
      <c r="AK3" s="179" t="s">
        <v>58</v>
      </c>
      <c r="AL3" s="179" t="s">
        <v>59</v>
      </c>
      <c r="AM3" s="179" t="s">
        <v>60</v>
      </c>
      <c r="AN3" s="373"/>
      <c r="AO3" s="177" t="s">
        <v>1</v>
      </c>
      <c r="AP3" s="178" t="s">
        <v>41</v>
      </c>
      <c r="AQ3" s="179" t="s">
        <v>2</v>
      </c>
      <c r="AR3" s="180" t="s">
        <v>3</v>
      </c>
      <c r="AS3" s="180" t="s">
        <v>4</v>
      </c>
      <c r="AT3" s="181" t="s">
        <v>5</v>
      </c>
      <c r="AU3" s="181" t="s">
        <v>42</v>
      </c>
      <c r="AV3" s="182" t="s">
        <v>6</v>
      </c>
      <c r="AW3" s="179" t="s">
        <v>78</v>
      </c>
      <c r="AX3" s="179" t="s">
        <v>79</v>
      </c>
      <c r="AY3" s="179" t="s">
        <v>15</v>
      </c>
      <c r="AZ3" s="183" t="s">
        <v>7</v>
      </c>
      <c r="BA3" s="183" t="s">
        <v>8</v>
      </c>
      <c r="BB3" s="183" t="s">
        <v>68</v>
      </c>
      <c r="BC3" s="183" t="s">
        <v>73</v>
      </c>
      <c r="BD3" s="184" t="s">
        <v>67</v>
      </c>
      <c r="BE3" s="184" t="s">
        <v>66</v>
      </c>
      <c r="BF3" s="184" t="s">
        <v>33</v>
      </c>
      <c r="BG3" s="179" t="s">
        <v>9</v>
      </c>
      <c r="BH3" s="185" t="s">
        <v>50</v>
      </c>
      <c r="BI3" s="186" t="s">
        <v>10</v>
      </c>
      <c r="BJ3" s="186" t="s">
        <v>11</v>
      </c>
      <c r="BK3" s="187" t="s">
        <v>43</v>
      </c>
      <c r="BL3" s="187" t="s">
        <v>38</v>
      </c>
      <c r="BM3" s="187" t="s">
        <v>46</v>
      </c>
      <c r="BN3" s="187" t="s">
        <v>47</v>
      </c>
      <c r="BO3" s="187" t="s">
        <v>44</v>
      </c>
      <c r="BP3" s="187" t="s">
        <v>45</v>
      </c>
      <c r="BQ3" s="186" t="s">
        <v>48</v>
      </c>
      <c r="BR3" s="186" t="s">
        <v>49</v>
      </c>
      <c r="BS3" s="188" t="s">
        <v>12</v>
      </c>
      <c r="BT3" s="188" t="s">
        <v>74</v>
      </c>
      <c r="BU3" s="188" t="s">
        <v>57</v>
      </c>
      <c r="BV3" s="188" t="s">
        <v>51</v>
      </c>
      <c r="BW3" s="179" t="s">
        <v>21</v>
      </c>
      <c r="BX3" s="179" t="s">
        <v>58</v>
      </c>
      <c r="BY3" s="179" t="s">
        <v>59</v>
      </c>
      <c r="BZ3" s="179" t="s">
        <v>60</v>
      </c>
    </row>
    <row r="4" spans="1:80" x14ac:dyDescent="0.3">
      <c r="A4" s="189" t="s">
        <v>181</v>
      </c>
      <c r="B4" s="191"/>
      <c r="C4" s="191"/>
      <c r="D4" s="191"/>
      <c r="E4" s="191">
        <v>4.0000000000000001E-3</v>
      </c>
      <c r="F4" s="191">
        <v>6.9000000000000006E-2</v>
      </c>
      <c r="G4" s="191"/>
      <c r="H4" s="191"/>
      <c r="I4" s="191"/>
      <c r="J4" s="191"/>
      <c r="K4" s="191"/>
      <c r="L4" s="191"/>
      <c r="M4" s="191">
        <v>6.8000000000000005E-2</v>
      </c>
      <c r="N4" s="191">
        <v>2.9000000000000001E-2</v>
      </c>
      <c r="O4" s="191"/>
      <c r="P4" s="191"/>
      <c r="Q4" s="191"/>
      <c r="R4" s="191"/>
      <c r="S4" s="191"/>
      <c r="T4" s="191"/>
      <c r="U4" s="191"/>
      <c r="V4" s="191"/>
      <c r="W4" s="191"/>
      <c r="X4" s="191">
        <v>3.15E-2</v>
      </c>
      <c r="Y4" s="191">
        <v>8.6400000000000005E-2</v>
      </c>
      <c r="Z4" s="191">
        <v>8.6E-3</v>
      </c>
      <c r="AA4" s="191">
        <v>1.0800000000000001E-2</v>
      </c>
      <c r="AB4" s="191">
        <v>1.4E-3</v>
      </c>
      <c r="AC4" s="191">
        <v>1.4E-3</v>
      </c>
      <c r="AD4" s="192">
        <v>2.4000000000000001E-4</v>
      </c>
      <c r="AE4" s="192">
        <v>2.4000000000000001E-4</v>
      </c>
      <c r="AF4" s="191"/>
      <c r="AG4" s="191"/>
      <c r="AH4" s="191">
        <v>1.4999999999999999E-2</v>
      </c>
      <c r="AK4" s="191"/>
      <c r="AL4" s="191"/>
      <c r="AM4" s="191"/>
      <c r="AN4" s="373"/>
      <c r="AO4" s="191">
        <v>7.0000000000000007E-2</v>
      </c>
      <c r="AP4" s="191">
        <v>0.06</v>
      </c>
      <c r="AQ4" s="191">
        <v>3.0000000000000001E-3</v>
      </c>
      <c r="AR4" s="191">
        <v>1.9E-2</v>
      </c>
      <c r="AS4" s="191">
        <v>8.5500000000000007E-2</v>
      </c>
      <c r="AT4" s="191">
        <v>3.4500000000000003E-2</v>
      </c>
      <c r="AU4" s="191">
        <v>1.7999999999999999E-2</v>
      </c>
      <c r="AV4" s="191"/>
      <c r="AW4" s="191">
        <v>1E-3</v>
      </c>
      <c r="AX4" s="191">
        <v>5.0000000000000001E-3</v>
      </c>
      <c r="AY4" s="191"/>
      <c r="AZ4" s="191"/>
      <c r="BA4" s="191"/>
      <c r="BB4" s="191"/>
      <c r="BC4" s="191"/>
      <c r="BD4" s="191"/>
      <c r="BE4" s="191"/>
      <c r="BF4" s="191"/>
      <c r="BG4" s="200">
        <v>1.6000000000000001E-4</v>
      </c>
      <c r="BH4" s="191"/>
      <c r="BI4" s="191">
        <v>4.0500000000000001E-2</v>
      </c>
      <c r="BJ4" s="191">
        <v>1.5E-3</v>
      </c>
      <c r="BK4" s="191">
        <v>4.7199999999999999E-2</v>
      </c>
      <c r="BL4" s="191">
        <v>0.12590000000000001</v>
      </c>
      <c r="BM4" s="191">
        <v>1.29E-2</v>
      </c>
      <c r="BN4" s="191">
        <v>1.6199999999999999E-2</v>
      </c>
      <c r="BO4" s="191">
        <v>2.0999999999999999E-3</v>
      </c>
      <c r="BP4" s="191">
        <v>2.0999999999999999E-3</v>
      </c>
      <c r="BQ4" s="192">
        <v>3.6000000000000002E-4</v>
      </c>
      <c r="BR4" s="192">
        <v>3.6000000000000002E-4</v>
      </c>
      <c r="BS4" s="191"/>
      <c r="BT4" s="191"/>
      <c r="BU4" s="191">
        <v>1.4999999999999999E-2</v>
      </c>
      <c r="BV4" s="191"/>
      <c r="BW4" s="191"/>
      <c r="BX4" s="191"/>
      <c r="BY4" s="191"/>
      <c r="BZ4" s="191"/>
      <c r="CA4" s="190"/>
      <c r="CB4" s="190"/>
    </row>
    <row r="5" spans="1:80" x14ac:dyDescent="0.3">
      <c r="A5" s="189" t="s">
        <v>182</v>
      </c>
      <c r="B5" s="191"/>
      <c r="C5" s="191"/>
      <c r="D5" s="191"/>
      <c r="E5" s="191">
        <v>4.0000000000000001E-3</v>
      </c>
      <c r="F5" s="191">
        <v>6.9000000000000006E-2</v>
      </c>
      <c r="G5" s="191"/>
      <c r="H5" s="191"/>
      <c r="I5" s="191"/>
      <c r="J5" s="191"/>
      <c r="K5" s="191"/>
      <c r="L5" s="191"/>
      <c r="M5" s="191">
        <v>6.8000000000000005E-2</v>
      </c>
      <c r="N5" s="191">
        <v>2.9000000000000001E-2</v>
      </c>
      <c r="O5" s="191"/>
      <c r="P5" s="191"/>
      <c r="Q5" s="191"/>
      <c r="R5" s="191"/>
      <c r="S5" s="191"/>
      <c r="T5" s="191"/>
      <c r="U5" s="191"/>
      <c r="V5" s="191"/>
      <c r="W5" s="191"/>
      <c r="X5" s="191">
        <v>3.15E-2</v>
      </c>
      <c r="Y5" s="191">
        <v>8.6400000000000005E-2</v>
      </c>
      <c r="Z5" s="191">
        <v>8.6E-3</v>
      </c>
      <c r="AA5" s="191">
        <v>1.0800000000000001E-2</v>
      </c>
      <c r="AB5" s="191">
        <v>1.4E-3</v>
      </c>
      <c r="AC5" s="191">
        <v>1.4E-3</v>
      </c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373"/>
      <c r="AO5" s="191">
        <v>7.0000000000000007E-2</v>
      </c>
      <c r="AP5" s="191">
        <v>0.06</v>
      </c>
      <c r="AQ5" s="191">
        <v>3.0000000000000001E-3</v>
      </c>
      <c r="AR5" s="191">
        <v>1.9E-2</v>
      </c>
      <c r="AS5" s="191">
        <v>8.5500000000000007E-2</v>
      </c>
      <c r="AT5" s="191">
        <v>3.4500000000000003E-2</v>
      </c>
      <c r="AU5" s="191">
        <v>1.7999999999999999E-2</v>
      </c>
      <c r="AV5" s="191"/>
      <c r="AW5" s="191">
        <v>1E-3</v>
      </c>
      <c r="AX5" s="191">
        <v>5.0000000000000001E-3</v>
      </c>
      <c r="AY5" s="191"/>
      <c r="AZ5" s="191"/>
      <c r="BA5" s="191"/>
      <c r="BB5" s="191"/>
      <c r="BC5" s="191"/>
      <c r="BD5" s="191"/>
      <c r="BE5" s="191"/>
      <c r="BF5" s="191"/>
      <c r="BG5" s="200">
        <v>1.6000000000000001E-4</v>
      </c>
      <c r="BH5" s="191"/>
      <c r="BI5" s="191">
        <v>4.0500000000000001E-2</v>
      </c>
      <c r="BJ5" s="191">
        <v>1.5E-3</v>
      </c>
      <c r="BK5" s="191">
        <v>4.7199999999999999E-2</v>
      </c>
      <c r="BL5" s="191">
        <v>0.12590000000000001</v>
      </c>
      <c r="BM5" s="191">
        <v>1.29E-2</v>
      </c>
      <c r="BN5" s="191">
        <v>1.6199999999999999E-2</v>
      </c>
      <c r="BO5" s="191">
        <v>2.0999999999999999E-3</v>
      </c>
      <c r="BP5" s="191">
        <v>2.0999999999999999E-3</v>
      </c>
      <c r="BQ5" s="192"/>
      <c r="BR5" s="192"/>
      <c r="BS5" s="191"/>
      <c r="BT5" s="191"/>
      <c r="BU5" s="191"/>
      <c r="BV5" s="191"/>
      <c r="BW5" s="191"/>
      <c r="BX5" s="191"/>
      <c r="BY5" s="191"/>
      <c r="BZ5" s="191"/>
      <c r="CA5" s="190"/>
      <c r="CB5" s="190"/>
    </row>
    <row r="6" spans="1:80" x14ac:dyDescent="0.3">
      <c r="A6" s="189" t="s">
        <v>183</v>
      </c>
      <c r="B6" s="191"/>
      <c r="C6" s="191"/>
      <c r="D6" s="191"/>
      <c r="E6" s="191">
        <v>4.0000000000000001E-3</v>
      </c>
      <c r="F6" s="191">
        <v>6.9000000000000006E-2</v>
      </c>
      <c r="G6" s="191"/>
      <c r="H6" s="191"/>
      <c r="I6" s="191"/>
      <c r="J6" s="191"/>
      <c r="K6" s="191"/>
      <c r="L6" s="191"/>
      <c r="M6" s="191">
        <v>6.8000000000000005E-2</v>
      </c>
      <c r="N6" s="191">
        <v>2.9000000000000001E-2</v>
      </c>
      <c r="O6" s="191"/>
      <c r="P6" s="191"/>
      <c r="Q6" s="191"/>
      <c r="R6" s="191"/>
      <c r="S6" s="191"/>
      <c r="T6" s="191"/>
      <c r="U6" s="191"/>
      <c r="V6" s="191"/>
      <c r="W6" s="191"/>
      <c r="X6" s="191">
        <v>3.15E-2</v>
      </c>
      <c r="Y6" s="191">
        <v>8.6400000000000005E-2</v>
      </c>
      <c r="Z6" s="191">
        <v>8.6E-3</v>
      </c>
      <c r="AA6" s="191">
        <v>1.0800000000000001E-2</v>
      </c>
      <c r="AB6" s="191">
        <v>1.4E-3</v>
      </c>
      <c r="AC6" s="191">
        <v>1.4E-3</v>
      </c>
      <c r="AD6" s="191"/>
      <c r="AE6" s="191"/>
      <c r="AF6" s="191"/>
      <c r="AG6" s="191"/>
      <c r="AH6" s="191"/>
      <c r="AI6" s="191"/>
      <c r="AJ6" s="191"/>
      <c r="AK6" s="191"/>
      <c r="AL6" s="191"/>
      <c r="AM6" s="191"/>
      <c r="AN6" s="373"/>
      <c r="AO6" s="191">
        <v>7.0000000000000007E-2</v>
      </c>
      <c r="AP6" s="191">
        <v>0.06</v>
      </c>
      <c r="AQ6" s="191">
        <v>3.0000000000000001E-3</v>
      </c>
      <c r="AR6" s="191">
        <v>1.9E-2</v>
      </c>
      <c r="AS6" s="191">
        <v>8.5500000000000007E-2</v>
      </c>
      <c r="AT6" s="191">
        <v>3.4500000000000003E-2</v>
      </c>
      <c r="AU6" s="191">
        <v>1.7999999999999999E-2</v>
      </c>
      <c r="AV6" s="191"/>
      <c r="AW6" s="191">
        <v>1E-3</v>
      </c>
      <c r="AX6" s="191">
        <v>5.0000000000000001E-3</v>
      </c>
      <c r="AY6" s="191"/>
      <c r="AZ6" s="191"/>
      <c r="BA6" s="191"/>
      <c r="BB6" s="191"/>
      <c r="BC6" s="191"/>
      <c r="BD6" s="191"/>
      <c r="BE6" s="191"/>
      <c r="BF6" s="191"/>
      <c r="BG6" s="200">
        <v>1.6000000000000001E-4</v>
      </c>
      <c r="BH6" s="191"/>
      <c r="BI6" s="191"/>
      <c r="BJ6" s="191">
        <v>1.5E-3</v>
      </c>
      <c r="BK6" s="191">
        <v>4.7199999999999999E-2</v>
      </c>
      <c r="BL6" s="191">
        <v>0.12590000000000001</v>
      </c>
      <c r="BM6" s="191">
        <v>1.29E-2</v>
      </c>
      <c r="BN6" s="191">
        <v>1.6199999999999999E-2</v>
      </c>
      <c r="BO6" s="191">
        <v>2.0999999999999999E-3</v>
      </c>
      <c r="BP6" s="191">
        <v>2.0999999999999999E-3</v>
      </c>
      <c r="BQ6" s="192"/>
      <c r="BR6" s="192"/>
      <c r="BS6" s="191"/>
      <c r="BT6" s="191"/>
      <c r="BU6" s="191"/>
      <c r="BV6" s="191"/>
      <c r="BW6" s="191"/>
      <c r="BX6" s="191"/>
      <c r="BY6" s="191"/>
      <c r="BZ6" s="191"/>
      <c r="CA6" s="190"/>
      <c r="CB6" s="190"/>
    </row>
    <row r="7" spans="1:80" x14ac:dyDescent="0.3">
      <c r="A7" s="189"/>
    </row>
  </sheetData>
  <mergeCells count="3">
    <mergeCell ref="A1:B2"/>
    <mergeCell ref="AO1:AP2"/>
    <mergeCell ref="AN1:AN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CEFB3-D27B-462B-9C4E-32F3AF837B96}">
  <sheetPr codeName="Feuil4"/>
  <dimension ref="A1:P22"/>
  <sheetViews>
    <sheetView workbookViewId="0">
      <selection activeCell="D18" sqref="D18"/>
    </sheetView>
  </sheetViews>
  <sheetFormatPr baseColWidth="10" defaultRowHeight="14.4" x14ac:dyDescent="0.3"/>
  <cols>
    <col min="2" max="2" width="15" customWidth="1"/>
    <col min="3" max="3" width="16.33203125" customWidth="1"/>
    <col min="4" max="4" width="12" customWidth="1"/>
    <col min="5" max="6" width="13" customWidth="1"/>
  </cols>
  <sheetData>
    <row r="1" spans="1:16" ht="31.8" thickBot="1" x14ac:dyDescent="0.35">
      <c r="A1" s="374" t="s">
        <v>110</v>
      </c>
      <c r="B1" s="374"/>
      <c r="C1" s="374"/>
      <c r="D1" s="374"/>
      <c r="E1" s="374"/>
      <c r="F1" s="374"/>
      <c r="G1" s="374"/>
      <c r="H1" s="374"/>
    </row>
    <row r="2" spans="1:16" ht="32.4" thickTop="1" thickBot="1" x14ac:dyDescent="0.35">
      <c r="A2" s="115"/>
      <c r="B2" s="115"/>
      <c r="C2" s="115"/>
      <c r="D2" s="115"/>
      <c r="E2" s="115"/>
      <c r="F2" s="115"/>
      <c r="G2" s="115"/>
      <c r="H2" s="115"/>
      <c r="N2" s="375" t="s">
        <v>109</v>
      </c>
      <c r="O2" s="376"/>
      <c r="P2" s="114"/>
    </row>
    <row r="3" spans="1:16" ht="43.8" thickTop="1" x14ac:dyDescent="0.3">
      <c r="A3" s="113"/>
      <c r="B3" s="112" t="s">
        <v>108</v>
      </c>
      <c r="C3" s="112" t="s">
        <v>107</v>
      </c>
      <c r="D3" s="110" t="s">
        <v>106</v>
      </c>
      <c r="E3" s="110" t="s">
        <v>105</v>
      </c>
      <c r="F3" s="112" t="s">
        <v>104</v>
      </c>
      <c r="G3" s="110" t="s">
        <v>103</v>
      </c>
      <c r="H3" s="110" t="s">
        <v>102</v>
      </c>
      <c r="I3" s="112" t="s">
        <v>101</v>
      </c>
      <c r="J3" s="111" t="s">
        <v>100</v>
      </c>
      <c r="K3" s="110" t="s">
        <v>99</v>
      </c>
      <c r="L3" s="111" t="s">
        <v>98</v>
      </c>
      <c r="M3" s="110" t="s">
        <v>97</v>
      </c>
      <c r="N3" s="109" t="s">
        <v>96</v>
      </c>
      <c r="O3" s="108" t="s">
        <v>95</v>
      </c>
    </row>
    <row r="4" spans="1:16" x14ac:dyDescent="0.3">
      <c r="A4" s="107" t="s">
        <v>94</v>
      </c>
      <c r="B4" s="106">
        <v>108.33</v>
      </c>
      <c r="C4" s="105">
        <v>3</v>
      </c>
      <c r="D4" s="102">
        <f t="shared" ref="D4:D15" si="0">$B$21*(B4+C4)/151.67</f>
        <v>2516.2473791784796</v>
      </c>
      <c r="E4" s="102">
        <v>31</v>
      </c>
      <c r="F4" s="105"/>
      <c r="G4" s="102">
        <f t="shared" ref="G4:G15" si="1">E4-F4</f>
        <v>31</v>
      </c>
      <c r="H4" s="102">
        <f t="shared" ref="H4:H15" si="2">D4*G4/E4</f>
        <v>2516.2473791784801</v>
      </c>
      <c r="I4" s="104">
        <v>2000</v>
      </c>
      <c r="J4" s="103">
        <f>I4</f>
        <v>2000</v>
      </c>
      <c r="K4" s="102">
        <f t="shared" ref="K4:K15" si="3">H4</f>
        <v>2516.2473791784801</v>
      </c>
      <c r="L4" s="103">
        <f>K4</f>
        <v>2516.2473791784801</v>
      </c>
      <c r="M4" s="102">
        <f t="shared" ref="M4:M15" si="4">IF(J4&lt;L4,J4,L4)</f>
        <v>2000</v>
      </c>
      <c r="N4" s="101">
        <f>M4</f>
        <v>2000</v>
      </c>
      <c r="O4" s="100">
        <f t="shared" ref="O4:O15" si="5">I4-N4</f>
        <v>0</v>
      </c>
    </row>
    <row r="5" spans="1:16" x14ac:dyDescent="0.3">
      <c r="A5" s="107" t="s">
        <v>93</v>
      </c>
      <c r="B5" s="106">
        <v>108.33</v>
      </c>
      <c r="C5" s="105"/>
      <c r="D5" s="102">
        <f t="shared" si="0"/>
        <v>2448.4422759939343</v>
      </c>
      <c r="E5" s="102">
        <v>28</v>
      </c>
      <c r="F5" s="105"/>
      <c r="G5" s="102">
        <f t="shared" si="1"/>
        <v>28</v>
      </c>
      <c r="H5" s="102">
        <f t="shared" si="2"/>
        <v>2448.4422759939343</v>
      </c>
      <c r="I5" s="104">
        <v>4000</v>
      </c>
      <c r="J5" s="103">
        <f t="shared" ref="J5:J15" si="6">J4+I5</f>
        <v>6000</v>
      </c>
      <c r="K5" s="102">
        <f t="shared" si="3"/>
        <v>2448.4422759939343</v>
      </c>
      <c r="L5" s="103">
        <f t="shared" ref="L5:L15" si="7">L4+K5</f>
        <v>4964.6896551724149</v>
      </c>
      <c r="M5" s="102">
        <f t="shared" si="4"/>
        <v>4964.6896551724149</v>
      </c>
      <c r="N5" s="101">
        <f t="shared" ref="N5:N15" si="8">M5-M4</f>
        <v>2964.6896551724149</v>
      </c>
      <c r="O5" s="100">
        <f t="shared" si="5"/>
        <v>1035.3103448275851</v>
      </c>
    </row>
    <row r="6" spans="1:16" x14ac:dyDescent="0.3">
      <c r="A6" s="107" t="s">
        <v>92</v>
      </c>
      <c r="B6" s="106">
        <v>151.66999999999999</v>
      </c>
      <c r="C6" s="105"/>
      <c r="D6" s="102">
        <f t="shared" si="0"/>
        <v>3428</v>
      </c>
      <c r="E6" s="102">
        <v>31</v>
      </c>
      <c r="F6" s="105">
        <v>10</v>
      </c>
      <c r="G6" s="102">
        <f t="shared" si="1"/>
        <v>21</v>
      </c>
      <c r="H6" s="102">
        <f t="shared" si="2"/>
        <v>2322.1935483870966</v>
      </c>
      <c r="I6" s="104">
        <v>5000</v>
      </c>
      <c r="J6" s="103">
        <f t="shared" si="6"/>
        <v>11000</v>
      </c>
      <c r="K6" s="102">
        <f t="shared" si="3"/>
        <v>2322.1935483870966</v>
      </c>
      <c r="L6" s="103">
        <f t="shared" si="7"/>
        <v>7286.8832035595115</v>
      </c>
      <c r="M6" s="102">
        <f t="shared" si="4"/>
        <v>7286.8832035595115</v>
      </c>
      <c r="N6" s="101">
        <f t="shared" si="8"/>
        <v>2322.1935483870966</v>
      </c>
      <c r="O6" s="100">
        <f t="shared" si="5"/>
        <v>2677.8064516129034</v>
      </c>
    </row>
    <row r="7" spans="1:16" x14ac:dyDescent="0.3">
      <c r="A7" s="107" t="s">
        <v>91</v>
      </c>
      <c r="B7" s="106">
        <v>108.33</v>
      </c>
      <c r="C7" s="105"/>
      <c r="D7" s="102">
        <f t="shared" si="0"/>
        <v>2448.4422759939343</v>
      </c>
      <c r="E7" s="102">
        <v>30</v>
      </c>
      <c r="F7" s="105"/>
      <c r="G7" s="102">
        <f t="shared" si="1"/>
        <v>30</v>
      </c>
      <c r="H7" s="102">
        <f t="shared" si="2"/>
        <v>2448.4422759939343</v>
      </c>
      <c r="I7" s="104">
        <v>2000</v>
      </c>
      <c r="J7" s="103">
        <f t="shared" si="6"/>
        <v>13000</v>
      </c>
      <c r="K7" s="102">
        <f t="shared" si="3"/>
        <v>2448.4422759939343</v>
      </c>
      <c r="L7" s="103">
        <f t="shared" si="7"/>
        <v>9735.3254795534449</v>
      </c>
      <c r="M7" s="102">
        <f t="shared" si="4"/>
        <v>9735.3254795534449</v>
      </c>
      <c r="N7" s="101">
        <f t="shared" si="8"/>
        <v>2448.4422759939334</v>
      </c>
      <c r="O7" s="100">
        <f t="shared" si="5"/>
        <v>-448.44227599393344</v>
      </c>
    </row>
    <row r="8" spans="1:16" x14ac:dyDescent="0.3">
      <c r="A8" s="107" t="s">
        <v>90</v>
      </c>
      <c r="B8" s="106">
        <v>108.33</v>
      </c>
      <c r="C8" s="105"/>
      <c r="D8" s="102">
        <f t="shared" si="0"/>
        <v>2448.4422759939343</v>
      </c>
      <c r="E8" s="102">
        <v>31</v>
      </c>
      <c r="F8" s="105"/>
      <c r="G8" s="102">
        <f t="shared" si="1"/>
        <v>31</v>
      </c>
      <c r="H8" s="102">
        <f t="shared" si="2"/>
        <v>2448.4422759939343</v>
      </c>
      <c r="I8" s="104">
        <v>2000</v>
      </c>
      <c r="J8" s="103">
        <f t="shared" si="6"/>
        <v>15000</v>
      </c>
      <c r="K8" s="102">
        <f t="shared" si="3"/>
        <v>2448.4422759939343</v>
      </c>
      <c r="L8" s="103">
        <f t="shared" si="7"/>
        <v>12183.767755547378</v>
      </c>
      <c r="M8" s="102">
        <f t="shared" si="4"/>
        <v>12183.767755547378</v>
      </c>
      <c r="N8" s="101">
        <f t="shared" si="8"/>
        <v>2448.4422759939334</v>
      </c>
      <c r="O8" s="100">
        <f t="shared" si="5"/>
        <v>-448.44227599393344</v>
      </c>
    </row>
    <row r="9" spans="1:16" x14ac:dyDescent="0.3">
      <c r="A9" s="107" t="s">
        <v>89</v>
      </c>
      <c r="B9" s="106">
        <v>108.33</v>
      </c>
      <c r="C9" s="105"/>
      <c r="D9" s="102">
        <f t="shared" si="0"/>
        <v>2448.4422759939343</v>
      </c>
      <c r="E9" s="102">
        <v>30</v>
      </c>
      <c r="F9" s="105"/>
      <c r="G9" s="102">
        <f t="shared" si="1"/>
        <v>30</v>
      </c>
      <c r="H9" s="102">
        <f t="shared" si="2"/>
        <v>2448.4422759939343</v>
      </c>
      <c r="I9" s="104">
        <v>2000</v>
      </c>
      <c r="J9" s="103">
        <f t="shared" si="6"/>
        <v>17000</v>
      </c>
      <c r="K9" s="102">
        <f t="shared" si="3"/>
        <v>2448.4422759939343</v>
      </c>
      <c r="L9" s="103">
        <f t="shared" si="7"/>
        <v>14632.210031541312</v>
      </c>
      <c r="M9" s="102">
        <f t="shared" si="4"/>
        <v>14632.210031541312</v>
      </c>
      <c r="N9" s="101">
        <f t="shared" si="8"/>
        <v>2448.4422759939334</v>
      </c>
      <c r="O9" s="100">
        <f t="shared" si="5"/>
        <v>-448.44227599393344</v>
      </c>
    </row>
    <row r="10" spans="1:16" x14ac:dyDescent="0.3">
      <c r="A10" s="107" t="s">
        <v>88</v>
      </c>
      <c r="B10" s="106">
        <v>108.33</v>
      </c>
      <c r="C10" s="105"/>
      <c r="D10" s="102">
        <f t="shared" si="0"/>
        <v>2448.4422759939343</v>
      </c>
      <c r="E10" s="102">
        <v>31</v>
      </c>
      <c r="F10" s="105"/>
      <c r="G10" s="102">
        <f t="shared" si="1"/>
        <v>31</v>
      </c>
      <c r="H10" s="102">
        <f t="shared" si="2"/>
        <v>2448.4422759939343</v>
      </c>
      <c r="I10" s="104">
        <v>2000</v>
      </c>
      <c r="J10" s="103">
        <f t="shared" si="6"/>
        <v>19000</v>
      </c>
      <c r="K10" s="102">
        <f t="shared" si="3"/>
        <v>2448.4422759939343</v>
      </c>
      <c r="L10" s="103">
        <f t="shared" si="7"/>
        <v>17080.652307535245</v>
      </c>
      <c r="M10" s="102">
        <f t="shared" si="4"/>
        <v>17080.652307535245</v>
      </c>
      <c r="N10" s="101">
        <f t="shared" si="8"/>
        <v>2448.4422759939334</v>
      </c>
      <c r="O10" s="100">
        <f t="shared" si="5"/>
        <v>-448.44227599393344</v>
      </c>
    </row>
    <row r="11" spans="1:16" x14ac:dyDescent="0.3">
      <c r="A11" s="107" t="s">
        <v>87</v>
      </c>
      <c r="B11" s="106">
        <v>108.33</v>
      </c>
      <c r="C11" s="105">
        <v>5</v>
      </c>
      <c r="D11" s="102">
        <f t="shared" si="0"/>
        <v>2561.4507813015102</v>
      </c>
      <c r="E11" s="102">
        <v>31</v>
      </c>
      <c r="F11" s="105"/>
      <c r="G11" s="102">
        <f t="shared" si="1"/>
        <v>31</v>
      </c>
      <c r="H11" s="102">
        <f t="shared" si="2"/>
        <v>2561.4507813015102</v>
      </c>
      <c r="I11" s="104">
        <v>2000</v>
      </c>
      <c r="J11" s="103">
        <f t="shared" si="6"/>
        <v>21000</v>
      </c>
      <c r="K11" s="102">
        <f t="shared" si="3"/>
        <v>2561.4507813015102</v>
      </c>
      <c r="L11" s="103">
        <f t="shared" si="7"/>
        <v>19642.103088836757</v>
      </c>
      <c r="M11" s="102">
        <f t="shared" si="4"/>
        <v>19642.103088836757</v>
      </c>
      <c r="N11" s="101">
        <f t="shared" si="8"/>
        <v>2561.4507813015116</v>
      </c>
      <c r="O11" s="100">
        <f t="shared" si="5"/>
        <v>-561.4507813015116</v>
      </c>
    </row>
    <row r="12" spans="1:16" x14ac:dyDescent="0.3">
      <c r="A12" s="107" t="s">
        <v>86</v>
      </c>
      <c r="B12" s="106">
        <v>108.33</v>
      </c>
      <c r="C12" s="105"/>
      <c r="D12" s="102">
        <f t="shared" si="0"/>
        <v>2448.4422759939343</v>
      </c>
      <c r="E12" s="102">
        <v>30</v>
      </c>
      <c r="F12" s="105"/>
      <c r="G12" s="102">
        <f t="shared" si="1"/>
        <v>30</v>
      </c>
      <c r="H12" s="102">
        <f t="shared" si="2"/>
        <v>2448.4422759939343</v>
      </c>
      <c r="I12" s="104">
        <v>2000</v>
      </c>
      <c r="J12" s="103">
        <f t="shared" si="6"/>
        <v>23000</v>
      </c>
      <c r="K12" s="102">
        <f t="shared" si="3"/>
        <v>2448.4422759939343</v>
      </c>
      <c r="L12" s="103">
        <f t="shared" si="7"/>
        <v>22090.54536483069</v>
      </c>
      <c r="M12" s="102">
        <f t="shared" si="4"/>
        <v>22090.54536483069</v>
      </c>
      <c r="N12" s="101">
        <f t="shared" si="8"/>
        <v>2448.4422759939334</v>
      </c>
      <c r="O12" s="100">
        <f t="shared" si="5"/>
        <v>-448.44227599393344</v>
      </c>
    </row>
    <row r="13" spans="1:16" x14ac:dyDescent="0.3">
      <c r="A13" s="107" t="s">
        <v>85</v>
      </c>
      <c r="B13" s="106">
        <v>108.33</v>
      </c>
      <c r="C13" s="105"/>
      <c r="D13" s="102">
        <f t="shared" si="0"/>
        <v>2448.4422759939343</v>
      </c>
      <c r="E13" s="102">
        <v>31</v>
      </c>
      <c r="F13" s="105"/>
      <c r="G13" s="102">
        <f t="shared" si="1"/>
        <v>31</v>
      </c>
      <c r="H13" s="102">
        <f t="shared" si="2"/>
        <v>2448.4422759939343</v>
      </c>
      <c r="I13" s="104">
        <v>2000</v>
      </c>
      <c r="J13" s="103">
        <f t="shared" si="6"/>
        <v>25000</v>
      </c>
      <c r="K13" s="102">
        <f t="shared" si="3"/>
        <v>2448.4422759939343</v>
      </c>
      <c r="L13" s="103">
        <f t="shared" si="7"/>
        <v>24538.987640824624</v>
      </c>
      <c r="M13" s="102">
        <f t="shared" si="4"/>
        <v>24538.987640824624</v>
      </c>
      <c r="N13" s="101">
        <f t="shared" si="8"/>
        <v>2448.4422759939334</v>
      </c>
      <c r="O13" s="100">
        <f t="shared" si="5"/>
        <v>-448.44227599393344</v>
      </c>
    </row>
    <row r="14" spans="1:16" x14ac:dyDescent="0.3">
      <c r="A14" s="107" t="s">
        <v>84</v>
      </c>
      <c r="B14" s="106">
        <v>108.33</v>
      </c>
      <c r="C14" s="105"/>
      <c r="D14" s="102">
        <f t="shared" si="0"/>
        <v>2448.4422759939343</v>
      </c>
      <c r="E14" s="102">
        <v>30</v>
      </c>
      <c r="F14" s="105"/>
      <c r="G14" s="102">
        <f t="shared" si="1"/>
        <v>30</v>
      </c>
      <c r="H14" s="102">
        <f t="shared" si="2"/>
        <v>2448.4422759939343</v>
      </c>
      <c r="I14" s="104">
        <v>2000</v>
      </c>
      <c r="J14" s="103">
        <f t="shared" si="6"/>
        <v>27000</v>
      </c>
      <c r="K14" s="102">
        <f t="shared" si="3"/>
        <v>2448.4422759939343</v>
      </c>
      <c r="L14" s="103">
        <f t="shared" si="7"/>
        <v>26987.429916818557</v>
      </c>
      <c r="M14" s="102">
        <f t="shared" si="4"/>
        <v>26987.429916818557</v>
      </c>
      <c r="N14" s="101">
        <f t="shared" si="8"/>
        <v>2448.4422759939334</v>
      </c>
      <c r="O14" s="100">
        <f t="shared" si="5"/>
        <v>-448.44227599393344</v>
      </c>
    </row>
    <row r="15" spans="1:16" x14ac:dyDescent="0.3">
      <c r="A15" s="107" t="s">
        <v>83</v>
      </c>
      <c r="B15" s="106">
        <v>108.33</v>
      </c>
      <c r="C15" s="105"/>
      <c r="D15" s="102">
        <f t="shared" si="0"/>
        <v>2448.4422759939343</v>
      </c>
      <c r="E15" s="102">
        <v>31</v>
      </c>
      <c r="F15" s="105"/>
      <c r="G15" s="102">
        <f t="shared" si="1"/>
        <v>31</v>
      </c>
      <c r="H15" s="102">
        <f t="shared" si="2"/>
        <v>2448.4422759939343</v>
      </c>
      <c r="I15" s="104">
        <v>2000</v>
      </c>
      <c r="J15" s="103">
        <f t="shared" si="6"/>
        <v>29000</v>
      </c>
      <c r="K15" s="102">
        <f t="shared" si="3"/>
        <v>2448.4422759939343</v>
      </c>
      <c r="L15" s="103">
        <f t="shared" si="7"/>
        <v>29435.872192812491</v>
      </c>
      <c r="M15" s="102">
        <f t="shared" si="4"/>
        <v>29000</v>
      </c>
      <c r="N15" s="101">
        <f t="shared" si="8"/>
        <v>2012.5700831814429</v>
      </c>
      <c r="O15" s="100">
        <f t="shared" si="5"/>
        <v>-12.570083181442897</v>
      </c>
    </row>
    <row r="16" spans="1:16" ht="15" thickBot="1" x14ac:dyDescent="0.35">
      <c r="A16" s="99" t="s">
        <v>82</v>
      </c>
      <c r="B16" s="98"/>
      <c r="C16" s="98"/>
      <c r="D16" s="98"/>
      <c r="E16" s="98"/>
      <c r="F16" s="98"/>
      <c r="G16" s="98"/>
      <c r="H16" s="97"/>
      <c r="I16" s="96">
        <f>SUM(I4:I15)</f>
        <v>29000</v>
      </c>
      <c r="J16" s="96"/>
      <c r="K16" s="95"/>
      <c r="L16" s="95"/>
      <c r="M16" s="94"/>
      <c r="N16" s="93">
        <f>SUM(N4:N15)</f>
        <v>29000</v>
      </c>
      <c r="O16" s="92">
        <f>SUM(O4:O15)</f>
        <v>0</v>
      </c>
    </row>
    <row r="17" spans="1:2" ht="15" thickTop="1" x14ac:dyDescent="0.3"/>
    <row r="20" spans="1:2" ht="15" thickBot="1" x14ac:dyDescent="0.35"/>
    <row r="21" spans="1:2" ht="44.4" thickTop="1" thickBot="1" x14ac:dyDescent="0.35">
      <c r="A21" s="91" t="s">
        <v>81</v>
      </c>
      <c r="B21" s="90">
        <v>3428</v>
      </c>
    </row>
    <row r="22" spans="1:2" ht="15" thickTop="1" x14ac:dyDescent="0.3"/>
  </sheetData>
  <mergeCells count="2">
    <mergeCell ref="A1:H1"/>
    <mergeCell ref="N2:O2"/>
  </mergeCells>
  <conditionalFormatting sqref="M4:M15">
    <cfRule type="cellIs" dxfId="0" priority="1" operator="greaterThan">
      <formula>$J$4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3D6CE-2AA4-4833-A012-45BEF75829DD}">
  <sheetPr codeName="Feuil5"/>
  <dimension ref="A1:AK19"/>
  <sheetViews>
    <sheetView topLeftCell="A2" zoomScale="82" zoomScaleNormal="82" workbookViewId="0">
      <selection activeCell="D7" sqref="D7"/>
    </sheetView>
  </sheetViews>
  <sheetFormatPr baseColWidth="10" defaultRowHeight="14.4" x14ac:dyDescent="0.3"/>
  <cols>
    <col min="1" max="1" width="18.5546875" bestFit="1" customWidth="1"/>
    <col min="2" max="2" width="23.44140625" bestFit="1" customWidth="1"/>
    <col min="3" max="8" width="22.109375" customWidth="1"/>
    <col min="9" max="9" width="13.44140625" customWidth="1"/>
    <col min="11" max="11" width="23.44140625" customWidth="1"/>
    <col min="12" max="12" width="17.109375" customWidth="1"/>
    <col min="18" max="18" width="14.5546875" customWidth="1"/>
    <col min="19" max="19" width="13.88671875" customWidth="1"/>
    <col min="20" max="20" width="14.109375" customWidth="1"/>
    <col min="21" max="21" width="15.33203125" customWidth="1"/>
    <col min="22" max="22" width="16.33203125" customWidth="1"/>
    <col min="25" max="25" width="13.44140625" customWidth="1"/>
    <col min="26" max="26" width="16.88671875" customWidth="1"/>
  </cols>
  <sheetData>
    <row r="1" spans="1:37" x14ac:dyDescent="0.3">
      <c r="A1" t="s">
        <v>114</v>
      </c>
      <c r="B1">
        <f>IF(B3&lt;50,0.3195,0.3235)</f>
        <v>0.31950000000000001</v>
      </c>
      <c r="C1">
        <v>0.6</v>
      </c>
      <c r="I1">
        <f>B1/C1</f>
        <v>0.53250000000000008</v>
      </c>
    </row>
    <row r="2" spans="1:37" x14ac:dyDescent="0.3">
      <c r="A2" t="s">
        <v>115</v>
      </c>
      <c r="B2">
        <f>IF(B3&lt;50,0.2594,0.2634)</f>
        <v>0.25940000000000002</v>
      </c>
    </row>
    <row r="3" spans="1:37" x14ac:dyDescent="0.3">
      <c r="A3" t="s">
        <v>39</v>
      </c>
      <c r="B3">
        <v>6</v>
      </c>
    </row>
    <row r="5" spans="1:37" ht="15" thickBot="1" x14ac:dyDescent="0.35"/>
    <row r="6" spans="1:37" ht="108.75" customHeight="1" thickTop="1" x14ac:dyDescent="0.3">
      <c r="A6" s="171" t="s">
        <v>116</v>
      </c>
      <c r="B6" s="171" t="s">
        <v>117</v>
      </c>
      <c r="C6" s="171" t="s">
        <v>124</v>
      </c>
      <c r="D6" s="172" t="s">
        <v>180</v>
      </c>
      <c r="E6" s="171" t="s">
        <v>119</v>
      </c>
      <c r="F6" s="171" t="s">
        <v>153</v>
      </c>
      <c r="G6" s="171" t="s">
        <v>120</v>
      </c>
      <c r="H6" s="171" t="s">
        <v>121</v>
      </c>
      <c r="I6" s="171" t="s">
        <v>122</v>
      </c>
      <c r="J6" s="171" t="s">
        <v>123</v>
      </c>
      <c r="K6" s="171" t="s">
        <v>125</v>
      </c>
      <c r="L6" s="171" t="s">
        <v>138</v>
      </c>
      <c r="M6" s="171" t="s">
        <v>139</v>
      </c>
      <c r="N6" s="171" t="s">
        <v>140</v>
      </c>
      <c r="O6" s="171" t="s">
        <v>154</v>
      </c>
      <c r="P6" s="171" t="s">
        <v>141</v>
      </c>
      <c r="Q6" s="173" t="s">
        <v>142</v>
      </c>
      <c r="R6" s="173" t="s">
        <v>143</v>
      </c>
      <c r="S6" s="173" t="s">
        <v>144</v>
      </c>
      <c r="T6" s="173" t="s">
        <v>145</v>
      </c>
      <c r="U6" s="173" t="s">
        <v>146</v>
      </c>
      <c r="V6" s="173" t="s">
        <v>147</v>
      </c>
      <c r="W6" s="171" t="s">
        <v>148</v>
      </c>
      <c r="X6" s="174" t="s">
        <v>149</v>
      </c>
      <c r="Y6" s="171" t="s">
        <v>150</v>
      </c>
      <c r="Z6" s="171" t="s">
        <v>151</v>
      </c>
      <c r="AA6" s="171" t="s">
        <v>152</v>
      </c>
      <c r="AC6" s="122"/>
      <c r="AD6" s="122"/>
      <c r="AE6" s="122"/>
      <c r="AF6" s="122"/>
      <c r="AG6" s="122"/>
      <c r="AH6" s="122"/>
      <c r="AI6" s="122"/>
      <c r="AJ6" s="122"/>
      <c r="AK6" s="122"/>
    </row>
    <row r="7" spans="1:37" ht="20.100000000000001" customHeight="1" x14ac:dyDescent="0.3">
      <c r="A7" s="175" t="s">
        <v>126</v>
      </c>
      <c r="B7" s="125">
        <v>151.66999999999999</v>
      </c>
      <c r="C7" s="128">
        <v>2500</v>
      </c>
      <c r="D7" s="123">
        <v>0</v>
      </c>
      <c r="E7" s="130">
        <f>IF(D7&lt;8,C7/B7*1.1*D7,IF(D7&gt;8&lt;16,(C7/B7*1.25*D7),(C7/B7*1.5*D7)))</f>
        <v>0</v>
      </c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</row>
    <row r="8" spans="1:37" ht="20.100000000000001" customHeight="1" x14ac:dyDescent="0.3">
      <c r="A8" s="175" t="s">
        <v>127</v>
      </c>
      <c r="B8" s="125">
        <v>151.66999999999999</v>
      </c>
      <c r="C8" s="128">
        <v>2500</v>
      </c>
      <c r="D8" s="123">
        <v>0</v>
      </c>
      <c r="E8" s="130">
        <f>IF(D8&lt;8,C8/B8*1.1*D8,IF(D8&gt;8&lt;16,(C8/B8*1.25*D8),(C8/B8*1.5*D8)))</f>
        <v>0</v>
      </c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</row>
    <row r="9" spans="1:37" ht="20.100000000000001" customHeight="1" x14ac:dyDescent="0.3">
      <c r="A9" s="175" t="s">
        <v>128</v>
      </c>
      <c r="B9" s="125">
        <v>151.66999999999999</v>
      </c>
      <c r="C9" s="128">
        <v>2500</v>
      </c>
      <c r="D9" s="123">
        <v>0</v>
      </c>
      <c r="E9" s="130">
        <f t="shared" ref="E9:E18" si="0">IF(D9&lt;=8,C9/B9*1.1*D9,IF(D9&lt;=16,(C9/B9*1.25*D9),(C9/B9*1.5*D9)))</f>
        <v>0</v>
      </c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</row>
    <row r="10" spans="1:37" ht="20.100000000000001" customHeight="1" x14ac:dyDescent="0.3">
      <c r="A10" s="175" t="s">
        <v>129</v>
      </c>
      <c r="B10" s="125">
        <v>151.66999999999999</v>
      </c>
      <c r="C10" s="128">
        <v>2500</v>
      </c>
      <c r="D10" s="123">
        <v>5</v>
      </c>
      <c r="E10" s="130">
        <f t="shared" si="0"/>
        <v>90.65734819014969</v>
      </c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</row>
    <row r="11" spans="1:37" ht="20.100000000000001" customHeight="1" x14ac:dyDescent="0.3">
      <c r="A11" s="175" t="s">
        <v>130</v>
      </c>
      <c r="B11" s="125">
        <v>151.66999999999999</v>
      </c>
      <c r="C11" s="128">
        <v>2500</v>
      </c>
      <c r="D11" s="123">
        <v>0</v>
      </c>
      <c r="E11" s="130">
        <f t="shared" si="0"/>
        <v>0</v>
      </c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</row>
    <row r="12" spans="1:37" ht="20.100000000000001" customHeight="1" x14ac:dyDescent="0.3">
      <c r="A12" s="175" t="s">
        <v>131</v>
      </c>
      <c r="B12" s="125">
        <v>151.66999999999999</v>
      </c>
      <c r="C12" s="128">
        <v>2500</v>
      </c>
      <c r="D12" s="123">
        <v>4</v>
      </c>
      <c r="E12" s="130">
        <f t="shared" si="0"/>
        <v>72.52587855211975</v>
      </c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</row>
    <row r="13" spans="1:37" ht="20.100000000000001" customHeight="1" x14ac:dyDescent="0.3">
      <c r="A13" s="175" t="s">
        <v>132</v>
      </c>
      <c r="B13" s="125">
        <v>151.66999999999999</v>
      </c>
      <c r="C13" s="128">
        <v>2500</v>
      </c>
      <c r="D13" s="123">
        <v>2</v>
      </c>
      <c r="E13" s="130">
        <f t="shared" si="0"/>
        <v>36.262939276059875</v>
      </c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</row>
    <row r="14" spans="1:37" ht="20.100000000000001" customHeight="1" x14ac:dyDescent="0.3">
      <c r="A14" s="175" t="s">
        <v>133</v>
      </c>
      <c r="B14" s="125">
        <v>151.66999999999999</v>
      </c>
      <c r="C14" s="128">
        <v>2500</v>
      </c>
      <c r="D14" s="123">
        <v>0</v>
      </c>
      <c r="E14" s="130">
        <f t="shared" si="0"/>
        <v>0</v>
      </c>
      <c r="F14" s="123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</row>
    <row r="15" spans="1:37" ht="20.100000000000001" customHeight="1" x14ac:dyDescent="0.3">
      <c r="A15" s="175" t="s">
        <v>134</v>
      </c>
      <c r="B15" s="125">
        <v>151.66999999999999</v>
      </c>
      <c r="C15" s="128">
        <v>2500</v>
      </c>
      <c r="D15" s="123">
        <v>0</v>
      </c>
      <c r="E15" s="130">
        <f t="shared" si="0"/>
        <v>0</v>
      </c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</row>
    <row r="16" spans="1:37" ht="20.100000000000001" customHeight="1" x14ac:dyDescent="0.3">
      <c r="A16" s="175" t="s">
        <v>135</v>
      </c>
      <c r="B16" s="125">
        <v>151.66999999999999</v>
      </c>
      <c r="C16" s="128">
        <v>2500</v>
      </c>
      <c r="D16" s="123">
        <v>0</v>
      </c>
      <c r="E16" s="130">
        <f t="shared" si="0"/>
        <v>0</v>
      </c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</row>
    <row r="17" spans="1:24" ht="20.100000000000001" customHeight="1" x14ac:dyDescent="0.3">
      <c r="A17" s="175" t="s">
        <v>136</v>
      </c>
      <c r="B17" s="125">
        <v>151.66999999999999</v>
      </c>
      <c r="C17" s="128">
        <v>2500</v>
      </c>
      <c r="D17" s="123">
        <v>2</v>
      </c>
      <c r="E17" s="130">
        <f t="shared" si="0"/>
        <v>36.262939276059875</v>
      </c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</row>
    <row r="18" spans="1:24" ht="20.100000000000001" customHeight="1" thickBot="1" x14ac:dyDescent="0.35">
      <c r="A18" s="176" t="s">
        <v>137</v>
      </c>
      <c r="B18" s="126">
        <v>151.66999999999999</v>
      </c>
      <c r="C18" s="129">
        <v>2500</v>
      </c>
      <c r="D18" s="127">
        <v>6</v>
      </c>
      <c r="E18" s="130">
        <f t="shared" si="0"/>
        <v>108.78881782817962</v>
      </c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</row>
    <row r="19" spans="1:24" ht="15" thickTop="1" x14ac:dyDescent="0.3"/>
  </sheetData>
  <phoneticPr fontId="1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2F012-2F7A-4994-AED0-F43E489A680D}">
  <sheetPr codeName="Feuil6"/>
  <dimension ref="A1:F19"/>
  <sheetViews>
    <sheetView workbookViewId="0">
      <selection activeCell="D23" sqref="D23"/>
    </sheetView>
  </sheetViews>
  <sheetFormatPr baseColWidth="10" defaultRowHeight="14.4" x14ac:dyDescent="0.3"/>
  <cols>
    <col min="1" max="1" width="18.44140625" bestFit="1" customWidth="1"/>
    <col min="2" max="2" width="32.33203125" bestFit="1" customWidth="1"/>
    <col min="3" max="3" width="20.6640625" bestFit="1" customWidth="1"/>
    <col min="4" max="4" width="19.44140625" customWidth="1"/>
    <col min="5" max="5" width="25.44140625" customWidth="1"/>
    <col min="6" max="6" width="22.88671875" customWidth="1"/>
  </cols>
  <sheetData>
    <row r="1" spans="1:6" ht="23.4" x14ac:dyDescent="0.3">
      <c r="A1" s="389" t="s">
        <v>178</v>
      </c>
      <c r="B1" s="389"/>
      <c r="C1" s="389"/>
      <c r="D1" s="389"/>
      <c r="E1" s="389"/>
      <c r="F1" s="389"/>
    </row>
    <row r="3" spans="1:6" ht="15.6" x14ac:dyDescent="0.3">
      <c r="A3" s="155" t="s">
        <v>118</v>
      </c>
      <c r="B3" s="156" t="s">
        <v>170</v>
      </c>
      <c r="C3" s="157" t="s">
        <v>171</v>
      </c>
    </row>
    <row r="4" spans="1:6" x14ac:dyDescent="0.3">
      <c r="A4" s="326">
        <f>'BULLETIN DETAILLE'!D19</f>
        <v>2000</v>
      </c>
      <c r="B4" s="167">
        <f>B16*52/12</f>
        <v>151.66666666666666</v>
      </c>
      <c r="C4" s="158">
        <f>IF(B4&lt;151.67,A4/B4,FALSE)</f>
        <v>13.186813186813188</v>
      </c>
    </row>
    <row r="6" spans="1:6" ht="15" thickBot="1" x14ac:dyDescent="0.35"/>
    <row r="7" spans="1:6" ht="22.2" thickTop="1" thickBot="1" x14ac:dyDescent="0.35">
      <c r="D7" s="377" t="s">
        <v>217</v>
      </c>
      <c r="E7" s="378"/>
      <c r="F7" s="379"/>
    </row>
    <row r="8" spans="1:6" ht="31.8" thickTop="1" x14ac:dyDescent="0.3">
      <c r="A8" s="134" t="s">
        <v>162</v>
      </c>
      <c r="B8" s="140" t="s">
        <v>164</v>
      </c>
      <c r="C8" s="144" t="s">
        <v>184</v>
      </c>
      <c r="D8" s="147" t="s">
        <v>169</v>
      </c>
      <c r="E8" s="141" t="s">
        <v>179</v>
      </c>
      <c r="F8" s="142" t="s">
        <v>168</v>
      </c>
    </row>
    <row r="9" spans="1:6" ht="15.6" x14ac:dyDescent="0.3">
      <c r="A9" s="138" t="s">
        <v>155</v>
      </c>
      <c r="B9" s="139">
        <v>7</v>
      </c>
      <c r="C9" s="148">
        <v>10</v>
      </c>
      <c r="D9" s="380"/>
      <c r="E9" s="381"/>
      <c r="F9" s="382"/>
    </row>
    <row r="10" spans="1:6" ht="15.6" x14ac:dyDescent="0.3">
      <c r="A10" s="135" t="s">
        <v>163</v>
      </c>
      <c r="B10" s="136">
        <v>7</v>
      </c>
      <c r="C10" s="145">
        <v>10</v>
      </c>
      <c r="D10" s="383"/>
      <c r="E10" s="384"/>
      <c r="F10" s="385"/>
    </row>
    <row r="11" spans="1:6" ht="15.6" x14ac:dyDescent="0.3">
      <c r="A11" s="135" t="s">
        <v>156</v>
      </c>
      <c r="B11" s="136">
        <v>7</v>
      </c>
      <c r="C11" s="145">
        <v>0</v>
      </c>
      <c r="D11" s="383"/>
      <c r="E11" s="384"/>
      <c r="F11" s="385"/>
    </row>
    <row r="12" spans="1:6" ht="15.6" x14ac:dyDescent="0.3">
      <c r="A12" s="135" t="s">
        <v>157</v>
      </c>
      <c r="B12" s="136">
        <v>7</v>
      </c>
      <c r="C12" s="145">
        <v>15</v>
      </c>
      <c r="D12" s="383"/>
      <c r="E12" s="384"/>
      <c r="F12" s="385"/>
    </row>
    <row r="13" spans="1:6" ht="15.6" x14ac:dyDescent="0.3">
      <c r="A13" s="135" t="s">
        <v>158</v>
      </c>
      <c r="B13" s="136">
        <v>7</v>
      </c>
      <c r="C13" s="145">
        <v>7</v>
      </c>
      <c r="D13" s="383"/>
      <c r="E13" s="384"/>
      <c r="F13" s="385"/>
    </row>
    <row r="14" spans="1:6" ht="15.6" x14ac:dyDescent="0.3">
      <c r="A14" s="135" t="s">
        <v>159</v>
      </c>
      <c r="B14" s="136">
        <v>0</v>
      </c>
      <c r="C14" s="145">
        <v>15</v>
      </c>
      <c r="D14" s="383"/>
      <c r="E14" s="384"/>
      <c r="F14" s="385"/>
    </row>
    <row r="15" spans="1:6" ht="16.2" thickBot="1" x14ac:dyDescent="0.35">
      <c r="A15" s="143" t="s">
        <v>160</v>
      </c>
      <c r="B15" s="137">
        <v>0</v>
      </c>
      <c r="C15" s="146">
        <v>0</v>
      </c>
      <c r="D15" s="386"/>
      <c r="E15" s="387"/>
      <c r="F15" s="388"/>
    </row>
    <row r="16" spans="1:6" ht="16.8" thickTop="1" thickBot="1" x14ac:dyDescent="0.35">
      <c r="A16" s="149" t="s">
        <v>161</v>
      </c>
      <c r="B16" s="150">
        <v>35</v>
      </c>
      <c r="C16" s="151">
        <f>C9+C10+C11+C12+C13+C14+C15</f>
        <v>57</v>
      </c>
      <c r="D16" s="153">
        <f>IF(C16&lt;B16,B16-C16,0)</f>
        <v>0</v>
      </c>
      <c r="E16" s="154">
        <f>IF(D16&gt;0,0,IF((C16-B16)&gt;8,8,(C16-B16)))</f>
        <v>8</v>
      </c>
      <c r="F16" s="152">
        <f>IF((C16-B16)&gt;8,(C16-B16)-E16,0)</f>
        <v>14</v>
      </c>
    </row>
    <row r="17" spans="3:6" ht="16.8" thickTop="1" thickBot="1" x14ac:dyDescent="0.35">
      <c r="C17" s="159" t="s">
        <v>172</v>
      </c>
      <c r="D17" s="160">
        <f>D16*$C$4</f>
        <v>0</v>
      </c>
      <c r="E17" s="162">
        <f>E16*$C$4*1.25</f>
        <v>131.86813186813188</v>
      </c>
      <c r="F17" s="163">
        <f>F16*$C$4*1.5</f>
        <v>276.92307692307696</v>
      </c>
    </row>
    <row r="18" spans="3:6" ht="19.2" thickTop="1" thickBot="1" x14ac:dyDescent="0.4">
      <c r="E18" s="164" t="s">
        <v>161</v>
      </c>
      <c r="F18" s="165">
        <f>D17+E17+F17</f>
        <v>408.79120879120887</v>
      </c>
    </row>
    <row r="19" spans="3:6" ht="15" thickTop="1" x14ac:dyDescent="0.3"/>
  </sheetData>
  <mergeCells count="3">
    <mergeCell ref="D7:F7"/>
    <mergeCell ref="D9:F15"/>
    <mergeCell ref="A1:F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96B19-6014-4699-8FDE-999714AF4DA2}">
  <sheetPr codeName="Feuil7"/>
  <dimension ref="A1:H19"/>
  <sheetViews>
    <sheetView workbookViewId="0">
      <selection activeCell="D8" sqref="D8"/>
    </sheetView>
  </sheetViews>
  <sheetFormatPr baseColWidth="10" defaultRowHeight="14.4" x14ac:dyDescent="0.3"/>
  <cols>
    <col min="1" max="1" width="18.44140625" bestFit="1" customWidth="1"/>
    <col min="2" max="2" width="32.33203125" bestFit="1" customWidth="1"/>
    <col min="3" max="3" width="19.5546875" bestFit="1" customWidth="1"/>
    <col min="4" max="4" width="19.88671875" customWidth="1"/>
    <col min="5" max="5" width="15.6640625" customWidth="1"/>
    <col min="6" max="6" width="16.6640625" customWidth="1"/>
    <col min="7" max="7" width="15.88671875" customWidth="1"/>
  </cols>
  <sheetData>
    <row r="1" spans="1:7" ht="23.4" x14ac:dyDescent="0.3">
      <c r="A1" s="389" t="s">
        <v>173</v>
      </c>
      <c r="B1" s="389"/>
      <c r="C1" s="389"/>
      <c r="D1" s="389"/>
      <c r="E1" s="389"/>
      <c r="F1" s="389"/>
      <c r="G1" s="389"/>
    </row>
    <row r="3" spans="1:7" ht="15.6" x14ac:dyDescent="0.3">
      <c r="A3" s="155" t="s">
        <v>118</v>
      </c>
      <c r="B3" s="156" t="s">
        <v>170</v>
      </c>
      <c r="C3" s="157" t="s">
        <v>171</v>
      </c>
    </row>
    <row r="4" spans="1:7" x14ac:dyDescent="0.3">
      <c r="A4" s="326">
        <f>'BULLETIN DETAILLE'!D19</f>
        <v>2000</v>
      </c>
      <c r="B4" s="167">
        <f>B16*52/12</f>
        <v>91</v>
      </c>
      <c r="C4" s="158">
        <f>IF(B4&lt;151,A4/B4,FALSE)</f>
        <v>21.978021978021978</v>
      </c>
    </row>
    <row r="6" spans="1:7" ht="15" thickBot="1" x14ac:dyDescent="0.35"/>
    <row r="7" spans="1:7" ht="22.2" thickTop="1" thickBot="1" x14ac:dyDescent="0.35">
      <c r="D7" s="377" t="s">
        <v>217</v>
      </c>
      <c r="E7" s="378"/>
      <c r="F7" s="378"/>
      <c r="G7" s="379"/>
    </row>
    <row r="8" spans="1:7" ht="31.8" thickTop="1" x14ac:dyDescent="0.3">
      <c r="A8" s="134" t="s">
        <v>162</v>
      </c>
      <c r="B8" s="140" t="s">
        <v>164</v>
      </c>
      <c r="C8" s="144" t="s">
        <v>165</v>
      </c>
      <c r="D8" s="147" t="s">
        <v>169</v>
      </c>
      <c r="E8" s="141" t="s">
        <v>175</v>
      </c>
      <c r="F8" s="141" t="s">
        <v>176</v>
      </c>
      <c r="G8" s="142" t="s">
        <v>177</v>
      </c>
    </row>
    <row r="9" spans="1:7" ht="15.6" x14ac:dyDescent="0.3">
      <c r="A9" s="138" t="s">
        <v>155</v>
      </c>
      <c r="B9" s="139">
        <v>7</v>
      </c>
      <c r="C9" s="148">
        <v>7</v>
      </c>
      <c r="D9" s="380"/>
      <c r="E9" s="381"/>
      <c r="F9" s="381"/>
      <c r="G9" s="382"/>
    </row>
    <row r="10" spans="1:7" ht="15.6" x14ac:dyDescent="0.3">
      <c r="A10" s="135" t="s">
        <v>163</v>
      </c>
      <c r="B10" s="136">
        <v>7</v>
      </c>
      <c r="C10" s="145">
        <v>0</v>
      </c>
      <c r="D10" s="383"/>
      <c r="E10" s="384"/>
      <c r="F10" s="384"/>
      <c r="G10" s="385"/>
    </row>
    <row r="11" spans="1:7" ht="15.6" x14ac:dyDescent="0.3">
      <c r="A11" s="135" t="s">
        <v>156</v>
      </c>
      <c r="B11" s="136">
        <v>0</v>
      </c>
      <c r="C11" s="145">
        <v>0</v>
      </c>
      <c r="D11" s="383"/>
      <c r="E11" s="384"/>
      <c r="F11" s="384"/>
      <c r="G11" s="385"/>
    </row>
    <row r="12" spans="1:7" ht="15.6" x14ac:dyDescent="0.3">
      <c r="A12" s="135" t="s">
        <v>157</v>
      </c>
      <c r="B12" s="136">
        <v>0</v>
      </c>
      <c r="C12" s="168">
        <v>7</v>
      </c>
      <c r="D12" s="383"/>
      <c r="E12" s="384"/>
      <c r="F12" s="384"/>
      <c r="G12" s="385"/>
    </row>
    <row r="13" spans="1:7" ht="15.6" x14ac:dyDescent="0.3">
      <c r="A13" s="135" t="s">
        <v>158</v>
      </c>
      <c r="B13" s="136">
        <v>7</v>
      </c>
      <c r="C13" s="145">
        <v>15</v>
      </c>
      <c r="D13" s="383"/>
      <c r="E13" s="384"/>
      <c r="F13" s="384"/>
      <c r="G13" s="385"/>
    </row>
    <row r="14" spans="1:7" ht="15.6" x14ac:dyDescent="0.3">
      <c r="A14" s="135" t="s">
        <v>159</v>
      </c>
      <c r="B14" s="136">
        <v>0</v>
      </c>
      <c r="C14" s="145">
        <v>0</v>
      </c>
      <c r="D14" s="383"/>
      <c r="E14" s="384"/>
      <c r="F14" s="384"/>
      <c r="G14" s="385"/>
    </row>
    <row r="15" spans="1:7" ht="16.2" thickBot="1" x14ac:dyDescent="0.35">
      <c r="A15" s="143" t="s">
        <v>160</v>
      </c>
      <c r="B15" s="137">
        <v>0</v>
      </c>
      <c r="C15" s="146">
        <v>0</v>
      </c>
      <c r="D15" s="386"/>
      <c r="E15" s="387"/>
      <c r="F15" s="387"/>
      <c r="G15" s="388"/>
    </row>
    <row r="16" spans="1:7" ht="16.8" thickTop="1" thickBot="1" x14ac:dyDescent="0.35">
      <c r="A16" s="149" t="s">
        <v>161</v>
      </c>
      <c r="B16" s="166">
        <f>B9+B10+B11+B12+B13+B14+B15</f>
        <v>21</v>
      </c>
      <c r="C16" s="151">
        <f>C9+C10+C11+C12+C13+C14+C15</f>
        <v>29</v>
      </c>
      <c r="D16" s="153">
        <f>IF(C16&lt;B16,B16-C16,0)</f>
        <v>0</v>
      </c>
      <c r="E16" s="169">
        <f>IF(D16&gt;0,0,IF((C16-B16)&gt;B16/10,B16/10,(C16-B16)))</f>
        <v>2.1</v>
      </c>
      <c r="F16" s="169">
        <f>IF(D16&gt;0,0,IF((C16-B16)&gt;B16/3,(B16/3)-E16,(C16-B16)-E16))</f>
        <v>4.9000000000000004</v>
      </c>
      <c r="G16" s="170">
        <f>IF(D16&gt;0,0,IF((C16-B16)&lt;B16/3,(C16-B16)-F16-E16,(C16-B16)-E16-F16))</f>
        <v>1</v>
      </c>
    </row>
    <row r="17" spans="3:8" ht="16.8" thickTop="1" thickBot="1" x14ac:dyDescent="0.35">
      <c r="C17" s="159" t="s">
        <v>172</v>
      </c>
      <c r="D17" s="160">
        <f>D16*$C$4</f>
        <v>0</v>
      </c>
      <c r="E17" s="160">
        <f>E16*$C$4*1.1</f>
        <v>50.769230769230774</v>
      </c>
      <c r="F17" s="162">
        <f>F16*$C$4*1.25</f>
        <v>134.61538461538461</v>
      </c>
      <c r="G17" s="163">
        <f>G16*$C$4*1.5</f>
        <v>32.967032967032964</v>
      </c>
      <c r="H17" s="161"/>
    </row>
    <row r="18" spans="3:8" ht="19.2" thickTop="1" thickBot="1" x14ac:dyDescent="0.4">
      <c r="F18" s="164" t="s">
        <v>161</v>
      </c>
      <c r="G18" s="165">
        <f>D17+E17+F17+G17</f>
        <v>218.35164835164835</v>
      </c>
    </row>
    <row r="19" spans="3:8" ht="15" thickTop="1" x14ac:dyDescent="0.3"/>
  </sheetData>
  <mergeCells count="3">
    <mergeCell ref="D7:G7"/>
    <mergeCell ref="D9:G15"/>
    <mergeCell ref="A1:G1"/>
  </mergeCells>
  <conditionalFormatting sqref="C16">
    <cfRule type="colorScale" priority="1">
      <colorScale>
        <cfvo type="min"/>
        <cfvo type="formula" val="($B$16/10)+$B$16"/>
        <color theme="0"/>
        <color rgb="FFFF0000"/>
      </colorScale>
    </cfRule>
  </conditionalFormatting>
  <dataValidations count="2">
    <dataValidation errorStyle="warning" allowBlank="1" showInputMessage="1" showErrorMessage="1" errorTitle="FAUX" sqref="C4" xr:uid="{4DEC33CB-B111-403B-90C5-1A6316C620B4}"/>
    <dataValidation type="whole" operator="lessThan" allowBlank="1" showInputMessage="1" showErrorMessage="1" sqref="C16" xr:uid="{77D82D6F-226E-4D0F-8D75-0F5F959D3B6A}">
      <formula1>B16/10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2302E-34F7-49BE-8BB3-A6CBDC40A14C}">
  <sheetPr codeName="Feuil8"/>
  <dimension ref="A1:O19"/>
  <sheetViews>
    <sheetView workbookViewId="0">
      <selection activeCell="D8" sqref="D8"/>
    </sheetView>
  </sheetViews>
  <sheetFormatPr baseColWidth="10" defaultRowHeight="14.4" x14ac:dyDescent="0.3"/>
  <cols>
    <col min="1" max="1" width="26.6640625" bestFit="1" customWidth="1"/>
    <col min="2" max="2" width="32.33203125" bestFit="1" customWidth="1"/>
    <col min="3" max="3" width="28.33203125" bestFit="1" customWidth="1"/>
    <col min="4" max="4" width="19.5546875" bestFit="1" customWidth="1"/>
    <col min="5" max="5" width="17.109375" customWidth="1"/>
    <col min="6" max="6" width="17.6640625" customWidth="1"/>
    <col min="7" max="7" width="15.5546875" customWidth="1"/>
    <col min="8" max="8" width="16.33203125" customWidth="1"/>
  </cols>
  <sheetData>
    <row r="1" spans="1:15" ht="23.4" x14ac:dyDescent="0.3">
      <c r="A1" s="389" t="s">
        <v>174</v>
      </c>
      <c r="B1" s="389"/>
      <c r="C1" s="389"/>
      <c r="D1" s="389"/>
      <c r="E1" s="389"/>
      <c r="F1" s="389"/>
      <c r="G1" s="389"/>
      <c r="I1" s="133"/>
      <c r="J1" s="131"/>
      <c r="K1" s="131"/>
      <c r="L1" s="131"/>
      <c r="M1" s="131"/>
      <c r="N1" s="131"/>
      <c r="O1" s="132"/>
    </row>
    <row r="3" spans="1:15" ht="15.6" x14ac:dyDescent="0.3">
      <c r="A3" s="155" t="s">
        <v>118</v>
      </c>
      <c r="B3" s="156" t="s">
        <v>170</v>
      </c>
      <c r="C3" s="157" t="s">
        <v>171</v>
      </c>
    </row>
    <row r="4" spans="1:15" x14ac:dyDescent="0.3">
      <c r="A4" s="326">
        <f>'BULLETIN DETAILLE'!D19</f>
        <v>2000</v>
      </c>
      <c r="B4" s="124">
        <v>151.66999999999999</v>
      </c>
      <c r="C4" s="158">
        <f>A4/B4</f>
        <v>13.18652337311268</v>
      </c>
    </row>
    <row r="6" spans="1:15" ht="15" thickBot="1" x14ac:dyDescent="0.35"/>
    <row r="7" spans="1:15" ht="22.2" thickTop="1" thickBot="1" x14ac:dyDescent="0.35">
      <c r="D7" s="377" t="s">
        <v>217</v>
      </c>
      <c r="E7" s="378"/>
      <c r="F7" s="378"/>
      <c r="G7" s="379"/>
    </row>
    <row r="8" spans="1:15" ht="31.8" thickTop="1" x14ac:dyDescent="0.3">
      <c r="A8" s="134" t="s">
        <v>162</v>
      </c>
      <c r="B8" s="140" t="s">
        <v>164</v>
      </c>
      <c r="C8" s="144" t="s">
        <v>165</v>
      </c>
      <c r="D8" s="147" t="s">
        <v>169</v>
      </c>
      <c r="E8" s="141" t="s">
        <v>167</v>
      </c>
      <c r="F8" s="141" t="s">
        <v>166</v>
      </c>
      <c r="G8" s="142" t="s">
        <v>168</v>
      </c>
    </row>
    <row r="9" spans="1:15" ht="15.6" x14ac:dyDescent="0.3">
      <c r="A9" s="138" t="s">
        <v>155</v>
      </c>
      <c r="B9" s="139">
        <v>7</v>
      </c>
      <c r="C9" s="148">
        <v>7</v>
      </c>
      <c r="D9" s="380"/>
      <c r="E9" s="381"/>
      <c r="F9" s="381"/>
      <c r="G9" s="382"/>
    </row>
    <row r="10" spans="1:15" ht="15.6" x14ac:dyDescent="0.3">
      <c r="A10" s="135" t="s">
        <v>163</v>
      </c>
      <c r="B10" s="136">
        <v>7</v>
      </c>
      <c r="C10" s="145">
        <v>7</v>
      </c>
      <c r="D10" s="383"/>
      <c r="E10" s="384"/>
      <c r="F10" s="384"/>
      <c r="G10" s="385"/>
    </row>
    <row r="11" spans="1:15" ht="15.6" x14ac:dyDescent="0.3">
      <c r="A11" s="135" t="s">
        <v>156</v>
      </c>
      <c r="B11" s="136">
        <v>7</v>
      </c>
      <c r="C11" s="145">
        <v>7</v>
      </c>
      <c r="D11" s="383"/>
      <c r="E11" s="384"/>
      <c r="F11" s="384"/>
      <c r="G11" s="385"/>
    </row>
    <row r="12" spans="1:15" ht="15.6" x14ac:dyDescent="0.3">
      <c r="A12" s="135" t="s">
        <v>157</v>
      </c>
      <c r="B12" s="136">
        <v>7</v>
      </c>
      <c r="C12" s="145">
        <v>7</v>
      </c>
      <c r="D12" s="383"/>
      <c r="E12" s="384"/>
      <c r="F12" s="384"/>
      <c r="G12" s="385"/>
    </row>
    <row r="13" spans="1:15" ht="15.6" x14ac:dyDescent="0.3">
      <c r="A13" s="135" t="s">
        <v>158</v>
      </c>
      <c r="B13" s="136">
        <v>7</v>
      </c>
      <c r="C13" s="145">
        <v>7</v>
      </c>
      <c r="D13" s="383"/>
      <c r="E13" s="384"/>
      <c r="F13" s="384"/>
      <c r="G13" s="385"/>
    </row>
    <row r="14" spans="1:15" ht="15.6" x14ac:dyDescent="0.3">
      <c r="A14" s="135" t="s">
        <v>159</v>
      </c>
      <c r="B14" s="136">
        <v>0</v>
      </c>
      <c r="C14" s="145">
        <v>0</v>
      </c>
      <c r="D14" s="383"/>
      <c r="E14" s="384"/>
      <c r="F14" s="384"/>
      <c r="G14" s="385"/>
    </row>
    <row r="15" spans="1:15" ht="16.2" thickBot="1" x14ac:dyDescent="0.35">
      <c r="A15" s="143" t="s">
        <v>160</v>
      </c>
      <c r="B15" s="137">
        <v>0</v>
      </c>
      <c r="C15" s="146">
        <v>0</v>
      </c>
      <c r="D15" s="386"/>
      <c r="E15" s="387"/>
      <c r="F15" s="387"/>
      <c r="G15" s="388"/>
    </row>
    <row r="16" spans="1:15" ht="16.8" thickTop="1" thickBot="1" x14ac:dyDescent="0.35">
      <c r="A16" s="149" t="s">
        <v>161</v>
      </c>
      <c r="B16" s="150">
        <f>B9+B10+B11+B12+B13+B14+B15</f>
        <v>35</v>
      </c>
      <c r="C16" s="151">
        <f>C9+C10+C11+C12+C13+C14+C15</f>
        <v>35</v>
      </c>
      <c r="D16" s="153">
        <f>IF(C16&lt;B16,B16-C16,0)</f>
        <v>0</v>
      </c>
      <c r="E16" s="154">
        <f>IF(D16&gt;0,0,IF((C16-B16)&gt;4,4,(C16-B16)))</f>
        <v>0</v>
      </c>
      <c r="F16" s="154">
        <f>IF(D16&gt;0,0,IF((C16-B16)&gt;8,4,(C16-B16)-E16))</f>
        <v>0</v>
      </c>
      <c r="G16" s="152">
        <f>IF(D16&gt;0,0,IF((C16-B16)&lt;8,(C16-B16)-F16-E16,(C16-B16)-E16-F16))</f>
        <v>0</v>
      </c>
    </row>
    <row r="17" spans="3:8" ht="16.8" thickTop="1" thickBot="1" x14ac:dyDescent="0.35">
      <c r="C17" s="159" t="s">
        <v>172</v>
      </c>
      <c r="D17" s="160">
        <f>D16*$C$4</f>
        <v>0</v>
      </c>
      <c r="E17" s="160">
        <f>E16*$C$4*1.1</f>
        <v>0</v>
      </c>
      <c r="F17" s="162">
        <f>F16*$C$4*1.2</f>
        <v>0</v>
      </c>
      <c r="G17" s="163">
        <f>G16*$C$4*1.5</f>
        <v>0</v>
      </c>
      <c r="H17" s="161"/>
    </row>
    <row r="18" spans="3:8" ht="19.2" thickTop="1" thickBot="1" x14ac:dyDescent="0.4">
      <c r="F18" s="164" t="s">
        <v>161</v>
      </c>
      <c r="G18" s="165">
        <f>D17+E17+F17+G17</f>
        <v>0</v>
      </c>
    </row>
    <row r="19" spans="3:8" ht="15" thickTop="1" x14ac:dyDescent="0.3"/>
  </sheetData>
  <mergeCells count="3">
    <mergeCell ref="D7:G7"/>
    <mergeCell ref="D9:G15"/>
    <mergeCell ref="A1:G1"/>
  </mergeCells>
  <phoneticPr fontId="1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95E69-946A-4D28-ABED-782B5912E97D}">
  <sheetPr codeName="Feuil9"/>
  <dimension ref="A1:M29"/>
  <sheetViews>
    <sheetView workbookViewId="0">
      <selection activeCell="M1" sqref="M1"/>
    </sheetView>
  </sheetViews>
  <sheetFormatPr baseColWidth="10" defaultRowHeight="14.4" x14ac:dyDescent="0.3"/>
  <cols>
    <col min="4" max="4" width="14.109375" bestFit="1" customWidth="1"/>
    <col min="12" max="12" width="19.6640625" bestFit="1" customWidth="1"/>
  </cols>
  <sheetData>
    <row r="1" spans="1:13" ht="15.6" thickTop="1" thickBot="1" x14ac:dyDescent="0.35">
      <c r="A1" s="224">
        <v>2022</v>
      </c>
      <c r="B1" s="226"/>
      <c r="C1" s="225">
        <v>2021</v>
      </c>
      <c r="D1" s="226"/>
      <c r="E1" s="225">
        <v>2020</v>
      </c>
      <c r="F1" s="226"/>
      <c r="G1" s="225">
        <v>2019</v>
      </c>
      <c r="H1" s="226"/>
      <c r="I1" s="225">
        <v>2018</v>
      </c>
      <c r="J1" s="226"/>
      <c r="L1" t="s">
        <v>201</v>
      </c>
      <c r="M1" cm="1">
        <f t="array" aca="1" ref="M1" ca="1">IF(ROW(A1)&gt;COLUMNS(année)/2,"",OFFSET($A$1,,(ROW(A1)*2)-2,))</f>
        <v>2022</v>
      </c>
    </row>
    <row r="2" spans="1:13" ht="15" thickTop="1" x14ac:dyDescent="0.3">
      <c r="A2" s="227" t="s">
        <v>189</v>
      </c>
      <c r="B2" s="215">
        <v>11.07</v>
      </c>
      <c r="C2" s="216" t="s">
        <v>189</v>
      </c>
      <c r="D2" s="217">
        <v>10.48</v>
      </c>
      <c r="E2" s="218" t="s">
        <v>189</v>
      </c>
      <c r="F2" s="219">
        <v>10.15</v>
      </c>
      <c r="G2" s="220" t="s">
        <v>189</v>
      </c>
      <c r="H2" s="221">
        <v>10.029999999999999</v>
      </c>
      <c r="I2" s="222" t="s">
        <v>189</v>
      </c>
      <c r="J2" s="223">
        <v>9.8800000000000008</v>
      </c>
      <c r="M2" cm="1">
        <f t="array" aca="1" ref="M2" ca="1">IF(ROW(A2)&gt;COLUMNS(année)/2,"",OFFSET($A$1,,(ROW(A2)*2)-2,))</f>
        <v>2021</v>
      </c>
    </row>
    <row r="3" spans="1:13" x14ac:dyDescent="0.3">
      <c r="A3" s="228" t="s">
        <v>198</v>
      </c>
      <c r="B3" s="203">
        <v>11.07</v>
      </c>
      <c r="C3" s="205" t="s">
        <v>198</v>
      </c>
      <c r="D3" s="206">
        <v>10.48</v>
      </c>
      <c r="E3" s="210" t="s">
        <v>198</v>
      </c>
      <c r="F3" s="209">
        <v>10.15</v>
      </c>
      <c r="G3" s="201" t="s">
        <v>198</v>
      </c>
      <c r="H3" s="202">
        <v>10.029999999999999</v>
      </c>
      <c r="I3" s="211" t="s">
        <v>198</v>
      </c>
      <c r="J3" s="212">
        <v>9.8800000000000008</v>
      </c>
      <c r="M3" cm="1">
        <f t="array" aca="1" ref="M3" ca="1">IF(ROW(A3)&gt;COLUMNS(année)/2,"",OFFSET($A$1,,(ROW(A3)*2)-2,))</f>
        <v>2020</v>
      </c>
    </row>
    <row r="4" spans="1:13" x14ac:dyDescent="0.3">
      <c r="A4" s="228" t="s">
        <v>197</v>
      </c>
      <c r="B4" s="203">
        <v>11.07</v>
      </c>
      <c r="C4" s="205" t="s">
        <v>197</v>
      </c>
      <c r="D4" s="206">
        <v>10.48</v>
      </c>
      <c r="E4" s="210" t="s">
        <v>197</v>
      </c>
      <c r="F4" s="209">
        <v>10.15</v>
      </c>
      <c r="G4" s="201" t="s">
        <v>197</v>
      </c>
      <c r="H4" s="202">
        <v>10.029999999999999</v>
      </c>
      <c r="I4" s="211" t="s">
        <v>197</v>
      </c>
      <c r="J4" s="212">
        <v>9.8800000000000008</v>
      </c>
      <c r="M4" cm="1">
        <f t="array" aca="1" ref="M4" ca="1">IF(ROW(A4)&gt;COLUMNS(année)/2,"",OFFSET($A$1,,(ROW(A4)*2)-2,))</f>
        <v>2019</v>
      </c>
    </row>
    <row r="5" spans="1:13" x14ac:dyDescent="0.3">
      <c r="A5" s="228" t="s">
        <v>196</v>
      </c>
      <c r="B5" s="203">
        <v>11.07</v>
      </c>
      <c r="C5" s="207" t="s">
        <v>196</v>
      </c>
      <c r="D5" s="208">
        <v>10.25</v>
      </c>
      <c r="E5" s="210" t="s">
        <v>196</v>
      </c>
      <c r="F5" s="209">
        <v>10.15</v>
      </c>
      <c r="G5" s="201" t="s">
        <v>196</v>
      </c>
      <c r="H5" s="202">
        <v>10.029999999999999</v>
      </c>
      <c r="I5" s="211" t="s">
        <v>196</v>
      </c>
      <c r="J5" s="212">
        <v>9.8800000000000008</v>
      </c>
      <c r="M5" cm="1">
        <f t="array" aca="1" ref="M5" ca="1">IF(ROW(A5)&gt;COLUMNS(année)/2,"",OFFSET($A$1,,(ROW(A5)*2)-2,))</f>
        <v>2018</v>
      </c>
    </row>
    <row r="6" spans="1:13" x14ac:dyDescent="0.3">
      <c r="A6" s="228" t="s">
        <v>195</v>
      </c>
      <c r="B6" s="203">
        <v>11.07</v>
      </c>
      <c r="C6" s="207" t="s">
        <v>195</v>
      </c>
      <c r="D6" s="208">
        <v>10.25</v>
      </c>
      <c r="E6" s="210" t="s">
        <v>195</v>
      </c>
      <c r="F6" s="209">
        <v>10.15</v>
      </c>
      <c r="G6" s="201" t="s">
        <v>195</v>
      </c>
      <c r="H6" s="202">
        <v>10.029999999999999</v>
      </c>
      <c r="I6" s="211" t="s">
        <v>195</v>
      </c>
      <c r="J6" s="212">
        <v>9.8800000000000008</v>
      </c>
    </row>
    <row r="7" spans="1:13" x14ac:dyDescent="0.3">
      <c r="A7" s="229" t="s">
        <v>199</v>
      </c>
      <c r="B7" s="204">
        <v>10.85</v>
      </c>
      <c r="C7" s="207" t="s">
        <v>199</v>
      </c>
      <c r="D7" s="208">
        <v>10.25</v>
      </c>
      <c r="E7" s="210" t="s">
        <v>199</v>
      </c>
      <c r="F7" s="209">
        <v>10.15</v>
      </c>
      <c r="G7" s="201" t="s">
        <v>199</v>
      </c>
      <c r="H7" s="202">
        <v>10.029999999999999</v>
      </c>
      <c r="I7" s="211" t="s">
        <v>199</v>
      </c>
      <c r="J7" s="212">
        <v>9.8800000000000008</v>
      </c>
    </row>
    <row r="8" spans="1:13" x14ac:dyDescent="0.3">
      <c r="A8" s="229" t="s">
        <v>194</v>
      </c>
      <c r="B8" s="204">
        <v>10.85</v>
      </c>
      <c r="C8" s="207" t="s">
        <v>194</v>
      </c>
      <c r="D8" s="208">
        <v>10.25</v>
      </c>
      <c r="E8" s="210" t="s">
        <v>194</v>
      </c>
      <c r="F8" s="209">
        <v>10.15</v>
      </c>
      <c r="G8" s="201" t="s">
        <v>194</v>
      </c>
      <c r="H8" s="202">
        <v>10.029999999999999</v>
      </c>
      <c r="I8" s="211" t="s">
        <v>194</v>
      </c>
      <c r="J8" s="212">
        <v>9.8800000000000008</v>
      </c>
    </row>
    <row r="9" spans="1:13" x14ac:dyDescent="0.3">
      <c r="A9" s="229" t="s">
        <v>188</v>
      </c>
      <c r="B9" s="204">
        <v>10.85</v>
      </c>
      <c r="C9" s="207" t="s">
        <v>188</v>
      </c>
      <c r="D9" s="208">
        <v>10.25</v>
      </c>
      <c r="E9" s="210" t="s">
        <v>188</v>
      </c>
      <c r="F9" s="209">
        <v>10.15</v>
      </c>
      <c r="G9" s="201" t="s">
        <v>188</v>
      </c>
      <c r="H9" s="202">
        <v>10.029999999999999</v>
      </c>
      <c r="I9" s="211" t="s">
        <v>188</v>
      </c>
      <c r="J9" s="212">
        <v>9.8800000000000008</v>
      </c>
    </row>
    <row r="10" spans="1:13" x14ac:dyDescent="0.3">
      <c r="A10" s="230" t="s">
        <v>193</v>
      </c>
      <c r="B10" s="202">
        <v>10.57</v>
      </c>
      <c r="C10" s="207" t="s">
        <v>193</v>
      </c>
      <c r="D10" s="208">
        <v>10.25</v>
      </c>
      <c r="E10" s="210" t="s">
        <v>193</v>
      </c>
      <c r="F10" s="209">
        <v>10.15</v>
      </c>
      <c r="G10" s="201" t="s">
        <v>193</v>
      </c>
      <c r="H10" s="202">
        <v>10.029999999999999</v>
      </c>
      <c r="I10" s="211" t="s">
        <v>193</v>
      </c>
      <c r="J10" s="212">
        <v>9.8800000000000008</v>
      </c>
    </row>
    <row r="11" spans="1:13" x14ac:dyDescent="0.3">
      <c r="A11" s="230" t="s">
        <v>192</v>
      </c>
      <c r="B11" s="202">
        <v>10.57</v>
      </c>
      <c r="C11" s="207" t="s">
        <v>192</v>
      </c>
      <c r="D11" s="208">
        <v>10.25</v>
      </c>
      <c r="E11" s="210" t="s">
        <v>192</v>
      </c>
      <c r="F11" s="209">
        <v>10.15</v>
      </c>
      <c r="G11" s="201" t="s">
        <v>192</v>
      </c>
      <c r="H11" s="202">
        <v>10.029999999999999</v>
      </c>
      <c r="I11" s="211" t="s">
        <v>192</v>
      </c>
      <c r="J11" s="212">
        <v>9.8800000000000008</v>
      </c>
    </row>
    <row r="12" spans="1:13" x14ac:dyDescent="0.3">
      <c r="A12" s="230" t="s">
        <v>191</v>
      </c>
      <c r="B12" s="202">
        <v>10.57</v>
      </c>
      <c r="C12" s="207" t="s">
        <v>191</v>
      </c>
      <c r="D12" s="208">
        <v>10.25</v>
      </c>
      <c r="E12" s="210" t="s">
        <v>191</v>
      </c>
      <c r="F12" s="209">
        <v>10.15</v>
      </c>
      <c r="G12" s="201" t="s">
        <v>191</v>
      </c>
      <c r="H12" s="202">
        <v>10.029999999999999</v>
      </c>
      <c r="I12" s="211" t="s">
        <v>191</v>
      </c>
      <c r="J12" s="212">
        <v>9.8800000000000008</v>
      </c>
    </row>
    <row r="13" spans="1:13" ht="15" thickBot="1" x14ac:dyDescent="0.35">
      <c r="A13" s="231" t="s">
        <v>190</v>
      </c>
      <c r="B13" s="232">
        <v>10.57</v>
      </c>
      <c r="C13" s="233" t="s">
        <v>190</v>
      </c>
      <c r="D13" s="234">
        <v>10.25</v>
      </c>
      <c r="E13" s="235" t="s">
        <v>190</v>
      </c>
      <c r="F13" s="236">
        <v>10.15</v>
      </c>
      <c r="G13" s="237" t="s">
        <v>190</v>
      </c>
      <c r="H13" s="232">
        <v>10.029999999999999</v>
      </c>
      <c r="I13" s="213" t="s">
        <v>190</v>
      </c>
      <c r="J13" s="214">
        <v>9.8800000000000008</v>
      </c>
    </row>
    <row r="14" spans="1:13" ht="15" thickTop="1" x14ac:dyDescent="0.3"/>
    <row r="16" spans="1:13" x14ac:dyDescent="0.3">
      <c r="E16" s="238"/>
    </row>
    <row r="17" spans="4:5" x14ac:dyDescent="0.3">
      <c r="D17" s="238"/>
    </row>
    <row r="18" spans="4:5" x14ac:dyDescent="0.3">
      <c r="E18" s="238"/>
    </row>
    <row r="19" spans="4:5" x14ac:dyDescent="0.3">
      <c r="E19" s="238"/>
    </row>
    <row r="20" spans="4:5" x14ac:dyDescent="0.3">
      <c r="E20" s="238"/>
    </row>
    <row r="21" spans="4:5" x14ac:dyDescent="0.3">
      <c r="E21" s="238"/>
    </row>
    <row r="22" spans="4:5" x14ac:dyDescent="0.3">
      <c r="E22" s="238"/>
    </row>
    <row r="23" spans="4:5" x14ac:dyDescent="0.3">
      <c r="E23" s="238"/>
    </row>
    <row r="24" spans="4:5" x14ac:dyDescent="0.3">
      <c r="E24" s="238"/>
    </row>
    <row r="25" spans="4:5" x14ac:dyDescent="0.3">
      <c r="E25" s="238"/>
    </row>
    <row r="26" spans="4:5" x14ac:dyDescent="0.3">
      <c r="E26" s="238"/>
    </row>
    <row r="27" spans="4:5" x14ac:dyDescent="0.3">
      <c r="E27" s="238"/>
    </row>
    <row r="28" spans="4:5" x14ac:dyDescent="0.3">
      <c r="E28" s="238"/>
    </row>
    <row r="29" spans="4:5" x14ac:dyDescent="0.3">
      <c r="E29" s="238"/>
    </row>
  </sheetData>
  <phoneticPr fontId="13" type="noConversion"/>
  <dataValidations count="2">
    <dataValidation type="date" allowBlank="1" showInputMessage="1" showErrorMessage="1" sqref="H1:H16 H18:H1048576" xr:uid="{64C7CA33-2474-457F-9274-023A2220F663}">
      <formula1>H5</formula1>
      <formula2>H16</formula2>
    </dataValidation>
    <dataValidation type="date" allowBlank="1" showInputMessage="1" showErrorMessage="1" sqref="H17" xr:uid="{7590C049-4F15-4C89-AC39-1D7C79236198}">
      <formula1>H17</formula1>
      <formula2>H32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35</vt:i4>
      </vt:variant>
    </vt:vector>
  </HeadingPairs>
  <TitlesOfParts>
    <vt:vector size="46" baseType="lpstr">
      <vt:lpstr>BULLETIN DETAILLE</vt:lpstr>
      <vt:lpstr>Maladie</vt:lpstr>
      <vt:lpstr>Evenements</vt:lpstr>
      <vt:lpstr>Fériés</vt:lpstr>
      <vt:lpstr>COTISATION</vt:lpstr>
      <vt:lpstr>Plafond sécu</vt:lpstr>
      <vt:lpstr>FILLION</vt:lpstr>
      <vt:lpstr>HS CODE DU TRAVAIL</vt:lpstr>
      <vt:lpstr>HC</vt:lpstr>
      <vt:lpstr>HS-HCR</vt:lpstr>
      <vt:lpstr>SMIC</vt:lpstr>
      <vt:lpstr>année</vt:lpstr>
      <vt:lpstr>août</vt:lpstr>
      <vt:lpstr>avril</vt:lpstr>
      <vt:lpstr>boisson</vt:lpstr>
      <vt:lpstr>brillant_savarin</vt:lpstr>
      <vt:lpstr>compté</vt:lpstr>
      <vt:lpstr>COTIS</vt:lpstr>
      <vt:lpstr>couteau</vt:lpstr>
      <vt:lpstr>décembre</vt:lpstr>
      <vt:lpstr>dirigeant</vt:lpstr>
      <vt:lpstr>février</vt:lpstr>
      <vt:lpstr>fromage</vt:lpstr>
      <vt:lpstr>gateau</vt:lpstr>
      <vt:lpstr>janvier</vt:lpstr>
      <vt:lpstr>juilllet</vt:lpstr>
      <vt:lpstr>juin</vt:lpstr>
      <vt:lpstr>mai</vt:lpstr>
      <vt:lpstr>mars</vt:lpstr>
      <vt:lpstr>MUT</vt:lpstr>
      <vt:lpstr>novembre</vt:lpstr>
      <vt:lpstr>octobre</vt:lpstr>
      <vt:lpstr>PAT</vt:lpstr>
      <vt:lpstr>PREVT1</vt:lpstr>
      <vt:lpstr>PREVT2</vt:lpstr>
      <vt:lpstr>RETENUES_NONDEDUCT</vt:lpstr>
      <vt:lpstr>RETENUESDEDUCTIBLES</vt:lpstr>
      <vt:lpstr>SAL</vt:lpstr>
      <vt:lpstr>SALAIREBRUT</vt:lpstr>
      <vt:lpstr>septembre</vt:lpstr>
      <vt:lpstr>st_marcellin</vt:lpstr>
      <vt:lpstr>STATUT</vt:lpstr>
      <vt:lpstr>TAB</vt:lpstr>
      <vt:lpstr>TOTAL_COTISATIONS_SALARIALES</vt:lpstr>
      <vt:lpstr>verre</vt:lpstr>
      <vt:lpstr>vin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2015-06-05T18:19:34Z</dcterms:created>
  <dcterms:modified xsi:type="dcterms:W3CDTF">2022-12-16T05:11:12Z</dcterms:modified>
</cp:coreProperties>
</file>