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7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A0BCE31-03B5-4425-80DF-DFDBEDEB77D7}" xr6:coauthVersionLast="36" xr6:coauthVersionMax="36" xr10:uidLastSave="{00000000-0000-0000-0000-000000000000}"/>
  <bookViews>
    <workbookView xWindow="0" yWindow="0" windowWidth="23040" windowHeight="9048" activeTab="3" xr2:uid="{00000000-000D-0000-FFFF-FFFF00000000}"/>
  </bookViews>
  <sheets>
    <sheet name="Loyer" sheetId="1" r:id="rId1"/>
    <sheet name="Habitation" sheetId="2" r:id="rId2"/>
    <sheet name="Foncier" sheetId="3" r:id="rId3"/>
    <sheet name="Synthèse" sheetId="5" r:id="rId4"/>
  </sheets>
  <calcPr calcId="191029"/>
</workbook>
</file>

<file path=xl/calcChain.xml><?xml version="1.0" encoding="utf-8"?>
<calcChain xmlns="http://schemas.openxmlformats.org/spreadsheetml/2006/main">
  <c r="X7" i="2" l="1"/>
  <c r="X7" i="3"/>
  <c r="X8" i="3"/>
  <c r="X7" i="1"/>
  <c r="X8" i="1"/>
  <c r="X9" i="1"/>
  <c r="U8" i="3"/>
  <c r="Y8" i="3" s="1"/>
  <c r="V8" i="3"/>
  <c r="W8" i="3" l="1"/>
  <c r="V7" i="3"/>
  <c r="U7" i="3"/>
  <c r="Y7" i="3" s="1"/>
  <c r="C4" i="3"/>
  <c r="V7" i="2"/>
  <c r="U7" i="2"/>
  <c r="Y7" i="2" s="1"/>
  <c r="C4" i="2"/>
  <c r="U7" i="1"/>
  <c r="Y7" i="1" s="1"/>
  <c r="V7" i="1"/>
  <c r="U8" i="1"/>
  <c r="U9" i="1"/>
  <c r="Y9" i="1" s="1"/>
  <c r="V8" i="1"/>
  <c r="V9" i="1"/>
  <c r="G3" i="5" l="1"/>
  <c r="Y8" i="1"/>
  <c r="H2" i="5"/>
  <c r="G4" i="5"/>
  <c r="G2" i="5"/>
  <c r="I2" i="5" s="1"/>
  <c r="H4" i="5"/>
  <c r="H3" i="5"/>
  <c r="I3" i="5" s="1"/>
  <c r="W7" i="3"/>
  <c r="W7" i="2"/>
  <c r="W8" i="1"/>
  <c r="W7" i="1"/>
  <c r="W9" i="1"/>
  <c r="I4" i="5" l="1"/>
  <c r="C4" i="1"/>
</calcChain>
</file>

<file path=xl/sharedStrings.xml><?xml version="1.0" encoding="utf-8"?>
<sst xmlns="http://schemas.openxmlformats.org/spreadsheetml/2006/main" count="119" uniqueCount="43">
  <si>
    <t xml:space="preserve">Aujourd'hui : </t>
  </si>
  <si>
    <t>NOM</t>
  </si>
  <si>
    <t>Prénoms</t>
  </si>
  <si>
    <t>N° CNI</t>
  </si>
  <si>
    <t>TELEPHONE</t>
  </si>
  <si>
    <t>ACTIVITES</t>
  </si>
  <si>
    <t>SUPERFICIE</t>
  </si>
  <si>
    <t>LOYER MENSUEL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</si>
  <si>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</si>
  <si>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</si>
  <si>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</si>
  <si>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</si>
  <si>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</si>
  <si>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</si>
  <si>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</si>
  <si>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</si>
  <si>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</si>
  <si>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</si>
  <si>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</si>
  <si>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</si>
  <si>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Reste dû</t>
  </si>
  <si>
    <t xml:space="preserve">Commentaire </t>
  </si>
  <si>
    <t>Versements attendus</t>
  </si>
  <si>
    <t>MENSUALITE</t>
  </si>
  <si>
    <t>Payé</t>
  </si>
  <si>
    <t>Dû</t>
  </si>
  <si>
    <t>Solde</t>
  </si>
  <si>
    <t>Nom1</t>
  </si>
  <si>
    <t>Nom2</t>
  </si>
  <si>
    <t>Versements effectués</t>
  </si>
  <si>
    <t>Nom3</t>
  </si>
  <si>
    <t>Nom4</t>
  </si>
  <si>
    <t>Prénom1</t>
  </si>
  <si>
    <t>Retraité</t>
  </si>
  <si>
    <t>DRH</t>
  </si>
  <si>
    <t>Prénom3</t>
  </si>
  <si>
    <t>maçon</t>
  </si>
  <si>
    <t>12 34 56 98</t>
  </si>
  <si>
    <t>78 96 54 12</t>
  </si>
  <si>
    <t>96 32 58 74</t>
  </si>
  <si>
    <t>Prénom2</t>
  </si>
  <si>
    <t>Versement annuel attendu</t>
  </si>
  <si>
    <t>Reste à payer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</si>
</sst>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\ _€"/>
    <numFmt numFmtId="166" formatCode="00\ 00\ 00\ 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0"/>
      <name val="Arial"/>
      <family val="2"/>
    </font>
    <font>
      <sz val="16"/>
      <color theme="0"/>
      <name val="Calibri"/>
      <family val="2"/>
      <scheme val="minor"/>
    </font>
    <font>
      <b/>
      <sz val="12"/>
      <color rgb="FF002060"/>
      <name val="Arial"/>
      <family val="2"/>
    </font>
    <font>
      <sz val="11"/>
      <color theme="1"/>
      <name val="Arial"/>
      <family val="2"/>
    </font>
    <font>
      <sz val="11"/>
      <color theme="1"/>
      <name val="Arial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00BBCC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hair">
        <color rgb="FF990033"/>
      </left>
      <right style="hair">
        <color rgb="FF990033"/>
      </right>
      <top style="hair">
        <color rgb="FF990033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rgb="FF990033"/>
      </left>
      <right style="hair">
        <color rgb="FF990033"/>
      </right>
      <top/>
      <bottom style="thin">
        <color theme="4" tint="0.3999755851924192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164" fontId="5" fillId="5" borderId="2" applyNumberFormat="0" applyProtection="0"/>
    <xf numFmtId="0" fontId="5" fillId="6" borderId="1">
      <alignment horizontal="center" vertical="center" wrapText="1"/>
      <protection hidden="1"/>
    </xf>
  </cellStyleXfs>
  <cellXfs count="43">
    <xf numFmtId="0" fontId="0" fillId="0" borderId="0" xfId="0"/>
    <xf numFmtId="0" fontId="3" fillId="3" borderId="0" xfId="0" applyFont="1" applyFill="1"/>
    <xf numFmtId="0" fontId="0" fillId="3" borderId="0" xfId="0" applyFill="1"/>
    <xf numFmtId="0" fontId="0" fillId="3" borderId="0" xfId="0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/>
    <xf numFmtId="0" fontId="3" fillId="3" borderId="0" xfId="0" applyFont="1" applyFill="1" applyBorder="1"/>
    <xf numFmtId="0" fontId="5" fillId="4" borderId="1" xfId="0" applyFont="1" applyFill="1" applyBorder="1" applyAlignment="1" applyProtection="1">
      <alignment horizontal="center" vertical="center" wrapText="1"/>
      <protection hidden="1"/>
    </xf>
    <xf numFmtId="165" fontId="5" fillId="5" borderId="2" xfId="3" applyNumberFormat="1" applyAlignment="1" applyProtection="1">
      <alignment horizontal="center" vertical="center" wrapText="1"/>
      <protection hidden="1"/>
    </xf>
    <xf numFmtId="165" fontId="6" fillId="2" borderId="1" xfId="2" applyNumberFormat="1" applyFont="1" applyBorder="1" applyAlignment="1" applyProtection="1">
      <alignment horizontal="center" vertical="center" wrapText="1"/>
      <protection hidden="1"/>
    </xf>
    <xf numFmtId="0" fontId="5" fillId="6" borderId="1" xfId="4">
      <alignment horizontal="center" vertical="center" wrapText="1"/>
      <protection hidden="1"/>
    </xf>
    <xf numFmtId="0" fontId="0" fillId="3" borderId="0" xfId="0" applyFill="1" applyAlignment="1">
      <alignment wrapText="1"/>
    </xf>
    <xf numFmtId="164" fontId="7" fillId="0" borderId="0" xfId="0" applyNumberFormat="1" applyFont="1" applyFill="1" applyBorder="1" applyAlignment="1">
      <alignment wrapText="1"/>
    </xf>
    <xf numFmtId="165" fontId="8" fillId="0" borderId="3" xfId="0" applyNumberFormat="1" applyFont="1" applyFill="1" applyBorder="1" applyAlignment="1">
      <alignment vertical="center"/>
    </xf>
    <xf numFmtId="165" fontId="8" fillId="0" borderId="3" xfId="0" applyNumberFormat="1" applyFont="1" applyFill="1" applyBorder="1" applyAlignment="1">
      <alignment vertical="top"/>
    </xf>
    <xf numFmtId="165" fontId="8" fillId="0" borderId="3" xfId="0" applyNumberFormat="1" applyFont="1" applyFill="1" applyBorder="1" applyAlignment="1" applyProtection="1">
      <alignment vertical="center"/>
      <protection locked="0"/>
    </xf>
    <xf numFmtId="164" fontId="8" fillId="0" borderId="3" xfId="1" applyNumberFormat="1" applyFont="1" applyFill="1" applyBorder="1" applyAlignment="1">
      <alignment vertical="center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165" fontId="8" fillId="0" borderId="4" xfId="0" applyNumberFormat="1" applyFont="1" applyFill="1" applyBorder="1" applyAlignment="1">
      <alignment vertical="center"/>
    </xf>
    <xf numFmtId="165" fontId="8" fillId="0" borderId="4" xfId="0" applyNumberFormat="1" applyFont="1" applyFill="1" applyBorder="1" applyAlignment="1" applyProtection="1">
      <alignment vertical="center"/>
      <protection locked="0"/>
    </xf>
    <xf numFmtId="0" fontId="5" fillId="4" borderId="5" xfId="0" applyFont="1" applyFill="1" applyBorder="1" applyAlignment="1">
      <alignment horizontal="center" vertical="center" wrapText="1"/>
    </xf>
    <xf numFmtId="164" fontId="5" fillId="4" borderId="5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/>
    <xf numFmtId="165" fontId="0" fillId="0" borderId="0" xfId="0" applyNumberFormat="1" applyFill="1" applyBorder="1"/>
    <xf numFmtId="164" fontId="0" fillId="0" borderId="0" xfId="1" applyNumberFormat="1" applyFont="1" applyFill="1" applyBorder="1"/>
    <xf numFmtId="0" fontId="0" fillId="0" borderId="0" xfId="0" applyFill="1" applyBorder="1"/>
    <xf numFmtId="166" fontId="0" fillId="3" borderId="0" xfId="0" applyNumberFormat="1" applyFill="1" applyAlignment="1">
      <alignment horizontal="center"/>
    </xf>
    <xf numFmtId="166" fontId="5" fillId="4" borderId="1" xfId="0" applyNumberFormat="1" applyFont="1" applyFill="1" applyBorder="1" applyAlignment="1" applyProtection="1">
      <alignment horizontal="center" vertical="center" wrapText="1"/>
      <protection hidden="1"/>
    </xf>
    <xf numFmtId="166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5" fillId="6" borderId="1" xfId="4" applyAlignment="1">
      <alignment horizontal="center" vertical="center" wrapText="1"/>
      <protection hidden="1"/>
    </xf>
    <xf numFmtId="165" fontId="8" fillId="0" borderId="3" xfId="0" applyNumberFormat="1" applyFont="1" applyFill="1" applyBorder="1" applyAlignment="1">
      <alignment horizontal="center" vertical="center"/>
    </xf>
    <xf numFmtId="165" fontId="8" fillId="0" borderId="3" xfId="0" applyNumberFormat="1" applyFont="1" applyFill="1" applyBorder="1" applyAlignment="1" applyProtection="1">
      <alignment horizontal="center" vertical="center"/>
      <protection locked="0"/>
    </xf>
    <xf numFmtId="164" fontId="8" fillId="0" borderId="3" xfId="1" applyNumberFormat="1" applyFont="1" applyFill="1" applyBorder="1" applyAlignment="1">
      <alignment horizontal="center" vertical="center"/>
    </xf>
    <xf numFmtId="165" fontId="9" fillId="0" borderId="3" xfId="0" applyNumberFormat="1" applyFont="1" applyFill="1" applyBorder="1" applyAlignment="1">
      <alignment horizontal="center" vertical="center"/>
    </xf>
    <xf numFmtId="165" fontId="9" fillId="0" borderId="3" xfId="0" applyNumberFormat="1" applyFont="1" applyFill="1" applyBorder="1" applyAlignment="1" applyProtection="1">
      <alignment horizontal="center" vertical="center"/>
      <protection locked="0"/>
    </xf>
    <xf numFmtId="166" fontId="5" fillId="4" borderId="5" xfId="0" applyNumberFormat="1" applyFont="1" applyFill="1" applyBorder="1" applyAlignment="1">
      <alignment horizontal="center" vertical="center" wrapText="1"/>
    </xf>
    <xf numFmtId="164" fontId="10" fillId="0" borderId="0" xfId="0" applyNumberFormat="1" applyFont="1"/>
    <xf numFmtId="164" fontId="0" fillId="0" borderId="0" xfId="1" applyNumberFormat="1" applyFont="1" applyFill="1" applyBorder="1" applyAlignment="1">
      <alignment horizontal="center"/>
    </xf>
  </cellXfs>
  <cellStyles count="5">
    <cellStyle name="Accent6" xfId="2" builtinId="49"/>
    <cellStyle name="Bleu Clair" xfId="3" xr:uid="{00000000-0005-0000-0000-000001000000}"/>
    <cellStyle name="Monétaire" xfId="1" builtinId="4"/>
    <cellStyle name="Normal" xfId="0" builtinId="0"/>
    <cellStyle name="Style 1" xfId="4" xr:uid="{00000000-0005-0000-0000-000004000000}"/>
  </cellStyles>
  <dxfs count="186"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</font>
      <numFmt numFmtId="164" formatCode="#,##0.00\ &quot;€&quot;"/>
    </dxf>
    <dxf>
      <numFmt numFmtId="164" formatCode="#,##0.00\ &quot;€&quot;"/>
    </dxf>
    <dxf>
      <alignment horizontal="center" textRotation="0" indent="0" justifyLastLine="0" shrinkToFit="0" readingOrder="0"/>
    </dxf>
    <dxf>
      <numFmt numFmtId="166" formatCode="00\ 00\ 00\ 00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numFmt numFmtId="165" formatCode="#,##0\ _€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numFmt numFmtId="165" formatCode="#,##0\ _€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numFmt numFmtId="166" formatCode="00\ 00\ 00\ 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</dxf>
    <dxf>
      <border outline="0">
        <bottom style="thin">
          <color theme="4" tint="0.39997558519241921"/>
        </bottom>
      </border>
    </dxf>
    <dxf>
      <border outline="0">
        <top style="hair">
          <color rgb="FF990033"/>
        </top>
      </border>
    </dxf>
    <dxf>
      <fill>
        <patternFill patternType="none">
          <fgColor indexed="64"/>
          <bgColor auto="1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numFmt numFmtId="165" formatCode="#,##0\ _€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numFmt numFmtId="165" formatCode="#,##0\ _€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hair">
          <color rgb="FF99003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  <dxf>
      <fill>
        <patternFill patternType="none">
          <fgColor indexed="64"/>
          <bgColor auto="1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numFmt numFmtId="165" formatCode="#,##0\ _€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numFmt numFmtId="165" formatCode="#,##0\ _€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hair">
          <color rgb="FF99003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  <dxf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hair">
          <color rgb="FF99003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Page d''acceuil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Page d''acceuil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Page d''acceuil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0</xdr:rowOff>
    </xdr:from>
    <xdr:to>
      <xdr:col>0</xdr:col>
      <xdr:colOff>762000</xdr:colOff>
      <xdr:row>5</xdr:row>
      <xdr:rowOff>38100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0"/>
          <a:ext cx="1038225" cy="1038225"/>
        </a:xfrm>
        <a:prstGeom prst="rect">
          <a:avLst/>
        </a:prstGeom>
      </xdr:spPr>
    </xdr:pic>
    <xdr:clientData/>
  </xdr:twoCellAnchor>
  <xdr:twoCellAnchor>
    <xdr:from>
      <xdr:col>1</xdr:col>
      <xdr:colOff>731520</xdr:colOff>
      <xdr:row>0</xdr:row>
      <xdr:rowOff>83820</xdr:rowOff>
    </xdr:from>
    <xdr:to>
      <xdr:col>2</xdr:col>
      <xdr:colOff>853440</xdr:colOff>
      <xdr:row>2</xdr:row>
      <xdr:rowOff>83820</xdr:rowOff>
    </xdr:to>
    <xdr:sp macro="[0]!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5813346-5BD8-466E-89D8-850278F219BB}"/>
            </a:ext>
          </a:extLst>
        </xdr:cNvPr>
        <xdr:cNvSpPr/>
      </xdr:nvSpPr>
      <xdr:spPr>
        <a:xfrm>
          <a:off x="1661160" y="83820"/>
          <a:ext cx="1348740" cy="3657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0</xdr:rowOff>
    </xdr:from>
    <xdr:to>
      <xdr:col>0</xdr:col>
      <xdr:colOff>762000</xdr:colOff>
      <xdr:row>5</xdr:row>
      <xdr:rowOff>91440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AFB0606-4E19-48D8-8463-042712B117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0"/>
          <a:ext cx="714375" cy="1005840"/>
        </a:xfrm>
        <a:prstGeom prst="rect">
          <a:avLst/>
        </a:prstGeom>
      </xdr:spPr>
    </xdr:pic>
    <xdr:clientData/>
  </xdr:twoCellAnchor>
  <xdr:twoCellAnchor>
    <xdr:from>
      <xdr:col>1</xdr:col>
      <xdr:colOff>594360</xdr:colOff>
      <xdr:row>0</xdr:row>
      <xdr:rowOff>68580</xdr:rowOff>
    </xdr:from>
    <xdr:to>
      <xdr:col>2</xdr:col>
      <xdr:colOff>716280</xdr:colOff>
      <xdr:row>2</xdr:row>
      <xdr:rowOff>68580</xdr:rowOff>
    </xdr:to>
    <xdr:sp macro="[0]!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97D98AB-4033-4E42-9225-DC621E8B6D0F}"/>
            </a:ext>
          </a:extLst>
        </xdr:cNvPr>
        <xdr:cNvSpPr/>
      </xdr:nvSpPr>
      <xdr:spPr>
        <a:xfrm>
          <a:off x="1524000" y="68580"/>
          <a:ext cx="1348740" cy="3657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FORMULAIRE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0</xdr:rowOff>
    </xdr:from>
    <xdr:to>
      <xdr:col>0</xdr:col>
      <xdr:colOff>762000</xdr:colOff>
      <xdr:row>5</xdr:row>
      <xdr:rowOff>91440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B435004-B583-4224-A214-61F266B179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0"/>
          <a:ext cx="714375" cy="1005840"/>
        </a:xfrm>
        <a:prstGeom prst="rect">
          <a:avLst/>
        </a:prstGeom>
      </xdr:spPr>
    </xdr:pic>
    <xdr:clientData/>
  </xdr:twoCellAnchor>
  <xdr:twoCellAnchor>
    <xdr:from>
      <xdr:col>1</xdr:col>
      <xdr:colOff>441960</xdr:colOff>
      <xdr:row>0</xdr:row>
      <xdr:rowOff>45720</xdr:rowOff>
    </xdr:from>
    <xdr:to>
      <xdr:col>2</xdr:col>
      <xdr:colOff>563880</xdr:colOff>
      <xdr:row>2</xdr:row>
      <xdr:rowOff>45720</xdr:rowOff>
    </xdr:to>
    <xdr:sp macro="[0]!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85C6F10-0939-4CAA-A11E-ADCE6E2AD275}"/>
            </a:ext>
          </a:extLst>
        </xdr:cNvPr>
        <xdr:cNvSpPr/>
      </xdr:nvSpPr>
      <xdr:spPr>
        <a:xfrm>
          <a:off x="1371600" y="45720"/>
          <a:ext cx="1348740" cy="3657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Loyer" displayName="T_Loyer" ref="B6:Z9" totalsRowShown="0" headerRowDxfId="185" dataDxfId="183" totalsRowDxfId="182" headerRowBorderDxfId="184" totalsRowBorderDxfId="181">
  <tableColumns count="25">
    <tableColumn id="1" xr3:uid="{00000000-0010-0000-0000-000001000000}" name="NOM" dataDxfId="180" totalsRowDxfId="120"/>
    <tableColumn id="19" xr3:uid="{00000000-0010-0000-0000-000013000000}" name="Prénoms" dataDxfId="179" totalsRowDxfId="119"/>
    <tableColumn id="2" xr3:uid="{00000000-0010-0000-0000-000002000000}" name="N° CNI" dataDxfId="49" totalsRowDxfId="118"/>
    <tableColumn id="24" xr3:uid="{00000000-0010-0000-0000-000018000000}" name="TELEPHONE" dataDxfId="50" totalsRowDxfId="117"/>
    <tableColumn id="3" xr3:uid="{00000000-0010-0000-0000-000003000000}" name="ACTIVITES" dataDxfId="178" totalsRowDxfId="116"/>
    <tableColumn id="4" xr3:uid="{00000000-0010-0000-0000-000004000000}" name="SUPERFICIE" dataDxfId="48" totalsRowDxfId="115"/>
    <tableColumn id="6" xr3:uid="{00000000-0010-0000-0000-000006000000}" name="LOYER MENSUEL" dataDxfId="47" totalsRowDxfId="114"/>
    <tableColumn id="20" xr3:uid="{00000000-0010-0000-0000-000014000000}" name="JANVIER" dataDxfId="46" totalsRowDxfId="113"/>
    <tableColumn id="18" xr3:uid="{00000000-0010-0000-0000-000012000000}" name="FEVRIER" dataDxfId="45" totalsRowDxfId="112"/>
    <tableColumn id="17" xr3:uid="{00000000-0010-0000-0000-000011000000}" name="MARS" dataDxfId="44" totalsRowDxfId="111"/>
    <tableColumn id="16" xr3:uid="{00000000-0010-0000-0000-000010000000}" name="AVRIL" dataDxfId="43" totalsRowDxfId="110"/>
    <tableColumn id="15" xr3:uid="{00000000-0010-0000-0000-00000F000000}" name="MAI" dataDxfId="42" totalsRowDxfId="109"/>
    <tableColumn id="14" xr3:uid="{00000000-0010-0000-0000-00000E000000}" name="JUIN" dataDxfId="41" totalsRowDxfId="108"/>
    <tableColumn id="12" xr3:uid="{00000000-0010-0000-0000-00000C000000}" name="JUILLET" dataDxfId="40" totalsRowDxfId="107"/>
    <tableColumn id="11" xr3:uid="{00000000-0010-0000-0000-00000B000000}" name="AOUT" dataDxfId="39" totalsRowDxfId="106"/>
    <tableColumn id="10" xr3:uid="{00000000-0010-0000-0000-00000A000000}" name="SEPTEMBRE" dataDxfId="38" totalsRowDxfId="105"/>
    <tableColumn id="9" xr3:uid="{00000000-0010-0000-0000-000009000000}" name="OCTOBRE" dataDxfId="37" totalsRowDxfId="104"/>
    <tableColumn id="8" xr3:uid="{00000000-0010-0000-0000-000008000000}" name="NOVEMBRE" dataDxfId="36" totalsRowDxfId="103"/>
    <tableColumn id="5" xr3:uid="{00000000-0010-0000-0000-000005000000}" name="DECEMBRE" dataDxfId="35" totalsRowDxfId="102"/>
    <tableColumn id="21" xr3:uid="{00000000-0010-0000-0000-000015000000}" name="Versements effectués" dataDxfId="34" totalsRowDxfId="101">
      <calculatedColumnFormula>SUM(T_Loyer[[#This Row],[JANVIER]:[DECEMBRE]])</calculatedColumnFormula>
    </tableColumn>
    <tableColumn id="7" xr3:uid="{00000000-0010-0000-0000-000007000000}" name="Versements attendus" dataDxfId="33" totalsRowDxfId="100">
      <calculatedColumnFormula>T_Loyer[[#This Row],[LOYER MENSUEL]]*MONTH(NOW())</calculatedColumnFormula>
    </tableColumn>
    <tableColumn id="22" xr3:uid="{00000000-0010-0000-0000-000016000000}" name="Reste dû" dataDxfId="32" totalsRowDxfId="99" dataCellStyle="Monétaire">
      <calculatedColumnFormula>T_Loyer[[#This Row],[Versements attendus]]-T_Loyer[[#This Row],[Versements effectués]]</calculatedColumnFormula>
    </tableColumn>
    <tableColumn id="25" xr3:uid="{645829B6-FA8F-484B-A389-0E18D32A4157}" name="Versement annuel attendu" dataDxfId="21" totalsRowDxfId="22" dataCellStyle="Monétaire">
      <calculatedColumnFormula>T_Loyer[[#This Row],[LOYER MENSUEL]]*12</calculatedColumnFormula>
    </tableColumn>
    <tableColumn id="23" xr3:uid="{08D15F29-8843-4044-9379-61AC29D732D5}" name="Reste à payer annuel" dataDxfId="20" totalsRowDxfId="23" dataCellStyle="Monétaire">
      <calculatedColumnFormula>T_Loyer[[#This Row],[Versement annuel attendu]]-T_Loyer[[#This Row],[Versements effectués]]</calculatedColumnFormula>
    </tableColumn>
    <tableColumn id="13" xr3:uid="{00000000-0010-0000-0000-00000D000000}" name="Commentaire " dataDxfId="31" totalsRowDxfId="98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B4089E-6FA9-4EDC-B603-D2251E1F3E40}" name="T_Habit" displayName="T_Habit" ref="B6:Z7" totalsRowShown="0" headerRowDxfId="177" dataDxfId="175" totalsRowDxfId="174" headerRowBorderDxfId="176" totalsRowBorderDxfId="173">
  <tableColumns count="25">
    <tableColumn id="1" xr3:uid="{F12BD6E5-7B4F-469D-BE9A-7805AC71A91C}" name="NOM" dataDxfId="172" totalsRowDxfId="97"/>
    <tableColumn id="19" xr3:uid="{EB093C0B-FB35-4F5C-8ED4-F0AE089124AA}" name="Prénoms" dataDxfId="171" totalsRowDxfId="96"/>
    <tableColumn id="2" xr3:uid="{1D001F3E-432E-46B8-A175-C8AF296E8FA2}" name="N° CNI" dataDxfId="170" totalsRowDxfId="95"/>
    <tableColumn id="24" xr3:uid="{E4B559DC-E1A2-4300-B2EF-D2402FA93E67}" name="TELEPHONE" dataDxfId="169" totalsRowDxfId="94"/>
    <tableColumn id="3" xr3:uid="{A8EBC2AA-75CD-4E22-B28B-1F0E24D09284}" name="ACTIVITES" dataDxfId="168" totalsRowDxfId="93"/>
    <tableColumn id="4" xr3:uid="{4FE1D899-5933-4728-A67F-3748045FFE44}" name="SUPERFICIE" dataDxfId="167" totalsRowDxfId="92"/>
    <tableColumn id="6" xr3:uid="{CB15B932-0987-4F76-8BA9-17BA56F40416}" name="MENSUALITE" dataDxfId="166" totalsRowDxfId="91">
      <calculatedColumnFormula>IF(T_Habit[[#This Row],[SUPERFICIE]]="","",IF(T_Habit[[#This Row],[SUPERFICIE]]&gt;0,T_Habit[[#This Row],[SUPERFICIE]]+(T_Habit[[#This Row],[SUPERFICIE]]*#REF!)))</calculatedColumnFormula>
    </tableColumn>
    <tableColumn id="20" xr3:uid="{4801BE7C-CA10-4CEB-8EA3-9C96F0D2F745}" name="JANVIER" dataDxfId="165" totalsRowDxfId="90"/>
    <tableColumn id="18" xr3:uid="{D751506B-90FB-4FB8-90A4-F334ECD92613}" name="FEVRIER" dataDxfId="164" totalsRowDxfId="89"/>
    <tableColumn id="17" xr3:uid="{950F2C23-186C-4E64-8CA4-C218365F5C3D}" name="MARS" dataDxfId="163" totalsRowDxfId="88"/>
    <tableColumn id="16" xr3:uid="{E74DF93D-05AD-4E4B-BDB6-883D71E4635B}" name="AVRIL" dataDxfId="162" totalsRowDxfId="87"/>
    <tableColumn id="15" xr3:uid="{1AC1AC8F-8D9D-4C01-9702-E72F5401071E}" name="MAI" dataDxfId="161" totalsRowDxfId="86"/>
    <tableColumn id="14" xr3:uid="{67E7AEF2-541C-4942-AA52-463BE002C543}" name="JUIN" dataDxfId="160" totalsRowDxfId="85"/>
    <tableColumn id="12" xr3:uid="{5A2C7C75-DB8F-4ABE-87FF-3EE2FFF343EF}" name="JUILLET" dataDxfId="159" totalsRowDxfId="84"/>
    <tableColumn id="11" xr3:uid="{3AB69541-89ED-46F2-BAAC-AEC9D0F8E767}" name="AOUT" dataDxfId="158" totalsRowDxfId="83"/>
    <tableColumn id="10" xr3:uid="{D984FF88-A5A5-4773-B90F-B2E71AFA4594}" name="SEPTEMBRE" dataDxfId="157" totalsRowDxfId="82"/>
    <tableColumn id="9" xr3:uid="{86FFC451-35C7-457F-9519-EFF44D923860}" name="OCTOBRE" dataDxfId="156" totalsRowDxfId="81"/>
    <tableColumn id="8" xr3:uid="{17EA8D94-D289-441F-B7BD-C90A516637FB}" name="NOVEMBRE" dataDxfId="155" totalsRowDxfId="80"/>
    <tableColumn id="5" xr3:uid="{EA0E5E48-FA1D-439B-90FF-18414C993634}" name="DECEMBRE" dataDxfId="154" totalsRowDxfId="79"/>
    <tableColumn id="21" xr3:uid="{402B15B8-1812-4836-9CE6-3F112847C805}" name="Versements effectués" dataDxfId="153" totalsRowDxfId="78">
      <calculatedColumnFormula>SUM(T_Habit[[#This Row],[JANVIER]:[DECEMBRE]])</calculatedColumnFormula>
    </tableColumn>
    <tableColumn id="7" xr3:uid="{79574604-690E-470C-BB49-62229D5CB662}" name="Versements attendus" dataDxfId="152" totalsRowDxfId="77">
      <calculatedColumnFormula>T_Habit[[#This Row],[MENSUALITE]]*MONTH(NOW())</calculatedColumnFormula>
    </tableColumn>
    <tableColumn id="22" xr3:uid="{49C4D7E4-C358-49FA-86A3-5492B1709A1E}" name="Reste dû" dataDxfId="151" totalsRowDxfId="76" dataCellStyle="Monétaire">
      <calculatedColumnFormula>T_Habit[[#This Row],[Versements attendus]]-T_Habit[[#This Row],[Versements effectués]]</calculatedColumnFormula>
    </tableColumn>
    <tableColumn id="25" xr3:uid="{96F825D8-D90B-40B6-9BDC-65F7B6C8ADB8}" name="Versement annuel attendu" dataDxfId="16" totalsRowDxfId="17" dataCellStyle="Monétaire">
      <calculatedColumnFormula>T_Habit[[#This Row],[MENSUALITE]]*12</calculatedColumnFormula>
    </tableColumn>
    <tableColumn id="23" xr3:uid="{4602912F-2912-4E2D-826D-E727D9A3A15E}" name="Reste à payer annuel" dataDxfId="18" totalsRowDxfId="19" dataCellStyle="Monétaire">
      <calculatedColumnFormula>T_Habit[Versement annuel attendu]-T_Habit[Versements effectués]</calculatedColumnFormula>
    </tableColumn>
    <tableColumn id="13" xr3:uid="{22901331-A57F-4DCA-AB3B-61263257A380}" name="Commentaire " dataDxfId="150" totalsRowDxfId="75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402AEC-3D23-4F3A-B894-F11324D8066D}" name="T_foncier" displayName="T_foncier" ref="B6:Z8" totalsRowShown="0" headerRowDxfId="149" dataDxfId="147" totalsRowDxfId="146" headerRowBorderDxfId="148" totalsRowBorderDxfId="145">
  <tableColumns count="25">
    <tableColumn id="1" xr3:uid="{26508610-400B-4889-978B-C11FD6CCA547}" name="NOM" dataDxfId="144" totalsRowDxfId="74"/>
    <tableColumn id="19" xr3:uid="{7185EC45-023A-42D5-8533-8C4B4AA556F9}" name="Prénoms" dataDxfId="143" totalsRowDxfId="73"/>
    <tableColumn id="2" xr3:uid="{3015ABED-22CC-44AD-B533-CE5E4FEAC51B}" name="N° CNI" dataDxfId="142" totalsRowDxfId="72"/>
    <tableColumn id="24" xr3:uid="{4756BCCA-B3CE-4133-93FF-4A957026EEA2}" name="TELEPHONE" dataDxfId="25" totalsRowDxfId="71"/>
    <tableColumn id="3" xr3:uid="{AE697605-443A-485C-BD87-E05BC6A25444}" name="ACTIVITES" dataDxfId="141" totalsRowDxfId="70"/>
    <tableColumn id="4" xr3:uid="{F701176D-7B0E-4816-A39C-E25F7296437D}" name="SUPERFICIE" dataDxfId="24" totalsRowDxfId="69"/>
    <tableColumn id="6" xr3:uid="{AD8CDCF7-C7F7-4C5F-9993-BA787A1C1096}" name="MENSUALITE" dataDxfId="140" totalsRowDxfId="68"/>
    <tableColumn id="20" xr3:uid="{E979754F-0F28-4F07-BDCF-54931111D182}" name="JANVIER" dataDxfId="139" totalsRowDxfId="67"/>
    <tableColumn id="18" xr3:uid="{63E159A9-3414-4360-985E-2ABEA1486E7C}" name="FEVRIER" dataDxfId="138" totalsRowDxfId="66"/>
    <tableColumn id="17" xr3:uid="{ACB656E0-590A-4E89-9231-83633CF1B3C6}" name="MARS" dataDxfId="137" totalsRowDxfId="65"/>
    <tableColumn id="16" xr3:uid="{C1EEC27A-A8B9-456B-BA63-FC94AD822264}" name="AVRIL" dataDxfId="136" totalsRowDxfId="64"/>
    <tableColumn id="15" xr3:uid="{CB493F8A-7BA8-43DC-9110-B46764B1B4B8}" name="MAI" dataDxfId="135" totalsRowDxfId="63"/>
    <tableColumn id="14" xr3:uid="{A088974D-1B4F-4ED6-B0E3-063565C29AEF}" name="JUIN" dataDxfId="134" totalsRowDxfId="62"/>
    <tableColumn id="12" xr3:uid="{29DE982B-B4C8-4AB8-B259-4B9B106ADDD2}" name="JUILLET" dataDxfId="133" totalsRowDxfId="61"/>
    <tableColumn id="11" xr3:uid="{AD112B7E-6FAF-4FE1-AEF4-2B2677B6BB21}" name="AOUT" dataDxfId="132" totalsRowDxfId="60"/>
    <tableColumn id="10" xr3:uid="{DFB4B689-1689-4A8C-AB7A-8D260D20757D}" name="SEPTEMBRE" dataDxfId="131" totalsRowDxfId="59"/>
    <tableColumn id="9" xr3:uid="{46065575-8B94-4DB0-BA04-FEFD17D7C4B3}" name="OCTOBRE" dataDxfId="130" totalsRowDxfId="58"/>
    <tableColumn id="8" xr3:uid="{A40B454F-F364-4E07-BFDC-5785274BABDC}" name="NOVEMBRE" dataDxfId="129" totalsRowDxfId="57"/>
    <tableColumn id="5" xr3:uid="{A59041BE-C04D-4D91-9026-535D92F81039}" name="DECEMBRE" dataDxfId="128" totalsRowDxfId="56"/>
    <tableColumn id="21" xr3:uid="{B7134DEB-6C31-4119-9412-81DB75783E9B}" name="Versements effectués" dataDxfId="127" totalsRowDxfId="55">
      <calculatedColumnFormula>SUM(T_foncier[[#This Row],[JANVIER]:[DECEMBRE]])</calculatedColumnFormula>
    </tableColumn>
    <tableColumn id="7" xr3:uid="{94D548E3-188C-48A9-B8CB-201882A0A295}" name="Versements attendus" dataDxfId="126" totalsRowDxfId="54">
      <calculatedColumnFormula>T_foncier[[#This Row],[MENSUALITE]]*MONTH(NOW())</calculatedColumnFormula>
    </tableColumn>
    <tableColumn id="22" xr3:uid="{00A59228-84E2-43B7-AA78-7D919219CC07}" name="Reste dû" dataDxfId="125" totalsRowDxfId="53" dataCellStyle="Monétaire">
      <calculatedColumnFormula>T_foncier[[#This Row],[Versements attendus]]-T_foncier[[#This Row],[Versements effectués]]</calculatedColumnFormula>
    </tableColumn>
    <tableColumn id="25" xr3:uid="{D9549740-356F-440E-B86B-48FB8033962E}" name="Versement annuel attendu" dataDxfId="1" totalsRowDxfId="5">
      <calculatedColumnFormula>T_foncier[[#This Row],[MENSUALITE]]*12</calculatedColumnFormula>
    </tableColumn>
    <tableColumn id="23" xr3:uid="{10A51F6F-9786-494A-83A9-F15E32551970}" name="Reste à payer annuel" dataDxfId="0" totalsRowDxfId="15">
      <calculatedColumnFormula>T_foncier[[#This Row],[Versement annuel attendu]]-T_foncier[[#This Row],[Versements effectués]]</calculatedColumnFormula>
    </tableColumn>
    <tableColumn id="13" xr3:uid="{AA3C2F07-AD49-40BC-A1C7-6B2B9FEA02FC}" name="Commentaire " dataDxfId="124" totalsRowDxfId="52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DC051D4-09F5-4303-BB81-333A9ED69F75}" name="T_synthese" displayName="T_synthese" ref="A1:I4" totalsRowShown="0" headerRowDxfId="121" headerRowBorderDxfId="122" tableBorderDxfId="123">
  <autoFilter ref="A1:I4" xr:uid="{70C653EC-5102-4A0D-A1CB-093A4F05053A}"/>
  <tableColumns count="9">
    <tableColumn id="1" xr3:uid="{A2BE842D-C81B-4D24-B6B0-BAB9D4D8F1C0}" name="NOM"/>
    <tableColumn id="2" xr3:uid="{3E26C81D-D061-4433-BA84-C0BFF8D89FDE}" name="Prénoms"/>
    <tableColumn id="3" xr3:uid="{48D61620-EDE6-4264-872F-4CBAC1DF6A3D}" name="N° CNI" dataDxfId="30"/>
    <tableColumn id="4" xr3:uid="{2CC09998-EE65-487E-B3C4-7F5368023311}" name="TELEPHONE" dataDxfId="29"/>
    <tableColumn id="5" xr3:uid="{B329AEFB-B2DB-4675-AC1A-4480A3EA1B76}" name="ACTIVITES"/>
    <tableColumn id="6" xr3:uid="{3C4E2369-551B-45BC-8E32-FC73B7A09BEC}" name="SUPERFICIE" dataDxfId="28"/>
    <tableColumn id="7" xr3:uid="{B1462718-8A3E-45ED-9245-006A989A3BAE}" name="Payé" dataDxfId="51">
      <calculatedColumnFormula>SUMIFS(T_Loyer[Versements effectués],T_Loyer[NOM],T_synthese[[#This Row],[NOM]],T_Loyer[Prénoms],T_synthese[[#This Row],[Prénoms]])+SUMIFS(T_Habit[Versements effectués],T_Habit[NOM],T_synthese[[#This Row],[NOM]],T_Habit[Prénoms],T_synthese[[#This Row],[Prénoms]])+SUMIFS(T_foncier[Versements effectués],T_foncier[NOM],T_synthese[[#This Row],[NOM]],T_foncier[Prénoms],T_synthese[[#This Row],[Prénoms]])</calculatedColumnFormula>
    </tableColumn>
    <tableColumn id="8" xr3:uid="{A20E9DB2-85FC-4A6E-B564-1CABBE75B8A4}" name="Dû" dataDxfId="27">
      <calculatedColumnFormula>SUMIFS(T_Loyer[Versements attendus],T_Loyer[NOM],T_synthese[[#This Row],[NOM]],T_Loyer[Prénoms],T_synthese[[#This Row],[Prénoms]])+SUMIFS(T_Habit[Versements attendus],T_Habit[NOM],T_synthese[[#This Row],[NOM]],T_Habit[Prénoms],T_synthese[[#This Row],[Prénoms]])+SUMIFS(T_foncier[Versements attendus],T_foncier[NOM],T_synthese[[#This Row],[NOM]],T_foncier[Prénoms],T_synthese[[#This Row],[Prénoms]])</calculatedColumnFormula>
    </tableColumn>
    <tableColumn id="9" xr3:uid="{391C9DDA-BA80-4D98-BFC0-07195194D5B0}" name="Solde" dataDxfId="26">
      <calculatedColumnFormula>T_synthese[[#This Row],[Payé]]-T_synthese[[#This Row],[Dû]]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A9"/>
  <sheetViews>
    <sheetView showZeros="0" workbookViewId="0">
      <pane xSplit="4" ySplit="6" topLeftCell="Q7" activePane="bottomRight" state="frozen"/>
      <selection pane="topRight" activeCell="E1" sqref="E1"/>
      <selection pane="bottomLeft" activeCell="A7" sqref="A7"/>
      <selection pane="bottomRight" activeCell="W24" sqref="W24"/>
    </sheetView>
  </sheetViews>
  <sheetFormatPr baseColWidth="10" defaultColWidth="11.44140625" defaultRowHeight="14.4" x14ac:dyDescent="0.3"/>
  <cols>
    <col min="1" max="1" width="13.5546875" style="2" customWidth="1"/>
    <col min="2" max="3" width="17.88671875" style="2" customWidth="1"/>
    <col min="4" max="4" width="14.33203125" style="3" bestFit="1" customWidth="1"/>
    <col min="5" max="5" width="15.5546875" style="29" customWidth="1"/>
    <col min="6" max="6" width="14.5546875" style="2" customWidth="1"/>
    <col min="7" max="7" width="15" style="3" customWidth="1"/>
    <col min="8" max="20" width="17.109375" style="3" customWidth="1"/>
    <col min="21" max="22" width="20.6640625" style="3" customWidth="1"/>
    <col min="23" max="25" width="17" style="3" customWidth="1"/>
    <col min="26" max="26" width="48.6640625" style="3" customWidth="1"/>
    <col min="27" max="16384" width="11.44140625" style="2"/>
  </cols>
  <sheetData>
    <row r="3" spans="1:27" x14ac:dyDescent="0.3">
      <c r="A3" s="1"/>
    </row>
    <row r="4" spans="1:27" ht="18" x14ac:dyDescent="0.35">
      <c r="A4" s="1"/>
      <c r="B4" s="4" t="s">
        <v>0</v>
      </c>
      <c r="C4" s="5">
        <f ca="1">TODAY()</f>
        <v>44220</v>
      </c>
    </row>
    <row r="5" spans="1:27" ht="15" customHeight="1" x14ac:dyDescent="0.3">
      <c r="A5" s="1" t="s">
        <v>31</v>
      </c>
    </row>
    <row r="6" spans="1:27" ht="49.5" customHeight="1" x14ac:dyDescent="0.3">
      <c r="A6" s="6"/>
      <c r="B6" s="7" t="s">
        <v>1</v>
      </c>
      <c r="C6" s="7" t="s">
        <v>2</v>
      </c>
      <c r="D6" s="7" t="s">
        <v>3</v>
      </c>
      <c r="E6" s="30" t="s">
        <v>4</v>
      </c>
      <c r="F6" s="7" t="s">
        <v>5</v>
      </c>
      <c r="G6" s="7" t="s">
        <v>6</v>
      </c>
      <c r="H6" s="8" t="s">
        <v>7</v>
      </c>
      <c r="I6" s="9" t="s">
        <v>8</v>
      </c>
      <c r="J6" s="9" t="s">
        <v>9</v>
      </c>
      <c r="K6" s="9" t="s">
        <v>10</v>
      </c>
      <c r="L6" s="9" t="s">
        <v>11</v>
      </c>
      <c r="M6" s="9" t="s">
        <v>12</v>
      </c>
      <c r="N6" s="9" t="s">
        <v>13</v>
      </c>
      <c r="O6" s="9" t="s">
        <v>14</v>
      </c>
      <c r="P6" s="9" t="s">
        <v>15</v>
      </c>
      <c r="Q6" s="9" t="s">
        <v>16</v>
      </c>
      <c r="R6" s="9" t="s">
        <v>17</v>
      </c>
      <c r="S6" s="9" t="s">
        <v>18</v>
      </c>
      <c r="T6" s="9" t="s">
        <v>19</v>
      </c>
      <c r="U6" s="8" t="s">
        <v>29</v>
      </c>
      <c r="V6" s="8" t="s">
        <v>22</v>
      </c>
      <c r="W6" s="34" t="s">
        <v>20</v>
      </c>
      <c r="X6" s="34" t="s">
        <v>41</v>
      </c>
      <c r="Y6" s="34" t="s">
        <v>42</v>
      </c>
      <c r="Z6" s="7" t="s">
        <v>21</v>
      </c>
      <c r="AA6" s="11"/>
    </row>
    <row r="7" spans="1:27" s="18" customFormat="1" ht="15.6" x14ac:dyDescent="0.3">
      <c r="A7" s="12"/>
      <c r="B7" t="s">
        <v>27</v>
      </c>
      <c r="C7" t="s">
        <v>32</v>
      </c>
      <c r="D7" s="33">
        <v>123</v>
      </c>
      <c r="E7" s="31" t="s">
        <v>38</v>
      </c>
      <c r="F7" t="s">
        <v>33</v>
      </c>
      <c r="G7" s="33">
        <v>85</v>
      </c>
      <c r="H7" s="35">
        <v>400</v>
      </c>
      <c r="I7" s="38">
        <v>400</v>
      </c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6">
        <f>SUM(T_Loyer[[#This Row],[JANVIER]:[DECEMBRE]])</f>
        <v>400</v>
      </c>
      <c r="V7" s="39">
        <f ca="1">T_Loyer[[#This Row],[LOYER MENSUEL]]*MONTH(NOW())</f>
        <v>400</v>
      </c>
      <c r="W7" s="37">
        <f ca="1">T_Loyer[[#This Row],[Versements attendus]]-T_Loyer[[#This Row],[Versements effectués]]</f>
        <v>0</v>
      </c>
      <c r="X7" s="37">
        <f>T_Loyer[[#This Row],[LOYER MENSUEL]]*12</f>
        <v>4800</v>
      </c>
      <c r="Y7" s="37">
        <f>T_Loyer[[#This Row],[Versement annuel attendu]]-T_Loyer[[#This Row],[Versements effectués]]</f>
        <v>4400</v>
      </c>
      <c r="Z7" s="17"/>
    </row>
    <row r="8" spans="1:27" s="18" customFormat="1" ht="15.6" x14ac:dyDescent="0.3">
      <c r="A8" s="12"/>
      <c r="B8" t="s">
        <v>28</v>
      </c>
      <c r="C8" t="s">
        <v>40</v>
      </c>
      <c r="D8" s="33">
        <v>789</v>
      </c>
      <c r="E8" s="31">
        <v>12345698</v>
      </c>
      <c r="F8" t="s">
        <v>34</v>
      </c>
      <c r="G8" s="33">
        <v>150</v>
      </c>
      <c r="H8" s="35">
        <v>900</v>
      </c>
      <c r="I8" s="38">
        <v>850</v>
      </c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6">
        <f>SUM(T_Loyer[[#This Row],[JANVIER]:[DECEMBRE]])</f>
        <v>850</v>
      </c>
      <c r="V8" s="39">
        <f ca="1">T_Loyer[[#This Row],[LOYER MENSUEL]]*MONTH(NOW())</f>
        <v>900</v>
      </c>
      <c r="W8" s="37">
        <f ca="1">T_Loyer[[#This Row],[Versements attendus]]-T_Loyer[[#This Row],[Versements effectués]]</f>
        <v>50</v>
      </c>
      <c r="X8" s="37">
        <f>T_Loyer[[#This Row],[LOYER MENSUEL]]*12</f>
        <v>10800</v>
      </c>
      <c r="Y8" s="37">
        <f>T_Loyer[[#This Row],[Versement annuel attendu]]-T_Loyer[[#This Row],[Versements effectués]]</f>
        <v>9950</v>
      </c>
      <c r="Z8" s="17"/>
    </row>
    <row r="9" spans="1:27" s="18" customFormat="1" ht="15.6" x14ac:dyDescent="0.3">
      <c r="A9" s="12"/>
      <c r="B9" t="s">
        <v>30</v>
      </c>
      <c r="C9" t="s">
        <v>35</v>
      </c>
      <c r="D9" s="33">
        <v>456</v>
      </c>
      <c r="E9" s="31">
        <v>96325874</v>
      </c>
      <c r="F9" t="s">
        <v>36</v>
      </c>
      <c r="G9" s="33">
        <v>100</v>
      </c>
      <c r="H9" s="35">
        <v>600</v>
      </c>
      <c r="I9" s="38">
        <v>500</v>
      </c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6">
        <f>SUM(T_Loyer[[#This Row],[JANVIER]:[DECEMBRE]])</f>
        <v>500</v>
      </c>
      <c r="V9" s="39">
        <f ca="1">T_Loyer[[#This Row],[LOYER MENSUEL]]*MONTH(NOW())</f>
        <v>600</v>
      </c>
      <c r="W9" s="37">
        <f ca="1">T_Loyer[[#This Row],[Versements attendus]]-T_Loyer[[#This Row],[Versements effectués]]</f>
        <v>100</v>
      </c>
      <c r="X9" s="37">
        <f>T_Loyer[[#This Row],[LOYER MENSUEL]]*12</f>
        <v>7200</v>
      </c>
      <c r="Y9" s="37">
        <f>T_Loyer[[#This Row],[Versement annuel attendu]]-T_Loyer[[#This Row],[Versements effectués]]</f>
        <v>6700</v>
      </c>
      <c r="Z9" s="17"/>
    </row>
  </sheetData>
  <conditionalFormatting sqref="W7:Y9">
    <cfRule type="expression" dxfId="14" priority="4">
      <formula>W7=0</formula>
    </cfRule>
    <cfRule type="expression" dxfId="13" priority="5">
      <formula>W7&lt;0</formula>
    </cfRule>
    <cfRule type="expression" dxfId="12" priority="6">
      <formula>W7&gt;0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AA7"/>
  <sheetViews>
    <sheetView showZeros="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B24" sqref="B24"/>
    </sheetView>
  </sheetViews>
  <sheetFormatPr baseColWidth="10" defaultColWidth="11.44140625" defaultRowHeight="14.4" x14ac:dyDescent="0.3"/>
  <cols>
    <col min="1" max="1" width="13.5546875" style="2" customWidth="1"/>
    <col min="2" max="3" width="17.88671875" style="2" customWidth="1"/>
    <col min="4" max="4" width="14.33203125" style="2" bestFit="1" customWidth="1"/>
    <col min="5" max="5" width="15.5546875" style="3" customWidth="1"/>
    <col min="6" max="6" width="14.5546875" style="2" customWidth="1"/>
    <col min="7" max="7" width="15" style="2" customWidth="1"/>
    <col min="8" max="20" width="17.109375" style="2" customWidth="1"/>
    <col min="21" max="22" width="20.6640625" style="2" customWidth="1"/>
    <col min="23" max="25" width="17" style="2" customWidth="1"/>
    <col min="26" max="26" width="48.6640625" style="2" customWidth="1"/>
    <col min="27" max="16384" width="11.44140625" style="2"/>
  </cols>
  <sheetData>
    <row r="3" spans="1:27" x14ac:dyDescent="0.3">
      <c r="A3" s="1"/>
    </row>
    <row r="4" spans="1:27" ht="18" x14ac:dyDescent="0.35">
      <c r="A4" s="1"/>
      <c r="B4" s="4" t="s">
        <v>0</v>
      </c>
      <c r="C4" s="5">
        <f ca="1">TODAY()</f>
        <v>44220</v>
      </c>
    </row>
    <row r="5" spans="1:27" ht="15" customHeight="1" x14ac:dyDescent="0.3">
      <c r="A5" s="1"/>
    </row>
    <row r="6" spans="1:27" ht="49.5" customHeight="1" x14ac:dyDescent="0.3">
      <c r="A6" s="6"/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  <c r="H6" s="8" t="s">
        <v>23</v>
      </c>
      <c r="I6" s="9" t="s">
        <v>8</v>
      </c>
      <c r="J6" s="9" t="s">
        <v>9</v>
      </c>
      <c r="K6" s="9" t="s">
        <v>10</v>
      </c>
      <c r="L6" s="9" t="s">
        <v>11</v>
      </c>
      <c r="M6" s="9" t="s">
        <v>12</v>
      </c>
      <c r="N6" s="9" t="s">
        <v>13</v>
      </c>
      <c r="O6" s="9" t="s">
        <v>14</v>
      </c>
      <c r="P6" s="9" t="s">
        <v>15</v>
      </c>
      <c r="Q6" s="9" t="s">
        <v>16</v>
      </c>
      <c r="R6" s="9" t="s">
        <v>17</v>
      </c>
      <c r="S6" s="9" t="s">
        <v>18</v>
      </c>
      <c r="T6" s="9" t="s">
        <v>19</v>
      </c>
      <c r="U6" s="8" t="s">
        <v>29</v>
      </c>
      <c r="V6" s="8" t="s">
        <v>22</v>
      </c>
      <c r="W6" s="10" t="s">
        <v>20</v>
      </c>
      <c r="X6" s="34" t="s">
        <v>41</v>
      </c>
      <c r="Y6" s="34" t="s">
        <v>42</v>
      </c>
      <c r="Z6" s="7" t="s">
        <v>21</v>
      </c>
      <c r="AA6" s="11"/>
    </row>
    <row r="7" spans="1:27" s="18" customFormat="1" ht="15.6" x14ac:dyDescent="0.3">
      <c r="A7" s="12"/>
      <c r="B7" s="18" t="s">
        <v>28</v>
      </c>
      <c r="C7" s="18" t="s">
        <v>40</v>
      </c>
      <c r="D7" s="18">
        <v>789</v>
      </c>
      <c r="E7" s="18" t="s">
        <v>37</v>
      </c>
      <c r="F7" s="18" t="s">
        <v>34</v>
      </c>
      <c r="G7" s="18">
        <v>150</v>
      </c>
      <c r="H7" s="13">
        <v>800</v>
      </c>
      <c r="I7" s="13">
        <v>800</v>
      </c>
      <c r="J7" s="13"/>
      <c r="K7" s="13"/>
      <c r="L7" s="13"/>
      <c r="M7" s="13"/>
      <c r="N7" s="13"/>
      <c r="O7" s="13"/>
      <c r="P7" s="14"/>
      <c r="Q7" s="13"/>
      <c r="R7" s="13"/>
      <c r="S7" s="13"/>
      <c r="T7" s="13"/>
      <c r="U7" s="15">
        <f>SUM(T_Habit[[#This Row],[JANVIER]:[DECEMBRE]])</f>
        <v>800</v>
      </c>
      <c r="V7" s="15">
        <f ca="1">T_Habit[[#This Row],[MENSUALITE]]*MONTH(NOW())</f>
        <v>800</v>
      </c>
      <c r="W7" s="16">
        <f ca="1">T_Habit[[#This Row],[Versements attendus]]-T_Habit[[#This Row],[Versements effectués]]</f>
        <v>0</v>
      </c>
      <c r="X7" s="16">
        <f>T_Habit[[#This Row],[MENSUALITE]]*12</f>
        <v>9600</v>
      </c>
      <c r="Y7" s="16">
        <f>T_Habit[Versement annuel attendu]-T_Habit[Versements effectués]</f>
        <v>8800</v>
      </c>
      <c r="Z7" s="17"/>
    </row>
  </sheetData>
  <conditionalFormatting sqref="W7:Y7">
    <cfRule type="expression" dxfId="11" priority="4">
      <formula>W7=0</formula>
    </cfRule>
    <cfRule type="expression" dxfId="10" priority="5">
      <formula>W7&lt;0</formula>
    </cfRule>
    <cfRule type="expression" dxfId="9" priority="6">
      <formula>W7&gt;0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3:AA8"/>
  <sheetViews>
    <sheetView showZeros="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3" sqref="D3"/>
    </sheetView>
  </sheetViews>
  <sheetFormatPr baseColWidth="10" defaultColWidth="11.44140625" defaultRowHeight="14.4" x14ac:dyDescent="0.3"/>
  <cols>
    <col min="1" max="1" width="13.5546875" style="2" customWidth="1"/>
    <col min="2" max="3" width="17.88671875" style="2" customWidth="1"/>
    <col min="4" max="4" width="14.33203125" style="2" bestFit="1" customWidth="1"/>
    <col min="5" max="5" width="15.5546875" style="3" customWidth="1"/>
    <col min="6" max="6" width="14.5546875" style="2" customWidth="1"/>
    <col min="7" max="7" width="15" style="3" customWidth="1"/>
    <col min="8" max="20" width="17.109375" style="2" customWidth="1"/>
    <col min="21" max="22" width="20.6640625" style="2" customWidth="1"/>
    <col min="23" max="23" width="17" style="2" customWidth="1"/>
    <col min="24" max="25" width="17" style="3" customWidth="1"/>
    <col min="26" max="26" width="48.6640625" style="2" customWidth="1"/>
    <col min="27" max="16384" width="11.44140625" style="2"/>
  </cols>
  <sheetData>
    <row r="3" spans="1:27" x14ac:dyDescent="0.3">
      <c r="A3" s="1"/>
    </row>
    <row r="4" spans="1:27" ht="18" x14ac:dyDescent="0.35">
      <c r="A4" s="1"/>
      <c r="B4" s="4" t="s">
        <v>0</v>
      </c>
      <c r="C4" s="5">
        <f ca="1">TODAY()</f>
        <v>44220</v>
      </c>
    </row>
    <row r="5" spans="1:27" ht="15" customHeight="1" x14ac:dyDescent="0.3">
      <c r="A5" s="1"/>
    </row>
    <row r="6" spans="1:27" ht="49.5" customHeight="1" x14ac:dyDescent="0.3">
      <c r="A6" s="6"/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  <c r="H6" s="8" t="s">
        <v>23</v>
      </c>
      <c r="I6" s="9" t="s">
        <v>8</v>
      </c>
      <c r="J6" s="9" t="s">
        <v>9</v>
      </c>
      <c r="K6" s="9" t="s">
        <v>10</v>
      </c>
      <c r="L6" s="9" t="s">
        <v>11</v>
      </c>
      <c r="M6" s="9" t="s">
        <v>12</v>
      </c>
      <c r="N6" s="9" t="s">
        <v>13</v>
      </c>
      <c r="O6" s="9" t="s">
        <v>14</v>
      </c>
      <c r="P6" s="9" t="s">
        <v>15</v>
      </c>
      <c r="Q6" s="9" t="s">
        <v>16</v>
      </c>
      <c r="R6" s="9" t="s">
        <v>17</v>
      </c>
      <c r="S6" s="9" t="s">
        <v>18</v>
      </c>
      <c r="T6" s="9" t="s">
        <v>19</v>
      </c>
      <c r="U6" s="8" t="s">
        <v>29</v>
      </c>
      <c r="V6" s="8" t="s">
        <v>22</v>
      </c>
      <c r="W6" s="10" t="s">
        <v>20</v>
      </c>
      <c r="X6" s="34" t="s">
        <v>41</v>
      </c>
      <c r="Y6" s="34" t="s">
        <v>42</v>
      </c>
      <c r="Z6" s="7" t="s">
        <v>21</v>
      </c>
      <c r="AA6" s="11"/>
    </row>
    <row r="7" spans="1:27" s="18" customFormat="1" ht="15.6" x14ac:dyDescent="0.3">
      <c r="A7" s="12"/>
      <c r="B7" s="18" t="s">
        <v>30</v>
      </c>
      <c r="C7" s="18" t="s">
        <v>35</v>
      </c>
      <c r="D7" s="18">
        <v>456</v>
      </c>
      <c r="E7" s="32" t="s">
        <v>39</v>
      </c>
      <c r="F7" s="18" t="s">
        <v>36</v>
      </c>
      <c r="G7" s="32">
        <v>100</v>
      </c>
      <c r="H7" s="13">
        <v>150</v>
      </c>
      <c r="I7" s="13">
        <v>150</v>
      </c>
      <c r="J7" s="13"/>
      <c r="K7" s="13"/>
      <c r="L7" s="13"/>
      <c r="M7" s="13"/>
      <c r="N7" s="13"/>
      <c r="O7" s="13"/>
      <c r="P7" s="14"/>
      <c r="Q7" s="13"/>
      <c r="R7" s="13"/>
      <c r="S7" s="13"/>
      <c r="T7" s="13"/>
      <c r="U7" s="15">
        <f>SUM(T_foncier[[#This Row],[JANVIER]:[DECEMBRE]])</f>
        <v>150</v>
      </c>
      <c r="V7" s="15">
        <f ca="1">T_foncier[[#This Row],[MENSUALITE]]*MONTH(NOW())</f>
        <v>150</v>
      </c>
      <c r="W7" s="16">
        <f ca="1">T_foncier[[#This Row],[Versements attendus]]-T_foncier[[#This Row],[Versements effectués]]</f>
        <v>0</v>
      </c>
      <c r="X7" s="37">
        <f>T_foncier[[#This Row],[MENSUALITE]]*12</f>
        <v>1800</v>
      </c>
      <c r="Y7" s="37">
        <f>T_foncier[[#This Row],[Versement annuel attendu]]-T_foncier[[#This Row],[Versements effectués]]</f>
        <v>1650</v>
      </c>
      <c r="Z7" s="17"/>
    </row>
    <row r="8" spans="1:27" x14ac:dyDescent="0.3">
      <c r="B8" s="18" t="s">
        <v>28</v>
      </c>
      <c r="C8" s="18" t="s">
        <v>40</v>
      </c>
      <c r="D8" s="18">
        <v>789</v>
      </c>
      <c r="E8" s="24" t="s">
        <v>37</v>
      </c>
      <c r="F8" s="25" t="s">
        <v>34</v>
      </c>
      <c r="G8" s="24">
        <v>150</v>
      </c>
      <c r="H8" s="26">
        <v>180</v>
      </c>
      <c r="I8" s="19">
        <v>180</v>
      </c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26">
        <f>SUM(T_foncier[[#This Row],[JANVIER]:[DECEMBRE]])</f>
        <v>180</v>
      </c>
      <c r="V8" s="20">
        <f ca="1">T_foncier[[#This Row],[MENSUALITE]]*MONTH(NOW())</f>
        <v>180</v>
      </c>
      <c r="W8" s="27">
        <f ca="1">T_foncier[[#This Row],[Versements attendus]]-T_foncier[[#This Row],[Versements effectués]]</f>
        <v>0</v>
      </c>
      <c r="X8" s="42">
        <f>T_foncier[[#This Row],[MENSUALITE]]*12</f>
        <v>2160</v>
      </c>
      <c r="Y8" s="42">
        <f>T_foncier[[#This Row],[Versement annuel attendu]]-T_foncier[[#This Row],[Versements effectués]]</f>
        <v>1980</v>
      </c>
      <c r="Z8" s="28"/>
    </row>
  </sheetData>
  <conditionalFormatting sqref="W8:Y8 W7">
    <cfRule type="expression" dxfId="8" priority="7">
      <formula>W7=0</formula>
    </cfRule>
    <cfRule type="expression" dxfId="7" priority="8">
      <formula>W7&lt;0</formula>
    </cfRule>
    <cfRule type="expression" dxfId="6" priority="9">
      <formula>W7&gt;0</formula>
    </cfRule>
  </conditionalFormatting>
  <conditionalFormatting sqref="X7:Y7">
    <cfRule type="expression" dxfId="4" priority="1">
      <formula>X7=0</formula>
    </cfRule>
    <cfRule type="expression" dxfId="3" priority="2">
      <formula>X7&lt;0</formula>
    </cfRule>
    <cfRule type="expression" dxfId="2" priority="3">
      <formula>X7&gt;0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DC71FE-963E-4C29-BD98-7103247A79CA}">
  <sheetPr codeName="Feuil5"/>
  <dimension ref="A1:I4"/>
  <sheetViews>
    <sheetView showZeros="0" tabSelected="1" workbookViewId="0">
      <selection activeCell="H4" sqref="H4"/>
    </sheetView>
  </sheetViews>
  <sheetFormatPr baseColWidth="10" defaultRowHeight="14.4" x14ac:dyDescent="0.3"/>
  <cols>
    <col min="1" max="1" width="19.109375" customWidth="1"/>
    <col min="2" max="2" width="17.109375" customWidth="1"/>
    <col min="3" max="3" width="11.5546875" style="33"/>
    <col min="4" max="4" width="16.33203125" style="31" customWidth="1"/>
    <col min="5" max="5" width="16.88671875" customWidth="1"/>
    <col min="6" max="6" width="15.77734375" style="33" customWidth="1"/>
    <col min="7" max="8" width="11.5546875" style="23"/>
    <col min="9" max="9" width="11.5546875" style="41"/>
  </cols>
  <sheetData>
    <row r="1" spans="1:9" ht="15.6" x14ac:dyDescent="0.3">
      <c r="A1" s="21" t="s">
        <v>1</v>
      </c>
      <c r="B1" s="21" t="s">
        <v>2</v>
      </c>
      <c r="C1" s="21" t="s">
        <v>3</v>
      </c>
      <c r="D1" s="40" t="s">
        <v>4</v>
      </c>
      <c r="E1" s="21" t="s">
        <v>5</v>
      </c>
      <c r="F1" s="21" t="s">
        <v>6</v>
      </c>
      <c r="G1" s="22" t="s">
        <v>24</v>
      </c>
      <c r="H1" s="22" t="s">
        <v>25</v>
      </c>
      <c r="I1" s="22" t="s">
        <v>26</v>
      </c>
    </row>
    <row r="2" spans="1:9" x14ac:dyDescent="0.3">
      <c r="A2" t="s">
        <v>27</v>
      </c>
      <c r="B2" t="s">
        <v>32</v>
      </c>
      <c r="C2" s="33">
        <v>123</v>
      </c>
      <c r="D2" s="31">
        <v>78965412</v>
      </c>
      <c r="E2" t="s">
        <v>33</v>
      </c>
      <c r="F2" s="33">
        <v>85</v>
      </c>
      <c r="G2" s="23">
        <f>SUMIFS(T_Loyer[Versements effectués],T_Loyer[NOM],T_synthese[[#This Row],[NOM]],T_Loyer[Prénoms],T_synthese[[#This Row],[Prénoms]])+SUMIFS(T_Habit[Versements effectués],T_Habit[NOM],T_synthese[[#This Row],[NOM]],T_Habit[Prénoms],T_synthese[[#This Row],[Prénoms]])+SUMIFS(T_foncier[Versements effectués],T_foncier[NOM],T_synthese[[#This Row],[NOM]],T_foncier[Prénoms],T_synthese[[#This Row],[Prénoms]])</f>
        <v>400</v>
      </c>
      <c r="H2" s="23">
        <f ca="1">SUMIFS(T_Loyer[Versements attendus],T_Loyer[NOM],T_synthese[[#This Row],[NOM]],T_Loyer[Prénoms],T_synthese[[#This Row],[Prénoms]])+SUMIFS(T_Habit[Versements attendus],T_Habit[NOM],T_synthese[[#This Row],[NOM]],T_Habit[Prénoms],T_synthese[[#This Row],[Prénoms]])+SUMIFS(T_foncier[Versements attendus],T_foncier[NOM],T_synthese[[#This Row],[NOM]],T_foncier[Prénoms],T_synthese[[#This Row],[Prénoms]])</f>
        <v>400</v>
      </c>
      <c r="I2" s="41">
        <f ca="1">T_synthese[[#This Row],[Payé]]-T_synthese[[#This Row],[Dû]]</f>
        <v>0</v>
      </c>
    </row>
    <row r="3" spans="1:9" x14ac:dyDescent="0.3">
      <c r="A3" t="s">
        <v>28</v>
      </c>
      <c r="B3" t="s">
        <v>40</v>
      </c>
      <c r="C3" s="33">
        <v>789</v>
      </c>
      <c r="D3" s="31">
        <v>12345698</v>
      </c>
      <c r="E3" t="s">
        <v>34</v>
      </c>
      <c r="F3" s="33">
        <v>150</v>
      </c>
      <c r="G3" s="23">
        <f>SUMIFS(T_Loyer[Versements effectués],T_Loyer[NOM],T_synthese[[#This Row],[NOM]],T_Loyer[Prénoms],T_synthese[[#This Row],[Prénoms]])+SUMIFS(T_Habit[Versements effectués],T_Habit[NOM],T_synthese[[#This Row],[NOM]],T_Habit[Prénoms],T_synthese[[#This Row],[Prénoms]])+SUMIFS(T_foncier[Versements effectués],T_foncier[NOM],T_synthese[[#This Row],[NOM]],T_foncier[Prénoms],T_synthese[[#This Row],[Prénoms]])</f>
        <v>1830</v>
      </c>
      <c r="H3" s="23">
        <f ca="1">SUMIFS(T_Loyer[Versements attendus],T_Loyer[NOM],T_synthese[[#This Row],[NOM]],T_Loyer[Prénoms],T_synthese[[#This Row],[Prénoms]])+SUMIFS(T_Habit[Versements attendus],T_Habit[NOM],T_synthese[[#This Row],[NOM]],T_Habit[Prénoms],T_synthese[[#This Row],[Prénoms]])+SUMIFS(T_foncier[Versements attendus],T_foncier[NOM],T_synthese[[#This Row],[NOM]],T_foncier[Prénoms],T_synthese[[#This Row],[Prénoms]])</f>
        <v>1880</v>
      </c>
      <c r="I3" s="41">
        <f ca="1">T_synthese[[#This Row],[Payé]]-T_synthese[[#This Row],[Dû]]</f>
        <v>-50</v>
      </c>
    </row>
    <row r="4" spans="1:9" x14ac:dyDescent="0.3">
      <c r="A4" t="s">
        <v>30</v>
      </c>
      <c r="B4" t="s">
        <v>35</v>
      </c>
      <c r="C4" s="33">
        <v>456</v>
      </c>
      <c r="D4" s="31">
        <v>96325874</v>
      </c>
      <c r="E4" t="s">
        <v>36</v>
      </c>
      <c r="F4" s="33">
        <v>100</v>
      </c>
      <c r="G4" s="23">
        <f>SUMIFS(T_Loyer[Versements effectués],T_Loyer[NOM],T_synthese[[#This Row],[NOM]],T_Loyer[Prénoms],T_synthese[[#This Row],[Prénoms]])+SUMIFS(T_Habit[Versements effectués],T_Habit[NOM],T_synthese[[#This Row],[NOM]],T_Habit[Prénoms],T_synthese[[#This Row],[Prénoms]])+SUMIFS(T_foncier[Versements effectués],T_foncier[NOM],T_synthese[[#This Row],[NOM]],T_foncier[Prénoms],T_synthese[[#This Row],[Prénoms]])</f>
        <v>650</v>
      </c>
      <c r="H4" s="23">
        <f ca="1">SUMIFS(T_Loyer[Versements attendus],T_Loyer[NOM],T_synthese[[#This Row],[NOM]],T_Loyer[Prénoms],T_synthese[[#This Row],[Prénoms]])+SUMIFS(T_Habit[Versements attendus],T_Habit[NOM],T_synthese[[#This Row],[NOM]],T_Habit[Prénoms],T_synthese[[#This Row],[Prénoms]])+SUMIFS(T_foncier[Versements attendus],T_foncier[NOM],T_synthese[[#This Row],[NOM]],T_foncier[Prénoms],T_synthese[[#This Row],[Prénoms]])</f>
        <v>750</v>
      </c>
      <c r="I4" s="41">
        <f ca="1">T_synthese[[#This Row],[Payé]]-T_synthese[[#This Row],[Dû]]</f>
        <v>-100</v>
      </c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Loyer</vt:lpstr>
      <vt:lpstr>Habitation</vt:lpstr>
      <vt:lpstr>Foncier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house</dc:creator>
  <cp:lastModifiedBy>François ROUZE</cp:lastModifiedBy>
  <dcterms:created xsi:type="dcterms:W3CDTF">2021-01-23T08:44:41Z</dcterms:created>
  <dcterms:modified xsi:type="dcterms:W3CDTF">2021-01-24T08:35:50Z</dcterms:modified>
</cp:coreProperties>
</file>