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a9a26b7bcb844c3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Z\Desktop\"/>
    </mc:Choice>
  </mc:AlternateContent>
  <bookViews>
    <workbookView xWindow="0" yWindow="0" windowWidth="20175" windowHeight="7500" tabRatio="588" activeTab="8"/>
  </bookViews>
  <sheets>
    <sheet name="Code" sheetId="15" r:id="rId1"/>
    <sheet name="Feuil1" sheetId="1" r:id="rId2"/>
    <sheet name="bddclients" sheetId="22" r:id="rId3"/>
    <sheet name="pfmTVA" sheetId="73" r:id="rId4"/>
    <sheet name="Clients" sheetId="72" r:id="rId5"/>
    <sheet name="factures" sheetId="101" r:id="rId6"/>
    <sheet name="Bon d'enlevée" sheetId="9" r:id="rId7"/>
    <sheet name="bddclients2" sheetId="41" r:id="rId8"/>
    <sheet name="pfmC" sheetId="74" r:id="rId9"/>
  </sheets>
  <functionGroups builtInGroupCount="18"/>
  <definedNames>
    <definedName name="_458" localSheetId="2">Tableau5510[NUMERO OPERATION]</definedName>
    <definedName name="_458" localSheetId="7">Tableau551012661[NUMERO OPERATION]</definedName>
    <definedName name="_xlnm._FilterDatabase" localSheetId="7" hidden="1">bddclients2!$A$7:$AU$7</definedName>
    <definedName name="AH1500000" localSheetId="2">bddclients!$AH$1690</definedName>
    <definedName name="AH1500000" localSheetId="7">bddclients2!$AH$1690</definedName>
    <definedName name="AM" localSheetId="7">Tableau551012661[[#Headers],[NUMERO OPERATION]]</definedName>
    <definedName name="AM" localSheetId="8">Tableau5510[[#Headers],[NUMERO OPERATION]]</definedName>
    <definedName name="AM" localSheetId="3">Tableau5510[[#Headers],[NUMERO OPERATION]]</definedName>
    <definedName name="AM">Tableau5510[[#Headers],[NUMERO OPERATION]]</definedName>
    <definedName name="BASE1" localSheetId="6">'Bon d''enlevée'!$F$59:$F$59</definedName>
    <definedName name="BASE1" localSheetId="8">pfmC!#REF!</definedName>
    <definedName name="BASE1" localSheetId="3">pfmTVA!#REF!</definedName>
    <definedName name="BASE2" localSheetId="6">'Bon d''enlevée'!$F$60:$F$60</definedName>
    <definedName name="BASE2" localSheetId="8">pfmC!#REF!</definedName>
    <definedName name="BASE2" localSheetId="3">pfmTVA!#REF!</definedName>
    <definedName name="bddcl" localSheetId="2">Tableau5510[#Headers]</definedName>
    <definedName name="bddcl" localSheetId="7">Tableau551012661[#Headers]</definedName>
    <definedName name="Comptoir" localSheetId="2">Tableau8[Type Clients]</definedName>
    <definedName name="Comptoir" localSheetId="7">Tableau8[Type Clients]</definedName>
    <definedName name="Comptoir" localSheetId="8">Tableau8[Type Clients]</definedName>
    <definedName name="Comptoir" localSheetId="3">Tableau8[Type Clients]</definedName>
    <definedName name="Comptoir">Tableau8[Type Clients]</definedName>
    <definedName name="_xlnm.Criteria" localSheetId="7">bddclients2!$A$6</definedName>
    <definedName name="D_31">#REF!</definedName>
    <definedName name="densité" localSheetId="8">Tableau2[Densité]</definedName>
    <definedName name="densité" localSheetId="3">Tableau2[Densité]</definedName>
    <definedName name="densité">Tableau2[Densité]</definedName>
    <definedName name="ENTREPRISE" localSheetId="2">Tableau5510[[#All],[ENTREPRISE]]</definedName>
    <definedName name="ENTREPRISE" localSheetId="7">Tableau551012661[[#All],[ENTREPRISE]]</definedName>
    <definedName name="Jours" localSheetId="2">Tableau6[Jours]</definedName>
    <definedName name="Jours" localSheetId="7">Tableau6[Jours]</definedName>
    <definedName name="Jours" localSheetId="8">Tableau6[Jours]</definedName>
    <definedName name="Jours" localSheetId="3">Tableau6[Jours]</definedName>
    <definedName name="Jours">Tableau6[Jours]</definedName>
    <definedName name="lesproduits" localSheetId="2">Tableau2[Produits]</definedName>
    <definedName name="lesproduits" localSheetId="7">Tableau2[Produits]</definedName>
    <definedName name="lesproduits" localSheetId="8">Tableau2[Produits]</definedName>
    <definedName name="lesproduits" localSheetId="3">Tableau2[Produits]</definedName>
    <definedName name="lesproduits">Tableau2[Produits]</definedName>
    <definedName name="m3_">Code!$J$6:$J$23</definedName>
    <definedName name="metrecb" localSheetId="2">Tableau2[m3]</definedName>
    <definedName name="metrecb" localSheetId="7">Tableau2[m3]</definedName>
    <definedName name="metrecb" localSheetId="8">Tableau2[m3]</definedName>
    <definedName name="metrecb" localSheetId="3">Tableau2[m3]</definedName>
    <definedName name="metrecb">Tableau2[m3]</definedName>
    <definedName name="Mois" localSheetId="2">Tableau7[Mois]</definedName>
    <definedName name="Mois" localSheetId="7">Tableau7[Mois]</definedName>
    <definedName name="Mois" localSheetId="8">Tableau7[Mois]</definedName>
    <definedName name="Mois" localSheetId="3">Tableau7[Mois]</definedName>
    <definedName name="Mois">Tableau7[Mois]</definedName>
    <definedName name="MONTANT_A_PAYER" localSheetId="7">Tableau551012661[MONTANT NET]</definedName>
    <definedName name="MONTANT_A_PAYER" localSheetId="8">Tableau5510[MONTANT NET]</definedName>
    <definedName name="MONTANT_A_PAYER" localSheetId="3">Tableau5510[MONTANT NET]</definedName>
    <definedName name="MONTANT_A_PAYER">Tableau5510[MONTANT NET]</definedName>
    <definedName name="NUMERO_OPERATION" localSheetId="2">Tableau5510[NUMERO OPERATION]</definedName>
    <definedName name="NUMERO_OPERATION" localSheetId="7">Tableau551012661[NUMERO OPERATION]</definedName>
    <definedName name="NUMERO_OPERATION2" localSheetId="2">Tableau5510[NUMERO OPERATION]</definedName>
    <definedName name="NUMERO_OPERATION2" localSheetId="7">Tableau551012661[NUMERO OPERATION]</definedName>
    <definedName name="NUMOPSTVA" localSheetId="8">Tableau551012661[NUMERO OPERATION]</definedName>
    <definedName name="NUMOPSTVA" localSheetId="3">Tableau551012661[NUMERO OPERATION]</definedName>
    <definedName name="NUMOPSTVA">Tableau551012661[NUMERO OPERATION]</definedName>
    <definedName name="NUMOPTVA" localSheetId="7">Tableau551012661[NUMERO OPERATION]</definedName>
    <definedName name="NUMOPTVA" localSheetId="8">Tableau5510[NUMERO OPERATION]</definedName>
    <definedName name="NUMOPTVA" localSheetId="3">Tableau5510[NUMERO OPERATION]</definedName>
    <definedName name="NUMOPTVA">Tableau5510[NUMERO OPERATION]</definedName>
    <definedName name="Option_crédit" localSheetId="7">Tableau10[Option crédit]</definedName>
    <definedName name="Option_crédit" localSheetId="8">Tableau10[Option crédit]</definedName>
    <definedName name="Option_crédit" localSheetId="3">Tableau10[Option crédit]</definedName>
    <definedName name="Option_crédit">Tableau10[Option crédit]</definedName>
    <definedName name="Pduits" localSheetId="2">Tableau2[]</definedName>
    <definedName name="Pduits" localSheetId="7">Tableau2[]</definedName>
    <definedName name="Pduits" localSheetId="8">Tableau2[]</definedName>
    <definedName name="Pduits" localSheetId="3">Tableau2[]</definedName>
    <definedName name="Pduits">Tableau2[]</definedName>
    <definedName name="Référence" localSheetId="8">pfmC!#REF!</definedName>
    <definedName name="Référence" localSheetId="3">pfmTVA!#REF!</definedName>
    <definedName name="Référence">'Bon d''enlevée'!$B$30:$B$57</definedName>
    <definedName name="Tonne" localSheetId="2">Tableau2[Tonne]</definedName>
    <definedName name="Tonne" localSheetId="7">Tableau2[Tonne]</definedName>
    <definedName name="Tonne" localSheetId="8">Tableau2[Tonne]</definedName>
    <definedName name="Tonne" localSheetId="3">Tableau2[Tonne]</definedName>
    <definedName name="Tonne">Tableau2[Tonne]</definedName>
    <definedName name="Tpaiement" localSheetId="2">Tableau1[Type de paiement]</definedName>
    <definedName name="Tpaiement" localSheetId="7">Tableau1[Type de paiement]</definedName>
    <definedName name="Tpaiement" localSheetId="8">Tableau1[Type de paiement]</definedName>
    <definedName name="Tpaiement" localSheetId="3">Tableau1[Type de paiement]</definedName>
    <definedName name="Tpaiement">Tableau1[Type de paiement]</definedName>
    <definedName name="TypePaiement" localSheetId="2">Tableau1[Type de paiement]</definedName>
    <definedName name="TypePaiement" localSheetId="7">Tableau1[Type de paiement]</definedName>
    <definedName name="TypePaiement" localSheetId="8">Tableau1[Type de paiement]</definedName>
    <definedName name="TypePaiement" localSheetId="3">Tableau1[Type de paiement]</definedName>
    <definedName name="TypePaiement">Tableau1[Type de paiement]</definedName>
    <definedName name="Unit" localSheetId="2">Tableau3[Unité]</definedName>
    <definedName name="Unit" localSheetId="7">Tableau3[Unité]</definedName>
    <definedName name="Unit" localSheetId="8">Tableau3[Unité]</definedName>
    <definedName name="Unit" localSheetId="3">Tableau3[Unité]</definedName>
    <definedName name="Unit">Tableau3[Unité]</definedName>
    <definedName name="_xlnm.Print_Area" localSheetId="6">'Bon d''enlevée'!$B$4:$K$78,'Bon d''enlevée'!$B$80:$K$148</definedName>
    <definedName name="_xlnm.Print_Area" localSheetId="8">pfmC!#REF!,pfmC!$B$1:$K$69</definedName>
    <definedName name="_xlnm.Print_Area" localSheetId="3">pfmTVA!#REF!,pfmTVA!$B$1:$K$69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7" i="22" l="1"/>
  <c r="AR7" i="22"/>
  <c r="AO7" i="22" l="1"/>
  <c r="AU7" i="22" s="1"/>
  <c r="AS7" i="22"/>
  <c r="B106" i="9" l="1"/>
  <c r="J106" i="9" s="1"/>
  <c r="K60" i="74"/>
  <c r="K57" i="74"/>
  <c r="K54" i="74"/>
  <c r="K53" i="74"/>
  <c r="K52" i="74"/>
  <c r="K51" i="74"/>
  <c r="K50" i="74"/>
  <c r="K49" i="74"/>
  <c r="K48" i="74"/>
  <c r="K47" i="74"/>
  <c r="K46" i="74"/>
  <c r="K45" i="74"/>
  <c r="K44" i="74"/>
  <c r="K43" i="74"/>
  <c r="N41" i="74"/>
  <c r="K41" i="74"/>
  <c r="I41" i="74"/>
  <c r="B41" i="74"/>
  <c r="N39" i="74"/>
  <c r="K39" i="74"/>
  <c r="I39" i="74"/>
  <c r="B39" i="74"/>
  <c r="N37" i="74"/>
  <c r="K37" i="74"/>
  <c r="I37" i="74"/>
  <c r="B37" i="74"/>
  <c r="N35" i="74"/>
  <c r="K35" i="74"/>
  <c r="I35" i="74"/>
  <c r="B35" i="74"/>
  <c r="N33" i="74"/>
  <c r="K33" i="74"/>
  <c r="I33" i="74"/>
  <c r="B33" i="74"/>
  <c r="N31" i="74"/>
  <c r="K31" i="74"/>
  <c r="I31" i="74"/>
  <c r="B31" i="74"/>
  <c r="N29" i="74"/>
  <c r="K29" i="74"/>
  <c r="B29" i="74"/>
  <c r="I29" i="74" s="1"/>
  <c r="N27" i="74"/>
  <c r="K27" i="74"/>
  <c r="B27" i="74"/>
  <c r="I27" i="74" s="1"/>
  <c r="E13" i="74"/>
  <c r="K60" i="73"/>
  <c r="K58" i="73"/>
  <c r="K57" i="73"/>
  <c r="K54" i="73"/>
  <c r="K53" i="73"/>
  <c r="K52" i="73"/>
  <c r="K51" i="73"/>
  <c r="K50" i="73"/>
  <c r="K49" i="73"/>
  <c r="K48" i="73"/>
  <c r="K47" i="73"/>
  <c r="K46" i="73"/>
  <c r="K45" i="73"/>
  <c r="K44" i="73"/>
  <c r="K43" i="73"/>
  <c r="N41" i="73"/>
  <c r="K41" i="73"/>
  <c r="I41" i="73"/>
  <c r="B41" i="73"/>
  <c r="N39" i="73"/>
  <c r="K39" i="73"/>
  <c r="I39" i="73"/>
  <c r="B39" i="73"/>
  <c r="N37" i="73"/>
  <c r="K37" i="73"/>
  <c r="I37" i="73"/>
  <c r="B37" i="73"/>
  <c r="N35" i="73"/>
  <c r="K35" i="73"/>
  <c r="B35" i="73"/>
  <c r="I35" i="73" s="1"/>
  <c r="N33" i="73"/>
  <c r="K33" i="73"/>
  <c r="B33" i="73"/>
  <c r="I33" i="73" s="1"/>
  <c r="N31" i="73"/>
  <c r="K31" i="73"/>
  <c r="B31" i="73"/>
  <c r="I31" i="73" s="1"/>
  <c r="N29" i="73"/>
  <c r="K29" i="73"/>
  <c r="B29" i="73"/>
  <c r="I29" i="73" s="1"/>
  <c r="N27" i="73"/>
  <c r="K27" i="73"/>
  <c r="B27" i="73"/>
  <c r="I27" i="73" s="1"/>
  <c r="E13" i="73"/>
  <c r="AO7" i="72"/>
  <c r="AK7" i="72"/>
  <c r="AJ7" i="72"/>
  <c r="AF7" i="72"/>
  <c r="AB7" i="72"/>
  <c r="X7" i="72"/>
  <c r="T7" i="72"/>
  <c r="P7" i="72"/>
  <c r="L7" i="72"/>
  <c r="H7" i="72"/>
  <c r="C63" i="74"/>
  <c r="C63" i="73"/>
  <c r="AL7" i="72" l="1"/>
  <c r="I106" i="9"/>
  <c r="N106" i="9" l="1"/>
  <c r="B30" i="9" l="1"/>
  <c r="AS7" i="41" l="1"/>
  <c r="AR7" i="41"/>
  <c r="AN7" i="41" s="1"/>
  <c r="AO7" i="41"/>
  <c r="AU7" i="41" s="1"/>
  <c r="K7" i="15"/>
  <c r="K14" i="15"/>
  <c r="K10" i="15"/>
  <c r="K6" i="15"/>
  <c r="K8" i="15"/>
  <c r="K9" i="15"/>
  <c r="K11" i="15"/>
  <c r="K12" i="15"/>
  <c r="K13" i="15"/>
  <c r="K15" i="15"/>
  <c r="K16" i="15"/>
  <c r="K17" i="15"/>
  <c r="K18" i="15"/>
  <c r="K19" i="15"/>
  <c r="K20" i="15"/>
  <c r="K21" i="15"/>
  <c r="K22" i="15"/>
  <c r="K23" i="15"/>
  <c r="I120" i="9" l="1"/>
  <c r="B120" i="9"/>
  <c r="J120" i="9" s="1"/>
  <c r="N120" i="9" s="1"/>
  <c r="B118" i="9"/>
  <c r="B116" i="9"/>
  <c r="B114" i="9"/>
  <c r="B112" i="9"/>
  <c r="B110" i="9"/>
  <c r="B108" i="9"/>
  <c r="K133" i="9"/>
  <c r="K132" i="9"/>
  <c r="K131" i="9"/>
  <c r="K130" i="9"/>
  <c r="K129" i="9"/>
  <c r="K128" i="9"/>
  <c r="K127" i="9"/>
  <c r="K126" i="9"/>
  <c r="K125" i="9"/>
  <c r="K124" i="9"/>
  <c r="K123" i="9"/>
  <c r="K122" i="9"/>
  <c r="K120" i="9"/>
  <c r="K118" i="9"/>
  <c r="K116" i="9"/>
  <c r="K106" i="9"/>
  <c r="E92" i="9"/>
  <c r="I108" i="9" l="1"/>
  <c r="J108" i="9"/>
  <c r="I116" i="9"/>
  <c r="J116" i="9"/>
  <c r="N116" i="9" s="1"/>
  <c r="I118" i="9"/>
  <c r="J118" i="9"/>
  <c r="N118" i="9" s="1"/>
  <c r="I110" i="9"/>
  <c r="J110" i="9"/>
  <c r="I112" i="9"/>
  <c r="J112" i="9"/>
  <c r="I114" i="9"/>
  <c r="J114" i="9"/>
  <c r="N114" i="9" l="1"/>
  <c r="K114" i="9"/>
  <c r="N112" i="9"/>
  <c r="K112" i="9"/>
  <c r="N110" i="9"/>
  <c r="K110" i="9"/>
  <c r="N108" i="9"/>
  <c r="K108" i="9"/>
  <c r="K134" i="9" l="1"/>
  <c r="K136" i="9" s="1"/>
  <c r="B44" i="9"/>
  <c r="B42" i="9"/>
  <c r="B40" i="9"/>
  <c r="B38" i="9"/>
  <c r="B36" i="9"/>
  <c r="B34" i="9"/>
  <c r="B32" i="9"/>
  <c r="I30" i="9"/>
  <c r="I44" i="9"/>
  <c r="I42" i="9"/>
  <c r="I40" i="9"/>
  <c r="I38" i="9"/>
  <c r="I36" i="9"/>
  <c r="K139" i="9" l="1"/>
  <c r="K137" i="9"/>
  <c r="I34" i="9"/>
  <c r="I32" i="9"/>
  <c r="E16" i="9"/>
  <c r="A1" i="1"/>
  <c r="C142" i="9"/>
</calcChain>
</file>

<file path=xl/sharedStrings.xml><?xml version="1.0" encoding="utf-8"?>
<sst xmlns="http://schemas.openxmlformats.org/spreadsheetml/2006/main" count="385" uniqueCount="189">
  <si>
    <t>Prix</t>
  </si>
  <si>
    <t>TVA</t>
  </si>
  <si>
    <t>Désignation</t>
  </si>
  <si>
    <t>Quantité</t>
  </si>
  <si>
    <t>:</t>
  </si>
  <si>
    <t>Tel</t>
  </si>
  <si>
    <t>Type de paiement</t>
  </si>
  <si>
    <t>Unité</t>
  </si>
  <si>
    <t>Produits</t>
  </si>
  <si>
    <t>ENTREPRISE</t>
  </si>
  <si>
    <t>ADRESSE</t>
  </si>
  <si>
    <t>DATE D'INTRODUCTION DE LA COMMANDE</t>
  </si>
  <si>
    <t>SITUATION</t>
  </si>
  <si>
    <t>PAYE</t>
  </si>
  <si>
    <t>RESTE A PAYE</t>
  </si>
  <si>
    <t>NOMBRE TOTAL</t>
  </si>
  <si>
    <t>TEL1</t>
  </si>
  <si>
    <t>TEL2</t>
  </si>
  <si>
    <t>Granulats 0/5</t>
  </si>
  <si>
    <t>Référence</t>
  </si>
  <si>
    <t>Densité</t>
  </si>
  <si>
    <t>m3</t>
  </si>
  <si>
    <t>Tonne</t>
  </si>
  <si>
    <t>TGC-05</t>
  </si>
  <si>
    <t>Granulats 5/15</t>
  </si>
  <si>
    <t>Granulats 15/25</t>
  </si>
  <si>
    <t>Granulats 10/20</t>
  </si>
  <si>
    <t>Fraction</t>
  </si>
  <si>
    <t>TGC-515</t>
  </si>
  <si>
    <t>TGC-1525</t>
  </si>
  <si>
    <t>TGC-1020</t>
  </si>
  <si>
    <t>Granulats 0/4</t>
  </si>
  <si>
    <t>TGC-04</t>
  </si>
  <si>
    <t>Granulats 4/8,5</t>
  </si>
  <si>
    <t>TGC-48,5</t>
  </si>
  <si>
    <t>Granulats 8,5/12,5</t>
  </si>
  <si>
    <t>TGC-8,512,5</t>
  </si>
  <si>
    <t>Granulats 4/6</t>
  </si>
  <si>
    <t>Granulats 6/10</t>
  </si>
  <si>
    <t>TGC-46</t>
  </si>
  <si>
    <t>TGC-610</t>
  </si>
  <si>
    <t>Granulats 10/14</t>
  </si>
  <si>
    <t>TGC-1014</t>
  </si>
  <si>
    <t>Granulats 0/16</t>
  </si>
  <si>
    <t>TGC-016</t>
  </si>
  <si>
    <t>Granulats 16/31,5</t>
  </si>
  <si>
    <t>TGC-1631,5</t>
  </si>
  <si>
    <t>Granulats 0/31,5</t>
  </si>
  <si>
    <t>TGC-031,5</t>
  </si>
  <si>
    <t>Granulats 0/180</t>
  </si>
  <si>
    <t>TGC-0600</t>
  </si>
  <si>
    <t>PRODUIT COMMANDE</t>
  </si>
  <si>
    <t>PRODUIT COMMANDE2</t>
  </si>
  <si>
    <t>PRODUIT COMMANDE3</t>
  </si>
  <si>
    <t>NOMBRE TOTAL2</t>
  </si>
  <si>
    <t>NOMBRE TOTAL3</t>
  </si>
  <si>
    <t>Unité2</t>
  </si>
  <si>
    <t>Unité3</t>
  </si>
  <si>
    <t>PRODUIT COMMANDE4</t>
  </si>
  <si>
    <t>NOMBRE TOTAL4</t>
  </si>
  <si>
    <t>PRODUIT COMMANDE5</t>
  </si>
  <si>
    <t>NOMBRE TOTAL5</t>
  </si>
  <si>
    <t>Unité4</t>
  </si>
  <si>
    <t>Unité5</t>
  </si>
  <si>
    <t>PRODUIT COMMANDE6</t>
  </si>
  <si>
    <t>NOMBRE TOTAL6</t>
  </si>
  <si>
    <t>PRODUIT COMMANDE7</t>
  </si>
  <si>
    <t>NOMBRE TOTAL7</t>
  </si>
  <si>
    <t>Unité6</t>
  </si>
  <si>
    <t>Unité7</t>
  </si>
  <si>
    <t>PRODUIT COMMANDE8</t>
  </si>
  <si>
    <t>NOMBRE TOTAL8</t>
  </si>
  <si>
    <t>Unité8</t>
  </si>
  <si>
    <t/>
  </si>
  <si>
    <t>t</t>
  </si>
  <si>
    <t>MONTANT</t>
  </si>
  <si>
    <t>MONTANT2</t>
  </si>
  <si>
    <t>MONTANT3</t>
  </si>
  <si>
    <t>MONTANT4</t>
  </si>
  <si>
    <t>MONTANT5</t>
  </si>
  <si>
    <t>MONTANT6</t>
  </si>
  <si>
    <t>MONTANT7</t>
  </si>
  <si>
    <t>MONTANT8</t>
  </si>
  <si>
    <t>NUMERO OPERATION</t>
  </si>
  <si>
    <t>ECHEANCE</t>
  </si>
  <si>
    <t>TYPE DE PAIEMENT</t>
  </si>
  <si>
    <t>Comptant/Espèce</t>
  </si>
  <si>
    <t>Crédit</t>
  </si>
  <si>
    <t>Date</t>
  </si>
  <si>
    <t>BON D'ENLEVEE N°</t>
  </si>
  <si>
    <t>Pour la TGC-SA,</t>
  </si>
  <si>
    <t>Client</t>
  </si>
  <si>
    <t xml:space="preserve">Adresse </t>
  </si>
  <si>
    <t>TOTAL  HT</t>
  </si>
  <si>
    <t>REMISE</t>
  </si>
  <si>
    <t>TVA 18%</t>
  </si>
  <si>
    <t>Condition de règlement</t>
  </si>
  <si>
    <t>TOTAL TTC</t>
  </si>
  <si>
    <t>Arrêtée la présente facture TTC à la somme de</t>
  </si>
  <si>
    <t>PU*</t>
  </si>
  <si>
    <t>Jours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</si>
  <si>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</si>
  <si>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</si>
  <si>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</si>
  <si>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</si>
  <si>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</si>
  <si>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</si>
  <si>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</si>
  <si>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</si>
  <si>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</si>
  <si>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</si>
  <si>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</si>
  <si>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</si>
  <si>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</si>
  <si>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 Clients</t>
  </si>
  <si>
    <t>Comptoir</t>
  </si>
  <si>
    <t>OPTION CREDIT</t>
  </si>
  <si>
    <t>Option crédit</t>
  </si>
  <si>
    <t>MONTANT HT</t>
  </si>
  <si>
    <t>Montant HT (F CFA)</t>
  </si>
  <si>
    <t>FACTURE N°</t>
  </si>
  <si>
    <t>PU</t>
  </si>
  <si>
    <t>MONTANT NET</t>
  </si>
  <si>
    <t>MONTANT TTC</t>
  </si>
  <si>
    <t>ETAT FACTURE</t>
  </si>
  <si>
    <t>Granulats 5/25</t>
  </si>
  <si>
    <t>TGC-525</t>
  </si>
  <si>
    <t>Granulats 0/6</t>
  </si>
  <si>
    <t>TGC-06</t>
  </si>
  <si>
    <t>TGC-180</t>
  </si>
  <si>
    <t>Comptant: Espèce</t>
  </si>
  <si>
    <t>Comptant: Chèque</t>
  </si>
  <si>
    <t>Lomé</t>
  </si>
  <si>
    <t>CLIENT</t>
  </si>
  <si>
    <t>Immatriculation</t>
  </si>
  <si>
    <t>Fin 101180</t>
  </si>
  <si>
    <t>Fin 101480</t>
  </si>
  <si>
    <t>Granulats 0/600</t>
  </si>
  <si>
    <t>CLIENTS</t>
  </si>
  <si>
    <t>RETIRE</t>
  </si>
  <si>
    <t>RESTE A RETIRER</t>
  </si>
  <si>
    <t>QTTE TOTALE</t>
  </si>
  <si>
    <t>QTTE TOTALE A RETIRER</t>
  </si>
  <si>
    <t>MONTANT VERSE</t>
  </si>
  <si>
    <t>RESTE A PAYER</t>
  </si>
  <si>
    <t>NOMBRE DE FACTURES EMISES</t>
  </si>
  <si>
    <t>QTTE RETIREE (2)</t>
  </si>
  <si>
    <t>RESTE A RETIRER (2)</t>
  </si>
  <si>
    <t>RETIRE (3)</t>
  </si>
  <si>
    <t>RESTE A RETIRER (3)</t>
  </si>
  <si>
    <t>RETIRE (4)</t>
  </si>
  <si>
    <t>RESTE A RETIRER (4)</t>
  </si>
  <si>
    <t>RETIRE (5)</t>
  </si>
  <si>
    <t>RESTE A RETIRER (5)</t>
  </si>
  <si>
    <t>RETIRE (6)</t>
  </si>
  <si>
    <t>RESTE A RETIRER (6)</t>
  </si>
  <si>
    <t>RETIRE (7)</t>
  </si>
  <si>
    <t>RESTE A RETIRER (7)</t>
  </si>
  <si>
    <t>RETIRE (8)</t>
  </si>
  <si>
    <t>RESTE A RETIRER (8)</t>
  </si>
  <si>
    <t>MONTANT A PAYER</t>
  </si>
  <si>
    <t>QTTE</t>
  </si>
  <si>
    <t>QTTE (2)</t>
  </si>
  <si>
    <t>QTTE (3)</t>
  </si>
  <si>
    <t>QTTE (4)</t>
  </si>
  <si>
    <t>QTTE (5)</t>
  </si>
  <si>
    <t>QTTE (6)</t>
  </si>
  <si>
    <t>QTTE (7)</t>
  </si>
  <si>
    <t>QTTE (8)</t>
  </si>
  <si>
    <t xml:space="preserve"> N°</t>
  </si>
  <si>
    <t>FACTURE PROFORMAT</t>
  </si>
  <si>
    <t>DATE DU DERNIER ENLEVEMENT</t>
  </si>
  <si>
    <t>0</t>
  </si>
  <si>
    <t>N° FACTURE</t>
  </si>
  <si>
    <t>MONTANT FACTURE</t>
  </si>
  <si>
    <t xml:space="preserve">MONTANT PAYE </t>
  </si>
  <si>
    <t>DATE D'EMISSION</t>
  </si>
  <si>
    <t xml:space="preserve"> </t>
  </si>
  <si>
    <t>TGC</t>
  </si>
  <si>
    <t>22222222</t>
  </si>
  <si>
    <t>1/TGC-SA</t>
  </si>
  <si>
    <t>50</t>
  </si>
  <si>
    <t>02/</t>
  </si>
  <si>
    <t>EBENEZER</t>
  </si>
  <si>
    <t>Pas de crédit</t>
  </si>
  <si>
    <t>CENTRO</t>
  </si>
  <si>
    <t>22 22 56 83</t>
  </si>
  <si>
    <t>lOME togo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</si>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</sst>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0.000"/>
    <numFmt numFmtId="166" formatCode="#,##0.00\ _€"/>
    <numFmt numFmtId="167" formatCode="d/m/yy\ h:mm;@"/>
  </numFmts>
  <fonts count="37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2"/>
      <name val="Arial"/>
      <family val="2"/>
    </font>
    <font>
      <b/>
      <i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i/>
      <sz val="12"/>
      <color rgb="FFFF0000"/>
      <name val="Arial"/>
      <family val="2"/>
    </font>
    <font>
      <sz val="36"/>
      <name val="Gill Sans Ultra Bold"/>
      <family val="2"/>
    </font>
    <font>
      <b/>
      <sz val="36"/>
      <name val="Gill Sans Ultra Bold"/>
      <family val="2"/>
    </font>
    <font>
      <b/>
      <sz val="14"/>
      <name val="Arial Black"/>
      <family val="2"/>
    </font>
    <font>
      <sz val="8"/>
      <color theme="1"/>
      <name val="Tahoma"/>
      <family val="2"/>
    </font>
    <font>
      <b/>
      <sz val="8"/>
      <color theme="1"/>
      <name val="Tahoma"/>
      <family val="2"/>
    </font>
    <font>
      <sz val="10"/>
      <color theme="1"/>
      <name val="Tahoma"/>
      <family val="2"/>
    </font>
    <font>
      <b/>
      <sz val="8"/>
      <color theme="0"/>
      <name val="Tahoma"/>
      <family val="2"/>
    </font>
    <font>
      <sz val="8"/>
      <color theme="0"/>
      <name val="Tahoma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Tahoma"/>
      <family val="2"/>
    </font>
    <font>
      <b/>
      <sz val="14"/>
      <name val="Arial"/>
      <family val="2"/>
    </font>
    <font>
      <sz val="16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5"/>
      <color rgb="FFFF0000"/>
      <name val="Arial"/>
      <family val="2"/>
    </font>
    <font>
      <sz val="11"/>
      <color theme="1"/>
      <name val="Tahoma"/>
      <family val="2"/>
    </font>
    <font>
      <sz val="14"/>
      <color theme="1"/>
      <name val="Tahoma"/>
      <family val="2"/>
    </font>
    <font>
      <sz val="11"/>
      <color theme="1"/>
      <name val="Tahoma"/>
      <family val="2"/>
    </font>
    <font>
      <sz val="8"/>
      <name val="Arial"/>
      <family val="2"/>
    </font>
    <font>
      <b/>
      <sz val="10"/>
      <color theme="0"/>
      <name val="Tahoma"/>
      <family val="2"/>
    </font>
    <font>
      <sz val="12"/>
      <color theme="1"/>
      <name val="Tahoma"/>
      <family val="2"/>
    </font>
    <font>
      <b/>
      <sz val="12"/>
      <color theme="1"/>
      <name val="Tahoma"/>
      <family val="2"/>
    </font>
    <font>
      <b/>
      <sz val="14"/>
      <color theme="1"/>
      <name val="Tahoma"/>
      <family val="2"/>
    </font>
    <font>
      <b/>
      <sz val="22"/>
      <name val="Tahoma"/>
      <family val="2"/>
    </font>
    <font>
      <b/>
      <sz val="16"/>
      <color theme="1"/>
      <name val="Tahoma"/>
      <family val="2"/>
    </font>
    <font>
      <sz val="11"/>
      <color theme="1"/>
      <name val="Tahoma"/>
    </font>
    <font>
      <sz val="8"/>
      <color theme="1"/>
      <name val="Tahoma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theme="7"/>
      </patternFill>
    </fill>
  </fills>
  <borders count="59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rgb="FFFFFFFF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201">
    <xf numFmtId="0" fontId="0" fillId="0" borderId="0" xfId="0"/>
    <xf numFmtId="0" fontId="1" fillId="0" borderId="0" xfId="0" applyFont="1"/>
    <xf numFmtId="0" fontId="2" fillId="0" borderId="0" xfId="1" applyFont="1" applyAlignment="1"/>
    <xf numFmtId="0" fontId="2" fillId="0" borderId="0" xfId="1" applyFont="1" applyBorder="1" applyAlignment="1"/>
    <xf numFmtId="0" fontId="2" fillId="0" borderId="0" xfId="1" applyBorder="1" applyAlignment="1"/>
    <xf numFmtId="0" fontId="2" fillId="0" borderId="1" xfId="1" applyNumberFormat="1" applyFont="1" applyBorder="1" applyAlignment="1"/>
    <xf numFmtId="0" fontId="4" fillId="2" borderId="1" xfId="1" applyNumberFormat="1" applyFont="1" applyFill="1" applyBorder="1" applyAlignment="1"/>
    <xf numFmtId="0" fontId="3" fillId="2" borderId="1" xfId="1" applyNumberFormat="1" applyFont="1" applyFill="1" applyBorder="1" applyAlignment="1"/>
    <xf numFmtId="0" fontId="5" fillId="2" borderId="0" xfId="1" applyFont="1" applyFill="1" applyBorder="1" applyAlignment="1"/>
    <xf numFmtId="0" fontId="7" fillId="0" borderId="0" xfId="1" applyFont="1" applyBorder="1" applyAlignment="1"/>
    <xf numFmtId="0" fontId="2" fillId="0" borderId="2" xfId="1" applyNumberFormat="1" applyBorder="1" applyProtection="1">
      <protection locked="0"/>
    </xf>
    <xf numFmtId="0" fontId="2" fillId="0" borderId="0" xfId="1" applyNumberFormat="1" applyBorder="1" applyProtection="1">
      <protection locked="0"/>
    </xf>
    <xf numFmtId="0" fontId="7" fillId="0" borderId="0" xfId="1" applyNumberFormat="1" applyFont="1" applyBorder="1" applyAlignment="1" applyProtection="1">
      <alignment horizontal="right"/>
      <protection locked="0"/>
    </xf>
    <xf numFmtId="0" fontId="2" fillId="0" borderId="0" xfId="1" applyNumberFormat="1" applyFont="1" applyFill="1" applyBorder="1" applyAlignment="1" applyProtection="1">
      <protection locked="0"/>
    </xf>
    <xf numFmtId="0" fontId="2" fillId="0" borderId="0" xfId="1" applyNumberFormat="1" applyFont="1" applyFill="1" applyBorder="1" applyAlignment="1" applyProtection="1">
      <alignment horizontal="left"/>
      <protection locked="0"/>
    </xf>
    <xf numFmtId="0" fontId="2" fillId="0" borderId="0" xfId="1" applyBorder="1"/>
    <xf numFmtId="0" fontId="2" fillId="0" borderId="0" xfId="1" applyNumberFormat="1" applyFont="1" applyBorder="1" applyAlignment="1">
      <alignment horizontal="centerContinuous" vertical="center"/>
    </xf>
    <xf numFmtId="0" fontId="2" fillId="0" borderId="0" xfId="1" applyNumberFormat="1" applyFont="1" applyBorder="1" applyAlignment="1" applyProtection="1">
      <alignment horizontal="centerContinuous" vertical="center"/>
      <protection locked="0"/>
    </xf>
    <xf numFmtId="0" fontId="2" fillId="0" borderId="0" xfId="1" applyNumberFormat="1" applyFont="1" applyBorder="1" applyProtection="1">
      <protection locked="0"/>
    </xf>
    <xf numFmtId="22" fontId="0" fillId="0" borderId="0" xfId="0" applyNumberFormat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15" xfId="0" applyFont="1" applyBorder="1"/>
    <xf numFmtId="0" fontId="1" fillId="0" borderId="11" xfId="0" applyFont="1" applyBorder="1"/>
    <xf numFmtId="0" fontId="1" fillId="0" borderId="14" xfId="0" applyFont="1" applyBorder="1"/>
    <xf numFmtId="0" fontId="1" fillId="0" borderId="13" xfId="0" applyFont="1" applyBorder="1"/>
    <xf numFmtId="0" fontId="1" fillId="0" borderId="10" xfId="0" applyFont="1" applyBorder="1"/>
    <xf numFmtId="0" fontId="1" fillId="0" borderId="12" xfId="0" applyFont="1" applyBorder="1"/>
    <xf numFmtId="0" fontId="14" fillId="0" borderId="15" xfId="0" applyFont="1" applyBorder="1"/>
    <xf numFmtId="0" fontId="14" fillId="0" borderId="11" xfId="0" applyFont="1" applyBorder="1"/>
    <xf numFmtId="0" fontId="14" fillId="0" borderId="14" xfId="0" applyFont="1" applyBorder="1"/>
    <xf numFmtId="0" fontId="12" fillId="0" borderId="0" xfId="0" applyFon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7" fillId="6" borderId="0" xfId="1" applyNumberFormat="1" applyFont="1" applyFill="1" applyAlignment="1" applyProtection="1">
      <alignment horizontal="center"/>
      <protection locked="0"/>
    </xf>
    <xf numFmtId="0" fontId="2" fillId="6" borderId="0" xfId="1" applyFont="1" applyFill="1" applyAlignment="1"/>
    <xf numFmtId="0" fontId="2" fillId="0" borderId="0" xfId="1" applyFont="1" applyAlignment="1">
      <alignment vertical="center" wrapText="1"/>
    </xf>
    <xf numFmtId="0" fontId="7" fillId="4" borderId="22" xfId="1" applyNumberFormat="1" applyFont="1" applyFill="1" applyBorder="1" applyAlignment="1">
      <alignment horizontal="center" vertical="center" wrapText="1"/>
    </xf>
    <xf numFmtId="0" fontId="2" fillId="0" borderId="3" xfId="1" applyNumberFormat="1" applyBorder="1" applyProtection="1">
      <protection locked="0"/>
    </xf>
    <xf numFmtId="0" fontId="2" fillId="0" borderId="25" xfId="1" applyNumberFormat="1" applyBorder="1" applyProtection="1">
      <protection locked="0"/>
    </xf>
    <xf numFmtId="0" fontId="7" fillId="4" borderId="26" xfId="1" applyNumberFormat="1" applyFont="1" applyFill="1" applyBorder="1" applyAlignment="1">
      <alignment horizontal="center" vertical="center" wrapText="1"/>
    </xf>
    <xf numFmtId="0" fontId="17" fillId="0" borderId="0" xfId="1" applyFont="1" applyBorder="1" applyAlignment="1"/>
    <xf numFmtId="0" fontId="19" fillId="0" borderId="0" xfId="0" applyFont="1" applyFill="1" applyAlignment="1">
      <alignment horizontal="center" vertical="center"/>
    </xf>
    <xf numFmtId="0" fontId="2" fillId="7" borderId="0" xfId="1" applyNumberFormat="1" applyFont="1" applyFill="1" applyBorder="1" applyAlignment="1" applyProtection="1">
      <alignment horizontal="left" vertical="center"/>
      <protection locked="0"/>
    </xf>
    <xf numFmtId="0" fontId="2" fillId="7" borderId="0" xfId="1" applyNumberFormat="1" applyFill="1" applyBorder="1" applyProtection="1">
      <protection locked="0"/>
    </xf>
    <xf numFmtId="0" fontId="2" fillId="7" borderId="27" xfId="1" applyFont="1" applyFill="1" applyBorder="1" applyAlignment="1"/>
    <xf numFmtId="0" fontId="2" fillId="7" borderId="28" xfId="1" applyNumberFormat="1" applyFont="1" applyFill="1" applyBorder="1" applyAlignment="1" applyProtection="1">
      <alignment horizontal="left" vertical="center"/>
      <protection locked="0"/>
    </xf>
    <xf numFmtId="0" fontId="2" fillId="7" borderId="28" xfId="1" applyFont="1" applyFill="1" applyBorder="1" applyAlignment="1"/>
    <xf numFmtId="0" fontId="21" fillId="7" borderId="27" xfId="1" applyNumberFormat="1" applyFont="1" applyFill="1" applyBorder="1" applyAlignment="1" applyProtection="1">
      <alignment horizontal="left" vertical="center"/>
      <protection locked="0"/>
    </xf>
    <xf numFmtId="164" fontId="5" fillId="0" borderId="23" xfId="2" applyNumberFormat="1" applyFont="1" applyBorder="1" applyAlignment="1" applyProtection="1">
      <alignment horizontal="right"/>
      <protection locked="0"/>
    </xf>
    <xf numFmtId="164" fontId="5" fillId="0" borderId="23" xfId="1" applyNumberFormat="1" applyFont="1" applyBorder="1" applyAlignment="1" applyProtection="1">
      <alignment horizontal="right"/>
      <protection locked="0"/>
    </xf>
    <xf numFmtId="164" fontId="5" fillId="0" borderId="24" xfId="1" applyNumberFormat="1" applyFont="1" applyBorder="1" applyAlignment="1" applyProtection="1">
      <alignment horizontal="right"/>
      <protection locked="0"/>
    </xf>
    <xf numFmtId="0" fontId="2" fillId="0" borderId="0" xfId="1" applyNumberFormat="1" applyFont="1" applyBorder="1" applyAlignment="1"/>
    <xf numFmtId="0" fontId="3" fillId="2" borderId="0" xfId="1" applyNumberFormat="1" applyFont="1" applyFill="1" applyBorder="1" applyAlignment="1"/>
    <xf numFmtId="0" fontId="4" fillId="2" borderId="0" xfId="1" applyNumberFormat="1" applyFont="1" applyFill="1" applyBorder="1" applyAlignment="1"/>
    <xf numFmtId="0" fontId="2" fillId="0" borderId="23" xfId="1" applyBorder="1" applyAlignment="1"/>
    <xf numFmtId="0" fontId="7" fillId="0" borderId="0" xfId="1" applyFont="1" applyBorder="1" applyAlignment="1">
      <alignment horizontal="right" vertical="center"/>
    </xf>
    <xf numFmtId="0" fontId="7" fillId="0" borderId="0" xfId="1" applyNumberFormat="1" applyFont="1" applyBorder="1" applyAlignment="1">
      <alignment horizontal="right" vertical="center"/>
    </xf>
    <xf numFmtId="165" fontId="2" fillId="0" borderId="29" xfId="1" applyNumberFormat="1" applyFont="1" applyFill="1" applyBorder="1" applyAlignment="1" applyProtection="1">
      <alignment horizontal="center"/>
      <protection locked="0"/>
    </xf>
    <xf numFmtId="0" fontId="2" fillId="0" borderId="0" xfId="1" applyFont="1" applyBorder="1" applyAlignment="1">
      <alignment horizontal="right" vertical="center"/>
    </xf>
    <xf numFmtId="0" fontId="22" fillId="0" borderId="0" xfId="1" applyFont="1" applyBorder="1" applyAlignment="1"/>
    <xf numFmtId="0" fontId="2" fillId="7" borderId="0" xfId="1" applyNumberFormat="1" applyFont="1" applyFill="1" applyBorder="1" applyAlignment="1">
      <alignment horizontal="centerContinuous" vertical="center"/>
    </xf>
    <xf numFmtId="167" fontId="5" fillId="7" borderId="0" xfId="1" applyNumberFormat="1" applyFont="1" applyFill="1" applyBorder="1" applyAlignment="1" applyProtection="1">
      <alignment horizontal="left" vertical="center"/>
    </xf>
    <xf numFmtId="0" fontId="5" fillId="7" borderId="28" xfId="1" applyNumberFormat="1" applyFont="1" applyFill="1" applyBorder="1" applyAlignment="1" applyProtection="1">
      <alignment horizontal="left" vertical="center"/>
      <protection locked="0"/>
    </xf>
    <xf numFmtId="0" fontId="5" fillId="7" borderId="0" xfId="1" applyNumberFormat="1" applyFont="1" applyFill="1" applyBorder="1" applyAlignment="1" applyProtection="1">
      <alignment horizontal="left" vertical="center"/>
      <protection locked="0"/>
    </xf>
    <xf numFmtId="0" fontId="23" fillId="0" borderId="3" xfId="1" applyNumberFormat="1" applyFont="1" applyFill="1" applyBorder="1" applyAlignment="1" applyProtection="1">
      <alignment horizontal="center" vertical="center"/>
      <protection locked="0"/>
    </xf>
    <xf numFmtId="0" fontId="23" fillId="0" borderId="25" xfId="1" applyNumberFormat="1" applyFont="1" applyFill="1" applyBorder="1" applyAlignment="1" applyProtection="1">
      <alignment horizontal="center" vertical="center"/>
      <protection locked="0"/>
    </xf>
    <xf numFmtId="164" fontId="2" fillId="7" borderId="0" xfId="2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2" fontId="25" fillId="0" borderId="8" xfId="0" applyNumberFormat="1" applyFont="1" applyBorder="1" applyAlignment="1">
      <alignment horizontal="center" vertical="center"/>
    </xf>
    <xf numFmtId="0" fontId="25" fillId="0" borderId="8" xfId="0" applyNumberFormat="1" applyFont="1" applyBorder="1" applyAlignment="1">
      <alignment horizontal="center" vertical="center"/>
    </xf>
    <xf numFmtId="14" fontId="25" fillId="0" borderId="8" xfId="0" applyNumberFormat="1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2" fontId="25" fillId="0" borderId="19" xfId="0" applyNumberFormat="1" applyFont="1" applyBorder="1" applyAlignment="1">
      <alignment horizontal="center" vertical="center"/>
    </xf>
    <xf numFmtId="14" fontId="25" fillId="0" borderId="19" xfId="0" applyNumberFormat="1" applyFont="1" applyBorder="1" applyAlignment="1">
      <alignment horizontal="center" vertical="center"/>
    </xf>
    <xf numFmtId="0" fontId="25" fillId="0" borderId="20" xfId="0" applyFont="1" applyBorder="1" applyAlignment="1">
      <alignment horizontal="center" vertical="center"/>
    </xf>
    <xf numFmtId="166" fontId="25" fillId="0" borderId="19" xfId="0" applyNumberFormat="1" applyFont="1" applyBorder="1" applyAlignment="1">
      <alignment horizontal="center" vertical="center"/>
    </xf>
    <xf numFmtId="19" fontId="25" fillId="0" borderId="19" xfId="0" applyNumberFormat="1" applyFont="1" applyBorder="1" applyAlignment="1">
      <alignment horizontal="center" vertical="center"/>
    </xf>
    <xf numFmtId="0" fontId="25" fillId="0" borderId="0" xfId="0" applyNumberFormat="1" applyFont="1" applyAlignment="1">
      <alignment horizontal="center" vertical="center"/>
    </xf>
    <xf numFmtId="9" fontId="25" fillId="0" borderId="21" xfId="3" applyFont="1" applyBorder="1" applyAlignment="1">
      <alignment horizontal="center" vertical="center"/>
    </xf>
    <xf numFmtId="0" fontId="11" fillId="0" borderId="0" xfId="1" applyNumberFormat="1" applyFont="1" applyBorder="1" applyAlignment="1" applyProtection="1">
      <alignment horizontal="centerContinuous" vertical="center"/>
      <protection locked="0"/>
    </xf>
    <xf numFmtId="0" fontId="20" fillId="0" borderId="0" xfId="1" applyFont="1" applyBorder="1" applyAlignment="1">
      <alignment horizontal="left"/>
    </xf>
    <xf numFmtId="0" fontId="2" fillId="0" borderId="23" xfId="1" applyNumberFormat="1" applyBorder="1" applyProtection="1">
      <protection locked="0"/>
    </xf>
    <xf numFmtId="0" fontId="2" fillId="0" borderId="35" xfId="1" applyNumberFormat="1" applyBorder="1" applyProtection="1">
      <protection locked="0"/>
    </xf>
    <xf numFmtId="0" fontId="2" fillId="4" borderId="36" xfId="1" applyFont="1" applyFill="1" applyBorder="1" applyAlignment="1"/>
    <xf numFmtId="0" fontId="7" fillId="0" borderId="0" xfId="1" applyNumberFormat="1" applyFont="1" applyBorder="1" applyProtection="1">
      <protection locked="0"/>
    </xf>
    <xf numFmtId="0" fontId="2" fillId="0" borderId="0" xfId="1" applyNumberFormat="1" applyFont="1" applyBorder="1" applyAlignment="1" applyProtection="1">
      <alignment horizontal="left"/>
      <protection locked="0"/>
    </xf>
    <xf numFmtId="0" fontId="7" fillId="4" borderId="31" xfId="1" applyNumberFormat="1" applyFont="1" applyFill="1" applyBorder="1" applyAlignment="1">
      <alignment horizontal="center" vertical="center" wrapText="1"/>
    </xf>
    <xf numFmtId="0" fontId="2" fillId="0" borderId="30" xfId="1" applyNumberFormat="1" applyFont="1" applyBorder="1" applyProtection="1">
      <protection locked="0"/>
    </xf>
    <xf numFmtId="0" fontId="2" fillId="0" borderId="30" xfId="1" applyNumberFormat="1" applyFont="1" applyFill="1" applyBorder="1" applyAlignment="1" applyProtection="1">
      <protection locked="0"/>
    </xf>
    <xf numFmtId="0" fontId="2" fillId="0" borderId="30" xfId="1" applyNumberFormat="1" applyFont="1" applyBorder="1" applyAlignment="1" applyProtection="1">
      <protection locked="0"/>
    </xf>
    <xf numFmtId="0" fontId="2" fillId="0" borderId="30" xfId="1" applyNumberFormat="1" applyBorder="1" applyProtection="1">
      <protection locked="0"/>
    </xf>
    <xf numFmtId="0" fontId="2" fillId="0" borderId="30" xfId="1" applyNumberFormat="1" applyFont="1" applyBorder="1" applyAlignment="1" applyProtection="1">
      <alignment horizontal="left"/>
      <protection locked="0"/>
    </xf>
    <xf numFmtId="0" fontId="2" fillId="0" borderId="37" xfId="1" applyBorder="1" applyAlignment="1"/>
    <xf numFmtId="0" fontId="2" fillId="0" borderId="37" xfId="1" applyFont="1" applyBorder="1" applyAlignment="1">
      <alignment horizontal="right" vertical="center"/>
    </xf>
    <xf numFmtId="0" fontId="2" fillId="4" borderId="38" xfId="1" applyFont="1" applyFill="1" applyBorder="1" applyAlignment="1"/>
    <xf numFmtId="165" fontId="2" fillId="0" borderId="23" xfId="1" applyNumberFormat="1" applyFont="1" applyFill="1" applyBorder="1" applyAlignment="1" applyProtection="1">
      <alignment horizontal="center"/>
      <protection locked="0"/>
    </xf>
    <xf numFmtId="0" fontId="2" fillId="0" borderId="38" xfId="1" applyBorder="1" applyAlignment="1"/>
    <xf numFmtId="0" fontId="2" fillId="0" borderId="39" xfId="1" applyBorder="1" applyAlignment="1"/>
    <xf numFmtId="0" fontId="2" fillId="0" borderId="0" xfId="1" applyFont="1" applyBorder="1" applyAlignment="1">
      <alignment vertical="center"/>
    </xf>
    <xf numFmtId="0" fontId="2" fillId="0" borderId="30" xfId="1" applyBorder="1" applyAlignment="1"/>
    <xf numFmtId="0" fontId="24" fillId="0" borderId="0" xfId="1" applyFont="1" applyBorder="1" applyAlignment="1"/>
    <xf numFmtId="0" fontId="23" fillId="0" borderId="0" xfId="1" applyNumberFormat="1" applyFont="1" applyBorder="1" applyAlignment="1" applyProtection="1">
      <alignment horizontal="left" vertical="center"/>
      <protection locked="0"/>
    </xf>
    <xf numFmtId="0" fontId="5" fillId="3" borderId="0" xfId="1" applyNumberFormat="1" applyFont="1" applyFill="1" applyBorder="1" applyAlignment="1" applyProtection="1">
      <alignment vertical="center"/>
      <protection locked="0"/>
    </xf>
    <xf numFmtId="0" fontId="2" fillId="3" borderId="0" xfId="1" applyNumberFormat="1" applyFill="1" applyBorder="1" applyProtection="1">
      <protection locked="0"/>
    </xf>
    <xf numFmtId="0" fontId="2" fillId="0" borderId="0" xfId="1" applyFont="1" applyBorder="1" applyAlignment="1">
      <alignment vertical="center" wrapText="1"/>
    </xf>
    <xf numFmtId="0" fontId="2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4" xfId="0" applyNumberFormat="1" applyFont="1" applyBorder="1"/>
    <xf numFmtId="2" fontId="23" fillId="0" borderId="3" xfId="1" applyNumberFormat="1" applyFont="1" applyFill="1" applyBorder="1" applyAlignment="1" applyProtection="1">
      <alignment horizontal="center" vertical="center"/>
      <protection locked="0"/>
    </xf>
    <xf numFmtId="2" fontId="28" fillId="0" borderId="3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Border="1" applyAlignment="1">
      <alignment horizontal="right"/>
    </xf>
    <xf numFmtId="0" fontId="10" fillId="0" borderId="0" xfId="1" applyFont="1" applyBorder="1" applyAlignment="1">
      <alignment vertical="center"/>
    </xf>
    <xf numFmtId="0" fontId="9" fillId="0" borderId="0" xfId="1" applyFont="1" applyBorder="1" applyAlignment="1">
      <alignment vertical="center"/>
    </xf>
    <xf numFmtId="0" fontId="2" fillId="0" borderId="40" xfId="1" applyNumberFormat="1" applyBorder="1" applyProtection="1">
      <protection locked="0"/>
    </xf>
    <xf numFmtId="0" fontId="2" fillId="0" borderId="46" xfId="1" applyNumberFormat="1" applyBorder="1" applyProtection="1">
      <protection locked="0"/>
    </xf>
    <xf numFmtId="164" fontId="7" fillId="5" borderId="31" xfId="2" applyFont="1" applyFill="1" applyBorder="1" applyAlignment="1">
      <alignment horizontal="right" vertical="center"/>
    </xf>
    <xf numFmtId="9" fontId="2" fillId="5" borderId="47" xfId="2" applyNumberFormat="1" applyFont="1" applyFill="1" applyBorder="1" applyAlignment="1">
      <alignment horizontal="center" vertical="center"/>
    </xf>
    <xf numFmtId="164" fontId="2" fillId="5" borderId="48" xfId="2" applyFont="1" applyFill="1" applyBorder="1" applyAlignment="1">
      <alignment vertical="center"/>
    </xf>
    <xf numFmtId="164" fontId="2" fillId="0" borderId="48" xfId="2" applyFont="1" applyFill="1" applyBorder="1" applyAlignment="1">
      <alignment vertical="center"/>
    </xf>
    <xf numFmtId="164" fontId="8" fillId="0" borderId="3" xfId="2" applyFont="1" applyBorder="1" applyAlignment="1" applyProtection="1">
      <alignment vertical="center"/>
      <protection locked="0"/>
    </xf>
    <xf numFmtId="164" fontId="20" fillId="5" borderId="46" xfId="2" applyFont="1" applyFill="1" applyBorder="1" applyAlignment="1">
      <alignment vertical="center"/>
    </xf>
    <xf numFmtId="49" fontId="26" fillId="8" borderId="4" xfId="0" applyNumberFormat="1" applyFont="1" applyFill="1" applyBorder="1" applyAlignment="1">
      <alignment horizontal="center" vertical="center"/>
    </xf>
    <xf numFmtId="49" fontId="26" fillId="9" borderId="4" xfId="0" applyNumberFormat="1" applyFont="1" applyFill="1" applyBorder="1" applyAlignment="1">
      <alignment horizontal="center" vertical="center"/>
    </xf>
    <xf numFmtId="0" fontId="25" fillId="9" borderId="5" xfId="0" applyFont="1" applyFill="1" applyBorder="1" applyAlignment="1">
      <alignment horizontal="center" vertical="center" wrapText="1"/>
    </xf>
    <xf numFmtId="0" fontId="25" fillId="9" borderId="5" xfId="0" applyFont="1" applyFill="1" applyBorder="1" applyAlignment="1">
      <alignment horizontal="center" vertical="center"/>
    </xf>
    <xf numFmtId="0" fontId="25" fillId="9" borderId="6" xfId="0" applyFont="1" applyFill="1" applyBorder="1" applyAlignment="1">
      <alignment horizontal="center" vertical="center"/>
    </xf>
    <xf numFmtId="0" fontId="2" fillId="0" borderId="43" xfId="1" applyBorder="1" applyAlignment="1"/>
    <xf numFmtId="0" fontId="2" fillId="4" borderId="40" xfId="1" applyFont="1" applyFill="1" applyBorder="1" applyAlignment="1"/>
    <xf numFmtId="0" fontId="7" fillId="0" borderId="0" xfId="1" applyFont="1" applyBorder="1" applyAlignment="1">
      <alignment horizontal="center" vertical="center" wrapText="1"/>
    </xf>
    <xf numFmtId="165" fontId="2" fillId="0" borderId="0" xfId="1" applyNumberFormat="1" applyFont="1" applyFill="1" applyBorder="1" applyAlignment="1" applyProtection="1">
      <alignment horizontal="center"/>
      <protection locked="0"/>
    </xf>
    <xf numFmtId="0" fontId="7" fillId="4" borderId="49" xfId="1" applyFont="1" applyFill="1" applyBorder="1" applyAlignment="1">
      <alignment horizontal="center" vertical="center" wrapText="1"/>
    </xf>
    <xf numFmtId="0" fontId="7" fillId="4" borderId="50" xfId="1" applyNumberFormat="1" applyFont="1" applyFill="1" applyBorder="1" applyAlignment="1">
      <alignment horizontal="center" vertical="center" wrapText="1"/>
    </xf>
    <xf numFmtId="0" fontId="7" fillId="4" borderId="41" xfId="1" applyNumberFormat="1" applyFont="1" applyFill="1" applyBorder="1" applyAlignment="1">
      <alignment horizontal="center" vertical="center" wrapText="1"/>
    </xf>
    <xf numFmtId="165" fontId="2" fillId="0" borderId="51" xfId="1" applyNumberFormat="1" applyFont="1" applyFill="1" applyBorder="1" applyAlignment="1" applyProtection="1">
      <alignment horizontal="center"/>
      <protection locked="0"/>
    </xf>
    <xf numFmtId="164" fontId="5" fillId="0" borderId="52" xfId="2" applyNumberFormat="1" applyFont="1" applyBorder="1" applyAlignment="1" applyProtection="1">
      <alignment horizontal="right"/>
      <protection locked="0"/>
    </xf>
    <xf numFmtId="0" fontId="28" fillId="0" borderId="44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Border="1" applyAlignment="1" applyProtection="1">
      <protection locked="0"/>
    </xf>
    <xf numFmtId="164" fontId="5" fillId="0" borderId="0" xfId="1" applyNumberFormat="1" applyFont="1" applyBorder="1" applyAlignment="1" applyProtection="1">
      <alignment horizontal="right"/>
      <protection locked="0"/>
    </xf>
    <xf numFmtId="0" fontId="23" fillId="0" borderId="0" xfId="1" applyNumberFormat="1" applyFont="1" applyFill="1" applyBorder="1" applyAlignment="1" applyProtection="1">
      <alignment horizontal="center" vertical="center"/>
      <protection locked="0"/>
    </xf>
    <xf numFmtId="165" fontId="2" fillId="0" borderId="43" xfId="1" applyNumberFormat="1" applyFont="1" applyFill="1" applyBorder="1" applyAlignment="1" applyProtection="1">
      <alignment horizontal="center"/>
      <protection locked="0"/>
    </xf>
    <xf numFmtId="0" fontId="2" fillId="0" borderId="43" xfId="1" applyNumberFormat="1" applyFont="1" applyBorder="1" applyAlignment="1" applyProtection="1">
      <protection locked="0"/>
    </xf>
    <xf numFmtId="0" fontId="2" fillId="0" borderId="43" xfId="1" applyNumberFormat="1" applyBorder="1" applyProtection="1">
      <protection locked="0"/>
    </xf>
    <xf numFmtId="164" fontId="5" fillId="0" borderId="43" xfId="1" applyNumberFormat="1" applyFont="1" applyBorder="1" applyAlignment="1" applyProtection="1">
      <alignment horizontal="right"/>
      <protection locked="0"/>
    </xf>
    <xf numFmtId="0" fontId="23" fillId="0" borderId="43" xfId="1" applyNumberFormat="1" applyFont="1" applyFill="1" applyBorder="1" applyAlignment="1" applyProtection="1">
      <alignment horizontal="center" vertical="center"/>
      <protection locked="0"/>
    </xf>
    <xf numFmtId="164" fontId="2" fillId="5" borderId="42" xfId="2" applyFont="1" applyFill="1" applyBorder="1" applyAlignment="1">
      <alignment horizontal="center" vertical="center"/>
    </xf>
    <xf numFmtId="164" fontId="2" fillId="5" borderId="32" xfId="2" applyFont="1" applyFill="1" applyBorder="1" applyAlignment="1">
      <alignment horizontal="center" vertical="center"/>
    </xf>
    <xf numFmtId="0" fontId="7" fillId="4" borderId="53" xfId="1" applyFont="1" applyFill="1" applyBorder="1" applyAlignment="1">
      <alignment horizontal="center" vertical="center" wrapText="1"/>
    </xf>
    <xf numFmtId="0" fontId="7" fillId="4" borderId="54" xfId="1" applyNumberFormat="1" applyFont="1" applyFill="1" applyBorder="1" applyAlignment="1">
      <alignment horizontal="center" vertical="center" wrapText="1"/>
    </xf>
    <xf numFmtId="0" fontId="7" fillId="4" borderId="55" xfId="1" applyNumberFormat="1" applyFont="1" applyFill="1" applyBorder="1" applyAlignment="1">
      <alignment horizontal="center" vertical="center" wrapText="1"/>
    </xf>
    <xf numFmtId="0" fontId="7" fillId="4" borderId="56" xfId="1" applyNumberFormat="1" applyFont="1" applyFill="1" applyBorder="1" applyAlignment="1">
      <alignment horizontal="center" vertical="center" wrapText="1"/>
    </xf>
    <xf numFmtId="0" fontId="7" fillId="4" borderId="57" xfId="1" applyNumberFormat="1" applyFont="1" applyFill="1" applyBorder="1" applyAlignment="1">
      <alignment horizontal="center" vertical="center" wrapText="1"/>
    </xf>
    <xf numFmtId="0" fontId="7" fillId="4" borderId="55" xfId="1" applyFont="1" applyFill="1" applyBorder="1" applyAlignment="1">
      <alignment horizontal="center" vertical="center" wrapText="1"/>
    </xf>
    <xf numFmtId="0" fontId="7" fillId="4" borderId="58" xfId="1" applyFont="1" applyFill="1" applyBorder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5" fillId="9" borderId="34" xfId="0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" fillId="0" borderId="45" xfId="1" applyNumberFormat="1" applyBorder="1" applyProtection="1">
      <protection locked="0"/>
    </xf>
    <xf numFmtId="0" fontId="13" fillId="0" borderId="0" xfId="0" applyFont="1" applyFill="1" applyAlignment="1">
      <alignment horizontal="center" vertical="center"/>
    </xf>
    <xf numFmtId="0" fontId="25" fillId="8" borderId="5" xfId="0" applyFont="1" applyFill="1" applyBorder="1" applyAlignment="1">
      <alignment horizontal="center" vertical="center"/>
    </xf>
    <xf numFmtId="0" fontId="25" fillId="8" borderId="5" xfId="0" applyFont="1" applyFill="1" applyBorder="1" applyAlignment="1">
      <alignment horizontal="center" vertical="center" wrapText="1"/>
    </xf>
    <xf numFmtId="0" fontId="25" fillId="8" borderId="6" xfId="0" applyFont="1" applyFill="1" applyBorder="1" applyAlignment="1">
      <alignment horizontal="center" vertical="center"/>
    </xf>
    <xf numFmtId="0" fontId="25" fillId="8" borderId="34" xfId="0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9" fillId="10" borderId="16" xfId="0" applyFont="1" applyFill="1" applyBorder="1"/>
    <xf numFmtId="0" fontId="29" fillId="10" borderId="18" xfId="0" applyFont="1" applyFill="1" applyBorder="1"/>
    <xf numFmtId="14" fontId="25" fillId="0" borderId="0" xfId="0" applyNumberFormat="1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25" fillId="0" borderId="0" xfId="0" applyNumberFormat="1" applyFont="1" applyBorder="1" applyAlignment="1">
      <alignment horizontal="center" vertical="center"/>
    </xf>
    <xf numFmtId="0" fontId="35" fillId="0" borderId="7" xfId="0" applyFont="1" applyBorder="1" applyAlignment="1">
      <alignment horizontal="center" vertical="center"/>
    </xf>
    <xf numFmtId="0" fontId="36" fillId="0" borderId="19" xfId="0" applyFont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35" fillId="0" borderId="8" xfId="0" applyFont="1" applyBorder="1" applyAlignment="1">
      <alignment horizontal="center" vertical="center"/>
    </xf>
    <xf numFmtId="2" fontId="35" fillId="0" borderId="19" xfId="0" applyNumberFormat="1" applyFont="1" applyBorder="1" applyAlignment="1">
      <alignment horizontal="center" vertical="center"/>
    </xf>
    <xf numFmtId="0" fontId="35" fillId="0" borderId="8" xfId="0" applyNumberFormat="1" applyFont="1" applyBorder="1" applyAlignment="1">
      <alignment horizontal="center" vertical="center"/>
    </xf>
    <xf numFmtId="14" fontId="35" fillId="0" borderId="19" xfId="0" applyNumberFormat="1" applyFont="1" applyBorder="1" applyAlignment="1">
      <alignment horizontal="center" vertical="center"/>
    </xf>
    <xf numFmtId="0" fontId="35" fillId="0" borderId="19" xfId="0" applyNumberFormat="1" applyFont="1" applyBorder="1" applyAlignment="1">
      <alignment horizontal="center" vertical="center"/>
    </xf>
    <xf numFmtId="9" fontId="35" fillId="0" borderId="19" xfId="3" applyNumberFormat="1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20" fillId="0" borderId="0" xfId="1" applyFont="1" applyBorder="1" applyAlignment="1">
      <alignment horizontal="right"/>
    </xf>
    <xf numFmtId="0" fontId="33" fillId="0" borderId="0" xfId="1" applyFont="1" applyBorder="1" applyAlignment="1">
      <alignment horizontal="center"/>
    </xf>
    <xf numFmtId="0" fontId="10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7" fillId="2" borderId="0" xfId="1" applyNumberFormat="1" applyFont="1" applyFill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7" fillId="4" borderId="33" xfId="1" applyNumberFormat="1" applyFont="1" applyFill="1" applyBorder="1" applyAlignment="1" applyProtection="1">
      <alignment horizontal="left" vertical="center"/>
      <protection locked="0"/>
    </xf>
    <xf numFmtId="0" fontId="7" fillId="4" borderId="26" xfId="1" applyNumberFormat="1" applyFont="1" applyFill="1" applyBorder="1" applyAlignment="1" applyProtection="1">
      <alignment horizontal="left" vertical="center"/>
      <protection locked="0"/>
    </xf>
  </cellXfs>
  <cellStyles count="4">
    <cellStyle name="Milliers" xfId="2" builtinId="3"/>
    <cellStyle name="Normal" xfId="0" builtinId="0"/>
    <cellStyle name="Normal 2" xfId="1"/>
    <cellStyle name="Pourcentage" xfId="3" builtinId="5"/>
  </cellStyles>
  <dxfs count="2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13" formatCode="0%"/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68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2" formatCode="0.00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2" formatCode="0.00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</dxf>
    <dxf>
      <border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13" formatCode="0%"/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2" formatCode="0.00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numFmt numFmtId="2" formatCode="0.00"/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indent="0" justifyLastLine="0" shrinkToFit="0" readingOrder="0"/>
    </dxf>
    <dxf>
      <border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border outline="0">
        <top style="thin">
          <color theme="7"/>
        </top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border outline="0"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theme="7"/>
        </left>
        <right style="thin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numFmt numFmtId="0" formatCode="General"/>
      <border diagonalUp="0" diagonalDown="0">
        <left style="thin">
          <color theme="7"/>
        </left>
        <right/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/>
        <right style="thin">
          <color theme="7"/>
        </right>
        <top style="thin">
          <color theme="7"/>
        </top>
        <bottom style="thin">
          <color theme="7"/>
        </bottom>
      </border>
    </dxf>
    <dxf>
      <border>
        <top style="thin">
          <color theme="7"/>
        </top>
      </border>
    </dxf>
    <dxf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border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 outline="0">
        <left style="thin">
          <color theme="7"/>
        </left>
        <right style="thin">
          <color theme="7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Tahoma"/>
        <scheme val="none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10</xdr:row>
          <xdr:rowOff>133350</xdr:rowOff>
        </xdr:from>
        <xdr:to>
          <xdr:col>17</xdr:col>
          <xdr:colOff>561975</xdr:colOff>
          <xdr:row>14</xdr:row>
          <xdr:rowOff>19050</xdr:rowOff>
        </xdr:to>
        <xdr:sp macro="" textlink="">
          <xdr:nvSpPr>
            <xdr:cNvPr id="8193" name="Image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85725</xdr:rowOff>
        </xdr:from>
        <xdr:to>
          <xdr:col>0</xdr:col>
          <xdr:colOff>1676400</xdr:colOff>
          <xdr:row>2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</xdr:row>
          <xdr:rowOff>114300</xdr:rowOff>
        </xdr:from>
        <xdr:to>
          <xdr:col>0</xdr:col>
          <xdr:colOff>1666875</xdr:colOff>
          <xdr:row>4</xdr:row>
          <xdr:rowOff>57150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95250</xdr:rowOff>
        </xdr:from>
        <xdr:to>
          <xdr:col>0</xdr:col>
          <xdr:colOff>1562100</xdr:colOff>
          <xdr:row>2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2</xdr:row>
          <xdr:rowOff>114300</xdr:rowOff>
        </xdr:from>
        <xdr:to>
          <xdr:col>0</xdr:col>
          <xdr:colOff>1609725</xdr:colOff>
          <xdr:row>4</xdr:row>
          <xdr:rowOff>57150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B8" totalsRowShown="0" headerRowDxfId="236" dataDxfId="235">
  <autoFilter ref="B5:B8"/>
  <tableColumns count="1">
    <tableColumn id="1" name="Type de paiement" dataDxfId="23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D5:D7" totalsRowShown="0" headerRowDxfId="233" dataDxfId="232">
  <autoFilter ref="D5:D7"/>
  <tableColumns count="1">
    <tableColumn id="1" name="Unité" dataDxfId="231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F5:K23" totalsRowShown="0" headerRowDxfId="230" dataDxfId="228" headerRowBorderDxfId="229" tableBorderDxfId="227" totalsRowBorderDxfId="226">
  <autoFilter ref="F5:K23"/>
  <tableColumns count="6">
    <tableColumn id="1" name="Fraction" dataDxfId="225"/>
    <tableColumn id="2" name="Produits" dataDxfId="224"/>
    <tableColumn id="3" name="Référence" dataDxfId="223"/>
    <tableColumn id="4" name="Densité" dataDxfId="222"/>
    <tableColumn id="5" name="m3" dataDxfId="221"/>
    <tableColumn id="6" name="Tonne" dataDxfId="220">
      <calculatedColumnFormula>IF(Tableau2[[#This Row],[Densité]]="","",Tableau2[[#This Row],[m3]]/Tableau2[[#This Row],[Densité]])</calculatedColumnFormula>
    </tableColumn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B11:B42" totalsRowShown="0" headerRowDxfId="219" dataDxfId="218">
  <autoFilter ref="B11:B42"/>
  <tableColumns count="1">
    <tableColumn id="1" name="Jours" dataDxfId="217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D11:D23" totalsRowShown="0" headerRowDxfId="216" dataDxfId="215">
  <autoFilter ref="D11:D23"/>
  <tableColumns count="1">
    <tableColumn id="1" name="Mois" dataDxfId="214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M5:M7" totalsRowShown="0" headerRowDxfId="213" dataDxfId="212">
  <autoFilter ref="M5:M7"/>
  <tableColumns count="1">
    <tableColumn id="1" name="Type Clients" dataDxfId="211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M15:M19" totalsRowShown="0" headerRowDxfId="210" dataDxfId="209">
  <autoFilter ref="M15:M19"/>
  <tableColumns count="1">
    <tableColumn id="1" name="Option crédit" dataDxfId="208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383" name="Tableau383" displayName="Tableau383" ref="O5:P23" totalsRowShown="0" headerRowDxfId="207" headerRowBorderDxfId="206" tableBorderDxfId="205" totalsRowBorderDxfId="204">
  <autoFilter ref="O5:P23"/>
  <tableColumns count="2">
    <tableColumn id="1" name="Référence" dataDxfId="203"/>
    <tableColumn id="2" name="m3" dataDxfId="202"/>
  </tableColumns>
  <tableStyleInfo name="TableStyleMedium12" showFirstColumn="0" showLastColumn="0" showRowStripes="1" showColumnStripes="0"/>
</table>
</file>

<file path=xl/tables/table9.xml><?xml version="1.0" encoding="utf-8"?>
<table xmlns="http://schemas.openxmlformats.org/spreadsheetml/2006/main" id="9" name="Tableau5510" displayName="Tableau5510" ref="A6:AU7" totalsRowShown="0" headerRowDxfId="201" dataDxfId="199" headerRowBorderDxfId="200" tableBorderDxfId="198" totalsRowBorderDxfId="197">
  <tableColumns count="47">
    <tableColumn id="52" name="ENTREPRISE" dataDxfId="196"/>
    <tableColumn id="2" name="ADRESSE" dataDxfId="195"/>
    <tableColumn id="3" name="TEL1" dataDxfId="194"/>
    <tableColumn id="4" name="TEL2" dataDxfId="193"/>
    <tableColumn id="16" name="PRODUIT COMMANDE" dataDxfId="192"/>
    <tableColumn id="5" name="NOMBRE TOTAL" dataDxfId="191"/>
    <tableColumn id="15" name="Unité" dataDxfId="190"/>
    <tableColumn id="6" name="MONTANT" dataDxfId="189"/>
    <tableColumn id="22" name="PRODUIT COMMANDE2" dataDxfId="188"/>
    <tableColumn id="23" name="NOMBRE TOTAL2" dataDxfId="187"/>
    <tableColumn id="24" name="Unité2" dataDxfId="186"/>
    <tableColumn id="25" name="MONTANT2" dataDxfId="185"/>
    <tableColumn id="27" name="PRODUIT COMMANDE3" dataDxfId="184"/>
    <tableColumn id="28" name="NOMBRE TOTAL3" dataDxfId="183"/>
    <tableColumn id="29" name="Unité3" dataDxfId="182"/>
    <tableColumn id="30" name="MONTANT3" dataDxfId="181"/>
    <tableColumn id="32" name="PRODUIT COMMANDE4" dataDxfId="180"/>
    <tableColumn id="33" name="NOMBRE TOTAL4" dataDxfId="179"/>
    <tableColumn id="34" name="Unité4" dataDxfId="178"/>
    <tableColumn id="35" name="MONTANT4" dataDxfId="177"/>
    <tableColumn id="37" name="PRODUIT COMMANDE5" dataDxfId="176"/>
    <tableColumn id="38" name="NOMBRE TOTAL5" dataDxfId="175"/>
    <tableColumn id="39" name="Unité5" dataDxfId="174"/>
    <tableColumn id="40" name="MONTANT5" dataDxfId="173"/>
    <tableColumn id="42" name="PRODUIT COMMANDE6" dataDxfId="172"/>
    <tableColumn id="43" name="NOMBRE TOTAL6" dataDxfId="171"/>
    <tableColumn id="44" name="Unité6" dataDxfId="170"/>
    <tableColumn id="45" name="MONTANT6" dataDxfId="169"/>
    <tableColumn id="47" name="PRODUIT COMMANDE7" dataDxfId="168"/>
    <tableColumn id="48" name="NOMBRE TOTAL7" dataDxfId="167"/>
    <tableColumn id="49" name="Unité7" dataDxfId="166"/>
    <tableColumn id="50" name="MONTANT7" dataDxfId="165"/>
    <tableColumn id="17" name="PRODUIT COMMANDE8" dataDxfId="164"/>
    <tableColumn id="18" name="NOMBRE TOTAL8" dataDxfId="163"/>
    <tableColumn id="19" name="Unité8" dataDxfId="162"/>
    <tableColumn id="20" name="MONTANT8" dataDxfId="161"/>
    <tableColumn id="8" name="DATE D'INTRODUCTION DE LA COMMANDE" dataDxfId="160"/>
    <tableColumn id="9" name="TYPE DE PAIEMENT" dataDxfId="159"/>
    <tableColumn id="10" name="NUMERO OPERATION" dataDxfId="158"/>
    <tableColumn id="11" name="SITUATION" dataDxfId="157">
      <calculatedColumnFormula>IF(Tableau5510[ENTREPRISE]="","",IF(Tableau5510[[#This Row],[RESTE A PAYE]]=0,"SOLDE","pas en règle"))</calculatedColumnFormula>
    </tableColumn>
    <tableColumn id="12" name="MONTANT NET" dataDxfId="156">
      <calculatedColumnFormula>IF(A7="","",Tableau5510[MONTANT]*Tableau5510[NOMBRE TOTAL]+Tableau5510[MONTANT2]*Tableau5510[NOMBRE TOTAL2]+Tableau5510[MONTANT3]*Tableau5510[NOMBRE TOTAL3]+Tableau5510[MONTANT4]*Tableau5510[NOMBRE TOTAL4]+Tableau5510[MONTANT5]*Tableau5510[NOMBRE TOTAL5]+Tableau5510[MONTANT6]*Tableau5510[NOMBRE TOTAL6]+Tableau5510[MONTANT7]*Tableau5510[NOMBRE TOTAL7]+Tableau5510[MONTANT8]*Tableau5510[NOMBRE TOTAL8])</calculatedColumnFormula>
    </tableColumn>
    <tableColumn id="21" name="MONTANT TTC"/>
    <tableColumn id="13" name="PAYE" dataDxfId="155"/>
    <tableColumn id="14" name="RESTE A PAYE" dataDxfId="154">
      <calculatedColumnFormula>IF(Tableau5510[PAYE]="","",Tableau5510[MONTANT TTC]-Tableau5510[PAYE])</calculatedColumnFormula>
    </tableColumn>
    <tableColumn id="1" name="ECHEANCE" dataDxfId="153" dataCellStyle="Pourcentage">
      <calculatedColumnFormula>IF(Tableau5510[TYPE DE PAIEMENT]="Crédit",DATEDIF(Tableau5510[DATE D''INTRODUCTION DE LA COMMANDE],TODAY(),"d")/Tableau5510[OPTION CREDIT],"")</calculatedColumnFormula>
    </tableColumn>
    <tableColumn id="7" name="OPTION CREDIT" dataDxfId="152"/>
    <tableColumn id="26" name="ETAT FACTURE" dataDxfId="151">
      <calculatedColumnFormula>IF(Tableau5510[MONTANT NET]="","",IF(Tableau5510[MONTANT TTC]="","NON VALIDEE","VALIDEE"))</calculatedColumnFormula>
    </tableColumn>
  </tableColumns>
  <tableStyleInfo name="TableStyleMedium5" showFirstColumn="0" showLastColumn="0" showRowStripes="1" showColumnStripes="0"/>
</table>
</file>

<file path=xl/tables/table10.xml><?xml version="1.0" encoding="utf-8"?>
<table xmlns="http://schemas.openxmlformats.org/spreadsheetml/2006/main" id="382" name="tclients" displayName="tclients" ref="A6:AQ7" totalsRowShown="0" headerRowDxfId="150" dataDxfId="149">
  <tableColumns count="43">
    <tableColumn id="1" name="CLIENTS" dataDxfId="148"/>
    <tableColumn id="2" name="ADRESSE" dataDxfId="147"/>
    <tableColumn id="41" name="TEL1" dataDxfId="146"/>
    <tableColumn id="42" name="TEL2" dataDxfId="145"/>
    <tableColumn id="3" name="PRODUIT COMMANDE" dataDxfId="144"/>
    <tableColumn id="4" name="QTTE" dataDxfId="143"/>
    <tableColumn id="5" name="RETIRE" dataDxfId="142"/>
    <tableColumn id="6" name="RESTE A RETIRER" dataDxfId="141">
      <calculatedColumnFormula>IF(tclients[PRODUIT COMMANDE]="","",tclients[QTTE]-tclients[RETIRE])</calculatedColumnFormula>
    </tableColumn>
    <tableColumn id="7" name="PRODUIT COMMANDE2" dataDxfId="140"/>
    <tableColumn id="8" name="QTTE (2)" dataDxfId="139"/>
    <tableColumn id="9" name="QTTE RETIREE (2)" dataDxfId="138"/>
    <tableColumn id="10" name="RESTE A RETIRER (2)" dataDxfId="137">
      <calculatedColumnFormula>IF(tclients[PRODUIT COMMANDE2]="","",tclients[QTTE (2)]-tclients[QTTE RETIREE (2)])</calculatedColumnFormula>
    </tableColumn>
    <tableColumn id="11" name="PRODUIT COMMANDE3" dataDxfId="136"/>
    <tableColumn id="12" name="QTTE (3)" dataDxfId="135"/>
    <tableColumn id="13" name="RETIRE (3)" dataDxfId="134"/>
    <tableColumn id="14" name="RESTE A RETIRER (3)" dataDxfId="133">
      <calculatedColumnFormula>IF(tclients[PRODUIT COMMANDE3]="","",tclients[QTTE (3)]-tclients[RETIRE (3)])</calculatedColumnFormula>
    </tableColumn>
    <tableColumn id="15" name="PRODUIT COMMANDE4" dataDxfId="132"/>
    <tableColumn id="16" name="QTTE (4)" dataDxfId="131"/>
    <tableColumn id="17" name="RETIRE (4)" dataDxfId="130"/>
    <tableColumn id="18" name="RESTE A RETIRER (4)" dataDxfId="129">
      <calculatedColumnFormula>IF(tclients[PRODUIT COMMANDE4]="","",tclients[QTTE (4)]-tclients[RETIRE (4)])</calculatedColumnFormula>
    </tableColumn>
    <tableColumn id="19" name="PRODUIT COMMANDE5" dataDxfId="128"/>
    <tableColumn id="20" name="QTTE (5)" dataDxfId="127"/>
    <tableColumn id="21" name="RETIRE (5)" dataDxfId="126"/>
    <tableColumn id="22" name="RESTE A RETIRER (5)" dataDxfId="125">
      <calculatedColumnFormula>IF(tclients[PRODUIT COMMANDE5]="","",tclients[QTTE (5)]-tclients[RETIRE (5)])</calculatedColumnFormula>
    </tableColumn>
    <tableColumn id="23" name="PRODUIT COMMANDE6" dataDxfId="124"/>
    <tableColumn id="24" name="QTTE (6)" dataDxfId="123"/>
    <tableColumn id="25" name="RETIRE (6)" dataDxfId="122"/>
    <tableColumn id="26" name="RESTE A RETIRER (6)" dataDxfId="121">
      <calculatedColumnFormula>IF(tclients[PRODUIT COMMANDE6]="","",tclients[QTTE (6)]-tclients[RETIRE (6)])</calculatedColumnFormula>
    </tableColumn>
    <tableColumn id="27" name="PRODUIT COMMANDE7" dataDxfId="120"/>
    <tableColumn id="28" name="QTTE (7)" dataDxfId="119"/>
    <tableColumn id="29" name="RETIRE (7)" dataDxfId="118"/>
    <tableColumn id="30" name="RESTE A RETIRER (7)" dataDxfId="117">
      <calculatedColumnFormula>IF(tclients[PRODUIT COMMANDE7]="","",tclients[QTTE (7)]-tclients[RETIRE (7)])</calculatedColumnFormula>
    </tableColumn>
    <tableColumn id="31" name="PRODUIT COMMANDE8" dataDxfId="116"/>
    <tableColumn id="32" name="QTTE (8)" dataDxfId="115"/>
    <tableColumn id="33" name="RETIRE (8)" dataDxfId="114"/>
    <tableColumn id="34" name="RESTE A RETIRER (8)" dataDxfId="113">
      <calculatedColumnFormula>IF(tclients[PRODUIT COMMANDE8]="","",tclients[QTTE (8)]-tclients[RETIRE (8)])</calculatedColumnFormula>
    </tableColumn>
    <tableColumn id="35" name="QTTE TOTALE" dataDxfId="112">
      <calculatedColumnFormula>IF(tclients[CLIENTS]="","",SUM(tclients[QTTE (8)],tclients[QTTE (7)],tclients[QTTE (6)],tclients[QTTE (5)],tclients[QTTE (4)],tclients[QTTE (3)],tclients[QTTE (2)],tclients[QTTE]))</calculatedColumnFormula>
    </tableColumn>
    <tableColumn id="36" name="QTTE TOTALE A RETIRER" dataDxfId="111">
      <calculatedColumnFormula>IF(tclients[CLIENTS]="","",SUM(tclients[RESTE A RETIRER (8)],tclients[RESTE A RETIRER (7)],tclients[RESTE A RETIRER (6)],tclients[RESTE A RETIRER (5)],tclients[RESTE A RETIRER (4)],tclients[RESTE A RETIRER (3)],tclients[RESTE A RETIRER (2)],tclients[RESTE A RETIRER]))</calculatedColumnFormula>
    </tableColumn>
    <tableColumn id="37" name="MONTANT A PAYER" dataDxfId="110"/>
    <tableColumn id="38" name="MONTANT VERSE" dataDxfId="109"/>
    <tableColumn id="39" name="RESTE A PAYER" dataDxfId="108">
      <calculatedColumnFormula>IF(tclients[MONTANT A PAYER]="","",tclients[MONTANT A PAYER]-tclients[MONTANT VERSE])</calculatedColumnFormula>
    </tableColumn>
    <tableColumn id="40" name="NOMBRE DE FACTURES EMISES" dataDxfId="107"/>
    <tableColumn id="43" name="DATE DU DERNIER ENLEVEMENT" dataDxfId="106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5355" name="factu" displayName="factu" ref="A6:F7" insertRow="1" totalsRowShown="0" headerRowDxfId="105" dataDxfId="104">
  <tableColumns count="6">
    <tableColumn id="1" name="N° FACTURE" dataDxfId="103"/>
    <tableColumn id="2" name="CLIENT" dataDxfId="102"/>
    <tableColumn id="3" name="MONTANT FACTURE" dataDxfId="101"/>
    <tableColumn id="4" name="DATE D'EMISSION" dataDxfId="100"/>
    <tableColumn id="5" name="MONTANT PAYE " dataDxfId="99"/>
    <tableColumn id="6" name="RESTE A PAYE" dataDxfId="98"/>
  </tableColumns>
  <tableStyleInfo name="TableStyleMedium8" showFirstColumn="0" showLastColumn="0" showRowStripes="1" showColumnStripes="0"/>
</table>
</file>

<file path=xl/tables/table12.xml><?xml version="1.0" encoding="utf-8"?>
<table xmlns="http://schemas.openxmlformats.org/spreadsheetml/2006/main" id="12660" name="Tableau551012661" displayName="Tableau551012661" ref="A6:AU7" totalsRowShown="0" headerRowDxfId="97" dataDxfId="95" headerRowBorderDxfId="96" tableBorderDxfId="94" totalsRowBorderDxfId="93">
  <tableColumns count="47">
    <tableColumn id="52" name="ENTREPRISE" dataDxfId="92" totalsRowDxfId="91"/>
    <tableColumn id="2" name="ADRESSE" dataDxfId="90" totalsRowDxfId="89"/>
    <tableColumn id="3" name="TEL1" dataDxfId="88" totalsRowDxfId="87"/>
    <tableColumn id="4" name="TEL2" dataDxfId="86" totalsRowDxfId="85"/>
    <tableColumn id="16" name="PRODUIT COMMANDE" dataDxfId="84" totalsRowDxfId="83"/>
    <tableColumn id="5" name="NOMBRE TOTAL" dataDxfId="82" totalsRowDxfId="81"/>
    <tableColumn id="15" name="Unité" dataDxfId="80" totalsRowDxfId="79"/>
    <tableColumn id="6" name="MONTANT" dataDxfId="78" totalsRowDxfId="77"/>
    <tableColumn id="22" name="PRODUIT COMMANDE2" dataDxfId="76" totalsRowDxfId="75"/>
    <tableColumn id="23" name="NOMBRE TOTAL2" dataDxfId="74" totalsRowDxfId="73"/>
    <tableColumn id="24" name="Unité2" dataDxfId="72" totalsRowDxfId="71"/>
    <tableColumn id="25" name="MONTANT2" dataDxfId="70" totalsRowDxfId="69"/>
    <tableColumn id="27" name="PRODUIT COMMANDE3" dataDxfId="68" totalsRowDxfId="67"/>
    <tableColumn id="28" name="NOMBRE TOTAL3" dataDxfId="66" totalsRowDxfId="65"/>
    <tableColumn id="29" name="Unité3" dataDxfId="64" totalsRowDxfId="63"/>
    <tableColumn id="30" name="MONTANT3" dataDxfId="62" totalsRowDxfId="61"/>
    <tableColumn id="32" name="PRODUIT COMMANDE4" dataDxfId="60" totalsRowDxfId="59"/>
    <tableColumn id="33" name="NOMBRE TOTAL4" dataDxfId="58" totalsRowDxfId="57"/>
    <tableColumn id="34" name="Unité4" dataDxfId="56" totalsRowDxfId="55"/>
    <tableColumn id="35" name="MONTANT4" dataDxfId="54" totalsRowDxfId="53"/>
    <tableColumn id="37" name="PRODUIT COMMANDE5" dataDxfId="52" totalsRowDxfId="51"/>
    <tableColumn id="38" name="NOMBRE TOTAL5" dataDxfId="50" totalsRowDxfId="49"/>
    <tableColumn id="39" name="Unité5" dataDxfId="48" totalsRowDxfId="47"/>
    <tableColumn id="40" name="MONTANT5" dataDxfId="46" totalsRowDxfId="45"/>
    <tableColumn id="42" name="PRODUIT COMMANDE6" dataDxfId="44" totalsRowDxfId="43"/>
    <tableColumn id="43" name="NOMBRE TOTAL6" dataDxfId="42" totalsRowDxfId="41"/>
    <tableColumn id="44" name="Unité6" dataDxfId="40" totalsRowDxfId="39"/>
    <tableColumn id="45" name="MONTANT6" dataDxfId="38" totalsRowDxfId="37"/>
    <tableColumn id="47" name="PRODUIT COMMANDE7" dataDxfId="36" totalsRowDxfId="35"/>
    <tableColumn id="48" name="NOMBRE TOTAL7" dataDxfId="34" totalsRowDxfId="33"/>
    <tableColumn id="49" name="Unité7" dataDxfId="32" totalsRowDxfId="31"/>
    <tableColumn id="50" name="MONTANT7" dataDxfId="30" totalsRowDxfId="29"/>
    <tableColumn id="17" name="PRODUIT COMMANDE8" dataDxfId="28" totalsRowDxfId="27"/>
    <tableColumn id="18" name="NOMBRE TOTAL8" dataDxfId="26" totalsRowDxfId="25"/>
    <tableColumn id="19" name="Unité8" dataDxfId="24" totalsRowDxfId="23"/>
    <tableColumn id="20" name="MONTANT8" dataDxfId="22" totalsRowDxfId="21"/>
    <tableColumn id="8" name="DATE D'INTRODUCTION DE LA COMMANDE" dataDxfId="20" totalsRowDxfId="19"/>
    <tableColumn id="9" name="TYPE DE PAIEMENT" dataDxfId="18" totalsRowDxfId="17"/>
    <tableColumn id="10" name="NUMERO OPERATION" dataDxfId="16" totalsRowDxfId="15"/>
    <tableColumn id="11" name="SITUATION" dataDxfId="14" totalsRowDxfId="13">
      <calculatedColumnFormula>IF(Tableau551012661[ENTREPRISE]="","",IF(Tableau551012661[[#This Row],[RESTE A PAYE]]=0,"SOLDE","pas en règle"))</calculatedColumnFormula>
    </tableColumn>
    <tableColumn id="12" name="MONTANT NET" dataDxfId="12" totalsRowDxfId="11">
      <calculatedColumnFormula>IF(A7="","",Tableau551012661[MONTANT]*Tableau551012661[NOMBRE TOTAL]+Tableau551012661[MONTANT2]*Tableau551012661[NOMBRE TOTAL2]+Tableau551012661[MONTANT3]*Tableau551012661[NOMBRE TOTAL3]+Tableau551012661[MONTANT4]*Tableau551012661[NOMBRE TOTAL4]+Tableau551012661[MONTANT5]*Tableau551012661[NOMBRE TOTAL5]+Tableau551012661[MONTANT6]*Tableau551012661[NOMBRE TOTAL6]+Tableau551012661[MONTANT7]*Tableau551012661[NOMBRE TOTAL7]+Tableau551012661[MONTANT8]*Tableau551012661[NOMBRE TOTAL8])</calculatedColumnFormula>
    </tableColumn>
    <tableColumn id="21" name="MONTANT TTC" totalsRowDxfId="10"/>
    <tableColumn id="13" name="PAYE" dataDxfId="9" totalsRowDxfId="8"/>
    <tableColumn id="14" name="RESTE A PAYE" dataDxfId="7" totalsRowDxfId="6">
      <calculatedColumnFormula>IF(Tableau551012661[PAYE]="","",Tableau551012661[MONTANT TTC]-Tableau551012661[PAYE])</calculatedColumnFormula>
    </tableColumn>
    <tableColumn id="1" name="ECHEANCE" dataDxfId="5" totalsRowDxfId="4" dataCellStyle="Pourcentage">
      <calculatedColumnFormula>IF(Tableau551012661[TYPE DE PAIEMENT]="Crédit",DATEDIF(Tableau551012661[DATE D''INTRODUCTION DE LA COMMANDE],TODAY(),"d")/Tableau551012661[OPTION CREDIT],"")</calculatedColumnFormula>
    </tableColumn>
    <tableColumn id="7" name="OPTION CREDIT" dataDxfId="3" totalsRowDxfId="2"/>
    <tableColumn id="26" name="ETAT FACTURE" dataDxfId="1" totalsRowDxfId="0">
      <calculatedColumnFormula>IF(Tableau551012661[MONTANT NET]="","",IF(Tableau551012661[MONTANT TTC]="","NON VALIDEE","VALIDEE"))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table" Target="../tables/table6.xml"/><Relationship Id="rId5" Type="http://schemas.openxmlformats.org/officeDocument/2006/relationships/image" Target="../media/image1.emf"/><Relationship Id="rId10" Type="http://schemas.openxmlformats.org/officeDocument/2006/relationships/table" Target="../tables/table5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4:P42"/>
  <sheetViews>
    <sheetView showGridLines="0" showRowColHeaders="0" topLeftCell="E1" workbookViewId="0">
      <selection activeCell="L14" sqref="L14"/>
    </sheetView>
  </sheetViews>
  <sheetFormatPr baseColWidth="10" defaultRowHeight="12.75" x14ac:dyDescent="0.2"/>
  <cols>
    <col min="1" max="1" width="11.42578125" style="1"/>
    <col min="2" max="2" width="19.140625" style="1" customWidth="1"/>
    <col min="3" max="5" width="11.42578125" style="1"/>
    <col min="6" max="6" width="16.7109375" style="1" customWidth="1"/>
    <col min="7" max="7" width="18.85546875" style="1" customWidth="1"/>
    <col min="8" max="8" width="12.28515625" style="1" customWidth="1"/>
    <col min="9" max="12" width="11.42578125" style="1"/>
    <col min="13" max="13" width="13.5703125" style="1" customWidth="1"/>
    <col min="14" max="14" width="11.42578125" style="1"/>
    <col min="15" max="15" width="12.7109375" style="1" customWidth="1"/>
    <col min="16" max="16384" width="11.42578125" style="1"/>
  </cols>
  <sheetData>
    <row r="4" spans="2:16" x14ac:dyDescent="0.2">
      <c r="J4" s="190" t="s">
        <v>0</v>
      </c>
      <c r="K4" s="190"/>
    </row>
    <row r="5" spans="2:16" x14ac:dyDescent="0.2">
      <c r="B5" s="1" t="s">
        <v>6</v>
      </c>
      <c r="D5" s="1" t="s">
        <v>7</v>
      </c>
      <c r="F5" s="20" t="s">
        <v>27</v>
      </c>
      <c r="G5" s="21" t="s">
        <v>8</v>
      </c>
      <c r="H5" s="21" t="s">
        <v>19</v>
      </c>
      <c r="I5" s="21" t="s">
        <v>20</v>
      </c>
      <c r="J5" s="21" t="s">
        <v>21</v>
      </c>
      <c r="K5" s="22" t="s">
        <v>22</v>
      </c>
      <c r="M5" s="1" t="s">
        <v>114</v>
      </c>
      <c r="O5" s="173" t="s">
        <v>19</v>
      </c>
      <c r="P5" s="174" t="s">
        <v>21</v>
      </c>
    </row>
    <row r="6" spans="2:16" x14ac:dyDescent="0.2">
      <c r="B6" s="1" t="s">
        <v>130</v>
      </c>
      <c r="D6" s="1" t="s">
        <v>21</v>
      </c>
      <c r="F6" s="29"/>
      <c r="G6" s="30"/>
      <c r="H6" s="30"/>
      <c r="I6" s="30"/>
      <c r="J6" s="30"/>
      <c r="K6" s="31" t="str">
        <f>IF(Tableau2[[#This Row],[Densité]]="","",Tableau2[[#This Row],[m3]]/Tableau2[[#This Row],[Densité]])</f>
        <v/>
      </c>
      <c r="M6" s="1" t="s">
        <v>115</v>
      </c>
      <c r="O6" s="23"/>
      <c r="P6" s="25"/>
    </row>
    <row r="7" spans="2:16" x14ac:dyDescent="0.2">
      <c r="B7" s="1" t="s">
        <v>131</v>
      </c>
      <c r="D7" s="1" t="s">
        <v>74</v>
      </c>
      <c r="F7" s="23"/>
      <c r="G7" s="24" t="s">
        <v>49</v>
      </c>
      <c r="H7" s="24" t="s">
        <v>129</v>
      </c>
      <c r="I7" s="24">
        <v>1.8</v>
      </c>
      <c r="J7" s="24">
        <v>13900</v>
      </c>
      <c r="K7" s="114">
        <f>IF(Tableau2[[#This Row],[Densité]]="","",Tableau2[[#This Row],[m3]]/Tableau2[[#This Row],[Densité]])</f>
        <v>7722.2222222222217</v>
      </c>
      <c r="M7" s="1" t="s">
        <v>1</v>
      </c>
      <c r="O7" s="23" t="s">
        <v>129</v>
      </c>
      <c r="P7" s="25">
        <v>13900</v>
      </c>
    </row>
    <row r="8" spans="2:16" x14ac:dyDescent="0.2">
      <c r="B8" s="1" t="s">
        <v>87</v>
      </c>
      <c r="F8" s="23"/>
      <c r="G8" s="24" t="s">
        <v>18</v>
      </c>
      <c r="H8" s="24" t="s">
        <v>23</v>
      </c>
      <c r="I8" s="24">
        <v>1.6</v>
      </c>
      <c r="J8" s="24">
        <v>10000</v>
      </c>
      <c r="K8" s="25">
        <f>IF(Tableau2[[#This Row],[Densité]]="","",Tableau2[[#This Row],[m3]]/Tableau2[[#This Row],[Densité]])</f>
        <v>6250</v>
      </c>
      <c r="O8" s="23" t="s">
        <v>23</v>
      </c>
      <c r="P8" s="25">
        <v>10000</v>
      </c>
    </row>
    <row r="9" spans="2:16" x14ac:dyDescent="0.2">
      <c r="F9" s="23"/>
      <c r="G9" s="24" t="s">
        <v>24</v>
      </c>
      <c r="H9" s="24" t="s">
        <v>28</v>
      </c>
      <c r="I9" s="24">
        <v>1.37</v>
      </c>
      <c r="J9" s="24">
        <v>19000</v>
      </c>
      <c r="K9" s="25">
        <f>IF(Tableau2[[#This Row],[Densité]]="","",Tableau2[[#This Row],[m3]]/Tableau2[[#This Row],[Densité]])</f>
        <v>13868.613138686131</v>
      </c>
      <c r="O9" s="23" t="s">
        <v>28</v>
      </c>
      <c r="P9" s="25">
        <v>19000</v>
      </c>
    </row>
    <row r="10" spans="2:16" x14ac:dyDescent="0.2">
      <c r="F10" s="23"/>
      <c r="G10" s="24" t="s">
        <v>125</v>
      </c>
      <c r="H10" s="24" t="s">
        <v>126</v>
      </c>
      <c r="I10" s="24">
        <v>1.43</v>
      </c>
      <c r="J10" s="24">
        <v>15000</v>
      </c>
      <c r="K10" s="114">
        <f>IF(Tableau2[[#This Row],[Densité]]="","",Tableau2[[#This Row],[m3]]/Tableau2[[#This Row],[Densité]])</f>
        <v>10489.510489510491</v>
      </c>
      <c r="O10" s="23" t="s">
        <v>126</v>
      </c>
      <c r="P10" s="25">
        <v>15000</v>
      </c>
    </row>
    <row r="11" spans="2:16" x14ac:dyDescent="0.2">
      <c r="B11" s="1" t="s">
        <v>100</v>
      </c>
      <c r="D11" s="1" t="s">
        <v>101</v>
      </c>
      <c r="F11" s="23"/>
      <c r="G11" s="24" t="s">
        <v>25</v>
      </c>
      <c r="H11" s="24" t="s">
        <v>29</v>
      </c>
      <c r="I11" s="24">
        <v>1.36</v>
      </c>
      <c r="J11" s="24">
        <v>16900</v>
      </c>
      <c r="K11" s="25">
        <f>IF(Tableau2[[#This Row],[Densité]]="","",Tableau2[[#This Row],[m3]]/Tableau2[[#This Row],[Densité]])</f>
        <v>12426.470588235294</v>
      </c>
      <c r="O11" s="23" t="s">
        <v>29</v>
      </c>
      <c r="P11" s="25">
        <v>16900</v>
      </c>
    </row>
    <row r="12" spans="2:16" x14ac:dyDescent="0.2">
      <c r="B12" s="1">
        <v>1</v>
      </c>
      <c r="D12" s="1" t="s">
        <v>102</v>
      </c>
      <c r="F12" s="26"/>
      <c r="G12" s="27" t="s">
        <v>26</v>
      </c>
      <c r="H12" s="27" t="s">
        <v>30</v>
      </c>
      <c r="I12" s="27">
        <v>1</v>
      </c>
      <c r="J12" s="27">
        <v>1</v>
      </c>
      <c r="K12" s="28">
        <f>IF(Tableau2[[#This Row],[Densité]]="","",Tableau2[[#This Row],[m3]]/Tableau2[[#This Row],[Densité]])</f>
        <v>1</v>
      </c>
      <c r="O12" s="26" t="s">
        <v>30</v>
      </c>
      <c r="P12" s="28">
        <v>1</v>
      </c>
    </row>
    <row r="13" spans="2:16" x14ac:dyDescent="0.2">
      <c r="B13" s="1">
        <v>2</v>
      </c>
      <c r="D13" s="1" t="s">
        <v>103</v>
      </c>
      <c r="F13" s="26"/>
      <c r="G13" s="27" t="s">
        <v>31</v>
      </c>
      <c r="H13" s="27" t="s">
        <v>32</v>
      </c>
      <c r="I13" s="27">
        <v>1</v>
      </c>
      <c r="J13" s="27">
        <v>1</v>
      </c>
      <c r="K13" s="28">
        <f>IF(Tableau2[[#This Row],[Densité]]="","",Tableau2[[#This Row],[m3]]/Tableau2[[#This Row],[Densité]])</f>
        <v>1</v>
      </c>
      <c r="O13" s="26" t="s">
        <v>32</v>
      </c>
      <c r="P13" s="28">
        <v>1</v>
      </c>
    </row>
    <row r="14" spans="2:16" x14ac:dyDescent="0.2">
      <c r="B14" s="1">
        <v>3</v>
      </c>
      <c r="D14" s="1" t="s">
        <v>104</v>
      </c>
      <c r="F14" s="23"/>
      <c r="G14" s="24" t="s">
        <v>127</v>
      </c>
      <c r="H14" s="24" t="s">
        <v>128</v>
      </c>
      <c r="I14" s="24">
        <v>1.62</v>
      </c>
      <c r="J14" s="24">
        <v>10000</v>
      </c>
      <c r="K14" s="114">
        <f>IF(Tableau2[[#This Row],[Densité]]="","",Tableau2[[#This Row],[m3]]/Tableau2[[#This Row],[Densité]])</f>
        <v>6172.8395061728388</v>
      </c>
      <c r="O14" s="23" t="s">
        <v>128</v>
      </c>
      <c r="P14" s="25">
        <v>10000</v>
      </c>
    </row>
    <row r="15" spans="2:16" x14ac:dyDescent="0.2">
      <c r="B15" s="1">
        <v>4</v>
      </c>
      <c r="D15" s="1" t="s">
        <v>105</v>
      </c>
      <c r="F15" s="26"/>
      <c r="G15" s="27" t="s">
        <v>33</v>
      </c>
      <c r="H15" s="27" t="s">
        <v>34</v>
      </c>
      <c r="I15" s="27">
        <v>1</v>
      </c>
      <c r="J15" s="27">
        <v>1</v>
      </c>
      <c r="K15" s="28">
        <f>IF(Tableau2[[#This Row],[Densité]]="","",Tableau2[[#This Row],[m3]]/Tableau2[[#This Row],[Densité]])</f>
        <v>1</v>
      </c>
      <c r="M15" s="1" t="s">
        <v>117</v>
      </c>
      <c r="O15" s="26" t="s">
        <v>34</v>
      </c>
      <c r="P15" s="28">
        <v>1</v>
      </c>
    </row>
    <row r="16" spans="2:16" x14ac:dyDescent="0.2">
      <c r="B16" s="1">
        <v>5</v>
      </c>
      <c r="D16" s="1" t="s">
        <v>106</v>
      </c>
      <c r="F16" s="26"/>
      <c r="G16" s="27" t="s">
        <v>35</v>
      </c>
      <c r="H16" s="27" t="s">
        <v>36</v>
      </c>
      <c r="I16" s="27">
        <v>1</v>
      </c>
      <c r="J16" s="27">
        <v>1</v>
      </c>
      <c r="K16" s="28">
        <f>IF(Tableau2[[#This Row],[Densité]]="","",Tableau2[[#This Row],[m3]]/Tableau2[[#This Row],[Densité]])</f>
        <v>1</v>
      </c>
      <c r="M16" s="1">
        <v>15</v>
      </c>
      <c r="O16" s="26" t="s">
        <v>36</v>
      </c>
      <c r="P16" s="28">
        <v>1</v>
      </c>
    </row>
    <row r="17" spans="2:16" x14ac:dyDescent="0.2">
      <c r="B17" s="1">
        <v>6</v>
      </c>
      <c r="D17" s="1" t="s">
        <v>107</v>
      </c>
      <c r="F17" s="26"/>
      <c r="G17" s="27" t="s">
        <v>37</v>
      </c>
      <c r="H17" s="27" t="s">
        <v>39</v>
      </c>
      <c r="I17" s="27">
        <v>1.5</v>
      </c>
      <c r="J17" s="27">
        <v>27000</v>
      </c>
      <c r="K17" s="28">
        <f>IF(Tableau2[[#This Row],[Densité]]="","",Tableau2[[#This Row],[m3]]/Tableau2[[#This Row],[Densité]])</f>
        <v>18000</v>
      </c>
      <c r="M17" s="1">
        <v>30</v>
      </c>
      <c r="O17" s="26" t="s">
        <v>39</v>
      </c>
      <c r="P17" s="28">
        <v>27000</v>
      </c>
    </row>
    <row r="18" spans="2:16" x14ac:dyDescent="0.2">
      <c r="B18" s="1">
        <v>7</v>
      </c>
      <c r="D18" s="1" t="s">
        <v>108</v>
      </c>
      <c r="F18" s="26"/>
      <c r="G18" s="27" t="s">
        <v>38</v>
      </c>
      <c r="H18" s="27" t="s">
        <v>40</v>
      </c>
      <c r="I18" s="27">
        <v>1.4</v>
      </c>
      <c r="J18" s="27">
        <v>28000</v>
      </c>
      <c r="K18" s="28">
        <f>IF(Tableau2[[#This Row],[Densité]]="","",Tableau2[[#This Row],[m3]]/Tableau2[[#This Row],[Densité]])</f>
        <v>20000</v>
      </c>
      <c r="M18" s="1">
        <v>45</v>
      </c>
      <c r="O18" s="26" t="s">
        <v>40</v>
      </c>
      <c r="P18" s="28">
        <v>28000</v>
      </c>
    </row>
    <row r="19" spans="2:16" x14ac:dyDescent="0.2">
      <c r="B19" s="1">
        <v>8</v>
      </c>
      <c r="D19" s="1" t="s">
        <v>109</v>
      </c>
      <c r="F19" s="26"/>
      <c r="G19" s="27" t="s">
        <v>41</v>
      </c>
      <c r="H19" s="27" t="s">
        <v>42</v>
      </c>
      <c r="I19" s="27">
        <v>1.37</v>
      </c>
      <c r="J19" s="27">
        <v>27000</v>
      </c>
      <c r="K19" s="28">
        <f>IF(Tableau2[[#This Row],[Densité]]="","",Tableau2[[#This Row],[m3]]/Tableau2[[#This Row],[Densité]])</f>
        <v>19708.02919708029</v>
      </c>
      <c r="M19" s="1">
        <v>90</v>
      </c>
      <c r="O19" s="26" t="s">
        <v>42</v>
      </c>
      <c r="P19" s="28">
        <v>27000</v>
      </c>
    </row>
    <row r="20" spans="2:16" x14ac:dyDescent="0.2">
      <c r="B20" s="1">
        <v>9</v>
      </c>
      <c r="D20" s="1" t="s">
        <v>110</v>
      </c>
      <c r="F20" s="26"/>
      <c r="G20" s="27" t="s">
        <v>43</v>
      </c>
      <c r="H20" s="27" t="s">
        <v>44</v>
      </c>
      <c r="I20" s="27">
        <v>1</v>
      </c>
      <c r="J20" s="27">
        <v>1</v>
      </c>
      <c r="K20" s="28">
        <f>IF(Tableau2[[#This Row],[Densité]]="","",Tableau2[[#This Row],[m3]]/Tableau2[[#This Row],[Densité]])</f>
        <v>1</v>
      </c>
      <c r="O20" s="26" t="s">
        <v>44</v>
      </c>
      <c r="P20" s="28">
        <v>1</v>
      </c>
    </row>
    <row r="21" spans="2:16" x14ac:dyDescent="0.2">
      <c r="B21" s="1">
        <v>10</v>
      </c>
      <c r="D21" s="1" t="s">
        <v>111</v>
      </c>
      <c r="F21" s="26"/>
      <c r="G21" s="27" t="s">
        <v>45</v>
      </c>
      <c r="H21" s="27" t="s">
        <v>46</v>
      </c>
      <c r="I21" s="27">
        <v>1</v>
      </c>
      <c r="J21" s="27">
        <v>1</v>
      </c>
      <c r="K21" s="28">
        <f>IF(Tableau2[[#This Row],[Densité]]="","",Tableau2[[#This Row],[m3]]/Tableau2[[#This Row],[Densité]])</f>
        <v>1</v>
      </c>
      <c r="O21" s="26" t="s">
        <v>46</v>
      </c>
      <c r="P21" s="28">
        <v>1</v>
      </c>
    </row>
    <row r="22" spans="2:16" x14ac:dyDescent="0.2">
      <c r="B22" s="1">
        <v>11</v>
      </c>
      <c r="D22" s="1" t="s">
        <v>112</v>
      </c>
      <c r="F22" s="26"/>
      <c r="G22" s="27" t="s">
        <v>47</v>
      </c>
      <c r="H22" s="27" t="s">
        <v>48</v>
      </c>
      <c r="I22" s="27">
        <v>1.52</v>
      </c>
      <c r="J22" s="27">
        <v>12500</v>
      </c>
      <c r="K22" s="28">
        <f>IF(Tableau2[[#This Row],[Densité]]="","",Tableau2[[#This Row],[m3]]/Tableau2[[#This Row],[Densité]])</f>
        <v>8223.6842105263149</v>
      </c>
      <c r="O22" s="26" t="s">
        <v>48</v>
      </c>
      <c r="P22" s="28">
        <v>12500</v>
      </c>
    </row>
    <row r="23" spans="2:16" x14ac:dyDescent="0.2">
      <c r="B23" s="1">
        <v>12</v>
      </c>
      <c r="D23" s="1" t="s">
        <v>113</v>
      </c>
      <c r="F23" s="26"/>
      <c r="G23" s="27" t="s">
        <v>137</v>
      </c>
      <c r="H23" s="27" t="s">
        <v>50</v>
      </c>
      <c r="I23" s="27">
        <v>1</v>
      </c>
      <c r="J23" s="27">
        <v>1</v>
      </c>
      <c r="K23" s="28">
        <f>IF(Tableau2[[#This Row],[Densité]]="","",Tableau2[[#This Row],[m3]]/Tableau2[[#This Row],[Densité]])</f>
        <v>1</v>
      </c>
      <c r="O23" s="26" t="s">
        <v>50</v>
      </c>
      <c r="P23" s="28">
        <v>1</v>
      </c>
    </row>
    <row r="24" spans="2:16" x14ac:dyDescent="0.2">
      <c r="B24" s="1">
        <v>13</v>
      </c>
    </row>
    <row r="25" spans="2:16" x14ac:dyDescent="0.2">
      <c r="B25" s="1">
        <v>14</v>
      </c>
    </row>
    <row r="26" spans="2:16" x14ac:dyDescent="0.2">
      <c r="B26" s="1">
        <v>15</v>
      </c>
    </row>
    <row r="27" spans="2:16" x14ac:dyDescent="0.2">
      <c r="B27" s="1">
        <v>16</v>
      </c>
    </row>
    <row r="28" spans="2:16" x14ac:dyDescent="0.2">
      <c r="B28" s="1">
        <v>17</v>
      </c>
    </row>
    <row r="29" spans="2:16" x14ac:dyDescent="0.2">
      <c r="B29" s="1">
        <v>18</v>
      </c>
    </row>
    <row r="30" spans="2:16" x14ac:dyDescent="0.2">
      <c r="B30" s="1">
        <v>19</v>
      </c>
    </row>
    <row r="31" spans="2:16" x14ac:dyDescent="0.2">
      <c r="B31" s="1">
        <v>20</v>
      </c>
    </row>
    <row r="32" spans="2:16" x14ac:dyDescent="0.2">
      <c r="B32" s="1">
        <v>21</v>
      </c>
    </row>
    <row r="33" spans="2:2" x14ac:dyDescent="0.2">
      <c r="B33" s="1">
        <v>22</v>
      </c>
    </row>
    <row r="34" spans="2:2" x14ac:dyDescent="0.2">
      <c r="B34" s="1">
        <v>23</v>
      </c>
    </row>
    <row r="35" spans="2:2" x14ac:dyDescent="0.2">
      <c r="B35" s="1">
        <v>24</v>
      </c>
    </row>
    <row r="36" spans="2:2" x14ac:dyDescent="0.2">
      <c r="B36" s="1">
        <v>25</v>
      </c>
    </row>
    <row r="37" spans="2:2" x14ac:dyDescent="0.2">
      <c r="B37" s="1">
        <v>26</v>
      </c>
    </row>
    <row r="38" spans="2:2" x14ac:dyDescent="0.2">
      <c r="B38" s="1">
        <v>27</v>
      </c>
    </row>
    <row r="39" spans="2:2" x14ac:dyDescent="0.2">
      <c r="B39" s="1">
        <v>28</v>
      </c>
    </row>
    <row r="40" spans="2:2" x14ac:dyDescent="0.2">
      <c r="B40" s="1">
        <v>29</v>
      </c>
    </row>
    <row r="41" spans="2:2" x14ac:dyDescent="0.2">
      <c r="B41" s="1">
        <v>30</v>
      </c>
    </row>
    <row r="42" spans="2:2" x14ac:dyDescent="0.2">
      <c r="B42" s="1">
        <v>31</v>
      </c>
    </row>
  </sheetData>
  <mergeCells count="1">
    <mergeCell ref="J4:K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Image1">
          <controlPr defaultSize="0" autoLine="0" autoPict="0" r:id="rId5">
            <anchor moveWithCells="1">
              <from>
                <xdr:col>17</xdr:col>
                <xdr:colOff>9525</xdr:colOff>
                <xdr:row>10</xdr:row>
                <xdr:rowOff>133350</xdr:rowOff>
              </from>
              <to>
                <xdr:col>17</xdr:col>
                <xdr:colOff>561975</xdr:colOff>
                <xdr:row>14</xdr:row>
                <xdr:rowOff>19050</xdr:rowOff>
              </to>
            </anchor>
          </controlPr>
        </control>
      </mc:Choice>
      <mc:Fallback>
        <control shapeId="8193" r:id="rId4" name="Image1"/>
      </mc:Fallback>
    </mc:AlternateContent>
  </controls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showGridLines="0" showRowColHeaders="0" workbookViewId="0">
      <selection activeCell="M4" sqref="M4"/>
    </sheetView>
  </sheetViews>
  <sheetFormatPr baseColWidth="10" defaultRowHeight="15" x14ac:dyDescent="0.25"/>
  <cols>
    <col min="1" max="1" width="15.7109375" bestFit="1" customWidth="1"/>
  </cols>
  <sheetData>
    <row r="1" spans="1:4" x14ac:dyDescent="0.25">
      <c r="A1" s="19">
        <f ca="1">NOW()</f>
        <v>42018.560460532404</v>
      </c>
    </row>
    <row r="12" spans="1:4" x14ac:dyDescent="0.25">
      <c r="D12" t="s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X101469"/>
  <sheetViews>
    <sheetView showGridLines="0" showRowColHeaders="0" workbookViewId="0">
      <pane xSplit="1" ySplit="6" topLeftCell="B1048563" activePane="bottomRight" state="frozen"/>
      <selection pane="topRight" activeCell="B1" sqref="B1"/>
      <selection pane="bottomLeft" activeCell="A7" sqref="A7"/>
      <selection pane="bottomRight" activeCell="A1048569" sqref="A1048569"/>
    </sheetView>
  </sheetViews>
  <sheetFormatPr baseColWidth="10" defaultRowHeight="21" customHeight="1" x14ac:dyDescent="0.25"/>
  <cols>
    <col min="1" max="1" width="26.5703125" style="77" customWidth="1"/>
    <col min="2" max="2" width="24.85546875" style="77" customWidth="1"/>
    <col min="3" max="4" width="24" style="77" customWidth="1"/>
    <col min="5" max="5" width="32.85546875" style="77" customWidth="1"/>
    <col min="6" max="6" width="12.7109375" style="77" customWidth="1"/>
    <col min="7" max="7" width="9.7109375" style="77" customWidth="1"/>
    <col min="8" max="8" width="14.7109375" style="77" customWidth="1"/>
    <col min="9" max="9" width="32.85546875" style="77" customWidth="1"/>
    <col min="10" max="10" width="12.7109375" style="77" customWidth="1"/>
    <col min="11" max="11" width="9.7109375" style="77" customWidth="1"/>
    <col min="12" max="12" width="14.7109375" style="77" customWidth="1"/>
    <col min="13" max="13" width="32.85546875" style="77" customWidth="1"/>
    <col min="14" max="14" width="12.7109375" style="77" customWidth="1"/>
    <col min="15" max="15" width="9.7109375" style="77" customWidth="1"/>
    <col min="16" max="16" width="14.7109375" style="77" customWidth="1"/>
    <col min="17" max="17" width="32.85546875" style="77" customWidth="1"/>
    <col min="18" max="18" width="12.7109375" style="77" customWidth="1"/>
    <col min="19" max="19" width="9.7109375" style="77" customWidth="1"/>
    <col min="20" max="20" width="14.7109375" style="77" customWidth="1"/>
    <col min="21" max="21" width="32.85546875" style="77" customWidth="1"/>
    <col min="22" max="22" width="12.7109375" style="77" customWidth="1"/>
    <col min="23" max="23" width="9.7109375" style="77" customWidth="1"/>
    <col min="24" max="24" width="14.7109375" style="77" customWidth="1"/>
    <col min="25" max="25" width="32.7109375" style="77" customWidth="1"/>
    <col min="26" max="26" width="12.7109375" style="77" customWidth="1"/>
    <col min="27" max="27" width="9.7109375" style="77" customWidth="1"/>
    <col min="28" max="28" width="14.7109375" style="77" customWidth="1"/>
    <col min="29" max="29" width="32.85546875" style="77" customWidth="1"/>
    <col min="30" max="30" width="12.7109375" style="77" customWidth="1"/>
    <col min="31" max="31" width="9.7109375" style="77" customWidth="1"/>
    <col min="32" max="32" width="14.7109375" style="77" customWidth="1"/>
    <col min="33" max="33" width="32.85546875" style="77" customWidth="1"/>
    <col min="34" max="34" width="12.7109375" style="77" customWidth="1"/>
    <col min="35" max="35" width="9.7109375" style="77" customWidth="1"/>
    <col min="36" max="36" width="14.7109375" style="77" customWidth="1"/>
    <col min="37" max="37" width="31.42578125" style="77" customWidth="1"/>
    <col min="38" max="38" width="26.5703125" style="77" customWidth="1"/>
    <col min="39" max="39" width="29" style="77" customWidth="1"/>
    <col min="40" max="40" width="17.5703125" style="77" customWidth="1"/>
    <col min="41" max="44" width="29.7109375" style="77" customWidth="1"/>
    <col min="45" max="45" width="29.5703125" style="77" customWidth="1"/>
    <col min="46" max="46" width="21.42578125" style="77" customWidth="1"/>
    <col min="47" max="47" width="20.85546875" style="77" customWidth="1"/>
    <col min="48" max="16384" width="11.42578125" style="77"/>
  </cols>
  <sheetData>
    <row r="1" spans="1:47" ht="15" customHeight="1" x14ac:dyDescent="0.25"/>
    <row r="2" spans="1:47" ht="15" customHeight="1" x14ac:dyDescent="0.25"/>
    <row r="3" spans="1:47" ht="15" customHeight="1" x14ac:dyDescent="0.25"/>
    <row r="4" spans="1:47" ht="15" customHeight="1" x14ac:dyDescent="0.25"/>
    <row r="5" spans="1:47" s="164" customFormat="1" ht="15" customHeight="1" x14ac:dyDescent="0.25">
      <c r="C5" s="191"/>
      <c r="D5" s="191"/>
      <c r="E5" s="192"/>
      <c r="F5" s="192"/>
      <c r="G5" s="192"/>
      <c r="H5" s="192"/>
      <c r="I5" s="192"/>
      <c r="J5" s="192"/>
      <c r="K5" s="192"/>
      <c r="L5" s="192"/>
      <c r="M5" s="192"/>
      <c r="N5" s="192"/>
      <c r="O5" s="192"/>
      <c r="P5" s="192"/>
      <c r="Q5" s="192"/>
      <c r="R5" s="192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192"/>
      <c r="AD5" s="192"/>
      <c r="AE5" s="192"/>
      <c r="AF5" s="192"/>
      <c r="AG5" s="192"/>
      <c r="AH5" s="192"/>
      <c r="AI5" s="192"/>
      <c r="AJ5" s="192"/>
    </row>
    <row r="6" spans="1:47" s="32" customFormat="1" ht="40.5" customHeight="1" x14ac:dyDescent="0.25">
      <c r="A6" s="129" t="s">
        <v>9</v>
      </c>
      <c r="B6" s="131" t="s">
        <v>10</v>
      </c>
      <c r="C6" s="131" t="s">
        <v>16</v>
      </c>
      <c r="D6" s="131" t="s">
        <v>17</v>
      </c>
      <c r="E6" s="131" t="s">
        <v>51</v>
      </c>
      <c r="F6" s="130" t="s">
        <v>15</v>
      </c>
      <c r="G6" s="130" t="s">
        <v>7</v>
      </c>
      <c r="H6" s="130" t="s">
        <v>75</v>
      </c>
      <c r="I6" s="130" t="s">
        <v>52</v>
      </c>
      <c r="J6" s="130" t="s">
        <v>54</v>
      </c>
      <c r="K6" s="130" t="s">
        <v>56</v>
      </c>
      <c r="L6" s="130" t="s">
        <v>76</v>
      </c>
      <c r="M6" s="130" t="s">
        <v>53</v>
      </c>
      <c r="N6" s="130" t="s">
        <v>55</v>
      </c>
      <c r="O6" s="130" t="s">
        <v>57</v>
      </c>
      <c r="P6" s="130" t="s">
        <v>77</v>
      </c>
      <c r="Q6" s="130" t="s">
        <v>58</v>
      </c>
      <c r="R6" s="130" t="s">
        <v>59</v>
      </c>
      <c r="S6" s="130" t="s">
        <v>62</v>
      </c>
      <c r="T6" s="130" t="s">
        <v>78</v>
      </c>
      <c r="U6" s="130" t="s">
        <v>60</v>
      </c>
      <c r="V6" s="130" t="s">
        <v>61</v>
      </c>
      <c r="W6" s="130" t="s">
        <v>63</v>
      </c>
      <c r="X6" s="130" t="s">
        <v>79</v>
      </c>
      <c r="Y6" s="130" t="s">
        <v>64</v>
      </c>
      <c r="Z6" s="130" t="s">
        <v>65</v>
      </c>
      <c r="AA6" s="130" t="s">
        <v>68</v>
      </c>
      <c r="AB6" s="130" t="s">
        <v>80</v>
      </c>
      <c r="AC6" s="130" t="s">
        <v>66</v>
      </c>
      <c r="AD6" s="130" t="s">
        <v>67</v>
      </c>
      <c r="AE6" s="130" t="s">
        <v>69</v>
      </c>
      <c r="AF6" s="130" t="s">
        <v>81</v>
      </c>
      <c r="AG6" s="130" t="s">
        <v>70</v>
      </c>
      <c r="AH6" s="130" t="s">
        <v>71</v>
      </c>
      <c r="AI6" s="130" t="s">
        <v>72</v>
      </c>
      <c r="AJ6" s="130" t="s">
        <v>82</v>
      </c>
      <c r="AK6" s="130" t="s">
        <v>11</v>
      </c>
      <c r="AL6" s="130" t="s">
        <v>85</v>
      </c>
      <c r="AM6" s="130" t="s">
        <v>83</v>
      </c>
      <c r="AN6" s="131" t="s">
        <v>12</v>
      </c>
      <c r="AO6" s="130" t="s">
        <v>122</v>
      </c>
      <c r="AP6" s="130" t="s">
        <v>123</v>
      </c>
      <c r="AQ6" s="131" t="s">
        <v>13</v>
      </c>
      <c r="AR6" s="132" t="s">
        <v>14</v>
      </c>
      <c r="AS6" s="131" t="s">
        <v>84</v>
      </c>
      <c r="AT6" s="161" t="s">
        <v>116</v>
      </c>
      <c r="AU6" s="161" t="s">
        <v>124</v>
      </c>
    </row>
    <row r="7" spans="1:47" ht="21" customHeight="1" x14ac:dyDescent="0.25">
      <c r="A7" s="180"/>
      <c r="B7" s="181"/>
      <c r="C7" s="182"/>
      <c r="D7" s="182"/>
      <c r="E7" s="183"/>
      <c r="F7" s="184"/>
      <c r="G7" s="183"/>
      <c r="H7" s="184"/>
      <c r="I7" s="183"/>
      <c r="J7" s="185"/>
      <c r="K7" s="183"/>
      <c r="L7" s="183"/>
      <c r="M7" s="183"/>
      <c r="N7" s="185"/>
      <c r="O7" s="183"/>
      <c r="P7" s="183"/>
      <c r="Q7" s="183"/>
      <c r="R7" s="185"/>
      <c r="S7" s="183"/>
      <c r="T7" s="183"/>
      <c r="U7" s="183"/>
      <c r="V7" s="185"/>
      <c r="W7" s="183"/>
      <c r="X7" s="183"/>
      <c r="Y7" s="183"/>
      <c r="Z7" s="185"/>
      <c r="AA7" s="183"/>
      <c r="AB7" s="183"/>
      <c r="AC7" s="183"/>
      <c r="AD7" s="185"/>
      <c r="AE7" s="183"/>
      <c r="AF7" s="183"/>
      <c r="AG7" s="183"/>
      <c r="AH7" s="185"/>
      <c r="AI7" s="183"/>
      <c r="AJ7" s="183"/>
      <c r="AK7" s="186"/>
      <c r="AL7" s="182"/>
      <c r="AM7" s="182"/>
      <c r="AN7" s="187" t="str">
        <f>IF(Tableau5510[ENTREPRISE]="","",IF(Tableau5510[[#This Row],[RESTE A PAYE]]=0,"SOLDE","pas en règle"))</f>
        <v/>
      </c>
      <c r="AO7" s="182" t="str">
        <f>IF(A7="","",Tableau5510[MONTANT]*Tableau5510[NOMBRE TOTAL]+Tableau5510[MONTANT2]*Tableau5510[NOMBRE TOTAL2]+Tableau5510[MONTANT3]*Tableau5510[NOMBRE TOTAL3]+Tableau5510[MONTANT4]*Tableau5510[NOMBRE TOTAL4]+Tableau5510[MONTANT5]*Tableau5510[NOMBRE TOTAL5]+Tableau5510[MONTANT6]*Tableau5510[NOMBRE TOTAL6]+Tableau5510[MONTANT7]*Tableau5510[NOMBRE TOTAL7]+Tableau5510[MONTANT8]*Tableau5510[NOMBRE TOTAL8])</f>
        <v/>
      </c>
      <c r="AP7" s="179"/>
      <c r="AQ7" s="182"/>
      <c r="AR7" s="187" t="str">
        <f>IF(Tableau5510[PAYE]="","",Tableau5510[MONTANT TTC]-Tableau5510[PAYE])</f>
        <v/>
      </c>
      <c r="AS7" s="188" t="str">
        <f ca="1">IF(Tableau5510[TYPE DE PAIEMENT]="Crédit",DATEDIF(Tableau5510[DATE D''INTRODUCTION DE LA COMMANDE],TODAY(),"d")/Tableau5510[OPTION CREDIT],"")</f>
        <v/>
      </c>
      <c r="AT7" s="182" t="s">
        <v>184</v>
      </c>
      <c r="AU7" s="189" t="str">
        <f>IF(Tableau5510[MONTANT NET]="","",IF(Tableau5510[MONTANT TTC]="","NON VALIDEE","VALIDEE"))</f>
        <v/>
      </c>
    </row>
    <row r="14" spans="1:47" ht="21" customHeight="1" x14ac:dyDescent="0.25">
      <c r="A14" s="70"/>
      <c r="B14" s="34"/>
      <c r="C14" s="78"/>
      <c r="D14" s="78"/>
      <c r="E14" s="71"/>
      <c r="F14" s="79"/>
      <c r="G14" s="71"/>
      <c r="H14" s="79"/>
      <c r="I14" s="71"/>
      <c r="J14" s="73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80"/>
      <c r="AL14" s="78"/>
      <c r="AM14" s="78"/>
      <c r="AN14" s="78"/>
      <c r="AP14" s="78"/>
      <c r="AQ14" s="78"/>
      <c r="AR14" s="81"/>
      <c r="AS14" s="78"/>
    </row>
    <row r="15" spans="1:47" ht="21" customHeight="1" x14ac:dyDescent="0.25">
      <c r="A15" s="70"/>
      <c r="B15" s="34"/>
      <c r="C15" s="78"/>
      <c r="D15" s="78"/>
      <c r="E15" s="71"/>
      <c r="F15" s="79"/>
      <c r="G15" s="71"/>
      <c r="H15" s="79"/>
      <c r="I15" s="71"/>
      <c r="J15" s="73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80"/>
      <c r="AL15" s="78"/>
      <c r="AM15" s="78"/>
      <c r="AN15" s="78"/>
      <c r="AP15" s="78"/>
      <c r="AQ15" s="78"/>
      <c r="AR15" s="81"/>
      <c r="AS15" s="78"/>
    </row>
    <row r="16" spans="1:47" ht="21" customHeight="1" x14ac:dyDescent="0.25">
      <c r="A16" s="70"/>
      <c r="B16" s="34"/>
      <c r="C16" s="78"/>
      <c r="D16" s="78"/>
      <c r="E16" s="71"/>
      <c r="F16" s="79"/>
      <c r="G16" s="71"/>
      <c r="H16" s="79"/>
      <c r="I16" s="71"/>
      <c r="J16" s="73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80"/>
      <c r="AL16" s="78"/>
      <c r="AM16" s="78"/>
      <c r="AN16" s="78"/>
      <c r="AP16" s="78"/>
      <c r="AQ16" s="78"/>
      <c r="AR16" s="81"/>
      <c r="AS16" s="78"/>
    </row>
    <row r="17" spans="1:45" ht="21" customHeight="1" x14ac:dyDescent="0.25">
      <c r="A17" s="70"/>
      <c r="B17" s="34"/>
      <c r="C17" s="78"/>
      <c r="D17" s="78"/>
      <c r="E17" s="71"/>
      <c r="F17" s="79"/>
      <c r="G17" s="71"/>
      <c r="H17" s="79"/>
      <c r="I17" s="71"/>
      <c r="J17" s="73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80"/>
      <c r="AL17" s="78"/>
      <c r="AM17" s="78"/>
      <c r="AN17" s="78"/>
      <c r="AP17" s="78"/>
      <c r="AQ17" s="78"/>
      <c r="AR17" s="81"/>
      <c r="AS17" s="78"/>
    </row>
    <row r="18" spans="1:45" ht="21" customHeight="1" x14ac:dyDescent="0.25">
      <c r="A18" s="70"/>
      <c r="B18" s="34"/>
      <c r="C18" s="78"/>
      <c r="D18" s="78"/>
      <c r="E18" s="71"/>
      <c r="F18" s="79"/>
      <c r="G18" s="71"/>
      <c r="H18" s="79"/>
      <c r="I18" s="71"/>
      <c r="J18" s="73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80"/>
      <c r="AL18" s="78"/>
      <c r="AM18" s="78"/>
      <c r="AN18" s="78"/>
      <c r="AP18" s="78"/>
      <c r="AQ18" s="78"/>
      <c r="AR18" s="81"/>
      <c r="AS18" s="78"/>
    </row>
    <row r="19" spans="1:45" ht="21" customHeight="1" x14ac:dyDescent="0.25">
      <c r="A19" s="70"/>
      <c r="B19" s="34"/>
      <c r="C19" s="78"/>
      <c r="D19" s="78"/>
      <c r="E19" s="71"/>
      <c r="F19" s="79"/>
      <c r="G19" s="71"/>
      <c r="H19" s="79"/>
      <c r="I19" s="71"/>
      <c r="J19" s="73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80"/>
      <c r="AL19" s="78"/>
      <c r="AM19" s="78"/>
      <c r="AN19" s="78"/>
      <c r="AP19" s="78"/>
      <c r="AQ19" s="78"/>
      <c r="AR19" s="81"/>
      <c r="AS19" s="78"/>
    </row>
    <row r="20" spans="1:45" ht="21" customHeight="1" x14ac:dyDescent="0.25">
      <c r="A20" s="70"/>
      <c r="B20" s="34"/>
      <c r="C20" s="78"/>
      <c r="D20" s="78"/>
      <c r="E20" s="71"/>
      <c r="F20" s="79"/>
      <c r="G20" s="71"/>
      <c r="H20" s="79"/>
      <c r="I20" s="71"/>
      <c r="J20" s="73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80"/>
      <c r="AL20" s="78"/>
      <c r="AM20" s="78"/>
      <c r="AN20" s="78"/>
      <c r="AP20" s="78"/>
      <c r="AQ20" s="78"/>
      <c r="AR20" s="81"/>
      <c r="AS20" s="78"/>
    </row>
    <row r="21" spans="1:45" ht="21" customHeight="1" x14ac:dyDescent="0.25">
      <c r="A21" s="70"/>
      <c r="B21" s="34"/>
      <c r="C21" s="78"/>
      <c r="D21" s="78"/>
      <c r="E21" s="71"/>
      <c r="F21" s="79"/>
      <c r="G21" s="71"/>
      <c r="H21" s="79"/>
      <c r="I21" s="71"/>
      <c r="J21" s="73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80"/>
      <c r="AL21" s="78"/>
      <c r="AM21" s="78"/>
      <c r="AN21" s="78"/>
      <c r="AP21" s="78"/>
      <c r="AQ21" s="78"/>
      <c r="AR21" s="81"/>
      <c r="AS21" s="78"/>
    </row>
    <row r="22" spans="1:45" ht="21" customHeight="1" x14ac:dyDescent="0.25">
      <c r="A22" s="70"/>
      <c r="B22" s="34"/>
      <c r="C22" s="78"/>
      <c r="D22" s="78"/>
      <c r="E22" s="71"/>
      <c r="F22" s="79"/>
      <c r="G22" s="71"/>
      <c r="H22" s="79"/>
      <c r="I22" s="71"/>
      <c r="J22" s="73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80"/>
      <c r="AL22" s="78"/>
      <c r="AM22" s="78"/>
      <c r="AN22" s="78"/>
      <c r="AP22" s="78"/>
      <c r="AQ22" s="78"/>
      <c r="AR22" s="81"/>
      <c r="AS22" s="78"/>
    </row>
    <row r="23" spans="1:45" ht="21" customHeight="1" x14ac:dyDescent="0.25">
      <c r="A23" s="70"/>
      <c r="B23" s="34"/>
      <c r="C23" s="78"/>
      <c r="D23" s="78"/>
      <c r="E23" s="71"/>
      <c r="F23" s="79"/>
      <c r="G23" s="71"/>
      <c r="H23" s="79"/>
      <c r="I23" s="71"/>
      <c r="J23" s="73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80"/>
      <c r="AL23" s="78"/>
      <c r="AM23" s="78"/>
      <c r="AN23" s="78"/>
      <c r="AP23" s="78"/>
      <c r="AQ23" s="78"/>
      <c r="AR23" s="81"/>
      <c r="AS23" s="78"/>
    </row>
    <row r="24" spans="1:45" ht="21" customHeight="1" x14ac:dyDescent="0.25">
      <c r="A24" s="70"/>
      <c r="B24" s="34"/>
      <c r="C24" s="78"/>
      <c r="D24" s="78"/>
      <c r="E24" s="71"/>
      <c r="F24" s="79"/>
      <c r="G24" s="71"/>
      <c r="H24" s="79"/>
      <c r="I24" s="71"/>
      <c r="J24" s="73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80"/>
      <c r="AL24" s="78"/>
      <c r="AM24" s="78"/>
      <c r="AN24" s="78"/>
      <c r="AP24" s="78"/>
      <c r="AQ24" s="78"/>
      <c r="AR24" s="81"/>
      <c r="AS24" s="78"/>
    </row>
    <row r="25" spans="1:45" ht="21" customHeight="1" x14ac:dyDescent="0.25">
      <c r="A25" s="70"/>
      <c r="B25" s="34"/>
      <c r="C25" s="78"/>
      <c r="D25" s="78"/>
      <c r="E25" s="71"/>
      <c r="F25" s="79"/>
      <c r="G25" s="71"/>
      <c r="H25" s="79"/>
      <c r="I25" s="71"/>
      <c r="J25" s="73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80"/>
      <c r="AL25" s="78"/>
      <c r="AM25" s="78"/>
      <c r="AN25" s="78"/>
      <c r="AP25" s="78"/>
      <c r="AQ25" s="78"/>
      <c r="AR25" s="81"/>
      <c r="AS25" s="78"/>
    </row>
    <row r="26" spans="1:45" ht="21" customHeight="1" x14ac:dyDescent="0.25">
      <c r="A26" s="70"/>
      <c r="B26" s="34"/>
      <c r="C26" s="78"/>
      <c r="D26" s="78"/>
      <c r="E26" s="71"/>
      <c r="F26" s="79"/>
      <c r="G26" s="71"/>
      <c r="H26" s="79"/>
      <c r="I26" s="71"/>
      <c r="J26" s="73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80"/>
      <c r="AL26" s="78"/>
      <c r="AM26" s="78"/>
      <c r="AN26" s="78"/>
      <c r="AP26" s="78"/>
      <c r="AQ26" s="78"/>
      <c r="AR26" s="81"/>
      <c r="AS26" s="78"/>
    </row>
    <row r="27" spans="1:45" ht="21" customHeight="1" x14ac:dyDescent="0.25">
      <c r="A27" s="70"/>
      <c r="B27" s="34"/>
      <c r="C27" s="78"/>
      <c r="D27" s="78"/>
      <c r="E27" s="71"/>
      <c r="F27" s="78"/>
      <c r="G27" s="71"/>
      <c r="H27" s="82"/>
      <c r="I27" s="71"/>
      <c r="J27" s="73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83"/>
      <c r="AL27" s="78"/>
      <c r="AM27" s="78"/>
      <c r="AN27" s="78"/>
      <c r="AP27" s="78"/>
      <c r="AQ27" s="78"/>
      <c r="AR27" s="81"/>
    </row>
    <row r="28" spans="1:45" ht="21" customHeight="1" x14ac:dyDescent="0.25">
      <c r="A28" s="70"/>
      <c r="B28" s="34"/>
      <c r="C28" s="78"/>
      <c r="D28" s="78"/>
      <c r="E28" s="71"/>
      <c r="F28" s="78"/>
      <c r="G28" s="71"/>
      <c r="H28" s="82"/>
      <c r="I28" s="71"/>
      <c r="J28" s="73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83"/>
      <c r="AL28" s="78"/>
      <c r="AM28" s="78"/>
      <c r="AN28" s="78"/>
      <c r="AP28" s="78"/>
      <c r="AQ28" s="78"/>
      <c r="AR28" s="81"/>
    </row>
    <row r="29" spans="1:45" ht="21" customHeight="1" x14ac:dyDescent="0.25">
      <c r="A29" s="70"/>
      <c r="B29" s="34"/>
      <c r="C29" s="78"/>
      <c r="D29" s="78"/>
      <c r="E29" s="71"/>
      <c r="F29" s="78"/>
      <c r="G29" s="71"/>
      <c r="H29" s="78"/>
      <c r="I29" s="71"/>
      <c r="J29" s="73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83"/>
      <c r="AL29" s="78"/>
      <c r="AM29" s="78"/>
      <c r="AN29" s="78"/>
      <c r="AP29" s="78"/>
      <c r="AQ29" s="78"/>
      <c r="AR29" s="81"/>
    </row>
    <row r="30" spans="1:45" ht="21" customHeight="1" x14ac:dyDescent="0.25">
      <c r="A30" s="70"/>
      <c r="B30" s="34"/>
      <c r="C30" s="78"/>
      <c r="D30" s="78"/>
      <c r="E30" s="71"/>
      <c r="F30" s="78"/>
      <c r="G30" s="71"/>
      <c r="H30" s="78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8"/>
      <c r="AL30" s="78"/>
      <c r="AM30" s="78"/>
      <c r="AN30" s="78"/>
      <c r="AP30" s="78"/>
      <c r="AQ30" s="78"/>
      <c r="AR30" s="81"/>
    </row>
    <row r="31" spans="1:45" ht="21" customHeight="1" x14ac:dyDescent="0.25">
      <c r="A31" s="70"/>
      <c r="B31" s="34"/>
      <c r="C31" s="78"/>
      <c r="D31" s="78"/>
      <c r="E31" s="71"/>
      <c r="F31" s="78"/>
      <c r="G31" s="71"/>
      <c r="H31" s="78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8"/>
      <c r="AL31" s="78"/>
      <c r="AM31" s="78"/>
      <c r="AN31" s="78"/>
      <c r="AP31" s="78"/>
      <c r="AQ31" s="78"/>
      <c r="AR31" s="81"/>
      <c r="AS31" s="84"/>
    </row>
    <row r="36" spans="4:5" ht="21" customHeight="1" x14ac:dyDescent="0.25">
      <c r="D36" s="69"/>
      <c r="E36" s="69"/>
    </row>
    <row r="2878" spans="39:39" ht="21" customHeight="1" x14ac:dyDescent="0.25">
      <c r="AM2878" s="43"/>
    </row>
    <row r="10013" spans="1:47" s="162" customFormat="1" ht="21" customHeight="1" x14ac:dyDescent="0.25">
      <c r="A10013" s="77"/>
      <c r="B10013" s="77"/>
      <c r="C10013" s="77"/>
      <c r="D10013" s="77"/>
      <c r="E10013" s="77"/>
      <c r="F10013" s="77"/>
      <c r="G10013" s="77"/>
      <c r="H10013" s="77"/>
      <c r="I10013" s="77"/>
      <c r="J10013" s="77"/>
      <c r="K10013" s="77"/>
      <c r="L10013" s="77"/>
      <c r="M10013" s="77"/>
      <c r="N10013" s="77"/>
      <c r="O10013" s="77"/>
      <c r="P10013" s="77"/>
      <c r="Q10013" s="77"/>
      <c r="R10013" s="77"/>
      <c r="S10013" s="77"/>
      <c r="T10013" s="77"/>
      <c r="U10013" s="77"/>
      <c r="V10013" s="77"/>
      <c r="W10013" s="77"/>
      <c r="X10013" s="77"/>
      <c r="Y10013" s="77"/>
      <c r="Z10013" s="77"/>
      <c r="AA10013" s="77"/>
      <c r="AB10013" s="77"/>
      <c r="AC10013" s="77"/>
      <c r="AD10013" s="77"/>
      <c r="AE10013" s="77"/>
      <c r="AF10013" s="77"/>
      <c r="AG10013" s="77"/>
      <c r="AH10013" s="77"/>
      <c r="AI10013" s="77"/>
      <c r="AJ10013" s="77"/>
      <c r="AK10013" s="77"/>
      <c r="AL10013" s="77"/>
      <c r="AM10013" s="77"/>
      <c r="AN10013" s="77"/>
      <c r="AO10013" s="77"/>
      <c r="AP10013" s="77"/>
      <c r="AQ10013" s="77"/>
      <c r="AR10013" s="77"/>
      <c r="AS10013" s="77"/>
      <c r="AT10013" s="77"/>
      <c r="AU10013" s="77"/>
    </row>
    <row r="10027" spans="1:47" ht="21" customHeight="1" x14ac:dyDescent="0.25">
      <c r="A10027" s="162"/>
      <c r="B10027" s="162"/>
      <c r="C10027" s="162"/>
      <c r="D10027" s="162"/>
      <c r="E10027" s="162"/>
      <c r="F10027" s="162"/>
      <c r="G10027" s="162"/>
      <c r="H10027" s="162"/>
      <c r="I10027" s="162"/>
      <c r="J10027" s="162"/>
      <c r="K10027" s="162"/>
      <c r="L10027" s="162"/>
      <c r="M10027" s="162"/>
      <c r="N10027" s="162"/>
      <c r="O10027" s="162"/>
      <c r="P10027" s="162"/>
      <c r="Q10027" s="162"/>
      <c r="R10027" s="162"/>
      <c r="S10027" s="162"/>
      <c r="T10027" s="162"/>
      <c r="U10027" s="162"/>
      <c r="V10027" s="162"/>
      <c r="W10027" s="162"/>
      <c r="X10027" s="162"/>
      <c r="Y10027" s="162"/>
      <c r="Z10027" s="162"/>
      <c r="AA10027" s="162"/>
      <c r="AB10027" s="162"/>
      <c r="AC10027" s="162"/>
      <c r="AD10027" s="162"/>
      <c r="AE10027" s="162"/>
      <c r="AF10027" s="162"/>
      <c r="AG10027" s="162"/>
      <c r="AH10027" s="162"/>
      <c r="AI10027" s="162"/>
      <c r="AJ10027" s="162"/>
      <c r="AK10027" s="162"/>
      <c r="AL10027" s="162"/>
      <c r="AM10027" s="162"/>
      <c r="AN10027" s="162"/>
      <c r="AO10027" s="162"/>
      <c r="AP10027" s="162"/>
      <c r="AQ10027" s="162"/>
      <c r="AR10027" s="162"/>
      <c r="AS10027" s="162"/>
      <c r="AT10027" s="162"/>
      <c r="AU10027" s="162"/>
    </row>
    <row r="101469" spans="50:50" ht="21" customHeight="1" x14ac:dyDescent="0.25">
      <c r="AX101469" s="77" t="s">
        <v>136</v>
      </c>
    </row>
  </sheetData>
  <mergeCells count="2">
    <mergeCell ref="C5:D5"/>
    <mergeCell ref="E5:AJ5"/>
  </mergeCells>
  <conditionalFormatting sqref="AS7">
    <cfRule type="dataBar" priority="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{CC8402F3-D502-4113-B84F-70ADAC560EA8}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123825</xdr:colOff>
                <xdr:row>0</xdr:row>
                <xdr:rowOff>85725</xdr:rowOff>
              </from>
              <to>
                <xdr:col>0</xdr:col>
                <xdr:colOff>1676400</xdr:colOff>
                <xdr:row>2</xdr:row>
                <xdr:rowOff>19050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0</xdr:col>
                <xdr:colOff>133350</xdr:colOff>
                <xdr:row>2</xdr:row>
                <xdr:rowOff>114300</xdr:rowOff>
              </from>
              <to>
                <xdr:col>0</xdr:col>
                <xdr:colOff>1666875</xdr:colOff>
                <xdr:row>4</xdr:row>
                <xdr:rowOff>57150</xdr:rowOff>
              </to>
            </anchor>
          </controlPr>
        </control>
      </mc:Choice>
      <mc:Fallback>
        <control shapeId="3074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C8402F3-D502-4113-B84F-70ADAC560E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AS7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1:N69"/>
  <sheetViews>
    <sheetView showGridLines="0" showRowColHeaders="0" showOutlineSymbols="0" topLeftCell="A25" zoomScale="87" workbookViewId="0">
      <selection activeCell="K56" sqref="K56"/>
    </sheetView>
  </sheetViews>
  <sheetFormatPr baseColWidth="10" defaultColWidth="12.42578125" defaultRowHeight="15" x14ac:dyDescent="0.2"/>
  <cols>
    <col min="1" max="1" width="3.42578125" style="2" customWidth="1"/>
    <col min="2" max="2" width="14.140625" style="2" customWidth="1"/>
    <col min="3" max="3" width="15.140625" style="2" customWidth="1"/>
    <col min="4" max="4" width="3.42578125" style="2" customWidth="1"/>
    <col min="5" max="5" width="18.28515625" style="2" customWidth="1"/>
    <col min="6" max="6" width="8.42578125" style="2" customWidth="1"/>
    <col min="7" max="7" width="14.7109375" style="2" customWidth="1"/>
    <col min="8" max="8" width="4.7109375" style="2" customWidth="1"/>
    <col min="9" max="9" width="15.140625" style="2" customWidth="1"/>
    <col min="10" max="10" width="15.7109375" style="2" customWidth="1"/>
    <col min="11" max="11" width="27" style="2" customWidth="1"/>
    <col min="12" max="13" width="12.42578125" style="2"/>
    <col min="14" max="14" width="12.42578125" style="2" hidden="1" customWidth="1"/>
    <col min="15" max="16384" width="12.42578125" style="2"/>
  </cols>
  <sheetData>
    <row r="1" spans="1:12" ht="22.5" customHeight="1" x14ac:dyDescent="0.2">
      <c r="B1" s="15"/>
      <c r="C1" s="3"/>
      <c r="D1" s="11"/>
      <c r="E1" s="86"/>
      <c r="F1" s="16"/>
      <c r="G1" s="16"/>
      <c r="H1" s="11"/>
      <c r="I1" s="11"/>
      <c r="J1" s="118"/>
      <c r="K1" s="119"/>
      <c r="L1" s="3"/>
    </row>
    <row r="2" spans="1:12" ht="15" customHeight="1" x14ac:dyDescent="0.2">
      <c r="B2" s="15"/>
      <c r="C2" s="3"/>
      <c r="D2" s="18"/>
      <c r="E2" s="17"/>
      <c r="F2" s="16"/>
      <c r="G2" s="16"/>
      <c r="H2" s="11"/>
      <c r="I2" s="11"/>
      <c r="J2" s="119"/>
      <c r="K2" s="119"/>
      <c r="L2" s="3"/>
    </row>
    <row r="3" spans="1:12" ht="15" customHeight="1" x14ac:dyDescent="0.2">
      <c r="B3" s="15"/>
      <c r="C3" s="3"/>
      <c r="D3" s="11"/>
      <c r="E3" s="3"/>
      <c r="F3" s="3"/>
      <c r="G3" s="3"/>
      <c r="H3" s="3"/>
      <c r="I3" s="11"/>
      <c r="J3" s="119"/>
      <c r="K3" s="119"/>
      <c r="L3" s="3"/>
    </row>
    <row r="4" spans="1:12" ht="15" customHeight="1" x14ac:dyDescent="0.2">
      <c r="B4" s="15"/>
      <c r="C4" s="3"/>
      <c r="D4" s="11"/>
      <c r="E4" s="3"/>
      <c r="F4" s="3"/>
      <c r="G4" s="3"/>
      <c r="H4" s="3"/>
      <c r="I4" s="11"/>
      <c r="J4" s="119"/>
      <c r="K4" s="119"/>
      <c r="L4" s="3"/>
    </row>
    <row r="5" spans="1:12" ht="15" customHeight="1" x14ac:dyDescent="0.2">
      <c r="B5" s="15"/>
      <c r="C5" s="3"/>
      <c r="D5" s="11"/>
      <c r="E5" s="3"/>
      <c r="F5" s="3"/>
      <c r="G5" s="3"/>
      <c r="H5" s="3"/>
      <c r="I5" s="11"/>
      <c r="J5" s="119"/>
      <c r="K5" s="119"/>
      <c r="L5" s="3"/>
    </row>
    <row r="6" spans="1:12" ht="15" customHeight="1" x14ac:dyDescent="0.2">
      <c r="B6" s="15"/>
      <c r="C6" s="3"/>
      <c r="D6" s="11"/>
      <c r="E6" s="3"/>
      <c r="F6" s="3"/>
      <c r="G6" s="3"/>
      <c r="H6" s="3"/>
      <c r="I6" s="11"/>
      <c r="J6" s="119"/>
      <c r="K6" s="119"/>
      <c r="L6" s="3"/>
    </row>
    <row r="7" spans="1:12" ht="15" customHeight="1" x14ac:dyDescent="0.2">
      <c r="B7" s="15"/>
      <c r="C7" s="3"/>
      <c r="D7" s="11"/>
      <c r="E7" s="3"/>
      <c r="F7" s="3"/>
      <c r="G7" s="3"/>
      <c r="H7" s="3"/>
      <c r="I7" s="11"/>
      <c r="J7" s="119"/>
      <c r="K7" s="119"/>
      <c r="L7" s="3"/>
    </row>
    <row r="8" spans="1:12" ht="27" x14ac:dyDescent="0.35">
      <c r="A8" s="3"/>
      <c r="B8" s="15"/>
      <c r="C8" s="3"/>
      <c r="D8" s="3"/>
      <c r="E8" s="194" t="s">
        <v>170</v>
      </c>
      <c r="F8" s="194"/>
      <c r="G8" s="194"/>
      <c r="H8" s="194"/>
      <c r="I8" s="194"/>
      <c r="J8" s="194"/>
      <c r="K8" s="11"/>
      <c r="L8" s="3"/>
    </row>
    <row r="9" spans="1:12" ht="20.25" x14ac:dyDescent="0.3">
      <c r="A9" s="3"/>
      <c r="B9" s="15"/>
      <c r="C9" s="3"/>
      <c r="D9" s="3"/>
      <c r="E9" s="193" t="s">
        <v>169</v>
      </c>
      <c r="F9" s="193"/>
      <c r="G9" s="42" t="s">
        <v>180</v>
      </c>
      <c r="H9" s="11"/>
      <c r="I9" s="11"/>
      <c r="J9" s="11"/>
      <c r="K9" s="11"/>
      <c r="L9" s="3"/>
    </row>
    <row r="10" spans="1:12" x14ac:dyDescent="0.2">
      <c r="A10" s="3"/>
      <c r="B10" s="15"/>
      <c r="C10" s="3"/>
      <c r="D10" s="3"/>
      <c r="E10" s="3"/>
      <c r="F10" s="15"/>
      <c r="G10" s="15"/>
      <c r="H10" s="11"/>
      <c r="I10" s="11"/>
      <c r="J10" s="11"/>
      <c r="K10" s="11"/>
      <c r="L10" s="3"/>
    </row>
    <row r="11" spans="1:12" x14ac:dyDescent="0.2">
      <c r="A11" s="3"/>
      <c r="B11" s="3"/>
      <c r="C11" s="3"/>
      <c r="D11" s="3"/>
      <c r="E11" s="3"/>
      <c r="F11" s="16"/>
      <c r="G11" s="16"/>
      <c r="H11" s="11"/>
      <c r="I11" s="3"/>
      <c r="J11" s="3"/>
      <c r="K11" s="3"/>
      <c r="L11" s="3"/>
    </row>
    <row r="12" spans="1:12" x14ac:dyDescent="0.2">
      <c r="A12" s="3"/>
      <c r="B12" s="15"/>
      <c r="C12" s="3"/>
      <c r="D12" s="3"/>
      <c r="E12" s="3"/>
      <c r="F12" s="16"/>
      <c r="G12" s="16"/>
      <c r="H12" s="11"/>
      <c r="I12" s="3"/>
      <c r="J12" s="3"/>
      <c r="K12" s="3"/>
      <c r="L12" s="3"/>
    </row>
    <row r="13" spans="1:12" x14ac:dyDescent="0.2">
      <c r="A13" s="3"/>
      <c r="B13" s="117"/>
      <c r="C13" s="3" t="s">
        <v>88</v>
      </c>
      <c r="D13" s="3" t="s">
        <v>4</v>
      </c>
      <c r="E13" s="63">
        <f ca="1">NOW()</f>
        <v>42018.560460532404</v>
      </c>
      <c r="F13" s="62"/>
      <c r="G13" s="16"/>
      <c r="H13" s="11"/>
      <c r="I13" s="3"/>
      <c r="J13" s="3"/>
      <c r="K13" s="3"/>
      <c r="L13" s="3"/>
    </row>
    <row r="14" spans="1:12" x14ac:dyDescent="0.2">
      <c r="A14" s="3"/>
      <c r="B14" s="11"/>
      <c r="C14" s="15"/>
      <c r="D14" s="15"/>
      <c r="E14" s="15"/>
      <c r="F14" s="16"/>
      <c r="G14" s="16"/>
      <c r="H14" s="11"/>
      <c r="I14" s="3"/>
      <c r="J14" s="3"/>
      <c r="K14" s="3"/>
      <c r="L14" s="3"/>
    </row>
    <row r="15" spans="1:12" ht="20.25" x14ac:dyDescent="0.2">
      <c r="A15" s="3"/>
      <c r="B15" s="11"/>
      <c r="C15" s="14" t="s">
        <v>91</v>
      </c>
      <c r="D15" s="13" t="s">
        <v>4</v>
      </c>
      <c r="E15" s="49" t="s">
        <v>185</v>
      </c>
      <c r="F15" s="46"/>
      <c r="G15" s="3"/>
      <c r="H15" s="11"/>
      <c r="I15" s="3"/>
      <c r="J15" s="3"/>
      <c r="K15" s="3"/>
      <c r="L15" s="3"/>
    </row>
    <row r="16" spans="1:12" x14ac:dyDescent="0.2">
      <c r="A16" s="3"/>
      <c r="B16" s="11"/>
      <c r="C16" s="14" t="s">
        <v>92</v>
      </c>
      <c r="D16" s="13" t="s">
        <v>4</v>
      </c>
      <c r="E16" s="64" t="s">
        <v>187</v>
      </c>
      <c r="F16" s="48"/>
      <c r="G16" s="3"/>
      <c r="H16" s="11"/>
      <c r="I16" s="3"/>
      <c r="J16" s="3"/>
      <c r="K16" s="3"/>
      <c r="L16" s="3"/>
    </row>
    <row r="17" spans="1:14" x14ac:dyDescent="0.2">
      <c r="A17" s="3"/>
      <c r="B17" s="11"/>
      <c r="C17" s="14" t="s">
        <v>5</v>
      </c>
      <c r="D17" s="13" t="s">
        <v>4</v>
      </c>
      <c r="E17" s="65" t="s">
        <v>186</v>
      </c>
      <c r="F17" s="45"/>
      <c r="G17" s="11"/>
      <c r="H17" s="11"/>
      <c r="I17" s="11"/>
      <c r="J17" s="11"/>
      <c r="K17" s="11"/>
      <c r="L17" s="3"/>
    </row>
    <row r="18" spans="1:14" x14ac:dyDescent="0.2">
      <c r="A18" s="3"/>
      <c r="B18" s="11"/>
      <c r="C18" s="14"/>
      <c r="D18" s="13"/>
      <c r="E18" s="17"/>
      <c r="F18" s="11"/>
      <c r="G18" s="11"/>
      <c r="H18" s="11"/>
      <c r="I18" s="11"/>
      <c r="J18" s="11"/>
      <c r="K18" s="11"/>
      <c r="L18" s="3"/>
    </row>
    <row r="19" spans="1:14" ht="15.75" x14ac:dyDescent="0.25">
      <c r="A19" s="3"/>
      <c r="B19" s="11"/>
      <c r="C19" s="14"/>
      <c r="D19" s="13"/>
      <c r="E19" s="11"/>
      <c r="F19" s="11"/>
      <c r="G19" s="11"/>
      <c r="H19" s="3"/>
      <c r="I19" s="12"/>
      <c r="J19" s="3"/>
      <c r="K19" s="11"/>
      <c r="L19" s="3"/>
    </row>
    <row r="20" spans="1:14" x14ac:dyDescent="0.2">
      <c r="A20" s="3"/>
      <c r="B20" s="89"/>
      <c r="C20" s="10"/>
      <c r="D20" s="10"/>
      <c r="E20" s="10"/>
      <c r="F20" s="10"/>
      <c r="G20" s="10"/>
      <c r="H20" s="10"/>
      <c r="I20" s="10"/>
      <c r="J20" s="10"/>
      <c r="K20" s="10"/>
      <c r="L20" s="3"/>
    </row>
    <row r="21" spans="1:14" x14ac:dyDescent="0.2">
      <c r="A21" s="3"/>
      <c r="B21" s="134"/>
      <c r="C21" s="101"/>
      <c r="D21" s="101"/>
      <c r="E21" s="101"/>
      <c r="F21" s="101"/>
      <c r="G21" s="101"/>
      <c r="H21" s="101"/>
      <c r="I21" s="101"/>
      <c r="J21" s="101"/>
      <c r="K21" s="101"/>
      <c r="L21" s="3"/>
    </row>
    <row r="22" spans="1:14" x14ac:dyDescent="0.2">
      <c r="A22" s="3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3"/>
    </row>
    <row r="23" spans="1:14" ht="15.75" x14ac:dyDescent="0.25">
      <c r="A23" s="3"/>
      <c r="B23" s="91"/>
      <c r="C23" s="91"/>
      <c r="D23" s="3"/>
      <c r="E23" s="3"/>
      <c r="F23" s="3"/>
      <c r="G23" s="3"/>
      <c r="H23" s="3"/>
      <c r="I23" s="3"/>
      <c r="J23" s="11"/>
      <c r="K23" s="11"/>
      <c r="L23" s="3"/>
    </row>
    <row r="24" spans="1:14" x14ac:dyDescent="0.2">
      <c r="A24" s="3"/>
      <c r="B24" s="92"/>
      <c r="C24" s="3"/>
      <c r="D24" s="3"/>
      <c r="E24" s="3"/>
      <c r="F24" s="3"/>
      <c r="G24" s="3"/>
      <c r="H24" s="3"/>
      <c r="I24" s="3"/>
      <c r="J24" s="11"/>
      <c r="K24" s="11"/>
      <c r="L24" s="3"/>
    </row>
    <row r="25" spans="1:14" ht="15.75" thickBot="1" x14ac:dyDescent="0.25">
      <c r="A25" s="3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3"/>
    </row>
    <row r="26" spans="1:14" ht="20.25" customHeight="1" thickBot="1" x14ac:dyDescent="0.25">
      <c r="B26" s="153" t="s">
        <v>19</v>
      </c>
      <c r="C26" s="154"/>
      <c r="D26" s="155"/>
      <c r="E26" s="155" t="s">
        <v>2</v>
      </c>
      <c r="F26" s="155"/>
      <c r="G26" s="156" t="s">
        <v>3</v>
      </c>
      <c r="H26" s="157"/>
      <c r="I26" s="157"/>
      <c r="J26" s="158" t="s">
        <v>121</v>
      </c>
      <c r="K26" s="159" t="s">
        <v>119</v>
      </c>
      <c r="L26" s="3"/>
    </row>
    <row r="27" spans="1:14" x14ac:dyDescent="0.2">
      <c r="B27" s="102" t="str">
        <f xml:space="preserve"> IF(ISERROR(VLOOKUP(C27,Code!G6:H46,2,FALSE)),"",VLOOKUP(C27,Code!G6:H46,2,FALSE))</f>
        <v>TGC-05</v>
      </c>
      <c r="C27" s="94" t="s">
        <v>18</v>
      </c>
      <c r="D27" s="11"/>
      <c r="E27" s="11"/>
      <c r="F27" s="11"/>
      <c r="G27" s="50">
        <v>500</v>
      </c>
      <c r="H27" s="39" t="s">
        <v>21</v>
      </c>
      <c r="I27" s="116" t="str">
        <f>IF(H27="m3",G27/(VLOOKUP(B27,Code!H6:I46,2,FALSE))&amp;"t",IF(H27="t",G27*(VLOOKUP(B27,Code!H6:I46,2,FALSE))&amp;"m3",IF(C27="","")))</f>
        <v>312,5t</v>
      </c>
      <c r="J27" s="68">
        <v>10000</v>
      </c>
      <c r="K27" s="151">
        <f>IF(C27="","",G27*J27)</f>
        <v>5000000</v>
      </c>
      <c r="L27" s="3"/>
      <c r="N27" s="2">
        <f>IF(J27="0","",IF(K56&lt;&gt;"-",J27-(J27*K56),""))</f>
        <v>9500</v>
      </c>
    </row>
    <row r="28" spans="1:14" x14ac:dyDescent="0.2">
      <c r="B28" s="102"/>
      <c r="C28" s="94"/>
      <c r="D28" s="11"/>
      <c r="E28" s="11"/>
      <c r="F28" s="11"/>
      <c r="G28" s="50"/>
      <c r="H28" s="39"/>
      <c r="I28" s="116"/>
      <c r="J28" s="68"/>
      <c r="K28" s="151"/>
      <c r="L28" s="3"/>
    </row>
    <row r="29" spans="1:14" x14ac:dyDescent="0.2">
      <c r="B29" s="102" t="str">
        <f xml:space="preserve"> IF(ISERROR(VLOOKUP(C29,Code!G6:H46,2,FALSE)),"",VLOOKUP(C29,Code!G6:H46,2,FALSE))</f>
        <v>TGC-46</v>
      </c>
      <c r="C29" s="95" t="s">
        <v>37</v>
      </c>
      <c r="D29" s="11"/>
      <c r="E29" s="11"/>
      <c r="F29" s="11"/>
      <c r="G29" s="50">
        <v>400</v>
      </c>
      <c r="H29" s="39" t="s">
        <v>21</v>
      </c>
      <c r="I29" s="116" t="str">
        <f>IF(H29="m3",G29/(VLOOKUP(B29,Code!H6:I46,2,FALSE))&amp;"t",IF(H29="t",G29*(VLOOKUP(B29,Code!H6:I46,2,FALSE))&amp;"m3",IF(C29="","")))</f>
        <v>266,666666666667t</v>
      </c>
      <c r="J29" s="68">
        <v>27000</v>
      </c>
      <c r="K29" s="151">
        <f>IF(C29="","",G29*J29)</f>
        <v>10800000</v>
      </c>
      <c r="L29" s="3"/>
      <c r="N29" s="2">
        <f>IF(J29=0,"",IF(K56&lt;&gt;"-",J29-(J27*K56),""))</f>
        <v>26500</v>
      </c>
    </row>
    <row r="30" spans="1:14" x14ac:dyDescent="0.2">
      <c r="B30" s="102"/>
      <c r="C30" s="95"/>
      <c r="D30" s="11"/>
      <c r="E30" s="11"/>
      <c r="F30" s="11"/>
      <c r="G30" s="50"/>
      <c r="H30" s="39"/>
      <c r="I30" s="116"/>
      <c r="J30" s="68"/>
      <c r="K30" s="151"/>
      <c r="L30" s="3"/>
    </row>
    <row r="31" spans="1:14" x14ac:dyDescent="0.2">
      <c r="B31" s="102" t="str">
        <f xml:space="preserve"> IF(ISERROR(VLOOKUP(C31,Code!G6:H46,2,FALSE)),"",VLOOKUP(C31,Code!G6:H46,2,FALSE))</f>
        <v>TGC-610</v>
      </c>
      <c r="C31" s="95" t="s">
        <v>38</v>
      </c>
      <c r="D31" s="11"/>
      <c r="E31" s="11"/>
      <c r="F31" s="11"/>
      <c r="G31" s="50">
        <v>200</v>
      </c>
      <c r="H31" s="39" t="s">
        <v>21</v>
      </c>
      <c r="I31" s="116" t="str">
        <f>IF(H31="m3",G31/(VLOOKUP(B31,Code!H6:I46,2,FALSE))&amp;"t",IF(H31="t",G31*(VLOOKUP(B31,Code!H6:I46,2,FALSE))&amp;"m3",IF(C31="","")))</f>
        <v>142,857142857143t</v>
      </c>
      <c r="J31" s="68">
        <v>28000</v>
      </c>
      <c r="K31" s="151">
        <f>IF(C31="","",G31*J31)</f>
        <v>5600000</v>
      </c>
      <c r="L31" s="3"/>
      <c r="N31" s="2">
        <f>IF(J31=0,"",IF(K56&lt;&gt;"-",J31-(J31*K56),""))</f>
        <v>26600</v>
      </c>
    </row>
    <row r="32" spans="1:14" x14ac:dyDescent="0.2">
      <c r="B32" s="102"/>
      <c r="C32" s="96"/>
      <c r="D32" s="11"/>
      <c r="E32" s="11"/>
      <c r="F32" s="11"/>
      <c r="G32" s="50"/>
      <c r="H32" s="39"/>
      <c r="I32" s="116"/>
      <c r="J32" s="68"/>
      <c r="K32" s="151"/>
      <c r="L32" s="3"/>
    </row>
    <row r="33" spans="2:14" x14ac:dyDescent="0.2">
      <c r="B33" s="102" t="str">
        <f xml:space="preserve"> IF(ISERROR(VLOOKUP(C33,Code!G6:H46,2,FALSE)),"",VLOOKUP(C33,Code!G6:H46,2,FALSE))</f>
        <v>TGC-1014</v>
      </c>
      <c r="C33" s="94" t="s">
        <v>41</v>
      </c>
      <c r="D33" s="11"/>
      <c r="E33" s="11"/>
      <c r="F33" s="11"/>
      <c r="G33" s="50">
        <v>150</v>
      </c>
      <c r="H33" s="39" t="s">
        <v>21</v>
      </c>
      <c r="I33" s="116" t="str">
        <f>IF(H33="m3",G33/(VLOOKUP(B33,Code!H6:I46,2,FALSE))&amp;"t",IF(H33="t",G33*(VLOOKUP(B33,Code!H6:I46,2,FALSE))&amp;"m3",IF(C33="","")))</f>
        <v>109,48905109489t</v>
      </c>
      <c r="J33" s="68">
        <v>27000</v>
      </c>
      <c r="K33" s="151">
        <f>IF(C33="","",G33*J33)</f>
        <v>4050000</v>
      </c>
      <c r="L33" s="3"/>
      <c r="N33" s="2">
        <f>IF(J33=0,"",IF(K56&lt;&gt;"-",J33-(J33*K56),""))</f>
        <v>25650</v>
      </c>
    </row>
    <row r="34" spans="2:14" x14ac:dyDescent="0.2">
      <c r="B34" s="102"/>
      <c r="C34" s="94"/>
      <c r="D34" s="11"/>
      <c r="E34" s="11"/>
      <c r="F34" s="11"/>
      <c r="G34" s="50"/>
      <c r="H34" s="39"/>
      <c r="I34" s="116"/>
      <c r="J34" s="68"/>
      <c r="K34" s="151"/>
      <c r="L34" s="3"/>
    </row>
    <row r="35" spans="2:14" x14ac:dyDescent="0.2">
      <c r="B35" s="102" t="str">
        <f xml:space="preserve"> IF(ISERROR(VLOOKUP(C35,Code!G6:H46,2,FALSE)),"",VLOOKUP(C35,Code!G6:H46,2,FALSE))</f>
        <v/>
      </c>
      <c r="C35" s="97"/>
      <c r="D35" s="11"/>
      <c r="E35" s="11"/>
      <c r="F35" s="11"/>
      <c r="G35" s="50">
        <v>0</v>
      </c>
      <c r="H35" s="39"/>
      <c r="I35" s="116" t="str">
        <f>IF(H35="m3",G35/(VLOOKUP(B35,Code!H6:I46,2,FALSE))&amp;"t",IF(H35="t",G35*(VLOOKUP(B35,Code!H6:I46,2,FALSE))&amp;"m3",IF(C35="","")))</f>
        <v/>
      </c>
      <c r="J35" s="68">
        <v>0</v>
      </c>
      <c r="K35" s="151" t="str">
        <f>IF(C35="","",G35*J35)</f>
        <v/>
      </c>
      <c r="L35" s="3"/>
      <c r="N35" s="2" t="str">
        <f>IF(J35=0,"",IF(K56&lt;&gt;"-",J35-(J35*K56),""))</f>
        <v/>
      </c>
    </row>
    <row r="36" spans="2:14" x14ac:dyDescent="0.2">
      <c r="B36" s="102"/>
      <c r="C36" s="96"/>
      <c r="D36" s="11"/>
      <c r="E36" s="11"/>
      <c r="F36" s="11"/>
      <c r="G36" s="50"/>
      <c r="H36" s="39"/>
      <c r="I36" s="116"/>
      <c r="J36" s="68"/>
      <c r="K36" s="151"/>
      <c r="L36" s="3"/>
    </row>
    <row r="37" spans="2:14" x14ac:dyDescent="0.2">
      <c r="B37" s="102" t="str">
        <f xml:space="preserve"> IF(ISERROR(VLOOKUP(C37,Code!G6:H46,2,FALSE)),"",VLOOKUP(C37,Code!G6:H46,2,FALSE))</f>
        <v/>
      </c>
      <c r="C37" s="96"/>
      <c r="D37" s="11"/>
      <c r="E37" s="11"/>
      <c r="F37" s="11"/>
      <c r="G37" s="50">
        <v>0</v>
      </c>
      <c r="H37" s="39"/>
      <c r="I37" s="116" t="str">
        <f>IF(H37="m3",G37/(VLOOKUP(B37,Code!H6:I46,2,FALSE))&amp;"t",IF(H37="t",G37*(VLOOKUP(B37,Code!H6:I46,2,FALSE))&amp;"m3",IF(C37="","")))</f>
        <v/>
      </c>
      <c r="J37" s="68">
        <v>0</v>
      </c>
      <c r="K37" s="151" t="str">
        <f>IF(C37="","",G37*J37)</f>
        <v/>
      </c>
      <c r="L37" s="3"/>
      <c r="N37" s="2" t="str">
        <f>IF(J37=0,"",IF(K56&lt;&gt;"-",J37-(J37*K56),""))</f>
        <v/>
      </c>
    </row>
    <row r="38" spans="2:14" x14ac:dyDescent="0.2">
      <c r="B38" s="102"/>
      <c r="C38" s="96"/>
      <c r="D38" s="11"/>
      <c r="E38" s="11"/>
      <c r="F38" s="11"/>
      <c r="G38" s="50"/>
      <c r="H38" s="39"/>
      <c r="I38" s="116"/>
      <c r="J38" s="68"/>
      <c r="K38" s="151"/>
      <c r="L38" s="3"/>
    </row>
    <row r="39" spans="2:14" x14ac:dyDescent="0.2">
      <c r="B39" s="102" t="str">
        <f xml:space="preserve"> IF(ISERROR(VLOOKUP(C39,Code!G6:H46,2,FALSE)),"",VLOOKUP(C39,Code!G6:H46,2,FALSE))</f>
        <v/>
      </c>
      <c r="C39" s="97"/>
      <c r="D39" s="11"/>
      <c r="E39" s="11"/>
      <c r="F39" s="11"/>
      <c r="G39" s="50">
        <v>0</v>
      </c>
      <c r="H39" s="39"/>
      <c r="I39" s="116" t="str">
        <f>IF(H39="m3",G39/(VLOOKUP(B39,Code!H6:I46,2,FALSE))&amp;"t",IF(H39="t",G39*(VLOOKUP(B39,Code!H6:I46,2,FALSE))&amp;"m3",IF(C39="","")))</f>
        <v/>
      </c>
      <c r="J39" s="68">
        <v>0</v>
      </c>
      <c r="K39" s="151" t="str">
        <f>IF(C39="","",G39*J39)</f>
        <v/>
      </c>
      <c r="L39" s="3"/>
      <c r="N39" s="2" t="str">
        <f>IF(J39=0,"",IF(K56&lt;&gt;"-",J39-(J39*K56),""))</f>
        <v/>
      </c>
    </row>
    <row r="40" spans="2:14" x14ac:dyDescent="0.2">
      <c r="B40" s="102"/>
      <c r="C40" s="97"/>
      <c r="D40" s="11"/>
      <c r="E40" s="11"/>
      <c r="F40" s="11"/>
      <c r="G40" s="50"/>
      <c r="H40" s="39"/>
      <c r="I40" s="116"/>
      <c r="J40" s="68"/>
      <c r="K40" s="151"/>
      <c r="L40" s="3"/>
    </row>
    <row r="41" spans="2:14" x14ac:dyDescent="0.2">
      <c r="B41" s="102" t="str">
        <f xml:space="preserve"> IF(ISERROR(VLOOKUP(C41,Code!G6:H46,2,FALSE)),"",VLOOKUP(C41,Code!G6:H46,2,FALSE))</f>
        <v/>
      </c>
      <c r="C41" s="96"/>
      <c r="D41" s="11"/>
      <c r="E41" s="11"/>
      <c r="F41" s="11"/>
      <c r="G41" s="50">
        <v>0</v>
      </c>
      <c r="H41" s="39"/>
      <c r="I41" s="116" t="str">
        <f>IF(H41="m3",G41/(VLOOKUP(B41,Code!H6:I46,2,FALSE))&amp;"t",IF(H41="t",G41*(VLOOKUP(B41,Code!H6:I46,2,FALSE))&amp;"m3",IF(C41="","")))</f>
        <v/>
      </c>
      <c r="J41" s="68">
        <v>0</v>
      </c>
      <c r="K41" s="151" t="str">
        <f>IF(C41="","",G41*J41)</f>
        <v/>
      </c>
      <c r="L41" s="3"/>
      <c r="N41" s="2" t="str">
        <f>IF(J41=0,"",IF(K56&lt;&gt;"-",J41-(J41*K56),""))</f>
        <v/>
      </c>
    </row>
    <row r="42" spans="2:14" x14ac:dyDescent="0.2">
      <c r="B42" s="102"/>
      <c r="C42" s="96"/>
      <c r="D42" s="11"/>
      <c r="E42" s="11"/>
      <c r="F42" s="11"/>
      <c r="G42" s="51"/>
      <c r="H42" s="39"/>
      <c r="I42" s="115"/>
      <c r="J42" s="68"/>
      <c r="K42" s="151"/>
      <c r="L42" s="3"/>
    </row>
    <row r="43" spans="2:14" x14ac:dyDescent="0.2">
      <c r="B43" s="102"/>
      <c r="C43" s="96"/>
      <c r="D43" s="11"/>
      <c r="E43" s="11"/>
      <c r="F43" s="11"/>
      <c r="G43" s="51"/>
      <c r="H43" s="39"/>
      <c r="I43" s="66"/>
      <c r="J43" s="68"/>
      <c r="K43" s="151" t="str">
        <f t="shared" ref="K43:K54" si="0">IF(J43=0,"",B43*J43)</f>
        <v/>
      </c>
      <c r="L43" s="3"/>
    </row>
    <row r="44" spans="2:14" x14ac:dyDescent="0.2">
      <c r="B44" s="102"/>
      <c r="C44" s="96"/>
      <c r="D44" s="11"/>
      <c r="E44" s="11"/>
      <c r="F44" s="11"/>
      <c r="G44" s="51"/>
      <c r="H44" s="39"/>
      <c r="I44" s="66"/>
      <c r="J44" s="68"/>
      <c r="K44" s="151" t="str">
        <f t="shared" si="0"/>
        <v/>
      </c>
      <c r="L44" s="3"/>
    </row>
    <row r="45" spans="2:14" x14ac:dyDescent="0.2">
      <c r="B45" s="102"/>
      <c r="C45" s="97"/>
      <c r="D45" s="11"/>
      <c r="E45" s="11"/>
      <c r="F45" s="11"/>
      <c r="G45" s="51"/>
      <c r="H45" s="39"/>
      <c r="I45" s="66"/>
      <c r="J45" s="68"/>
      <c r="K45" s="151" t="str">
        <f t="shared" si="0"/>
        <v/>
      </c>
      <c r="L45" s="3"/>
    </row>
    <row r="46" spans="2:14" x14ac:dyDescent="0.2">
      <c r="B46" s="102"/>
      <c r="C46" s="96"/>
      <c r="D46" s="11"/>
      <c r="E46" s="11"/>
      <c r="F46" s="11"/>
      <c r="G46" s="51"/>
      <c r="H46" s="39"/>
      <c r="I46" s="66"/>
      <c r="J46" s="68"/>
      <c r="K46" s="151" t="str">
        <f t="shared" si="0"/>
        <v/>
      </c>
      <c r="L46" s="3"/>
    </row>
    <row r="47" spans="2:14" x14ac:dyDescent="0.2">
      <c r="B47" s="102"/>
      <c r="C47" s="98"/>
      <c r="D47" s="11"/>
      <c r="E47" s="11"/>
      <c r="F47" s="11"/>
      <c r="G47" s="51"/>
      <c r="H47" s="39"/>
      <c r="I47" s="66"/>
      <c r="J47" s="68"/>
      <c r="K47" s="151" t="str">
        <f t="shared" si="0"/>
        <v/>
      </c>
      <c r="L47" s="3"/>
    </row>
    <row r="48" spans="2:14" x14ac:dyDescent="0.2">
      <c r="B48" s="102"/>
      <c r="C48" s="97"/>
      <c r="D48" s="11"/>
      <c r="E48" s="11"/>
      <c r="F48" s="11"/>
      <c r="G48" s="51"/>
      <c r="H48" s="39"/>
      <c r="I48" s="66"/>
      <c r="J48" s="68"/>
      <c r="K48" s="151" t="str">
        <f t="shared" si="0"/>
        <v/>
      </c>
      <c r="L48" s="3"/>
    </row>
    <row r="49" spans="1:12" x14ac:dyDescent="0.2">
      <c r="B49" s="102"/>
      <c r="C49" s="97"/>
      <c r="D49" s="11"/>
      <c r="E49" s="11"/>
      <c r="F49" s="11"/>
      <c r="G49" s="51"/>
      <c r="H49" s="39"/>
      <c r="I49" s="66"/>
      <c r="J49" s="68"/>
      <c r="K49" s="151" t="str">
        <f t="shared" si="0"/>
        <v/>
      </c>
      <c r="L49" s="3"/>
    </row>
    <row r="50" spans="1:12" x14ac:dyDescent="0.2">
      <c r="B50" s="102"/>
      <c r="C50" s="97"/>
      <c r="D50" s="11"/>
      <c r="E50" s="11"/>
      <c r="F50" s="11"/>
      <c r="G50" s="51"/>
      <c r="H50" s="39"/>
      <c r="I50" s="66"/>
      <c r="J50" s="68"/>
      <c r="K50" s="151" t="str">
        <f t="shared" si="0"/>
        <v/>
      </c>
      <c r="L50" s="3"/>
    </row>
    <row r="51" spans="1:12" x14ac:dyDescent="0.2">
      <c r="B51" s="102"/>
      <c r="C51" s="97"/>
      <c r="D51" s="11"/>
      <c r="E51" s="11"/>
      <c r="F51" s="11"/>
      <c r="G51" s="51"/>
      <c r="H51" s="39"/>
      <c r="I51" s="66"/>
      <c r="J51" s="68"/>
      <c r="K51" s="151" t="str">
        <f t="shared" si="0"/>
        <v/>
      </c>
      <c r="L51" s="3"/>
    </row>
    <row r="52" spans="1:12" x14ac:dyDescent="0.2">
      <c r="B52" s="102"/>
      <c r="C52" s="97"/>
      <c r="D52" s="11"/>
      <c r="E52" s="11"/>
      <c r="F52" s="11"/>
      <c r="G52" s="51"/>
      <c r="H52" s="39"/>
      <c r="I52" s="66"/>
      <c r="J52" s="68"/>
      <c r="K52" s="151" t="str">
        <f t="shared" si="0"/>
        <v/>
      </c>
      <c r="L52" s="3"/>
    </row>
    <row r="53" spans="1:12" x14ac:dyDescent="0.2">
      <c r="B53" s="102"/>
      <c r="C53" s="97"/>
      <c r="D53" s="11"/>
      <c r="E53" s="11"/>
      <c r="F53" s="11"/>
      <c r="G53" s="51"/>
      <c r="H53" s="39"/>
      <c r="I53" s="66"/>
      <c r="J53" s="68"/>
      <c r="K53" s="151" t="str">
        <f t="shared" si="0"/>
        <v/>
      </c>
      <c r="L53" s="3"/>
    </row>
    <row r="54" spans="1:12" x14ac:dyDescent="0.2">
      <c r="B54" s="102"/>
      <c r="C54" s="97"/>
      <c r="D54" s="11"/>
      <c r="E54" s="11"/>
      <c r="F54" s="11"/>
      <c r="G54" s="52"/>
      <c r="H54" s="40"/>
      <c r="I54" s="67"/>
      <c r="J54" s="68"/>
      <c r="K54" s="152" t="str">
        <f t="shared" si="0"/>
        <v/>
      </c>
      <c r="L54" s="3"/>
    </row>
    <row r="55" spans="1:12" ht="23.25" customHeight="1" x14ac:dyDescent="0.2">
      <c r="A55" s="3"/>
      <c r="B55" s="133"/>
      <c r="C55" s="99"/>
      <c r="D55" s="99"/>
      <c r="E55" s="103"/>
      <c r="F55" s="103"/>
      <c r="G55" s="103"/>
      <c r="H55" s="103"/>
      <c r="I55" s="104"/>
      <c r="J55" s="100" t="s">
        <v>93</v>
      </c>
      <c r="K55" s="122">
        <v>25450000</v>
      </c>
      <c r="L55" s="3"/>
    </row>
    <row r="56" spans="1:12" ht="23.25" customHeight="1" x14ac:dyDescent="0.2">
      <c r="A56" s="3"/>
      <c r="B56" s="4"/>
      <c r="C56" s="4"/>
      <c r="D56" s="4"/>
      <c r="E56" s="4"/>
      <c r="F56" s="4"/>
      <c r="G56" s="4"/>
      <c r="H56" s="4"/>
      <c r="I56" s="56"/>
      <c r="J56" s="60" t="s">
        <v>94</v>
      </c>
      <c r="K56" s="123">
        <v>0.05</v>
      </c>
      <c r="L56" s="3"/>
    </row>
    <row r="57" spans="1:12" ht="23.25" customHeight="1" x14ac:dyDescent="0.2">
      <c r="A57" s="3"/>
      <c r="B57" s="4"/>
      <c r="C57" s="4"/>
      <c r="D57" s="4"/>
      <c r="E57" s="4"/>
      <c r="F57" s="4"/>
      <c r="G57" s="4"/>
      <c r="H57" s="4"/>
      <c r="I57" s="56"/>
      <c r="J57" s="105" t="s">
        <v>118</v>
      </c>
      <c r="K57" s="124">
        <f>IF(K56="-",(K55),K55-(K55*K56))</f>
        <v>24177500</v>
      </c>
      <c r="L57" s="3"/>
    </row>
    <row r="58" spans="1:12" ht="23.25" customHeight="1" x14ac:dyDescent="0.2">
      <c r="A58" s="3"/>
      <c r="B58" s="3"/>
      <c r="C58" s="4"/>
      <c r="D58" s="4"/>
      <c r="E58" s="4"/>
      <c r="F58" s="4"/>
      <c r="G58" s="4"/>
      <c r="H58" s="4"/>
      <c r="I58" s="106"/>
      <c r="J58" s="60" t="s">
        <v>95</v>
      </c>
      <c r="K58" s="124">
        <f>IF(K56="-",(K55)*0.18,(K55-(K55*K56))*0.18)</f>
        <v>4351950</v>
      </c>
      <c r="L58" s="3"/>
    </row>
    <row r="59" spans="1:12" ht="15.75" x14ac:dyDescent="0.2">
      <c r="A59" s="3"/>
      <c r="B59" s="4"/>
      <c r="C59" s="4"/>
      <c r="D59" s="4"/>
      <c r="E59" s="4"/>
      <c r="F59" s="4"/>
      <c r="G59" s="4"/>
      <c r="H59" s="4"/>
      <c r="I59" s="106"/>
      <c r="J59" s="57"/>
      <c r="K59" s="126"/>
      <c r="L59" s="3"/>
    </row>
    <row r="60" spans="1:12" ht="24" customHeight="1" x14ac:dyDescent="0.2">
      <c r="A60" s="3"/>
      <c r="B60" s="4"/>
      <c r="C60" s="4"/>
      <c r="D60" s="4"/>
      <c r="E60" s="4"/>
      <c r="F60" s="4"/>
      <c r="G60" s="4"/>
      <c r="H60" s="4"/>
      <c r="I60" s="106"/>
      <c r="J60" s="58" t="s">
        <v>97</v>
      </c>
      <c r="K60" s="127">
        <f>IF(K56="-",((K55)*0.18)+(K55),((K55-(K55*K56))*0.18)+(K55-(K55*K56)))</f>
        <v>28529450</v>
      </c>
      <c r="L60" s="3"/>
    </row>
    <row r="61" spans="1:12" x14ac:dyDescent="0.2">
      <c r="A61" s="3"/>
      <c r="B61" s="4"/>
      <c r="C61" s="4"/>
      <c r="D61" s="4"/>
      <c r="E61" s="4"/>
      <c r="F61" s="4"/>
      <c r="G61" s="4"/>
      <c r="H61" s="4"/>
      <c r="I61" s="103"/>
      <c r="J61" s="103"/>
      <c r="K61" s="4"/>
      <c r="L61" s="3"/>
    </row>
    <row r="62" spans="1:12" x14ac:dyDescent="0.2">
      <c r="A62" s="3"/>
      <c r="B62" s="4"/>
      <c r="C62" s="61" t="s">
        <v>98</v>
      </c>
      <c r="D62" s="3"/>
      <c r="E62" s="3"/>
      <c r="F62" s="3"/>
      <c r="G62" s="3"/>
      <c r="H62" s="3"/>
      <c r="I62" s="3"/>
      <c r="J62" s="4"/>
      <c r="K62" s="4"/>
      <c r="L62" s="3"/>
    </row>
    <row r="63" spans="1:12" ht="19.5" x14ac:dyDescent="0.3">
      <c r="A63" s="3"/>
      <c r="B63" s="4"/>
      <c r="C63" s="107" t="str">
        <f>numtext(K60,"Francs CFA")</f>
        <v xml:space="preserve">vingt-huit millions cinq cent vingt-neuf mille quatre cent cinquante Francs CFA  </v>
      </c>
      <c r="D63" s="3"/>
      <c r="E63" s="3"/>
      <c r="F63" s="3"/>
      <c r="G63" s="3"/>
      <c r="H63" s="3"/>
      <c r="I63" s="3"/>
      <c r="J63" s="4"/>
      <c r="K63" s="4"/>
      <c r="L63" s="3"/>
    </row>
    <row r="64" spans="1:12" x14ac:dyDescent="0.2">
      <c r="A64" s="3"/>
      <c r="B64" s="4"/>
      <c r="C64" s="8"/>
      <c r="D64" s="4"/>
      <c r="E64" s="8"/>
      <c r="F64" s="8"/>
      <c r="G64" s="4"/>
      <c r="H64" s="8"/>
      <c r="I64" s="8"/>
      <c r="J64" s="8"/>
      <c r="K64" s="8"/>
      <c r="L64" s="3"/>
    </row>
    <row r="65" spans="1:12" x14ac:dyDescent="0.2">
      <c r="A65" s="3"/>
      <c r="B65" s="3"/>
      <c r="C65" s="3"/>
      <c r="D65" s="3"/>
      <c r="E65" s="3"/>
      <c r="F65" s="3"/>
      <c r="G65" s="108" t="s">
        <v>96</v>
      </c>
      <c r="H65" s="11"/>
      <c r="I65" s="109" t="s">
        <v>86</v>
      </c>
      <c r="J65" s="110"/>
      <c r="K65" s="110"/>
      <c r="L65" s="3"/>
    </row>
    <row r="66" spans="1:12" x14ac:dyDescent="0.2">
      <c r="A66" s="3"/>
      <c r="B66" s="4"/>
      <c r="C66" s="8"/>
      <c r="D66" s="8"/>
      <c r="E66" s="8"/>
      <c r="F66" s="8"/>
      <c r="G66" s="4"/>
      <c r="H66" s="8"/>
      <c r="I66" s="8"/>
      <c r="J66" s="8"/>
      <c r="K66" s="8"/>
      <c r="L66" s="3"/>
    </row>
    <row r="67" spans="1:12" x14ac:dyDescent="0.2">
      <c r="A67" s="3"/>
      <c r="B67" s="7"/>
      <c r="C67" s="7"/>
      <c r="D67" s="6"/>
      <c r="E67" s="6"/>
      <c r="F67" s="6"/>
      <c r="G67" s="6"/>
      <c r="H67" s="6"/>
      <c r="I67" s="6"/>
      <c r="J67" s="5"/>
      <c r="K67" s="5"/>
      <c r="L67" s="3"/>
    </row>
    <row r="68" spans="1:12" ht="15.75" x14ac:dyDescent="0.25">
      <c r="A68" s="3"/>
      <c r="B68" s="4"/>
      <c r="C68" s="9" t="s">
        <v>90</v>
      </c>
      <c r="D68" s="4"/>
      <c r="E68" s="4"/>
      <c r="F68" s="4"/>
      <c r="G68" s="4"/>
      <c r="H68" s="4"/>
      <c r="I68" s="4"/>
      <c r="J68" s="4"/>
      <c r="K68" s="4"/>
      <c r="L68" s="3"/>
    </row>
    <row r="69" spans="1:12" x14ac:dyDescent="0.2">
      <c r="A69" s="3"/>
      <c r="B69" s="4"/>
      <c r="C69" s="4"/>
      <c r="D69" s="4"/>
      <c r="E69" s="4"/>
      <c r="F69" s="4"/>
      <c r="G69" s="4"/>
      <c r="H69" s="4"/>
      <c r="I69" s="4"/>
      <c r="J69" s="4"/>
      <c r="K69" s="4"/>
      <c r="L69" s="3"/>
    </row>
  </sheetData>
  <sheetProtection selectLockedCells="1"/>
  <mergeCells count="2">
    <mergeCell ref="E9:F9"/>
    <mergeCell ref="E8:J8"/>
  </mergeCells>
  <dataValidations count="1">
    <dataValidation type="list" allowBlank="1" showInputMessage="1" showErrorMessage="1" sqref="K56">
      <formula1>"-,1%,2%,3%,4%,5%"</formula1>
    </dataValidation>
  </dataValidations>
  <pageMargins left="0.511811023622047" right="0.511811023622047" top="0.511811023622047" bottom="0.511811023622047" header="0.511811023622047" footer="0.511811023622047"/>
  <pageSetup paperSize="9" scale="65" orientation="portrait" cellComments="atEnd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7"/>
  <sheetViews>
    <sheetView showGridLines="0" showRowColHeaders="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7" sqref="A7"/>
    </sheetView>
  </sheetViews>
  <sheetFormatPr baseColWidth="10" defaultRowHeight="21" customHeight="1" x14ac:dyDescent="0.25"/>
  <cols>
    <col min="1" max="1" width="30.7109375" style="77" customWidth="1"/>
    <col min="2" max="4" width="26.42578125" style="77" customWidth="1"/>
    <col min="5" max="5" width="26.28515625" style="77" customWidth="1"/>
    <col min="6" max="6" width="13.5703125" style="77" customWidth="1"/>
    <col min="7" max="7" width="12.7109375" style="77" customWidth="1"/>
    <col min="8" max="8" width="18" style="77" customWidth="1"/>
    <col min="9" max="9" width="27.5703125" style="77" customWidth="1"/>
    <col min="10" max="10" width="14.5703125" style="77" customWidth="1"/>
    <col min="11" max="11" width="12.7109375" style="77" customWidth="1"/>
    <col min="12" max="12" width="19" style="77" customWidth="1"/>
    <col min="13" max="13" width="27.5703125" style="77" customWidth="1"/>
    <col min="14" max="14" width="14.5703125" style="77" customWidth="1"/>
    <col min="15" max="15" width="12.7109375" style="77" customWidth="1"/>
    <col min="16" max="16" width="19" style="77" customWidth="1"/>
    <col min="17" max="17" width="27.5703125" style="77" customWidth="1"/>
    <col min="18" max="18" width="14.5703125" style="77" customWidth="1"/>
    <col min="19" max="19" width="12.7109375" style="77" customWidth="1"/>
    <col min="20" max="20" width="20" style="77" customWidth="1"/>
    <col min="21" max="21" width="27.5703125" style="77" customWidth="1"/>
    <col min="22" max="22" width="15.5703125" style="77" customWidth="1"/>
    <col min="23" max="23" width="12.7109375" style="77" customWidth="1"/>
    <col min="24" max="24" width="20" style="77" customWidth="1"/>
    <col min="25" max="25" width="27.5703125" style="77" customWidth="1"/>
    <col min="26" max="26" width="15.5703125" style="77" customWidth="1"/>
    <col min="27" max="27" width="12.7109375" style="77" customWidth="1"/>
    <col min="28" max="28" width="20" style="77" customWidth="1"/>
    <col min="29" max="29" width="27.5703125" style="77" customWidth="1"/>
    <col min="30" max="30" width="15.5703125" style="77" customWidth="1"/>
    <col min="31" max="31" width="12.7109375" style="77" customWidth="1"/>
    <col min="32" max="32" width="20" style="77" customWidth="1"/>
    <col min="33" max="33" width="27.5703125" style="77" customWidth="1"/>
    <col min="34" max="34" width="15.5703125" style="77" customWidth="1"/>
    <col min="35" max="35" width="12.7109375" style="77" customWidth="1"/>
    <col min="36" max="36" width="20" style="77" customWidth="1"/>
    <col min="37" max="37" width="18.7109375" style="77" customWidth="1"/>
    <col min="38" max="38" width="30.42578125" style="77" customWidth="1"/>
    <col min="39" max="39" width="30" style="77" customWidth="1"/>
    <col min="40" max="40" width="21.5703125" style="77" customWidth="1"/>
    <col min="41" max="41" width="26.5703125" style="77" customWidth="1"/>
    <col min="42" max="42" width="29.140625" style="77" customWidth="1"/>
    <col min="43" max="43" width="34.5703125" style="77" customWidth="1"/>
    <col min="44" max="16384" width="11.42578125" style="77"/>
  </cols>
  <sheetData>
    <row r="1" spans="1:44" ht="15" customHeight="1" x14ac:dyDescent="0.25"/>
    <row r="2" spans="1:44" ht="15" customHeight="1" x14ac:dyDescent="0.25"/>
    <row r="3" spans="1:44" ht="15" customHeight="1" x14ac:dyDescent="0.25"/>
    <row r="4" spans="1:44" ht="15" customHeight="1" x14ac:dyDescent="0.25"/>
    <row r="5" spans="1:44" ht="15" customHeight="1" x14ac:dyDescent="0.25"/>
    <row r="6" spans="1:44" ht="41.25" customHeight="1" x14ac:dyDescent="0.25">
      <c r="A6" s="171" t="s">
        <v>138</v>
      </c>
      <c r="B6" s="169" t="s">
        <v>10</v>
      </c>
      <c r="C6" s="169" t="s">
        <v>16</v>
      </c>
      <c r="D6" s="169" t="s">
        <v>17</v>
      </c>
      <c r="E6" s="169" t="s">
        <v>51</v>
      </c>
      <c r="F6" s="170" t="s">
        <v>161</v>
      </c>
      <c r="G6" s="170" t="s">
        <v>139</v>
      </c>
      <c r="H6" s="170" t="s">
        <v>140</v>
      </c>
      <c r="I6" s="169" t="s">
        <v>52</v>
      </c>
      <c r="J6" s="170" t="s">
        <v>162</v>
      </c>
      <c r="K6" s="170" t="s">
        <v>146</v>
      </c>
      <c r="L6" s="170" t="s">
        <v>147</v>
      </c>
      <c r="M6" s="169" t="s">
        <v>53</v>
      </c>
      <c r="N6" s="170" t="s">
        <v>163</v>
      </c>
      <c r="O6" s="170" t="s">
        <v>148</v>
      </c>
      <c r="P6" s="170" t="s">
        <v>149</v>
      </c>
      <c r="Q6" s="169" t="s">
        <v>58</v>
      </c>
      <c r="R6" s="170" t="s">
        <v>164</v>
      </c>
      <c r="S6" s="170" t="s">
        <v>150</v>
      </c>
      <c r="T6" s="170" t="s">
        <v>151</v>
      </c>
      <c r="U6" s="169" t="s">
        <v>60</v>
      </c>
      <c r="V6" s="170" t="s">
        <v>165</v>
      </c>
      <c r="W6" s="170" t="s">
        <v>152</v>
      </c>
      <c r="X6" s="170" t="s">
        <v>153</v>
      </c>
      <c r="Y6" s="169" t="s">
        <v>64</v>
      </c>
      <c r="Z6" s="170" t="s">
        <v>166</v>
      </c>
      <c r="AA6" s="170" t="s">
        <v>154</v>
      </c>
      <c r="AB6" s="170" t="s">
        <v>155</v>
      </c>
      <c r="AC6" s="169" t="s">
        <v>66</v>
      </c>
      <c r="AD6" s="170" t="s">
        <v>167</v>
      </c>
      <c r="AE6" s="170" t="s">
        <v>156</v>
      </c>
      <c r="AF6" s="170" t="s">
        <v>157</v>
      </c>
      <c r="AG6" s="169" t="s">
        <v>70</v>
      </c>
      <c r="AH6" s="170" t="s">
        <v>168</v>
      </c>
      <c r="AI6" s="170" t="s">
        <v>158</v>
      </c>
      <c r="AJ6" s="170" t="s">
        <v>159</v>
      </c>
      <c r="AK6" s="169" t="s">
        <v>141</v>
      </c>
      <c r="AL6" s="169" t="s">
        <v>142</v>
      </c>
      <c r="AM6" s="169" t="s">
        <v>160</v>
      </c>
      <c r="AN6" s="169" t="s">
        <v>143</v>
      </c>
      <c r="AO6" s="169" t="s">
        <v>144</v>
      </c>
      <c r="AP6" s="170" t="s">
        <v>145</v>
      </c>
      <c r="AQ6" s="169" t="s">
        <v>171</v>
      </c>
      <c r="AR6" s="172"/>
    </row>
    <row r="7" spans="1:44" ht="21" customHeight="1" x14ac:dyDescent="0.25">
      <c r="H7" s="77" t="str">
        <f>IF(tclients[PRODUIT COMMANDE]="","",tclients[QTTE]-tclients[RETIRE])</f>
        <v/>
      </c>
      <c r="I7" s="77" t="s">
        <v>73</v>
      </c>
      <c r="L7" s="77" t="str">
        <f>IF(tclients[PRODUIT COMMANDE2]="","",tclients[QTTE (2)]-tclients[QTTE RETIREE (2)])</f>
        <v/>
      </c>
      <c r="M7" s="77" t="s">
        <v>73</v>
      </c>
      <c r="P7" s="77" t="str">
        <f>IF(tclients[PRODUIT COMMANDE3]="","",tclients[QTTE (3)]-tclients[RETIRE (3)])</f>
        <v/>
      </c>
      <c r="Q7" s="77" t="s">
        <v>73</v>
      </c>
      <c r="T7" s="77" t="str">
        <f>IF(tclients[PRODUIT COMMANDE4]="","",tclients[QTTE (4)]-tclients[RETIRE (4)])</f>
        <v/>
      </c>
      <c r="U7" s="77" t="s">
        <v>73</v>
      </c>
      <c r="X7" s="77" t="str">
        <f>IF(tclients[PRODUIT COMMANDE5]="","",tclients[QTTE (5)]-tclients[RETIRE (5)])</f>
        <v/>
      </c>
      <c r="Y7" s="77" t="s">
        <v>73</v>
      </c>
      <c r="AB7" s="77" t="str">
        <f>IF(tclients[PRODUIT COMMANDE6]="","",tclients[QTTE (6)]-tclients[RETIRE (6)])</f>
        <v/>
      </c>
      <c r="AC7" s="77" t="s">
        <v>73</v>
      </c>
      <c r="AF7" s="77" t="str">
        <f>IF(tclients[PRODUIT COMMANDE7]="","",tclients[QTTE (7)]-tclients[RETIRE (7)])</f>
        <v/>
      </c>
      <c r="AG7" s="77" t="s">
        <v>73</v>
      </c>
      <c r="AJ7" s="77" t="str">
        <f>IF(tclients[PRODUIT COMMANDE8]="","",tclients[QTTE (8)]-tclients[RETIRE (8)])</f>
        <v/>
      </c>
      <c r="AK7" s="77" t="str">
        <f>IF(tclients[CLIENTS]="","",SUM(tclients[QTTE (8)],tclients[QTTE (7)],tclients[QTTE (6)],tclients[QTTE (5)],tclients[QTTE (4)],tclients[QTTE (3)],tclients[QTTE (2)],tclients[QTTE]))</f>
        <v/>
      </c>
      <c r="AL7" s="77" t="str">
        <f>IF(tclients[CLIENTS]="","",SUM(tclients[RESTE A RETIRER (8)],tclients[RESTE A RETIRER (7)],tclients[RESTE A RETIRER (6)],tclients[RESTE A RETIRER (5)],tclients[RESTE A RETIRER (4)],tclients[RESTE A RETIRER (3)],tclients[RESTE A RETIRER (2)],tclients[RESTE A RETIRER]))</f>
        <v/>
      </c>
      <c r="AM7" s="84"/>
      <c r="AO7" s="77" t="str">
        <f>IF(tclients[MONTANT A PAYER]="","",tclients[MONTANT A PAYER]-tclients[MONTANT VERSE])</f>
        <v/>
      </c>
      <c r="AQ7" s="17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6:F6"/>
  <sheetViews>
    <sheetView showGridLines="0" showRowColHeaders="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17" sqref="B17"/>
    </sheetView>
  </sheetViews>
  <sheetFormatPr baseColWidth="10" defaultRowHeight="14.25" x14ac:dyDescent="0.25"/>
  <cols>
    <col min="1" max="1" width="45.7109375" style="77" customWidth="1"/>
    <col min="2" max="2" width="38.7109375" style="77" customWidth="1"/>
    <col min="3" max="3" width="26.85546875" style="77" customWidth="1"/>
    <col min="4" max="6" width="25.7109375" style="77" customWidth="1"/>
    <col min="7" max="16384" width="11.42578125" style="77"/>
  </cols>
  <sheetData>
    <row r="6" spans="1:6" ht="30" customHeight="1" x14ac:dyDescent="0.25">
      <c r="A6" s="178" t="s">
        <v>173</v>
      </c>
      <c r="B6" s="177" t="s">
        <v>133</v>
      </c>
      <c r="C6" s="176" t="s">
        <v>174</v>
      </c>
      <c r="D6" s="176" t="s">
        <v>176</v>
      </c>
      <c r="E6" s="176" t="s">
        <v>175</v>
      </c>
      <c r="F6" s="176" t="s">
        <v>14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148"/>
  <sheetViews>
    <sheetView showGridLines="0" showRowColHeaders="0" showOutlineSymbols="0" topLeftCell="A73" zoomScale="87" workbookViewId="0">
      <selection activeCell="I92" sqref="I92"/>
    </sheetView>
  </sheetViews>
  <sheetFormatPr baseColWidth="10" defaultColWidth="12.42578125" defaultRowHeight="15" x14ac:dyDescent="0.2"/>
  <cols>
    <col min="1" max="1" width="3.42578125" style="2" customWidth="1"/>
    <col min="2" max="2" width="14.140625" style="2" customWidth="1"/>
    <col min="3" max="3" width="15.140625" style="2" customWidth="1"/>
    <col min="4" max="4" width="3.42578125" style="2" customWidth="1"/>
    <col min="5" max="5" width="18.28515625" style="2" customWidth="1"/>
    <col min="6" max="6" width="8.42578125" style="2" customWidth="1"/>
    <col min="7" max="7" width="14.7109375" style="2" customWidth="1"/>
    <col min="8" max="8" width="4.7109375" style="2" customWidth="1"/>
    <col min="9" max="9" width="15.140625" style="2" customWidth="1"/>
    <col min="10" max="10" width="15.7109375" style="2" customWidth="1"/>
    <col min="11" max="11" width="27" style="2" customWidth="1"/>
    <col min="12" max="13" width="12.42578125" style="2"/>
    <col min="14" max="14" width="0" style="2" hidden="1" customWidth="1"/>
    <col min="15" max="16384" width="12.42578125" style="2"/>
  </cols>
  <sheetData>
    <row r="1" spans="1:12" s="36" customFormat="1" ht="22.5" customHeight="1" x14ac:dyDescent="0.25">
      <c r="B1" s="35"/>
    </row>
    <row r="2" spans="1:12" ht="15" customHeight="1" x14ac:dyDescent="0.2">
      <c r="B2" s="11"/>
      <c r="C2" s="11"/>
      <c r="D2" s="11"/>
      <c r="E2" s="11"/>
      <c r="F2" s="11"/>
      <c r="G2" s="11"/>
      <c r="H2" s="11"/>
      <c r="I2" s="11"/>
      <c r="J2" s="11"/>
      <c r="K2" s="11"/>
    </row>
    <row r="3" spans="1:12" ht="15" customHeight="1" x14ac:dyDescent="0.2">
      <c r="B3" s="15"/>
      <c r="C3" s="15"/>
      <c r="D3" s="15"/>
      <c r="E3" s="15"/>
      <c r="F3" s="15"/>
      <c r="G3" s="15"/>
      <c r="H3" s="11"/>
      <c r="I3" s="11"/>
      <c r="J3" s="11"/>
      <c r="K3" s="11"/>
    </row>
    <row r="4" spans="1:12" ht="15" customHeight="1" x14ac:dyDescent="0.2">
      <c r="B4" s="15"/>
      <c r="C4" s="3"/>
      <c r="D4" s="11"/>
      <c r="E4" s="86"/>
      <c r="F4" s="16"/>
      <c r="G4" s="16"/>
      <c r="H4" s="11"/>
      <c r="I4" s="11"/>
      <c r="J4" s="195"/>
      <c r="K4" s="196"/>
      <c r="L4" s="3"/>
    </row>
    <row r="5" spans="1:12" ht="15" customHeight="1" x14ac:dyDescent="0.2">
      <c r="A5" s="3"/>
      <c r="B5" s="15"/>
      <c r="C5" s="3"/>
      <c r="D5" s="18"/>
      <c r="E5" s="17"/>
      <c r="F5" s="16"/>
      <c r="G5" s="16"/>
      <c r="H5" s="11"/>
      <c r="I5" s="11"/>
      <c r="J5" s="196"/>
      <c r="K5" s="196"/>
      <c r="L5" s="3"/>
    </row>
    <row r="6" spans="1:12" ht="15" customHeight="1" x14ac:dyDescent="0.2">
      <c r="A6" s="3"/>
      <c r="B6" s="15"/>
      <c r="C6" s="3"/>
      <c r="D6" s="11"/>
      <c r="E6" s="3"/>
      <c r="F6" s="3"/>
      <c r="G6" s="3"/>
      <c r="H6" s="3"/>
      <c r="I6" s="11"/>
      <c r="J6" s="196"/>
      <c r="K6" s="196"/>
      <c r="L6" s="3"/>
    </row>
    <row r="7" spans="1:12" ht="15" customHeight="1" x14ac:dyDescent="0.2">
      <c r="A7" s="3"/>
      <c r="B7" s="15"/>
      <c r="C7" s="3"/>
      <c r="D7" s="11"/>
      <c r="E7" s="3"/>
      <c r="F7" s="3"/>
      <c r="G7" s="3"/>
      <c r="H7" s="3"/>
      <c r="I7" s="11"/>
      <c r="J7" s="196"/>
      <c r="K7" s="196"/>
      <c r="L7" s="3"/>
    </row>
    <row r="8" spans="1:12" x14ac:dyDescent="0.2">
      <c r="A8" s="3"/>
      <c r="B8" s="15"/>
      <c r="C8" s="3"/>
      <c r="D8" s="11"/>
      <c r="E8" s="3"/>
      <c r="F8" s="3"/>
      <c r="G8" s="3"/>
      <c r="H8" s="3"/>
      <c r="I8" s="11"/>
      <c r="J8" s="196"/>
      <c r="K8" s="196"/>
      <c r="L8" s="3"/>
    </row>
    <row r="9" spans="1:12" x14ac:dyDescent="0.2">
      <c r="A9" s="3"/>
      <c r="B9" s="15"/>
      <c r="C9" s="3"/>
      <c r="D9" s="11"/>
      <c r="E9" s="3"/>
      <c r="F9" s="3"/>
      <c r="G9" s="3"/>
      <c r="H9" s="3"/>
      <c r="I9" s="11"/>
      <c r="J9" s="196"/>
      <c r="K9" s="196"/>
      <c r="L9" s="3"/>
    </row>
    <row r="10" spans="1:12" x14ac:dyDescent="0.2">
      <c r="A10" s="3"/>
      <c r="B10" s="15"/>
      <c r="C10" s="3"/>
      <c r="D10" s="11"/>
      <c r="E10" s="3"/>
      <c r="F10" s="3"/>
      <c r="G10" s="3"/>
      <c r="H10" s="3"/>
      <c r="I10" s="11"/>
      <c r="J10" s="196"/>
      <c r="K10" s="196"/>
      <c r="L10" s="3"/>
    </row>
    <row r="11" spans="1:12" x14ac:dyDescent="0.2">
      <c r="A11" s="3"/>
      <c r="B11" s="15"/>
      <c r="C11" s="3"/>
      <c r="D11" s="3"/>
      <c r="E11" s="3"/>
      <c r="F11" s="3"/>
      <c r="G11" s="3"/>
      <c r="H11" s="3"/>
      <c r="I11" s="11"/>
      <c r="J11" s="11"/>
      <c r="K11" s="11"/>
      <c r="L11" s="3"/>
    </row>
    <row r="12" spans="1:12" ht="20.25" x14ac:dyDescent="0.3">
      <c r="A12" s="3"/>
      <c r="B12" s="15"/>
      <c r="C12" s="3"/>
      <c r="D12" s="3"/>
      <c r="E12" s="87" t="s">
        <v>89</v>
      </c>
      <c r="F12" s="3"/>
      <c r="G12" s="42" t="s">
        <v>182</v>
      </c>
      <c r="H12" s="11"/>
      <c r="I12" s="11"/>
      <c r="J12" s="11"/>
      <c r="K12" s="11"/>
      <c r="L12" s="3"/>
    </row>
    <row r="13" spans="1:12" x14ac:dyDescent="0.2">
      <c r="A13" s="3"/>
      <c r="B13" s="15"/>
      <c r="C13" s="3"/>
      <c r="D13" s="3"/>
      <c r="E13" s="3"/>
      <c r="F13" s="15"/>
      <c r="G13" s="15"/>
      <c r="H13" s="11"/>
      <c r="I13" s="11"/>
      <c r="J13" s="11"/>
      <c r="K13" s="11"/>
      <c r="L13" s="3"/>
    </row>
    <row r="14" spans="1:12" x14ac:dyDescent="0.2">
      <c r="A14" s="3"/>
      <c r="B14" s="3"/>
      <c r="C14" s="3"/>
      <c r="D14" s="3"/>
      <c r="E14" s="3"/>
      <c r="F14" s="16"/>
      <c r="G14" s="16"/>
      <c r="H14" s="11"/>
      <c r="I14" s="3"/>
      <c r="J14" s="3"/>
      <c r="K14" s="3"/>
      <c r="L14" s="3"/>
    </row>
    <row r="15" spans="1:12" x14ac:dyDescent="0.2">
      <c r="A15" s="3"/>
      <c r="B15" s="15"/>
      <c r="C15" s="3"/>
      <c r="D15" s="3"/>
      <c r="E15" s="3"/>
      <c r="F15" s="16"/>
      <c r="G15" s="16"/>
      <c r="H15" s="11"/>
      <c r="I15" s="3"/>
      <c r="J15" s="3"/>
      <c r="K15" s="3"/>
      <c r="L15" s="3"/>
    </row>
    <row r="16" spans="1:12" x14ac:dyDescent="0.2">
      <c r="A16" s="3"/>
      <c r="B16" s="117"/>
      <c r="C16" s="3" t="s">
        <v>88</v>
      </c>
      <c r="D16" s="3" t="s">
        <v>4</v>
      </c>
      <c r="E16" s="63">
        <f ca="1">NOW()</f>
        <v>42018.560460532404</v>
      </c>
      <c r="F16" s="16"/>
      <c r="G16" s="16"/>
      <c r="H16" s="11"/>
      <c r="I16" s="3"/>
      <c r="J16" s="3"/>
      <c r="K16" s="3"/>
      <c r="L16" s="3"/>
    </row>
    <row r="17" spans="1:12" x14ac:dyDescent="0.2">
      <c r="A17" s="3"/>
      <c r="B17" s="11"/>
      <c r="C17" s="15"/>
      <c r="D17" s="15"/>
      <c r="E17" s="15"/>
      <c r="F17" s="16"/>
      <c r="G17" s="16"/>
      <c r="H17" s="11"/>
      <c r="I17" s="3"/>
      <c r="J17" s="3"/>
      <c r="K17" s="3"/>
      <c r="L17" s="3"/>
    </row>
    <row r="18" spans="1:12" ht="20.25" x14ac:dyDescent="0.2">
      <c r="A18" s="3"/>
      <c r="B18" s="11"/>
      <c r="C18" s="14" t="s">
        <v>91</v>
      </c>
      <c r="D18" s="13" t="s">
        <v>4</v>
      </c>
      <c r="E18" s="49" t="s">
        <v>178</v>
      </c>
      <c r="F18" s="46"/>
      <c r="G18" s="3"/>
      <c r="H18" s="11"/>
      <c r="I18" s="3"/>
      <c r="J18" s="3"/>
      <c r="K18" s="3"/>
      <c r="L18" s="3"/>
    </row>
    <row r="19" spans="1:12" x14ac:dyDescent="0.2">
      <c r="A19" s="3"/>
      <c r="B19" s="11"/>
      <c r="C19" s="14" t="s">
        <v>92</v>
      </c>
      <c r="D19" s="13" t="s">
        <v>4</v>
      </c>
      <c r="E19" s="47" t="s">
        <v>132</v>
      </c>
      <c r="F19" s="48"/>
      <c r="G19" s="3"/>
      <c r="H19" s="11"/>
      <c r="I19" s="3"/>
      <c r="J19" s="3"/>
      <c r="K19" s="3"/>
      <c r="L19" s="3"/>
    </row>
    <row r="20" spans="1:12" x14ac:dyDescent="0.2">
      <c r="A20" s="3"/>
      <c r="B20" s="11"/>
      <c r="C20" s="14" t="s">
        <v>5</v>
      </c>
      <c r="D20" s="13" t="s">
        <v>4</v>
      </c>
      <c r="E20" s="44" t="s">
        <v>179</v>
      </c>
      <c r="F20" s="45"/>
      <c r="G20" s="11"/>
      <c r="H20" s="11"/>
      <c r="I20" s="11"/>
      <c r="J20" s="11"/>
      <c r="K20" s="11"/>
      <c r="L20" s="3"/>
    </row>
    <row r="21" spans="1:12" x14ac:dyDescent="0.2">
      <c r="A21" s="3"/>
      <c r="B21" s="11"/>
      <c r="C21" s="14"/>
      <c r="D21" s="13"/>
      <c r="E21" s="17" t="s">
        <v>73</v>
      </c>
      <c r="F21" s="11"/>
      <c r="G21" s="11"/>
      <c r="H21" s="11"/>
      <c r="I21" s="11"/>
      <c r="J21" s="11"/>
      <c r="K21" s="11"/>
      <c r="L21" s="3"/>
    </row>
    <row r="22" spans="1:12" ht="15.75" x14ac:dyDescent="0.25">
      <c r="A22" s="3"/>
      <c r="B22" s="11"/>
      <c r="C22" s="14"/>
      <c r="D22" s="13"/>
      <c r="E22" s="11"/>
      <c r="F22" s="11"/>
      <c r="G22" s="11"/>
      <c r="H22" s="3"/>
      <c r="I22" s="12"/>
      <c r="J22" s="3"/>
      <c r="K22" s="11"/>
      <c r="L22" s="3"/>
    </row>
    <row r="23" spans="1:12" x14ac:dyDescent="0.2">
      <c r="A23" s="3"/>
      <c r="B23" s="89"/>
      <c r="C23" s="89"/>
      <c r="D23" s="89"/>
      <c r="E23" s="89"/>
      <c r="F23" s="89"/>
      <c r="G23" s="89"/>
      <c r="H23" s="89"/>
      <c r="I23" s="89"/>
      <c r="J23" s="89"/>
      <c r="K23" s="10"/>
      <c r="L23" s="3"/>
    </row>
    <row r="24" spans="1:12" x14ac:dyDescent="0.2">
      <c r="A24" s="3"/>
      <c r="B24" s="134"/>
      <c r="C24" s="90"/>
      <c r="D24" s="90"/>
      <c r="E24" s="90"/>
      <c r="F24" s="90"/>
      <c r="G24" s="90"/>
      <c r="H24" s="90"/>
      <c r="I24" s="90"/>
      <c r="J24" s="90"/>
      <c r="K24" s="101"/>
      <c r="L24" s="3"/>
    </row>
    <row r="25" spans="1:12" x14ac:dyDescent="0.2">
      <c r="A25" s="3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3"/>
    </row>
    <row r="26" spans="1:12" ht="15.75" x14ac:dyDescent="0.25">
      <c r="A26" s="3"/>
      <c r="B26" s="91"/>
      <c r="C26" s="91"/>
      <c r="D26" s="11"/>
      <c r="E26" s="11"/>
      <c r="F26" s="11"/>
      <c r="G26" s="11"/>
      <c r="H26" s="11"/>
      <c r="I26" s="11"/>
      <c r="J26" s="11"/>
      <c r="K26" s="11"/>
      <c r="L26" s="3"/>
    </row>
    <row r="27" spans="1:12" x14ac:dyDescent="0.2">
      <c r="A27" s="3"/>
      <c r="B27" s="92"/>
      <c r="C27" s="92"/>
      <c r="D27" s="11"/>
      <c r="E27" s="11"/>
      <c r="F27" s="11"/>
      <c r="G27" s="11"/>
      <c r="H27" s="11"/>
      <c r="I27" s="11"/>
      <c r="J27" s="11"/>
      <c r="K27" s="11"/>
      <c r="L27" s="3"/>
    </row>
    <row r="28" spans="1:12" x14ac:dyDescent="0.2">
      <c r="A28" s="3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3"/>
    </row>
    <row r="29" spans="1:12" s="37" customFormat="1" ht="20.25" customHeight="1" x14ac:dyDescent="0.25">
      <c r="A29" s="135"/>
      <c r="B29" s="137" t="s">
        <v>19</v>
      </c>
      <c r="C29" s="138"/>
      <c r="D29" s="139"/>
      <c r="E29" s="139" t="s">
        <v>2</v>
      </c>
      <c r="F29" s="139"/>
      <c r="G29" s="38" t="s">
        <v>3</v>
      </c>
      <c r="H29" s="41"/>
      <c r="I29" s="93"/>
      <c r="J29" s="199" t="s">
        <v>134</v>
      </c>
      <c r="K29" s="200"/>
      <c r="L29" s="111"/>
    </row>
    <row r="30" spans="1:12" x14ac:dyDescent="0.2">
      <c r="A30" s="3"/>
      <c r="B30" s="140" t="str">
        <f xml:space="preserve"> IF(ISERROR(VLOOKUP(C30,Code!G6:H35,2,FALSE)),"",VLOOKUP(C30,Code!G6:H35,2,FALSE))</f>
        <v>TGC-180</v>
      </c>
      <c r="C30" s="94" t="s">
        <v>49</v>
      </c>
      <c r="D30" s="120"/>
      <c r="E30" s="120"/>
      <c r="F30" s="120"/>
      <c r="G30" s="141" t="s">
        <v>172</v>
      </c>
      <c r="H30" s="39" t="s">
        <v>21</v>
      </c>
      <c r="I30" s="142" t="str">
        <f>IF(H30="m3",G30/(VLOOKUP(B30,Code!H6:I46,2,FALSE))&amp;"t",IF(H30="t",G30*(VLOOKUP(B30,Code!H6:I46,2,FALSE))&amp;"m3",IF(C30="","")))</f>
        <v>0t</v>
      </c>
      <c r="J30" s="88"/>
      <c r="K30" s="39"/>
      <c r="L30" s="3"/>
    </row>
    <row r="31" spans="1:12" x14ac:dyDescent="0.2">
      <c r="A31" s="3"/>
      <c r="B31" s="59"/>
      <c r="C31" s="94"/>
      <c r="D31" s="11"/>
      <c r="E31" s="11"/>
      <c r="F31" s="11"/>
      <c r="G31" s="50"/>
      <c r="H31" s="39"/>
      <c r="I31" s="66"/>
      <c r="J31" s="88"/>
      <c r="K31" s="39"/>
      <c r="L31" s="3"/>
    </row>
    <row r="32" spans="1:12" x14ac:dyDescent="0.2">
      <c r="A32" s="3"/>
      <c r="B32" s="59" t="str">
        <f xml:space="preserve"> IF(ISERROR(VLOOKUP(C32,Code!G8:H35,2,FALSE)),"",VLOOKUP(C32,Code!G8:H35,2,FALSE))</f>
        <v>TGC-05</v>
      </c>
      <c r="C32" s="95" t="s">
        <v>18</v>
      </c>
      <c r="D32" s="11"/>
      <c r="E32" s="11"/>
      <c r="F32" s="11"/>
      <c r="G32" s="50" t="s">
        <v>172</v>
      </c>
      <c r="H32" s="39" t="s">
        <v>21</v>
      </c>
      <c r="I32" s="66" t="str">
        <f>IF(H32="m3",G32/(VLOOKUP(B32,Code!H6:I46,2,FALSE))&amp;"t",IF(H32="t",G32*(VLOOKUP(B32,Code!H6:I46,2,FALSE))&amp;"m3",IF(C32="","")))</f>
        <v>0t</v>
      </c>
      <c r="J32" s="88"/>
      <c r="K32" s="39"/>
      <c r="L32" s="3"/>
    </row>
    <row r="33" spans="1:12" x14ac:dyDescent="0.2">
      <c r="A33" s="3"/>
      <c r="B33" s="59"/>
      <c r="C33" s="95"/>
      <c r="D33" s="11"/>
      <c r="E33" s="11"/>
      <c r="F33" s="11"/>
      <c r="G33" s="50"/>
      <c r="H33" s="39"/>
      <c r="I33" s="66"/>
      <c r="J33" s="88"/>
      <c r="K33" s="39"/>
      <c r="L33" s="3"/>
    </row>
    <row r="34" spans="1:12" ht="15" customHeight="1" x14ac:dyDescent="0.2">
      <c r="A34" s="3"/>
      <c r="B34" s="59" t="str">
        <f xml:space="preserve"> IF(ISERROR(VLOOKUP(C34,Code!G8:H35,2,FALSE)),"",VLOOKUP(C34,Code!G8:H35,2,FALSE))</f>
        <v>TGC-515</v>
      </c>
      <c r="C34" s="95" t="s">
        <v>24</v>
      </c>
      <c r="D34" s="11"/>
      <c r="E34" s="11"/>
      <c r="F34" s="11"/>
      <c r="G34" s="50" t="s">
        <v>181</v>
      </c>
      <c r="H34" s="39"/>
      <c r="I34" s="66" t="b">
        <f>IF(H34="m3",G34/(VLOOKUP(B34,Code!H6:I46,2,FALSE))&amp;"t",IF(H34="t",G34*(VLOOKUP(B34,Code!H6:I46,2,FALSE))&amp;"m3",IF(C34="","")))</f>
        <v>0</v>
      </c>
      <c r="J34" s="88"/>
      <c r="K34" s="39"/>
      <c r="L34" s="3"/>
    </row>
    <row r="35" spans="1:12" ht="15" customHeight="1" x14ac:dyDescent="0.2">
      <c r="A35" s="3"/>
      <c r="B35" s="59"/>
      <c r="C35" s="96"/>
      <c r="D35" s="11"/>
      <c r="E35" s="11"/>
      <c r="F35" s="11"/>
      <c r="G35" s="50"/>
      <c r="H35" s="39"/>
      <c r="I35" s="66"/>
      <c r="J35" s="88"/>
      <c r="K35" s="39"/>
      <c r="L35" s="3"/>
    </row>
    <row r="36" spans="1:12" x14ac:dyDescent="0.2">
      <c r="A36" s="3"/>
      <c r="B36" s="59" t="str">
        <f xml:space="preserve"> IF(ISERROR(VLOOKUP(C36,Code!G8:H35,2,FALSE)),"",VLOOKUP(C36,Code!G8:H35,2,FALSE))</f>
        <v>TGC-525</v>
      </c>
      <c r="C36" s="94" t="s">
        <v>125</v>
      </c>
      <c r="D36" s="11"/>
      <c r="E36" s="11"/>
      <c r="F36" s="11"/>
      <c r="G36" s="50" t="s">
        <v>181</v>
      </c>
      <c r="H36" s="39"/>
      <c r="I36" s="66" t="b">
        <f>IF(H36="m3",G36/(VLOOKUP(B36,Code!H6:I46,2,FALSE))&amp;"t",IF(H36="t",G36*(VLOOKUP(B36,Code!H6:I46,2,FALSE))&amp;"m3",IF(C36="","")))</f>
        <v>0</v>
      </c>
      <c r="J36" s="88"/>
      <c r="K36" s="39"/>
      <c r="L36" s="3"/>
    </row>
    <row r="37" spans="1:12" x14ac:dyDescent="0.2">
      <c r="A37" s="3"/>
      <c r="B37" s="59"/>
      <c r="C37" s="94"/>
      <c r="D37" s="11"/>
      <c r="E37" s="11"/>
      <c r="F37" s="11"/>
      <c r="G37" s="50"/>
      <c r="H37" s="39"/>
      <c r="I37" s="66"/>
      <c r="J37" s="88"/>
      <c r="K37" s="39"/>
      <c r="L37" s="3"/>
    </row>
    <row r="38" spans="1:12" x14ac:dyDescent="0.2">
      <c r="A38" s="3"/>
      <c r="B38" s="59" t="str">
        <f xml:space="preserve"> IF(ISERROR(VLOOKUP(C38,Code!G8:H35,2,FALSE)),"",VLOOKUP(C38,Code!G8:H35,2,FALSE))</f>
        <v>TGC-1525</v>
      </c>
      <c r="C38" s="97" t="s">
        <v>25</v>
      </c>
      <c r="D38" s="11"/>
      <c r="E38" s="11"/>
      <c r="F38" s="11"/>
      <c r="G38" s="50" t="s">
        <v>172</v>
      </c>
      <c r="H38" s="39"/>
      <c r="I38" s="66" t="b">
        <f>IF(H38="m3",G38/(VLOOKUP(B38,Code!H6:I46,2,FALSE))&amp;"t",IF(H38="t",G38*(VLOOKUP(B38,Code!H6:I46,2,FALSE))&amp;"m3",IF(C38="","")))</f>
        <v>0</v>
      </c>
      <c r="J38" s="88"/>
      <c r="K38" s="39"/>
      <c r="L38" s="3"/>
    </row>
    <row r="39" spans="1:12" x14ac:dyDescent="0.2">
      <c r="A39" s="3"/>
      <c r="B39" s="59"/>
      <c r="C39" s="96"/>
      <c r="D39" s="11"/>
      <c r="E39" s="11"/>
      <c r="F39" s="11"/>
      <c r="G39" s="50"/>
      <c r="H39" s="39"/>
      <c r="I39" s="66"/>
      <c r="J39" s="88"/>
      <c r="K39" s="39"/>
      <c r="L39" s="3"/>
    </row>
    <row r="40" spans="1:12" x14ac:dyDescent="0.2">
      <c r="A40" s="3"/>
      <c r="B40" s="59" t="str">
        <f xml:space="preserve"> IF(ISERROR(VLOOKUP(C40,Code!G8:H35,2,FALSE)),"",VLOOKUP(C40,Code!G8:H35,2,FALSE))</f>
        <v/>
      </c>
      <c r="C40" s="96" t="s">
        <v>73</v>
      </c>
      <c r="D40" s="11"/>
      <c r="E40" s="11"/>
      <c r="F40" s="11"/>
      <c r="G40" s="50" t="s">
        <v>172</v>
      </c>
      <c r="H40" s="39"/>
      <c r="I40" s="66" t="str">
        <f>IF(H40="m3",G40/(VLOOKUP(B40,Code!H6:I46,2,FALSE))&amp;"t",IF(H40="t",G40*(VLOOKUP(B40,Code!H6:I46,2,FALSE))&amp;"m3",IF(C40="","")))</f>
        <v/>
      </c>
      <c r="J40" s="88"/>
      <c r="K40" s="39"/>
      <c r="L40" s="3"/>
    </row>
    <row r="41" spans="1:12" x14ac:dyDescent="0.2">
      <c r="A41" s="3"/>
      <c r="B41" s="59"/>
      <c r="C41" s="96"/>
      <c r="D41" s="11"/>
      <c r="E41" s="11"/>
      <c r="F41" s="11"/>
      <c r="G41" s="50"/>
      <c r="H41" s="39"/>
      <c r="I41" s="66"/>
      <c r="J41" s="88"/>
      <c r="K41" s="39"/>
      <c r="L41" s="3"/>
    </row>
    <row r="42" spans="1:12" x14ac:dyDescent="0.2">
      <c r="A42" s="3"/>
      <c r="B42" s="59" t="str">
        <f xml:space="preserve"> IF(ISERROR(VLOOKUP(C42,Code!G8:H35,2,FALSE)),"",VLOOKUP(C42,Code!G8:H35,2,FALSE))</f>
        <v/>
      </c>
      <c r="C42" s="97" t="s">
        <v>73</v>
      </c>
      <c r="D42" s="11"/>
      <c r="E42" s="11"/>
      <c r="F42" s="11"/>
      <c r="G42" s="50" t="s">
        <v>172</v>
      </c>
      <c r="H42" s="39"/>
      <c r="I42" s="66" t="str">
        <f>IF(H42="m3",G42/(VLOOKUP(B42,Code!H6:I46,2,FALSE))&amp;"t",IF(H42="t",G42*(VLOOKUP(B42,Code!H6:I46,2,FALSE))&amp;"m3",IF(C42="","")))</f>
        <v/>
      </c>
      <c r="J42" s="88"/>
      <c r="K42" s="39"/>
      <c r="L42" s="3"/>
    </row>
    <row r="43" spans="1:12" x14ac:dyDescent="0.2">
      <c r="A43" s="3"/>
      <c r="B43" s="59"/>
      <c r="C43" s="97"/>
      <c r="D43" s="11"/>
      <c r="E43" s="11"/>
      <c r="F43" s="11"/>
      <c r="G43" s="50"/>
      <c r="H43" s="39"/>
      <c r="I43" s="66"/>
      <c r="J43" s="88"/>
      <c r="K43" s="39"/>
      <c r="L43" s="3"/>
    </row>
    <row r="44" spans="1:12" x14ac:dyDescent="0.2">
      <c r="A44" s="3"/>
      <c r="B44" s="59" t="str">
        <f xml:space="preserve"> IF(ISERROR(VLOOKUP(C44,Code!G8:H35,2,FALSE)),"",VLOOKUP(C44,Code!G8:H35,2,FALSE))</f>
        <v/>
      </c>
      <c r="C44" s="96" t="s">
        <v>73</v>
      </c>
      <c r="D44" s="11"/>
      <c r="E44" s="11"/>
      <c r="F44" s="11"/>
      <c r="G44" s="50" t="s">
        <v>172</v>
      </c>
      <c r="H44" s="39"/>
      <c r="I44" s="66" t="str">
        <f>IF(H44="m3",G44/(VLOOKUP(B44,Code!H6:I46,2,FALSE))&amp;"t",IF(H44="t",G44*(VLOOKUP(B44,Code!H6:I46,2,FALSE))&amp;"m3",IF(C44="","")))</f>
        <v/>
      </c>
      <c r="J44" s="88"/>
      <c r="K44" s="39"/>
      <c r="L44" s="3"/>
    </row>
    <row r="45" spans="1:12" x14ac:dyDescent="0.2">
      <c r="A45" s="3"/>
      <c r="B45" s="59"/>
      <c r="C45" s="96"/>
      <c r="D45" s="11"/>
      <c r="E45" s="11"/>
      <c r="F45" s="11"/>
      <c r="G45" s="51"/>
      <c r="H45" s="39"/>
      <c r="I45" s="66"/>
      <c r="J45" s="163"/>
      <c r="K45" s="121"/>
      <c r="L45" s="3"/>
    </row>
    <row r="46" spans="1:12" x14ac:dyDescent="0.2">
      <c r="A46" s="3"/>
      <c r="B46" s="146"/>
      <c r="C46" s="147"/>
      <c r="D46" s="148"/>
      <c r="E46" s="148"/>
      <c r="F46" s="148"/>
      <c r="G46" s="149"/>
      <c r="H46" s="148"/>
      <c r="I46" s="150"/>
      <c r="J46" s="11"/>
      <c r="K46" s="11"/>
      <c r="L46" s="3"/>
    </row>
    <row r="47" spans="1:12" x14ac:dyDescent="0.2">
      <c r="A47" s="3"/>
      <c r="B47" s="136"/>
      <c r="C47" s="143"/>
      <c r="D47" s="11"/>
      <c r="E47" s="11"/>
      <c r="F47" s="11"/>
      <c r="G47" s="144"/>
      <c r="H47" s="11"/>
      <c r="I47" s="145"/>
      <c r="J47" s="11"/>
      <c r="K47" s="11"/>
      <c r="L47" s="3"/>
    </row>
    <row r="48" spans="1:12" x14ac:dyDescent="0.2">
      <c r="A48" s="3"/>
      <c r="B48" s="136"/>
      <c r="C48" s="11"/>
      <c r="D48" s="11"/>
      <c r="E48" s="11"/>
      <c r="F48" s="11"/>
      <c r="G48" s="144"/>
      <c r="H48" s="11"/>
      <c r="I48" s="145"/>
      <c r="J48" s="11"/>
      <c r="K48" s="11"/>
      <c r="L48" s="3"/>
    </row>
    <row r="49" spans="1:12" ht="15.75" x14ac:dyDescent="0.25">
      <c r="A49" s="3"/>
      <c r="B49" s="136"/>
      <c r="C49" s="9"/>
      <c r="D49" s="11"/>
      <c r="E49" s="11"/>
      <c r="F49" s="11"/>
      <c r="G49" s="144"/>
      <c r="H49" s="11"/>
      <c r="I49" s="145"/>
      <c r="J49" s="11"/>
      <c r="K49" s="11"/>
      <c r="L49" s="3"/>
    </row>
    <row r="50" spans="1:12" x14ac:dyDescent="0.2">
      <c r="A50" s="3"/>
      <c r="B50" s="136"/>
      <c r="C50" s="92"/>
      <c r="D50" s="11"/>
      <c r="E50" s="11"/>
      <c r="F50" s="11"/>
      <c r="G50" s="144"/>
      <c r="H50" s="11"/>
      <c r="I50" s="145"/>
      <c r="J50" s="11"/>
      <c r="K50" s="11"/>
      <c r="L50" s="3"/>
    </row>
    <row r="51" spans="1:12" x14ac:dyDescent="0.2">
      <c r="A51" s="3"/>
      <c r="B51" s="136"/>
      <c r="C51" s="11"/>
      <c r="D51" s="11"/>
      <c r="E51" s="11"/>
      <c r="F51" s="11"/>
      <c r="G51" s="144"/>
      <c r="H51" s="11"/>
      <c r="I51" s="145"/>
      <c r="J51" s="11"/>
      <c r="K51" s="11"/>
      <c r="L51" s="3"/>
    </row>
    <row r="52" spans="1:12" x14ac:dyDescent="0.2">
      <c r="A52" s="3"/>
      <c r="B52" s="136"/>
      <c r="C52" s="11"/>
      <c r="D52" s="11"/>
      <c r="E52" s="11"/>
      <c r="F52" s="11"/>
      <c r="G52" s="144"/>
      <c r="H52" s="11"/>
      <c r="I52" s="145"/>
      <c r="J52" s="11"/>
      <c r="K52" s="11"/>
      <c r="L52" s="3"/>
    </row>
    <row r="53" spans="1:12" x14ac:dyDescent="0.2">
      <c r="A53" s="3"/>
      <c r="B53" s="136"/>
      <c r="C53" s="11"/>
      <c r="D53" s="11"/>
      <c r="E53" s="11"/>
      <c r="F53" s="11"/>
      <c r="G53" s="144"/>
      <c r="H53" s="11"/>
      <c r="I53" s="145"/>
      <c r="J53" s="11"/>
      <c r="K53" s="11"/>
      <c r="L53" s="3"/>
    </row>
    <row r="54" spans="1:12" x14ac:dyDescent="0.2">
      <c r="A54" s="3"/>
      <c r="B54" s="136"/>
      <c r="C54" s="11"/>
      <c r="D54" s="11"/>
      <c r="E54" s="11"/>
      <c r="F54" s="11"/>
      <c r="G54" s="144"/>
      <c r="H54" s="11"/>
      <c r="I54" s="145"/>
      <c r="J54" s="11"/>
      <c r="K54" s="11"/>
      <c r="L54" s="3"/>
    </row>
    <row r="55" spans="1:12" x14ac:dyDescent="0.2">
      <c r="A55" s="3"/>
      <c r="B55" s="136"/>
      <c r="C55" s="11"/>
      <c r="D55" s="11"/>
      <c r="E55" s="11"/>
      <c r="F55" s="11"/>
      <c r="G55" s="144"/>
      <c r="H55" s="11"/>
      <c r="I55" s="145"/>
      <c r="J55" s="11"/>
      <c r="K55" s="11"/>
      <c r="L55" s="3"/>
    </row>
    <row r="56" spans="1:12" x14ac:dyDescent="0.2">
      <c r="A56" s="3"/>
      <c r="B56" s="136"/>
      <c r="C56" s="11"/>
      <c r="D56" s="11"/>
      <c r="E56" s="11"/>
      <c r="F56" s="11"/>
      <c r="G56" s="144"/>
      <c r="H56" s="11"/>
      <c r="I56" s="145"/>
      <c r="J56" s="11"/>
      <c r="K56" s="11"/>
      <c r="L56" s="3"/>
    </row>
    <row r="57" spans="1:12" x14ac:dyDescent="0.2">
      <c r="A57" s="3"/>
      <c r="B57" s="136"/>
      <c r="C57" s="11"/>
      <c r="D57" s="11"/>
      <c r="E57" s="11"/>
      <c r="F57" s="11"/>
      <c r="G57" s="144"/>
      <c r="H57" s="11"/>
      <c r="I57" s="145"/>
      <c r="J57" s="11"/>
      <c r="K57" s="11"/>
      <c r="L57" s="3"/>
    </row>
    <row r="58" spans="1:12" ht="25.5" customHeight="1" x14ac:dyDescent="0.2">
      <c r="A58" s="3"/>
      <c r="B58" s="4"/>
      <c r="C58" s="4"/>
      <c r="D58" s="4"/>
      <c r="E58" s="4"/>
      <c r="F58" s="4"/>
      <c r="G58" s="4"/>
      <c r="H58" s="4"/>
      <c r="I58" s="4"/>
      <c r="J58" s="11"/>
      <c r="K58" s="11"/>
      <c r="L58" s="3"/>
    </row>
    <row r="59" spans="1:12" x14ac:dyDescent="0.2">
      <c r="A59" s="3"/>
      <c r="B59" s="4"/>
      <c r="C59" s="4"/>
      <c r="D59" s="4"/>
      <c r="E59" s="4"/>
      <c r="F59" s="4"/>
      <c r="G59" s="4"/>
      <c r="H59" s="4"/>
      <c r="I59" s="4"/>
      <c r="J59" s="11"/>
      <c r="K59" s="11"/>
      <c r="L59" s="3"/>
    </row>
    <row r="60" spans="1:12" x14ac:dyDescent="0.2">
      <c r="A60" s="3"/>
      <c r="B60" s="4"/>
      <c r="C60" s="4"/>
      <c r="D60" s="4"/>
      <c r="E60" s="4"/>
      <c r="F60" s="4"/>
      <c r="G60" s="4"/>
      <c r="H60" s="4"/>
      <c r="I60" s="4"/>
      <c r="J60" s="4"/>
      <c r="K60" s="4"/>
      <c r="L60" s="3"/>
    </row>
    <row r="61" spans="1:12" x14ac:dyDescent="0.2">
      <c r="A61" s="3"/>
      <c r="B61" s="4"/>
      <c r="C61" s="4"/>
      <c r="D61" s="4"/>
      <c r="E61" s="4"/>
      <c r="F61" s="4"/>
      <c r="G61" s="4"/>
      <c r="H61" s="4"/>
      <c r="I61" s="4"/>
      <c r="J61" s="4"/>
      <c r="K61" s="4"/>
      <c r="L61" s="3"/>
    </row>
    <row r="62" spans="1:12" x14ac:dyDescent="0.2">
      <c r="A62" s="3"/>
      <c r="B62" s="4"/>
      <c r="C62" s="4"/>
      <c r="D62" s="4"/>
      <c r="E62" s="4"/>
      <c r="F62" s="4"/>
      <c r="G62" s="4"/>
      <c r="H62" s="4"/>
      <c r="I62" s="4"/>
      <c r="J62" s="4"/>
      <c r="K62" s="4"/>
      <c r="L62" s="3"/>
    </row>
    <row r="63" spans="1:12" x14ac:dyDescent="0.2">
      <c r="B63" s="4"/>
      <c r="C63" s="4"/>
      <c r="D63" s="4"/>
      <c r="E63" s="4"/>
      <c r="F63" s="4"/>
      <c r="G63" s="4"/>
      <c r="H63" s="4"/>
      <c r="I63" s="4"/>
      <c r="J63" s="4"/>
      <c r="K63" s="4"/>
      <c r="L63" s="3"/>
    </row>
    <row r="64" spans="1:12" x14ac:dyDescent="0.2">
      <c r="B64" s="4"/>
      <c r="C64" s="4"/>
      <c r="D64" s="4"/>
      <c r="E64" s="4"/>
      <c r="F64" s="4"/>
      <c r="G64" s="4"/>
      <c r="H64" s="4"/>
      <c r="I64" s="4"/>
      <c r="J64" s="4"/>
      <c r="K64" s="4"/>
      <c r="L64" s="3"/>
    </row>
    <row r="65" spans="2:12" x14ac:dyDescent="0.2">
      <c r="B65" s="4"/>
      <c r="D65" s="4"/>
      <c r="E65" s="4"/>
      <c r="F65" s="4"/>
      <c r="G65" s="4"/>
      <c r="H65" s="4"/>
      <c r="I65" s="4"/>
      <c r="J65" s="4"/>
      <c r="K65" s="4"/>
      <c r="L65" s="3"/>
    </row>
    <row r="66" spans="2:12" x14ac:dyDescent="0.2">
      <c r="B66" s="4"/>
      <c r="C66" s="4"/>
      <c r="D66" s="4"/>
      <c r="E66" s="4"/>
      <c r="F66" s="4"/>
      <c r="G66" s="4"/>
      <c r="H66" s="4"/>
      <c r="I66" s="4"/>
      <c r="J66" s="4"/>
      <c r="K66" s="4"/>
      <c r="L66" s="3"/>
    </row>
    <row r="67" spans="2:12" x14ac:dyDescent="0.2">
      <c r="B67" s="4"/>
      <c r="C67" s="8"/>
      <c r="D67" s="4"/>
      <c r="E67" s="8"/>
      <c r="F67" s="8"/>
      <c r="G67" s="4"/>
      <c r="H67" s="8"/>
      <c r="I67" s="8"/>
      <c r="J67" s="4"/>
      <c r="K67" s="4"/>
      <c r="L67" s="3"/>
    </row>
    <row r="68" spans="2:12" x14ac:dyDescent="0.2">
      <c r="B68" s="4"/>
      <c r="C68" s="8"/>
      <c r="D68" s="8"/>
      <c r="E68" s="8"/>
      <c r="F68" s="8"/>
      <c r="G68" s="4"/>
      <c r="H68" s="8"/>
      <c r="I68" s="8"/>
      <c r="J68" s="4"/>
      <c r="K68" s="4"/>
      <c r="L68" s="3"/>
    </row>
    <row r="69" spans="2:12" x14ac:dyDescent="0.2">
      <c r="B69" s="4"/>
      <c r="C69" s="8"/>
      <c r="D69" s="8"/>
      <c r="E69" s="8"/>
      <c r="F69" s="8"/>
      <c r="G69" s="4"/>
      <c r="H69" s="8"/>
      <c r="I69" s="8"/>
      <c r="J69" s="4"/>
      <c r="K69" s="4"/>
      <c r="L69" s="3"/>
    </row>
    <row r="70" spans="2:12" x14ac:dyDescent="0.2">
      <c r="B70" s="54"/>
      <c r="C70" s="54"/>
      <c r="D70" s="55"/>
      <c r="E70" s="55"/>
      <c r="F70" s="55"/>
      <c r="G70" s="55"/>
      <c r="H70" s="55"/>
      <c r="I70" s="55"/>
      <c r="J70" s="53"/>
      <c r="K70" s="53"/>
      <c r="L70" s="3"/>
    </row>
    <row r="71" spans="2:12" x14ac:dyDescent="0.2">
      <c r="B71" s="4"/>
      <c r="C71" s="3"/>
      <c r="D71" s="4"/>
      <c r="E71" s="4"/>
      <c r="F71" s="4"/>
      <c r="G71" s="4"/>
      <c r="H71" s="4"/>
      <c r="I71" s="4"/>
      <c r="J71" s="4"/>
      <c r="K71" s="4"/>
      <c r="L71" s="3"/>
    </row>
    <row r="72" spans="2:12" x14ac:dyDescent="0.2">
      <c r="B72" s="4"/>
      <c r="C72" s="4"/>
      <c r="D72" s="4"/>
      <c r="E72" s="4"/>
      <c r="F72" s="4"/>
      <c r="G72" s="4"/>
      <c r="H72" s="4"/>
      <c r="I72" s="4"/>
      <c r="J72" s="4"/>
      <c r="K72" s="4"/>
      <c r="L72" s="3"/>
    </row>
    <row r="73" spans="2:12" x14ac:dyDescent="0.2">
      <c r="B73" s="4"/>
      <c r="C73" s="4"/>
      <c r="D73" s="4"/>
      <c r="E73" s="4"/>
      <c r="F73" s="4"/>
      <c r="G73" s="4"/>
      <c r="H73" s="4"/>
      <c r="I73" s="4"/>
      <c r="J73" s="4"/>
      <c r="K73" s="4"/>
      <c r="L73" s="3"/>
    </row>
    <row r="74" spans="2:12" x14ac:dyDescent="0.2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</row>
    <row r="75" spans="2:12" x14ac:dyDescent="0.2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</row>
    <row r="76" spans="2:12" x14ac:dyDescent="0.2"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</row>
    <row r="77" spans="2:12" ht="15.75" x14ac:dyDescent="0.25">
      <c r="B77" s="197"/>
      <c r="C77" s="198"/>
      <c r="D77" s="198"/>
      <c r="E77" s="198"/>
      <c r="F77" s="198"/>
      <c r="G77" s="198"/>
      <c r="H77" s="198"/>
      <c r="I77" s="198"/>
      <c r="J77" s="198"/>
      <c r="K77" s="198"/>
    </row>
    <row r="78" spans="2:12" x14ac:dyDescent="0.2"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2:12" x14ac:dyDescent="0.2"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</row>
    <row r="80" spans="2:12" ht="22.5" x14ac:dyDescent="0.2">
      <c r="B80" s="15"/>
      <c r="C80" s="3"/>
      <c r="D80" s="11"/>
      <c r="E80" s="86"/>
      <c r="F80" s="16"/>
      <c r="G80" s="16"/>
      <c r="H80" s="11"/>
      <c r="I80" s="11"/>
      <c r="J80" s="195"/>
      <c r="K80" s="196"/>
      <c r="L80" s="3"/>
    </row>
    <row r="81" spans="1:12" x14ac:dyDescent="0.2">
      <c r="B81" s="15"/>
      <c r="C81" s="3"/>
      <c r="D81" s="18"/>
      <c r="E81" s="17"/>
      <c r="F81" s="16"/>
      <c r="G81" s="16"/>
      <c r="H81" s="11"/>
      <c r="I81" s="11"/>
      <c r="J81" s="196"/>
      <c r="K81" s="196"/>
      <c r="L81" s="3"/>
    </row>
    <row r="82" spans="1:12" x14ac:dyDescent="0.2">
      <c r="B82" s="15"/>
      <c r="C82" s="3"/>
      <c r="D82" s="11"/>
      <c r="E82" s="3"/>
      <c r="F82" s="3"/>
      <c r="G82" s="3"/>
      <c r="H82" s="3"/>
      <c r="I82" s="11"/>
      <c r="J82" s="196"/>
      <c r="K82" s="196"/>
      <c r="L82" s="3"/>
    </row>
    <row r="83" spans="1:12" x14ac:dyDescent="0.2">
      <c r="B83" s="15"/>
      <c r="C83" s="3"/>
      <c r="D83" s="11"/>
      <c r="E83" s="3"/>
      <c r="F83" s="3"/>
      <c r="G83" s="3"/>
      <c r="H83" s="3"/>
      <c r="I83" s="11"/>
      <c r="J83" s="196"/>
      <c r="K83" s="196"/>
      <c r="L83" s="3"/>
    </row>
    <row r="84" spans="1:12" x14ac:dyDescent="0.2">
      <c r="B84" s="15"/>
      <c r="C84" s="3"/>
      <c r="D84" s="11"/>
      <c r="E84" s="3"/>
      <c r="F84" s="3"/>
      <c r="G84" s="3"/>
      <c r="H84" s="3"/>
      <c r="I84" s="11"/>
      <c r="J84" s="196"/>
      <c r="K84" s="196"/>
      <c r="L84" s="3"/>
    </row>
    <row r="85" spans="1:12" x14ac:dyDescent="0.2">
      <c r="B85" s="15"/>
      <c r="C85" s="3"/>
      <c r="D85" s="11"/>
      <c r="E85" s="3"/>
      <c r="F85" s="3"/>
      <c r="G85" s="3"/>
      <c r="H85" s="3"/>
      <c r="I85" s="11"/>
      <c r="J85" s="196"/>
      <c r="K85" s="196"/>
      <c r="L85" s="3"/>
    </row>
    <row r="86" spans="1:12" x14ac:dyDescent="0.2">
      <c r="B86" s="15"/>
      <c r="C86" s="3"/>
      <c r="D86" s="11"/>
      <c r="E86" s="3"/>
      <c r="F86" s="3"/>
      <c r="G86" s="3"/>
      <c r="H86" s="3"/>
      <c r="I86" s="11"/>
      <c r="J86" s="196"/>
      <c r="K86" s="196"/>
      <c r="L86" s="3"/>
    </row>
    <row r="87" spans="1:12" x14ac:dyDescent="0.2">
      <c r="A87" s="3"/>
      <c r="B87" s="15"/>
      <c r="C87" s="3"/>
      <c r="D87" s="3"/>
      <c r="E87" s="3"/>
      <c r="F87" s="3"/>
      <c r="G87" s="3"/>
      <c r="H87" s="3"/>
      <c r="I87" s="11"/>
      <c r="J87" s="11"/>
      <c r="K87" s="11"/>
      <c r="L87" s="3"/>
    </row>
    <row r="88" spans="1:12" ht="20.25" x14ac:dyDescent="0.3">
      <c r="A88" s="3"/>
      <c r="B88" s="15"/>
      <c r="C88" s="3"/>
      <c r="D88" s="3"/>
      <c r="E88" s="193" t="s">
        <v>120</v>
      </c>
      <c r="F88" s="193"/>
      <c r="G88" s="42" t="s">
        <v>182</v>
      </c>
      <c r="H88" s="11"/>
      <c r="I88" s="11"/>
      <c r="J88" s="11"/>
      <c r="K88" s="11"/>
      <c r="L88" s="3"/>
    </row>
    <row r="89" spans="1:12" x14ac:dyDescent="0.2">
      <c r="A89" s="3"/>
      <c r="B89" s="15"/>
      <c r="C89" s="3"/>
      <c r="D89" s="3"/>
      <c r="E89" s="3"/>
      <c r="F89" s="15"/>
      <c r="G89" s="15"/>
      <c r="H89" s="11"/>
      <c r="I89" s="11"/>
      <c r="J89" s="11"/>
      <c r="K89" s="11"/>
      <c r="L89" s="3"/>
    </row>
    <row r="90" spans="1:12" x14ac:dyDescent="0.2">
      <c r="A90" s="3"/>
      <c r="B90" s="3"/>
      <c r="C90" s="3"/>
      <c r="D90" s="3"/>
      <c r="E90" s="3"/>
      <c r="F90" s="16"/>
      <c r="G90" s="16"/>
      <c r="H90" s="11"/>
      <c r="I90" s="3"/>
      <c r="J90" s="3"/>
      <c r="K90" s="3"/>
      <c r="L90" s="3"/>
    </row>
    <row r="91" spans="1:12" x14ac:dyDescent="0.2">
      <c r="A91" s="3"/>
      <c r="B91" s="15"/>
      <c r="C91" s="3"/>
      <c r="D91" s="3"/>
      <c r="E91" s="3"/>
      <c r="F91" s="16"/>
      <c r="G91" s="16"/>
      <c r="H91" s="11"/>
      <c r="I91" s="3"/>
      <c r="J91" s="3"/>
      <c r="K91" s="3"/>
      <c r="L91" s="3"/>
    </row>
    <row r="92" spans="1:12" x14ac:dyDescent="0.2">
      <c r="A92" s="3"/>
      <c r="B92" s="117"/>
      <c r="C92" s="3" t="s">
        <v>88</v>
      </c>
      <c r="D92" s="3" t="s">
        <v>4</v>
      </c>
      <c r="E92" s="63">
        <f ca="1">NOW()</f>
        <v>42018.560460532404</v>
      </c>
      <c r="F92" s="62"/>
      <c r="G92" s="16"/>
      <c r="H92" s="11"/>
      <c r="I92" s="3"/>
      <c r="J92" s="3"/>
      <c r="K92" s="3"/>
      <c r="L92" s="3"/>
    </row>
    <row r="93" spans="1:12" x14ac:dyDescent="0.2">
      <c r="A93" s="3"/>
      <c r="B93" s="11"/>
      <c r="C93" s="15"/>
      <c r="D93" s="15"/>
      <c r="E93" s="15"/>
      <c r="F93" s="16"/>
      <c r="G93" s="16"/>
      <c r="H93" s="11"/>
      <c r="I93" s="3"/>
      <c r="J93" s="3"/>
      <c r="K93" s="3"/>
      <c r="L93" s="3"/>
    </row>
    <row r="94" spans="1:12" ht="20.25" x14ac:dyDescent="0.2">
      <c r="A94" s="3"/>
      <c r="B94" s="11"/>
      <c r="C94" s="14" t="s">
        <v>91</v>
      </c>
      <c r="D94" s="13" t="s">
        <v>4</v>
      </c>
      <c r="E94" s="49" t="s">
        <v>178</v>
      </c>
      <c r="F94" s="46"/>
      <c r="G94" s="3"/>
      <c r="H94" s="11"/>
      <c r="I94" s="3"/>
      <c r="J94" s="3"/>
      <c r="K94" s="3"/>
      <c r="L94" s="3"/>
    </row>
    <row r="95" spans="1:12" x14ac:dyDescent="0.2">
      <c r="A95" s="3"/>
      <c r="B95" s="11"/>
      <c r="C95" s="14" t="s">
        <v>92</v>
      </c>
      <c r="D95" s="13" t="s">
        <v>4</v>
      </c>
      <c r="E95" s="64" t="s">
        <v>132</v>
      </c>
      <c r="F95" s="48"/>
      <c r="G95" s="3"/>
      <c r="H95" s="11"/>
      <c r="I95" s="3"/>
      <c r="J95" s="3"/>
      <c r="K95" s="3"/>
      <c r="L95" s="3"/>
    </row>
    <row r="96" spans="1:12" x14ac:dyDescent="0.2">
      <c r="A96" s="3"/>
      <c r="B96" s="11"/>
      <c r="C96" s="14" t="s">
        <v>5</v>
      </c>
      <c r="D96" s="13" t="s">
        <v>4</v>
      </c>
      <c r="E96" s="65" t="s">
        <v>179</v>
      </c>
      <c r="F96" s="45"/>
      <c r="G96" s="11"/>
      <c r="H96" s="11"/>
      <c r="I96" s="11"/>
      <c r="J96" s="11"/>
      <c r="K96" s="11"/>
      <c r="L96" s="3"/>
    </row>
    <row r="97" spans="1:14" x14ac:dyDescent="0.2">
      <c r="A97" s="3"/>
      <c r="B97" s="11"/>
      <c r="C97" s="14"/>
      <c r="D97" s="13"/>
      <c r="E97" s="17" t="s">
        <v>73</v>
      </c>
      <c r="F97" s="11"/>
      <c r="G97" s="11"/>
      <c r="H97" s="11"/>
      <c r="I97" s="11"/>
      <c r="J97" s="11"/>
      <c r="K97" s="11"/>
      <c r="L97" s="3"/>
    </row>
    <row r="98" spans="1:14" ht="15.75" x14ac:dyDescent="0.25">
      <c r="A98" s="3"/>
      <c r="B98" s="11"/>
      <c r="C98" s="14"/>
      <c r="D98" s="13"/>
      <c r="E98" s="11"/>
      <c r="F98" s="11"/>
      <c r="G98" s="11"/>
      <c r="H98" s="3"/>
      <c r="I98" s="12"/>
      <c r="J98" s="3"/>
      <c r="K98" s="11"/>
      <c r="L98" s="3"/>
    </row>
    <row r="99" spans="1:14" x14ac:dyDescent="0.2">
      <c r="A99" s="3"/>
      <c r="B99" s="89"/>
      <c r="C99" s="10"/>
      <c r="D99" s="10"/>
      <c r="E99" s="10"/>
      <c r="F99" s="10"/>
      <c r="G99" s="10"/>
      <c r="H99" s="10"/>
      <c r="I99" s="10"/>
      <c r="J99" s="10"/>
      <c r="K99" s="10"/>
      <c r="L99" s="3"/>
    </row>
    <row r="100" spans="1:14" x14ac:dyDescent="0.2">
      <c r="A100" s="3"/>
      <c r="B100" s="134"/>
      <c r="C100" s="101"/>
      <c r="D100" s="101"/>
      <c r="E100" s="101"/>
      <c r="F100" s="101"/>
      <c r="G100" s="101"/>
      <c r="H100" s="101"/>
      <c r="I100" s="101"/>
      <c r="J100" s="101"/>
      <c r="K100" s="101"/>
      <c r="L100" s="3"/>
    </row>
    <row r="101" spans="1:14" x14ac:dyDescent="0.2">
      <c r="A101" s="3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3"/>
    </row>
    <row r="102" spans="1:14" ht="15.75" x14ac:dyDescent="0.25">
      <c r="A102" s="3"/>
      <c r="B102" s="91"/>
      <c r="C102" s="91"/>
      <c r="D102" s="3"/>
      <c r="E102" s="3"/>
      <c r="F102" s="3"/>
      <c r="G102" s="3"/>
      <c r="H102" s="3"/>
      <c r="I102" s="3"/>
      <c r="J102" s="11"/>
      <c r="K102" s="11"/>
      <c r="L102" s="3"/>
    </row>
    <row r="103" spans="1:14" x14ac:dyDescent="0.2">
      <c r="A103" s="3"/>
      <c r="B103" s="92"/>
      <c r="C103" s="3"/>
      <c r="D103" s="3"/>
      <c r="E103" s="3"/>
      <c r="F103" s="3"/>
      <c r="G103" s="3"/>
      <c r="H103" s="3"/>
      <c r="I103" s="3"/>
      <c r="J103" s="11"/>
      <c r="K103" s="11"/>
      <c r="L103" s="3"/>
    </row>
    <row r="104" spans="1:14" ht="15.75" thickBot="1" x14ac:dyDescent="0.25">
      <c r="A104" s="3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3"/>
    </row>
    <row r="105" spans="1:14" ht="20.25" customHeight="1" thickBot="1" x14ac:dyDescent="0.25">
      <c r="B105" s="153" t="s">
        <v>19</v>
      </c>
      <c r="C105" s="154"/>
      <c r="D105" s="155"/>
      <c r="E105" s="155" t="s">
        <v>2</v>
      </c>
      <c r="F105" s="155"/>
      <c r="G105" s="156" t="s">
        <v>3</v>
      </c>
      <c r="H105" s="157"/>
      <c r="I105" s="157"/>
      <c r="J105" s="158" t="s">
        <v>99</v>
      </c>
      <c r="K105" s="159" t="s">
        <v>119</v>
      </c>
      <c r="L105" s="3"/>
    </row>
    <row r="106" spans="1:14" x14ac:dyDescent="0.2">
      <c r="B106" s="102" t="str">
        <f xml:space="preserve"> IF(ISERROR(VLOOKUP(C106,Code!G6:H46,2,FALSE)),"",VLOOKUP(C106,Code!G6:H46,2,FALSE))</f>
        <v>TGC-180</v>
      </c>
      <c r="C106" s="94" t="s">
        <v>49</v>
      </c>
      <c r="D106" s="11"/>
      <c r="E106" s="11"/>
      <c r="F106" s="11"/>
      <c r="G106" s="50" t="s">
        <v>172</v>
      </c>
      <c r="H106" s="39" t="s">
        <v>21</v>
      </c>
      <c r="I106" s="116" t="str">
        <f>IF(H106="m3",G106/(VLOOKUP(B106,Code!H6:I46,2,FALSE))&amp;"t",IF(H106="t",G106*(VLOOKUP(B106,Code!H6:I46,2,FALSE))&amp;"m3",IF(C106="","")))</f>
        <v>0t</v>
      </c>
      <c r="J106" s="68">
        <f xml:space="preserve"> IF(ISERROR(VLOOKUP(B106,Code!O6:P46,2,FALSE)),"",VLOOKUP(B106,Code!O6:P46,2,FALSE))</f>
        <v>13900</v>
      </c>
      <c r="K106" s="151">
        <f>IF(C106="","",G106*J106)</f>
        <v>0</v>
      </c>
      <c r="L106" s="3"/>
      <c r="N106" s="2">
        <f>IF(J106="0","",IF(K135&lt;&gt;"-",J106-(J106*K135),""))</f>
        <v>13344</v>
      </c>
    </row>
    <row r="107" spans="1:14" x14ac:dyDescent="0.2">
      <c r="B107" s="102"/>
      <c r="C107" s="94"/>
      <c r="D107" s="11"/>
      <c r="E107" s="11"/>
      <c r="F107" s="11"/>
      <c r="G107" s="50"/>
      <c r="H107" s="39"/>
      <c r="I107" s="116"/>
      <c r="J107" s="68"/>
      <c r="K107" s="151"/>
      <c r="L107" s="3"/>
    </row>
    <row r="108" spans="1:14" x14ac:dyDescent="0.2">
      <c r="B108" s="102" t="str">
        <f xml:space="preserve"> IF(ISERROR(VLOOKUP(C108,Code!G6:H46,2,FALSE)),"",VLOOKUP(C108,Code!G6:H46,2,FALSE))</f>
        <v>TGC-05</v>
      </c>
      <c r="C108" s="95" t="s">
        <v>18</v>
      </c>
      <c r="D108" s="11"/>
      <c r="E108" s="11"/>
      <c r="F108" s="11"/>
      <c r="G108" s="50" t="s">
        <v>172</v>
      </c>
      <c r="H108" s="39" t="s">
        <v>21</v>
      </c>
      <c r="I108" s="116" t="str">
        <f>IF(H108="m3",G108/(VLOOKUP(B108,Code!H6:I46,2,FALSE))&amp;"t",IF(H108="t",G108*(VLOOKUP(B108,Code!H6:I46,2,FALSE))&amp;"m3",IF(C108="","")))</f>
        <v>0t</v>
      </c>
      <c r="J108" s="68">
        <f xml:space="preserve"> IF(ISERROR(VLOOKUP(B108,Code!O6:P46,2,FALSE)),"",VLOOKUP(B108,Code!O6:P46,2,FALSE))</f>
        <v>10000</v>
      </c>
      <c r="K108" s="151">
        <f>IF(C108="","",G108*J108)</f>
        <v>0</v>
      </c>
      <c r="L108" s="3"/>
      <c r="N108" s="2">
        <f>IF(J108=0,"",IF(K135&lt;&gt;"-",J108-(J106*K135),""))</f>
        <v>9444</v>
      </c>
    </row>
    <row r="109" spans="1:14" x14ac:dyDescent="0.2">
      <c r="B109" s="102"/>
      <c r="C109" s="95"/>
      <c r="D109" s="11"/>
      <c r="E109" s="11"/>
      <c r="F109" s="11"/>
      <c r="G109" s="50"/>
      <c r="H109" s="39"/>
      <c r="I109" s="116"/>
      <c r="J109" s="68"/>
      <c r="K109" s="151"/>
      <c r="L109" s="3"/>
    </row>
    <row r="110" spans="1:14" x14ac:dyDescent="0.2">
      <c r="B110" s="102" t="str">
        <f xml:space="preserve"> IF(ISERROR(VLOOKUP(C110,Code!G6:H46,2,FALSE)),"",VLOOKUP(C110,Code!G6:H46,2,FALSE))</f>
        <v>TGC-515</v>
      </c>
      <c r="C110" s="95" t="s">
        <v>24</v>
      </c>
      <c r="D110" s="11"/>
      <c r="E110" s="11"/>
      <c r="F110" s="11"/>
      <c r="G110" s="50" t="s">
        <v>181</v>
      </c>
      <c r="H110" s="39"/>
      <c r="I110" s="116" t="b">
        <f>IF(H110="m3",G110/(VLOOKUP(B110,Code!H6:I46,2,FALSE))&amp;"t",IF(H110="t",G110*(VLOOKUP(B110,Code!H6:I46,2,FALSE))&amp;"m3",IF(C110="","")))</f>
        <v>0</v>
      </c>
      <c r="J110" s="68">
        <f xml:space="preserve"> IF(ISERROR(VLOOKUP(B110,Code!O6:P46,2,FALSE)),"",VLOOKUP(B110,Code!O6:P46,2,FALSE))</f>
        <v>19000</v>
      </c>
      <c r="K110" s="151">
        <f>IF(C110="","",G110*J110)</f>
        <v>950000</v>
      </c>
      <c r="L110" s="3"/>
      <c r="N110" s="2">
        <f>IF(J110=0,"",IF(K135&lt;&gt;"-",J110-(J110*K135),""))</f>
        <v>18240</v>
      </c>
    </row>
    <row r="111" spans="1:14" x14ac:dyDescent="0.2">
      <c r="B111" s="102"/>
      <c r="C111" s="96"/>
      <c r="D111" s="11"/>
      <c r="E111" s="11"/>
      <c r="F111" s="11"/>
      <c r="G111" s="50"/>
      <c r="H111" s="39"/>
      <c r="I111" s="116"/>
      <c r="J111" s="68"/>
      <c r="K111" s="151"/>
      <c r="L111" s="3"/>
    </row>
    <row r="112" spans="1:14" x14ac:dyDescent="0.2">
      <c r="B112" s="102" t="str">
        <f xml:space="preserve"> IF(ISERROR(VLOOKUP(C112,Code!G6:H46,2,FALSE)),"",VLOOKUP(C112,Code!G6:H46,2,FALSE))</f>
        <v>TGC-525</v>
      </c>
      <c r="C112" s="94" t="s">
        <v>125</v>
      </c>
      <c r="D112" s="11"/>
      <c r="E112" s="11"/>
      <c r="F112" s="11"/>
      <c r="G112" s="50" t="s">
        <v>181</v>
      </c>
      <c r="H112" s="39"/>
      <c r="I112" s="116" t="b">
        <f>IF(H112="m3",G112/(VLOOKUP(B112,Code!H6:I46,2,FALSE))&amp;"t",IF(H112="t",G112*(VLOOKUP(B112,Code!H6:I46,2,FALSE))&amp;"m3",IF(C112="","")))</f>
        <v>0</v>
      </c>
      <c r="J112" s="68">
        <f xml:space="preserve"> IF(ISERROR(VLOOKUP(B112,Code!O6:P46,2,FALSE)),"",VLOOKUP(B112,Code!O6:P46,2,FALSE))</f>
        <v>15000</v>
      </c>
      <c r="K112" s="151">
        <f>IF(C112="","",G112*J112)</f>
        <v>750000</v>
      </c>
      <c r="L112" s="3"/>
      <c r="N112" s="2">
        <f>IF(J112=0,"",IF(K135&lt;&gt;"-",J112-(J112*K135),""))</f>
        <v>14400</v>
      </c>
    </row>
    <row r="113" spans="2:14" x14ac:dyDescent="0.2">
      <c r="B113" s="102"/>
      <c r="C113" s="94"/>
      <c r="D113" s="11"/>
      <c r="E113" s="11"/>
      <c r="F113" s="11"/>
      <c r="G113" s="50"/>
      <c r="H113" s="39"/>
      <c r="I113" s="116"/>
      <c r="J113" s="68"/>
      <c r="K113" s="151"/>
      <c r="L113" s="3"/>
    </row>
    <row r="114" spans="2:14" x14ac:dyDescent="0.2">
      <c r="B114" s="102" t="str">
        <f xml:space="preserve"> IF(ISERROR(VLOOKUP(C114,Code!G6:H46,2,FALSE)),"",VLOOKUP(C114,Code!G6:H46,2,FALSE))</f>
        <v>TGC-1525</v>
      </c>
      <c r="C114" s="97" t="s">
        <v>25</v>
      </c>
      <c r="D114" s="11"/>
      <c r="E114" s="11"/>
      <c r="F114" s="11"/>
      <c r="G114" s="50" t="s">
        <v>172</v>
      </c>
      <c r="H114" s="39"/>
      <c r="I114" s="116" t="b">
        <f>IF(H114="m3",G114/(VLOOKUP(B114,Code!H6:I46,2,FALSE))&amp;"t",IF(H114="t",G114*(VLOOKUP(B114,Code!H6:I46,2,FALSE))&amp;"m3",IF(C114="","")))</f>
        <v>0</v>
      </c>
      <c r="J114" s="68">
        <f xml:space="preserve"> IF(ISERROR(VLOOKUP(B114,Code!O6:P46,2,FALSE)),"",VLOOKUP(B114,Code!O6:P46,2,FALSE))</f>
        <v>16900</v>
      </c>
      <c r="K114" s="151">
        <f>IF(C114="","",G114*J114)</f>
        <v>0</v>
      </c>
      <c r="L114" s="3"/>
      <c r="N114" s="2">
        <f>IF(J114=0,"",IF(K135&lt;&gt;"-",J114-(J114*K135),""))</f>
        <v>16224</v>
      </c>
    </row>
    <row r="115" spans="2:14" x14ac:dyDescent="0.2">
      <c r="B115" s="102"/>
      <c r="C115" s="96"/>
      <c r="D115" s="11"/>
      <c r="E115" s="11"/>
      <c r="F115" s="11"/>
      <c r="G115" s="50"/>
      <c r="H115" s="39"/>
      <c r="I115" s="116"/>
      <c r="J115" s="68"/>
      <c r="K115" s="151"/>
      <c r="L115" s="3"/>
    </row>
    <row r="116" spans="2:14" x14ac:dyDescent="0.2">
      <c r="B116" s="102" t="str">
        <f xml:space="preserve"> IF(ISERROR(VLOOKUP(C116,Code!G6:H46,2,FALSE)),"",VLOOKUP(C116,Code!G6:H46,2,FALSE))</f>
        <v/>
      </c>
      <c r="C116" s="96" t="s">
        <v>73</v>
      </c>
      <c r="D116" s="11"/>
      <c r="E116" s="11"/>
      <c r="F116" s="11"/>
      <c r="G116" s="50" t="s">
        <v>172</v>
      </c>
      <c r="H116" s="39"/>
      <c r="I116" s="116" t="str">
        <f>IF(H116="m3",G116/(VLOOKUP(B116,Code!H6:I46,2,FALSE))&amp;"t",IF(H116="t",G116*(VLOOKUP(B116,Code!H6:I46,2,FALSE))&amp;"m3",IF(C116="","")))</f>
        <v/>
      </c>
      <c r="J116" s="68" t="str">
        <f xml:space="preserve"> IF(ISERROR(VLOOKUP(B116,Code!O6:P46,2,FALSE)),"",VLOOKUP(B116,Code!O6:P46,2,FALSE))</f>
        <v/>
      </c>
      <c r="K116" s="151" t="str">
        <f>IF(C116="","",G116*J116)</f>
        <v/>
      </c>
      <c r="L116" s="3"/>
      <c r="N116" s="2" t="e">
        <f>IF(J116=0,"",IF(K135&lt;&gt;"-",J116-(J116*K135),""))</f>
        <v>#VALUE!</v>
      </c>
    </row>
    <row r="117" spans="2:14" x14ac:dyDescent="0.2">
      <c r="B117" s="102"/>
      <c r="C117" s="96"/>
      <c r="D117" s="11"/>
      <c r="E117" s="11"/>
      <c r="F117" s="11"/>
      <c r="G117" s="50"/>
      <c r="H117" s="39"/>
      <c r="I117" s="116"/>
      <c r="J117" s="68"/>
      <c r="K117" s="151"/>
      <c r="L117" s="3"/>
    </row>
    <row r="118" spans="2:14" x14ac:dyDescent="0.2">
      <c r="B118" s="102" t="str">
        <f xml:space="preserve"> IF(ISERROR(VLOOKUP(C118,Code!G6:H46,2,FALSE)),"",VLOOKUP(C118,Code!G6:H46,2,FALSE))</f>
        <v/>
      </c>
      <c r="C118" s="97" t="s">
        <v>73</v>
      </c>
      <c r="D118" s="11"/>
      <c r="E118" s="11"/>
      <c r="F118" s="11"/>
      <c r="G118" s="50" t="s">
        <v>172</v>
      </c>
      <c r="H118" s="39"/>
      <c r="I118" s="116" t="str">
        <f>IF(H118="m3",G118/(VLOOKUP(B118,Code!H6:I46,2,FALSE))&amp;"t",IF(H118="t",G118*(VLOOKUP(B118,Code!H6:I46,2,FALSE))&amp;"m3",IF(C118="","")))</f>
        <v/>
      </c>
      <c r="J118" s="68" t="str">
        <f xml:space="preserve"> IF(ISERROR(VLOOKUP(B118,Code!O6:P46,2,FALSE)),"",VLOOKUP(B118,Code!O6:P46,2,FALSE))</f>
        <v/>
      </c>
      <c r="K118" s="151" t="str">
        <f>IF(C118="","",G118*J118)</f>
        <v/>
      </c>
      <c r="L118" s="3"/>
      <c r="N118" s="2" t="e">
        <f>IF(J118=0,"",IF(K135&lt;&gt;"-",J118-(J118*K135),""))</f>
        <v>#VALUE!</v>
      </c>
    </row>
    <row r="119" spans="2:14" x14ac:dyDescent="0.2">
      <c r="B119" s="102"/>
      <c r="C119" s="97"/>
      <c r="D119" s="11"/>
      <c r="E119" s="11"/>
      <c r="F119" s="11"/>
      <c r="G119" s="50"/>
      <c r="H119" s="39"/>
      <c r="I119" s="116"/>
      <c r="J119" s="68"/>
      <c r="K119" s="151"/>
      <c r="L119" s="3"/>
    </row>
    <row r="120" spans="2:14" x14ac:dyDescent="0.2">
      <c r="B120" s="102" t="str">
        <f xml:space="preserve"> IF(ISERROR(VLOOKUP(C120,Code!G6:H46,2,FALSE)),"",VLOOKUP(C120,Code!G6:H46,2,FALSE))</f>
        <v/>
      </c>
      <c r="C120" s="96" t="s">
        <v>73</v>
      </c>
      <c r="D120" s="11"/>
      <c r="E120" s="11"/>
      <c r="F120" s="11"/>
      <c r="G120" s="50" t="s">
        <v>172</v>
      </c>
      <c r="H120" s="39"/>
      <c r="I120" s="116" t="str">
        <f>IF(H120="m3",G120/(VLOOKUP(B120,Code!H6:I46,2,FALSE))&amp;"t",IF(H120="t",G120*(VLOOKUP(B120,Code!H6:I46,2,FALSE))&amp;"m3",IF(C120="","")))</f>
        <v/>
      </c>
      <c r="J120" s="68" t="str">
        <f xml:space="preserve"> IF(ISERROR(VLOOKUP(B120,Code!O6:P46,2,FALSE)),"",VLOOKUP(B120,Code!O6:P46,2,FALSE))</f>
        <v/>
      </c>
      <c r="K120" s="151" t="str">
        <f>IF(C120="","",G120*J120)</f>
        <v/>
      </c>
      <c r="L120" s="3"/>
      <c r="N120" s="2" t="e">
        <f>IF(J120=0,"",IF(K135&lt;&gt;"-",J120-(J120*K135),""))</f>
        <v>#VALUE!</v>
      </c>
    </row>
    <row r="121" spans="2:14" x14ac:dyDescent="0.2">
      <c r="B121" s="102"/>
      <c r="C121" s="96"/>
      <c r="D121" s="11"/>
      <c r="E121" s="11"/>
      <c r="F121" s="11"/>
      <c r="G121" s="51"/>
      <c r="H121" s="39"/>
      <c r="I121" s="115"/>
      <c r="J121" s="68"/>
      <c r="K121" s="151"/>
      <c r="L121" s="3"/>
    </row>
    <row r="122" spans="2:14" x14ac:dyDescent="0.2">
      <c r="B122" s="102"/>
      <c r="C122" s="96"/>
      <c r="D122" s="11"/>
      <c r="E122" s="11"/>
      <c r="F122" s="11"/>
      <c r="G122" s="51"/>
      <c r="H122" s="39"/>
      <c r="I122" s="66"/>
      <c r="J122" s="68"/>
      <c r="K122" s="151" t="str">
        <f t="shared" ref="K122:K133" si="0">IF(J122=0,"",B122*J122)</f>
        <v/>
      </c>
      <c r="L122" s="3"/>
    </row>
    <row r="123" spans="2:14" x14ac:dyDescent="0.2">
      <c r="B123" s="102"/>
      <c r="C123" s="96"/>
      <c r="D123" s="11"/>
      <c r="E123" s="11"/>
      <c r="F123" s="11"/>
      <c r="G123" s="51"/>
      <c r="H123" s="39"/>
      <c r="I123" s="66"/>
      <c r="J123" s="68"/>
      <c r="K123" s="151" t="str">
        <f t="shared" si="0"/>
        <v/>
      </c>
      <c r="L123" s="3"/>
    </row>
    <row r="124" spans="2:14" x14ac:dyDescent="0.2">
      <c r="B124" s="102"/>
      <c r="C124" s="97"/>
      <c r="D124" s="11"/>
      <c r="E124" s="11"/>
      <c r="F124" s="11"/>
      <c r="G124" s="51"/>
      <c r="H124" s="39"/>
      <c r="I124" s="66"/>
      <c r="J124" s="68"/>
      <c r="K124" s="151" t="str">
        <f t="shared" si="0"/>
        <v/>
      </c>
      <c r="L124" s="3"/>
    </row>
    <row r="125" spans="2:14" x14ac:dyDescent="0.2">
      <c r="B125" s="102"/>
      <c r="C125" s="96"/>
      <c r="D125" s="11"/>
      <c r="E125" s="11"/>
      <c r="F125" s="11"/>
      <c r="G125" s="51"/>
      <c r="H125" s="39"/>
      <c r="I125" s="66"/>
      <c r="J125" s="68"/>
      <c r="K125" s="151" t="str">
        <f t="shared" si="0"/>
        <v/>
      </c>
      <c r="L125" s="3"/>
    </row>
    <row r="126" spans="2:14" x14ac:dyDescent="0.2">
      <c r="B126" s="102"/>
      <c r="C126" s="98"/>
      <c r="D126" s="11"/>
      <c r="E126" s="11"/>
      <c r="F126" s="11"/>
      <c r="G126" s="51"/>
      <c r="H126" s="39"/>
      <c r="I126" s="66"/>
      <c r="J126" s="68"/>
      <c r="K126" s="151" t="str">
        <f t="shared" si="0"/>
        <v/>
      </c>
      <c r="L126" s="3"/>
    </row>
    <row r="127" spans="2:14" x14ac:dyDescent="0.2">
      <c r="B127" s="102"/>
      <c r="C127" s="97"/>
      <c r="D127" s="11"/>
      <c r="E127" s="11"/>
      <c r="F127" s="11"/>
      <c r="G127" s="51"/>
      <c r="H127" s="39"/>
      <c r="I127" s="66"/>
      <c r="J127" s="68"/>
      <c r="K127" s="151" t="str">
        <f t="shared" si="0"/>
        <v/>
      </c>
      <c r="L127" s="3"/>
    </row>
    <row r="128" spans="2:14" x14ac:dyDescent="0.2">
      <c r="B128" s="102"/>
      <c r="C128" s="97"/>
      <c r="D128" s="11"/>
      <c r="E128" s="11"/>
      <c r="F128" s="11"/>
      <c r="G128" s="51"/>
      <c r="H128" s="39"/>
      <c r="I128" s="66"/>
      <c r="J128" s="68"/>
      <c r="K128" s="151" t="str">
        <f t="shared" si="0"/>
        <v/>
      </c>
      <c r="L128" s="3"/>
    </row>
    <row r="129" spans="1:12" x14ac:dyDescent="0.2">
      <c r="B129" s="102"/>
      <c r="C129" s="97"/>
      <c r="D129" s="11"/>
      <c r="E129" s="11"/>
      <c r="F129" s="11"/>
      <c r="G129" s="51"/>
      <c r="H129" s="39"/>
      <c r="I129" s="66"/>
      <c r="J129" s="68"/>
      <c r="K129" s="151" t="str">
        <f t="shared" si="0"/>
        <v/>
      </c>
      <c r="L129" s="3"/>
    </row>
    <row r="130" spans="1:12" x14ac:dyDescent="0.2">
      <c r="B130" s="102"/>
      <c r="C130" s="97"/>
      <c r="D130" s="11"/>
      <c r="E130" s="11"/>
      <c r="F130" s="11"/>
      <c r="G130" s="51"/>
      <c r="H130" s="39"/>
      <c r="I130" s="66"/>
      <c r="J130" s="68"/>
      <c r="K130" s="151" t="str">
        <f t="shared" si="0"/>
        <v/>
      </c>
      <c r="L130" s="3"/>
    </row>
    <row r="131" spans="1:12" x14ac:dyDescent="0.2">
      <c r="B131" s="102"/>
      <c r="C131" s="97"/>
      <c r="D131" s="11"/>
      <c r="E131" s="11"/>
      <c r="F131" s="11"/>
      <c r="G131" s="51"/>
      <c r="H131" s="39"/>
      <c r="I131" s="66"/>
      <c r="J131" s="68"/>
      <c r="K131" s="151" t="str">
        <f t="shared" si="0"/>
        <v/>
      </c>
      <c r="L131" s="3"/>
    </row>
    <row r="132" spans="1:12" x14ac:dyDescent="0.2">
      <c r="B132" s="102"/>
      <c r="C132" s="97"/>
      <c r="D132" s="11"/>
      <c r="E132" s="11"/>
      <c r="F132" s="11"/>
      <c r="G132" s="51"/>
      <c r="H132" s="39"/>
      <c r="I132" s="66"/>
      <c r="J132" s="68"/>
      <c r="K132" s="151" t="str">
        <f t="shared" si="0"/>
        <v/>
      </c>
      <c r="L132" s="3"/>
    </row>
    <row r="133" spans="1:12" x14ac:dyDescent="0.2">
      <c r="B133" s="102"/>
      <c r="C133" s="97"/>
      <c r="D133" s="11"/>
      <c r="E133" s="11"/>
      <c r="F133" s="11"/>
      <c r="G133" s="52"/>
      <c r="H133" s="40"/>
      <c r="I133" s="67"/>
      <c r="J133" s="68"/>
      <c r="K133" s="152" t="str">
        <f t="shared" si="0"/>
        <v/>
      </c>
      <c r="L133" s="3"/>
    </row>
    <row r="134" spans="1:12" ht="23.25" customHeight="1" x14ac:dyDescent="0.2">
      <c r="A134" s="3"/>
      <c r="B134" s="133"/>
      <c r="C134" s="99"/>
      <c r="D134" s="99"/>
      <c r="E134" s="103"/>
      <c r="F134" s="103"/>
      <c r="G134" s="103"/>
      <c r="H134" s="103"/>
      <c r="I134" s="104"/>
      <c r="J134" s="100" t="s">
        <v>93</v>
      </c>
      <c r="K134" s="122">
        <f>SUM(K106,K108,K110,K112,K114,K116,K118,K120)</f>
        <v>1700000</v>
      </c>
      <c r="L134" s="3"/>
    </row>
    <row r="135" spans="1:12" ht="23.25" customHeight="1" x14ac:dyDescent="0.2">
      <c r="A135" s="3"/>
      <c r="B135" s="4"/>
      <c r="C135" s="4"/>
      <c r="D135" s="4"/>
      <c r="E135" s="4"/>
      <c r="F135" s="4"/>
      <c r="G135" s="4"/>
      <c r="H135" s="4"/>
      <c r="I135" s="56"/>
      <c r="J135" s="60" t="s">
        <v>94</v>
      </c>
      <c r="K135" s="123">
        <v>0.04</v>
      </c>
      <c r="L135" s="3"/>
    </row>
    <row r="136" spans="1:12" ht="23.25" customHeight="1" x14ac:dyDescent="0.2">
      <c r="A136" s="3"/>
      <c r="B136" s="4"/>
      <c r="C136" s="4"/>
      <c r="D136" s="4"/>
      <c r="E136" s="4"/>
      <c r="F136" s="4"/>
      <c r="G136" s="4"/>
      <c r="H136" s="4"/>
      <c r="I136" s="56"/>
      <c r="J136" s="105" t="s">
        <v>118</v>
      </c>
      <c r="K136" s="124">
        <f>IF(K135="-",(K134),K134-(K134*K135))</f>
        <v>1632000</v>
      </c>
      <c r="L136" s="3"/>
    </row>
    <row r="137" spans="1:12" ht="23.25" customHeight="1" x14ac:dyDescent="0.2">
      <c r="A137" s="3"/>
      <c r="B137" s="3"/>
      <c r="C137" s="4"/>
      <c r="D137" s="4"/>
      <c r="E137" s="4"/>
      <c r="F137" s="4"/>
      <c r="G137" s="4"/>
      <c r="H137" s="4"/>
      <c r="I137" s="106"/>
      <c r="J137" s="60" t="s">
        <v>95</v>
      </c>
      <c r="K137" s="124">
        <f>IF(K135="-",(K134)*0.18,(K134-(K134*K135))*0.18)</f>
        <v>293760</v>
      </c>
      <c r="L137" s="3"/>
    </row>
    <row r="138" spans="1:12" ht="15.75" x14ac:dyDescent="0.2">
      <c r="A138" s="3"/>
      <c r="B138" s="4"/>
      <c r="C138" s="4"/>
      <c r="D138" s="4"/>
      <c r="E138" s="4"/>
      <c r="F138" s="4"/>
      <c r="G138" s="4"/>
      <c r="H138" s="4"/>
      <c r="I138" s="106"/>
      <c r="J138" s="57"/>
      <c r="K138" s="126"/>
      <c r="L138" s="3"/>
    </row>
    <row r="139" spans="1:12" ht="24" customHeight="1" x14ac:dyDescent="0.2">
      <c r="A139" s="3"/>
      <c r="B139" s="4"/>
      <c r="C139" s="4"/>
      <c r="D139" s="4"/>
      <c r="E139" s="4"/>
      <c r="F139" s="4"/>
      <c r="G139" s="4"/>
      <c r="H139" s="4"/>
      <c r="I139" s="106"/>
      <c r="J139" s="58" t="s">
        <v>97</v>
      </c>
      <c r="K139" s="127">
        <f>IF(K135="-",((K134)*0.18)+(K134),((K134-(K134*K135))*0.18)+(K134-(K134*K135)))</f>
        <v>1925760</v>
      </c>
      <c r="L139" s="3"/>
    </row>
    <row r="140" spans="1:12" x14ac:dyDescent="0.2">
      <c r="A140" s="3"/>
      <c r="B140" s="4"/>
      <c r="C140" s="4"/>
      <c r="D140" s="4"/>
      <c r="E140" s="4"/>
      <c r="F140" s="4"/>
      <c r="G140" s="4"/>
      <c r="H140" s="4"/>
      <c r="I140" s="103"/>
      <c r="J140" s="103"/>
      <c r="K140" s="4"/>
      <c r="L140" s="3"/>
    </row>
    <row r="141" spans="1:12" x14ac:dyDescent="0.2">
      <c r="A141" s="3"/>
      <c r="B141" s="4"/>
      <c r="C141" s="61" t="s">
        <v>98</v>
      </c>
      <c r="D141" s="3"/>
      <c r="E141" s="3"/>
      <c r="F141" s="3"/>
      <c r="G141" s="3"/>
      <c r="H141" s="3"/>
      <c r="I141" s="3"/>
      <c r="J141" s="4"/>
      <c r="K141" s="4"/>
      <c r="L141" s="3"/>
    </row>
    <row r="142" spans="1:12" ht="19.5" x14ac:dyDescent="0.3">
      <c r="A142" s="3"/>
      <c r="B142" s="4"/>
      <c r="C142" s="107" t="str">
        <f>numtext(K139,"Francs CFA")</f>
        <v xml:space="preserve">un million neuf cent vingt-cinq mille sept cent soixante Francs CFA  </v>
      </c>
      <c r="D142" s="3"/>
      <c r="E142" s="3"/>
      <c r="F142" s="3"/>
      <c r="G142" s="3"/>
      <c r="H142" s="3"/>
      <c r="I142" s="3"/>
      <c r="J142" s="4"/>
      <c r="K142" s="4"/>
      <c r="L142" s="3"/>
    </row>
    <row r="143" spans="1:12" x14ac:dyDescent="0.2">
      <c r="A143" s="3"/>
      <c r="B143" s="4"/>
      <c r="C143" s="8"/>
      <c r="D143" s="4"/>
      <c r="E143" s="8"/>
      <c r="F143" s="8"/>
      <c r="G143" s="4"/>
      <c r="H143" s="8"/>
      <c r="I143" s="8"/>
      <c r="J143" s="8"/>
      <c r="K143" s="8"/>
      <c r="L143" s="3"/>
    </row>
    <row r="144" spans="1:12" x14ac:dyDescent="0.2">
      <c r="A144" s="3"/>
      <c r="B144" s="3"/>
      <c r="C144" s="3"/>
      <c r="D144" s="3"/>
      <c r="E144" s="3"/>
      <c r="F144" s="3"/>
      <c r="G144" s="108" t="s">
        <v>96</v>
      </c>
      <c r="H144" s="11"/>
      <c r="I144" s="109" t="s">
        <v>86</v>
      </c>
      <c r="J144" s="110"/>
      <c r="K144" s="110"/>
      <c r="L144" s="3"/>
    </row>
    <row r="145" spans="1:12" x14ac:dyDescent="0.2">
      <c r="A145" s="3"/>
      <c r="B145" s="4"/>
      <c r="C145" s="8"/>
      <c r="D145" s="8"/>
      <c r="E145" s="8"/>
      <c r="F145" s="8"/>
      <c r="G145" s="4"/>
      <c r="H145" s="8"/>
      <c r="I145" s="8"/>
      <c r="J145" s="8"/>
      <c r="K145" s="8"/>
      <c r="L145" s="3"/>
    </row>
    <row r="146" spans="1:12" x14ac:dyDescent="0.2">
      <c r="A146" s="3"/>
      <c r="B146" s="7"/>
      <c r="C146" s="7"/>
      <c r="D146" s="6"/>
      <c r="E146" s="6"/>
      <c r="F146" s="6"/>
      <c r="G146" s="6"/>
      <c r="H146" s="6"/>
      <c r="I146" s="6"/>
      <c r="J146" s="5"/>
      <c r="K146" s="5"/>
      <c r="L146" s="3"/>
    </row>
    <row r="147" spans="1:12" ht="15.75" x14ac:dyDescent="0.25">
      <c r="A147" s="3"/>
      <c r="B147" s="4"/>
      <c r="C147" s="9" t="s">
        <v>90</v>
      </c>
      <c r="D147" s="4"/>
      <c r="E147" s="4"/>
      <c r="F147" s="4"/>
      <c r="G147" s="4"/>
      <c r="H147" s="4"/>
      <c r="I147" s="4"/>
      <c r="J147" s="4"/>
      <c r="K147" s="4"/>
      <c r="L147" s="3"/>
    </row>
    <row r="148" spans="1:12" x14ac:dyDescent="0.2">
      <c r="A148" s="3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3"/>
    </row>
  </sheetData>
  <sheetProtection selectLockedCells="1"/>
  <mergeCells count="5">
    <mergeCell ref="J4:K10"/>
    <mergeCell ref="B77:K77"/>
    <mergeCell ref="J80:K86"/>
    <mergeCell ref="E88:F88"/>
    <mergeCell ref="J29:K29"/>
  </mergeCells>
  <dataValidations count="1">
    <dataValidation type="list" allowBlank="1" showInputMessage="1" showErrorMessage="1" sqref="K135">
      <formula1>"-,1%,2%,3%,4%,5%"</formula1>
    </dataValidation>
  </dataValidations>
  <pageMargins left="0.511811023622047" right="0.511811023622047" top="0.511811023622047" bottom="0.511811023622047" header="0.511811023622047" footer="0.511811023622047"/>
  <pageSetup paperSize="9" scale="67" orientation="portrait" cellComments="atEnd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AX101180"/>
  <sheetViews>
    <sheetView showGridLines="0" showRowColHeaders="0" workbookViewId="0">
      <pane xSplit="1" ySplit="6" topLeftCell="AP7" activePane="bottomRight" state="frozen"/>
      <selection pane="topRight" activeCell="B1" sqref="B1"/>
      <selection pane="bottomLeft" activeCell="A7" sqref="A7"/>
      <selection pane="bottomRight" activeCell="AP11" sqref="AP11"/>
    </sheetView>
  </sheetViews>
  <sheetFormatPr baseColWidth="10" defaultRowHeight="21" customHeight="1" x14ac:dyDescent="0.25"/>
  <cols>
    <col min="1" max="1" width="26.5703125" style="77" customWidth="1"/>
    <col min="2" max="2" width="24.85546875" style="77" customWidth="1"/>
    <col min="3" max="4" width="24" style="77" customWidth="1"/>
    <col min="5" max="5" width="32.85546875" style="77" customWidth="1"/>
    <col min="6" max="6" width="10.7109375" style="77" customWidth="1"/>
    <col min="7" max="7" width="9.7109375" style="77" customWidth="1"/>
    <col min="8" max="8" width="14.5703125" style="77" customWidth="1"/>
    <col min="9" max="9" width="32.85546875" style="77" customWidth="1"/>
    <col min="10" max="10" width="11.42578125" style="77" customWidth="1"/>
    <col min="11" max="11" width="9.5703125" style="77" customWidth="1"/>
    <col min="12" max="12" width="14.5703125" style="77" customWidth="1"/>
    <col min="13" max="13" width="32.85546875" style="77" customWidth="1"/>
    <col min="14" max="14" width="10.42578125" style="77" customWidth="1"/>
    <col min="15" max="15" width="9.7109375" style="77" customWidth="1"/>
    <col min="16" max="16" width="14.7109375" style="77" customWidth="1"/>
    <col min="17" max="17" width="33" style="77" customWidth="1"/>
    <col min="18" max="18" width="11.42578125" style="77"/>
    <col min="19" max="19" width="9.5703125" style="77" customWidth="1"/>
    <col min="20" max="20" width="14.7109375" style="77" customWidth="1"/>
    <col min="21" max="21" width="32.85546875" style="77" customWidth="1"/>
    <col min="22" max="22" width="11.42578125" style="77"/>
    <col min="23" max="23" width="9.7109375" style="77" customWidth="1"/>
    <col min="24" max="24" width="11.42578125" style="77"/>
    <col min="25" max="25" width="32.7109375" style="77" customWidth="1"/>
    <col min="26" max="26" width="11.42578125" style="77"/>
    <col min="27" max="27" width="9.7109375" style="77" customWidth="1"/>
    <col min="28" max="28" width="14.7109375" style="77" customWidth="1"/>
    <col min="29" max="29" width="32.85546875" style="77" customWidth="1"/>
    <col min="30" max="30" width="11.42578125" style="77"/>
    <col min="31" max="31" width="9.7109375" style="77" customWidth="1"/>
    <col min="32" max="32" width="14.7109375" style="77" customWidth="1"/>
    <col min="33" max="33" width="32.85546875" style="77" customWidth="1"/>
    <col min="34" max="34" width="11.42578125" style="77"/>
    <col min="35" max="35" width="9.7109375" style="77" customWidth="1"/>
    <col min="36" max="36" width="14.7109375" style="77" customWidth="1"/>
    <col min="37" max="37" width="27.85546875" style="77" customWidth="1"/>
    <col min="38" max="38" width="26.5703125" style="77" customWidth="1"/>
    <col min="39" max="39" width="29" style="77" customWidth="1"/>
    <col min="40" max="40" width="17.5703125" style="77" customWidth="1"/>
    <col min="41" max="44" width="29.7109375" style="77" customWidth="1"/>
    <col min="45" max="45" width="25.85546875" style="77" customWidth="1"/>
    <col min="46" max="46" width="18.42578125" style="77" customWidth="1"/>
    <col min="47" max="47" width="17.5703125" style="77" customWidth="1"/>
    <col min="48" max="16384" width="11.42578125" style="77"/>
  </cols>
  <sheetData>
    <row r="1" spans="1:47" ht="15" customHeight="1" x14ac:dyDescent="0.25"/>
    <row r="2" spans="1:47" ht="15" customHeight="1" x14ac:dyDescent="0.25"/>
    <row r="3" spans="1:47" ht="15" customHeight="1" x14ac:dyDescent="0.25"/>
    <row r="4" spans="1:47" ht="15" customHeight="1" x14ac:dyDescent="0.25"/>
    <row r="5" spans="1:47" s="164" customFormat="1" ht="15" customHeight="1" x14ac:dyDescent="0.25">
      <c r="C5" s="191"/>
      <c r="D5" s="191"/>
      <c r="E5" s="192"/>
      <c r="F5" s="192"/>
      <c r="G5" s="192"/>
      <c r="H5" s="192"/>
      <c r="I5" s="192"/>
      <c r="J5" s="192"/>
      <c r="K5" s="192"/>
      <c r="L5" s="192"/>
      <c r="M5" s="192"/>
      <c r="N5" s="192"/>
      <c r="O5" s="192"/>
      <c r="P5" s="192"/>
      <c r="Q5" s="192"/>
      <c r="R5" s="192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192"/>
      <c r="AD5" s="192"/>
      <c r="AE5" s="192"/>
      <c r="AF5" s="192"/>
      <c r="AG5" s="192"/>
      <c r="AH5" s="192"/>
      <c r="AI5" s="192"/>
      <c r="AJ5" s="192"/>
    </row>
    <row r="6" spans="1:47" s="160" customFormat="1" ht="40.5" customHeight="1" x14ac:dyDescent="0.25">
      <c r="A6" s="128" t="s">
        <v>9</v>
      </c>
      <c r="B6" s="165" t="s">
        <v>10</v>
      </c>
      <c r="C6" s="165" t="s">
        <v>16</v>
      </c>
      <c r="D6" s="165" t="s">
        <v>17</v>
      </c>
      <c r="E6" s="165" t="s">
        <v>51</v>
      </c>
      <c r="F6" s="166" t="s">
        <v>15</v>
      </c>
      <c r="G6" s="166" t="s">
        <v>7</v>
      </c>
      <c r="H6" s="166" t="s">
        <v>75</v>
      </c>
      <c r="I6" s="166" t="s">
        <v>52</v>
      </c>
      <c r="J6" s="166" t="s">
        <v>54</v>
      </c>
      <c r="K6" s="166" t="s">
        <v>56</v>
      </c>
      <c r="L6" s="166" t="s">
        <v>76</v>
      </c>
      <c r="M6" s="166" t="s">
        <v>53</v>
      </c>
      <c r="N6" s="166" t="s">
        <v>55</v>
      </c>
      <c r="O6" s="166" t="s">
        <v>57</v>
      </c>
      <c r="P6" s="166" t="s">
        <v>77</v>
      </c>
      <c r="Q6" s="166" t="s">
        <v>58</v>
      </c>
      <c r="R6" s="166" t="s">
        <v>59</v>
      </c>
      <c r="S6" s="166" t="s">
        <v>62</v>
      </c>
      <c r="T6" s="166" t="s">
        <v>78</v>
      </c>
      <c r="U6" s="166" t="s">
        <v>60</v>
      </c>
      <c r="V6" s="166" t="s">
        <v>61</v>
      </c>
      <c r="W6" s="166" t="s">
        <v>63</v>
      </c>
      <c r="X6" s="166" t="s">
        <v>79</v>
      </c>
      <c r="Y6" s="166" t="s">
        <v>64</v>
      </c>
      <c r="Z6" s="166" t="s">
        <v>65</v>
      </c>
      <c r="AA6" s="166" t="s">
        <v>68</v>
      </c>
      <c r="AB6" s="166" t="s">
        <v>80</v>
      </c>
      <c r="AC6" s="166" t="s">
        <v>66</v>
      </c>
      <c r="AD6" s="166" t="s">
        <v>67</v>
      </c>
      <c r="AE6" s="166" t="s">
        <v>69</v>
      </c>
      <c r="AF6" s="166" t="s">
        <v>81</v>
      </c>
      <c r="AG6" s="166" t="s">
        <v>70</v>
      </c>
      <c r="AH6" s="166" t="s">
        <v>71</v>
      </c>
      <c r="AI6" s="166" t="s">
        <v>72</v>
      </c>
      <c r="AJ6" s="166" t="s">
        <v>82</v>
      </c>
      <c r="AK6" s="166" t="s">
        <v>11</v>
      </c>
      <c r="AL6" s="166" t="s">
        <v>85</v>
      </c>
      <c r="AM6" s="166" t="s">
        <v>83</v>
      </c>
      <c r="AN6" s="165" t="s">
        <v>12</v>
      </c>
      <c r="AO6" s="166" t="s">
        <v>122</v>
      </c>
      <c r="AP6" s="166" t="s">
        <v>123</v>
      </c>
      <c r="AQ6" s="165" t="s">
        <v>13</v>
      </c>
      <c r="AR6" s="167" t="s">
        <v>14</v>
      </c>
      <c r="AS6" s="165" t="s">
        <v>84</v>
      </c>
      <c r="AT6" s="168" t="s">
        <v>116</v>
      </c>
      <c r="AU6" s="168" t="s">
        <v>124</v>
      </c>
    </row>
    <row r="7" spans="1:47" ht="21" customHeight="1" x14ac:dyDescent="0.25">
      <c r="A7" s="70"/>
      <c r="B7" s="33"/>
      <c r="C7" s="71"/>
      <c r="D7" s="71"/>
      <c r="E7" s="71"/>
      <c r="F7" s="73"/>
      <c r="G7" s="71"/>
      <c r="H7" s="72"/>
      <c r="I7" s="71"/>
      <c r="J7" s="73"/>
      <c r="K7" s="71"/>
      <c r="L7" s="71"/>
      <c r="M7" s="71"/>
      <c r="N7" s="73"/>
      <c r="O7" s="71"/>
      <c r="P7" s="71"/>
      <c r="Q7" s="71"/>
      <c r="R7" s="73"/>
      <c r="S7" s="71"/>
      <c r="T7" s="71"/>
      <c r="U7" s="71"/>
      <c r="V7" s="73"/>
      <c r="W7" s="71"/>
      <c r="X7" s="71"/>
      <c r="Y7" s="71"/>
      <c r="Z7" s="73"/>
      <c r="AA7" s="71"/>
      <c r="AB7" s="71"/>
      <c r="AC7" s="71"/>
      <c r="AD7" s="73"/>
      <c r="AE7" s="71"/>
      <c r="AF7" s="71"/>
      <c r="AG7" s="71"/>
      <c r="AH7" s="73"/>
      <c r="AI7" s="71"/>
      <c r="AJ7" s="71"/>
      <c r="AK7" s="74"/>
      <c r="AL7" s="71"/>
      <c r="AM7" s="71"/>
      <c r="AN7" s="71" t="str">
        <f>IF(Tableau551012661[ENTREPRISE]="","",IF(Tableau551012661[[#This Row],[RESTE A PAYE]]=0,"SOLDE","pas en règle"))</f>
        <v/>
      </c>
      <c r="AO7" s="71" t="str">
        <f>IF(A7="","",Tableau551012661[MONTANT]*Tableau551012661[NOMBRE TOTAL]+Tableau551012661[MONTANT2]*Tableau551012661[NOMBRE TOTAL2]+Tableau551012661[MONTANT3]*Tableau551012661[NOMBRE TOTAL3]+Tableau551012661[MONTANT4]*Tableau551012661[NOMBRE TOTAL4]+Tableau551012661[MONTANT5]*Tableau551012661[NOMBRE TOTAL5]+Tableau551012661[MONTANT6]*Tableau551012661[NOMBRE TOTAL6]+Tableau551012661[MONTANT7]*Tableau551012661[NOMBRE TOTAL7]+Tableau551012661[MONTANT8]*Tableau551012661[NOMBRE TOTAL8])</f>
        <v/>
      </c>
      <c r="AP7" s="73"/>
      <c r="AQ7" s="71"/>
      <c r="AR7" s="75" t="str">
        <f>IF(Tableau551012661[PAYE]="","",Tableau551012661[MONTANT TTC]-Tableau551012661[PAYE])</f>
        <v/>
      </c>
      <c r="AS7" s="85" t="str">
        <f ca="1">IF(Tableau551012661[TYPE DE PAIEMENT]="Crédit",DATEDIF(Tableau551012661[DATE D''INTRODUCTION DE LA COMMANDE],TODAY(),"d")/Tableau551012661[OPTION CREDIT],"")</f>
        <v/>
      </c>
      <c r="AT7" s="76"/>
      <c r="AU7" s="112" t="str">
        <f>IF(Tableau551012661[MONTANT NET]="","",IF(Tableau551012661[MONTANT TTC]="","NON VALIDEE","VALIDEE"))</f>
        <v/>
      </c>
    </row>
    <row r="14" spans="1:47" ht="21" customHeight="1" x14ac:dyDescent="0.25">
      <c r="A14" s="70"/>
      <c r="B14" s="34"/>
      <c r="C14" s="78"/>
      <c r="D14" s="78"/>
      <c r="E14" s="71"/>
      <c r="F14" s="79"/>
      <c r="G14" s="71"/>
      <c r="H14" s="79"/>
      <c r="I14" s="71"/>
      <c r="J14" s="73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80"/>
      <c r="AL14" s="78"/>
      <c r="AM14" s="78"/>
      <c r="AN14" s="78"/>
      <c r="AO14" s="78"/>
      <c r="AP14" s="78"/>
      <c r="AQ14" s="78"/>
      <c r="AR14" s="81"/>
      <c r="AS14" s="78"/>
    </row>
    <row r="15" spans="1:47" ht="21" customHeight="1" x14ac:dyDescent="0.25">
      <c r="A15" s="70"/>
      <c r="B15" s="34"/>
      <c r="C15" s="78"/>
      <c r="D15" s="78"/>
      <c r="E15" s="71"/>
      <c r="F15" s="79"/>
      <c r="G15" s="71"/>
      <c r="H15" s="79"/>
      <c r="I15" s="71"/>
      <c r="J15" s="73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80"/>
      <c r="AL15" s="78"/>
      <c r="AM15" s="78"/>
      <c r="AN15" s="78"/>
      <c r="AO15" s="78"/>
      <c r="AP15" s="78"/>
      <c r="AQ15" s="78"/>
      <c r="AR15" s="81"/>
      <c r="AS15" s="78"/>
    </row>
    <row r="16" spans="1:47" ht="21" customHeight="1" x14ac:dyDescent="0.25">
      <c r="A16" s="70"/>
      <c r="B16" s="34"/>
      <c r="C16" s="78"/>
      <c r="D16" s="78"/>
      <c r="E16" s="71"/>
      <c r="F16" s="79"/>
      <c r="G16" s="71"/>
      <c r="H16" s="79"/>
      <c r="I16" s="71"/>
      <c r="J16" s="73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80"/>
      <c r="AL16" s="78"/>
      <c r="AM16" s="78"/>
      <c r="AN16" s="78"/>
      <c r="AO16" s="78"/>
      <c r="AP16" s="78"/>
      <c r="AQ16" s="78"/>
      <c r="AR16" s="81"/>
      <c r="AS16" s="78"/>
    </row>
    <row r="17" spans="1:45" ht="21" customHeight="1" x14ac:dyDescent="0.25">
      <c r="A17" s="70"/>
      <c r="B17" s="34"/>
      <c r="C17" s="78"/>
      <c r="D17" s="78"/>
      <c r="E17" s="71"/>
      <c r="F17" s="79"/>
      <c r="G17" s="71"/>
      <c r="H17" s="79"/>
      <c r="I17" s="71"/>
      <c r="J17" s="73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80"/>
      <c r="AL17" s="78"/>
      <c r="AM17" s="78"/>
      <c r="AN17" s="78"/>
      <c r="AO17" s="78"/>
      <c r="AP17" s="78"/>
      <c r="AQ17" s="78"/>
      <c r="AR17" s="81"/>
      <c r="AS17" s="78"/>
    </row>
    <row r="18" spans="1:45" ht="21" customHeight="1" x14ac:dyDescent="0.25">
      <c r="A18" s="70"/>
      <c r="B18" s="34"/>
      <c r="C18" s="78"/>
      <c r="D18" s="78"/>
      <c r="E18" s="71"/>
      <c r="F18" s="79"/>
      <c r="G18" s="71"/>
      <c r="H18" s="79"/>
      <c r="I18" s="71"/>
      <c r="J18" s="73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80"/>
      <c r="AL18" s="78"/>
      <c r="AM18" s="78"/>
      <c r="AN18" s="78"/>
      <c r="AO18" s="78"/>
      <c r="AP18" s="78"/>
      <c r="AQ18" s="78"/>
      <c r="AR18" s="81"/>
      <c r="AS18" s="78"/>
    </row>
    <row r="19" spans="1:45" ht="21" customHeight="1" x14ac:dyDescent="0.25">
      <c r="A19" s="70"/>
      <c r="B19" s="34"/>
      <c r="C19" s="78"/>
      <c r="D19" s="78"/>
      <c r="E19" s="71"/>
      <c r="F19" s="79"/>
      <c r="G19" s="71"/>
      <c r="H19" s="79"/>
      <c r="I19" s="71"/>
      <c r="J19" s="73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80"/>
      <c r="AL19" s="78"/>
      <c r="AM19" s="78"/>
      <c r="AN19" s="78"/>
      <c r="AO19" s="78"/>
      <c r="AP19" s="78"/>
      <c r="AQ19" s="78"/>
      <c r="AR19" s="81"/>
      <c r="AS19" s="78"/>
    </row>
    <row r="20" spans="1:45" ht="21" customHeight="1" x14ac:dyDescent="0.25">
      <c r="A20" s="70"/>
      <c r="B20" s="34"/>
      <c r="C20" s="78"/>
      <c r="D20" s="78"/>
      <c r="E20" s="71"/>
      <c r="F20" s="79"/>
      <c r="G20" s="71"/>
      <c r="H20" s="79"/>
      <c r="I20" s="71"/>
      <c r="J20" s="73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80"/>
      <c r="AL20" s="78"/>
      <c r="AM20" s="78"/>
      <c r="AN20" s="78"/>
      <c r="AO20" s="78"/>
      <c r="AP20" s="78"/>
      <c r="AQ20" s="78"/>
      <c r="AR20" s="81"/>
      <c r="AS20" s="78"/>
    </row>
    <row r="21" spans="1:45" ht="21" customHeight="1" x14ac:dyDescent="0.25">
      <c r="A21" s="70"/>
      <c r="B21" s="34"/>
      <c r="C21" s="78"/>
      <c r="D21" s="78"/>
      <c r="E21" s="71"/>
      <c r="F21" s="79"/>
      <c r="G21" s="71"/>
      <c r="H21" s="79"/>
      <c r="I21" s="71"/>
      <c r="J21" s="73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80"/>
      <c r="AL21" s="78"/>
      <c r="AM21" s="78"/>
      <c r="AN21" s="78"/>
      <c r="AO21" s="78"/>
      <c r="AP21" s="78"/>
      <c r="AQ21" s="78"/>
      <c r="AR21" s="81"/>
      <c r="AS21" s="78"/>
    </row>
    <row r="22" spans="1:45" ht="21" customHeight="1" x14ac:dyDescent="0.25">
      <c r="A22" s="70"/>
      <c r="B22" s="34"/>
      <c r="C22" s="78"/>
      <c r="D22" s="78"/>
      <c r="E22" s="71"/>
      <c r="F22" s="79"/>
      <c r="G22" s="71"/>
      <c r="H22" s="79"/>
      <c r="I22" s="71"/>
      <c r="J22" s="73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80"/>
      <c r="AL22" s="78"/>
      <c r="AM22" s="78"/>
      <c r="AN22" s="78"/>
      <c r="AO22" s="78"/>
      <c r="AP22" s="78"/>
      <c r="AQ22" s="78"/>
      <c r="AR22" s="81"/>
      <c r="AS22" s="78"/>
    </row>
    <row r="23" spans="1:45" ht="21" customHeight="1" x14ac:dyDescent="0.25">
      <c r="A23" s="70"/>
      <c r="B23" s="34"/>
      <c r="C23" s="78"/>
      <c r="D23" s="78"/>
      <c r="E23" s="71"/>
      <c r="F23" s="79"/>
      <c r="G23" s="71"/>
      <c r="H23" s="79"/>
      <c r="I23" s="71"/>
      <c r="J23" s="73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80"/>
      <c r="AL23" s="78"/>
      <c r="AM23" s="78"/>
      <c r="AN23" s="78"/>
      <c r="AO23" s="78"/>
      <c r="AP23" s="78"/>
      <c r="AQ23" s="78"/>
      <c r="AR23" s="81"/>
      <c r="AS23" s="78"/>
    </row>
    <row r="24" spans="1:45" ht="21" customHeight="1" x14ac:dyDescent="0.25">
      <c r="A24" s="70"/>
      <c r="B24" s="34"/>
      <c r="C24" s="78"/>
      <c r="D24" s="78"/>
      <c r="E24" s="71"/>
      <c r="F24" s="79"/>
      <c r="G24" s="71"/>
      <c r="H24" s="79"/>
      <c r="I24" s="71"/>
      <c r="J24" s="73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80"/>
      <c r="AL24" s="78"/>
      <c r="AM24" s="78"/>
      <c r="AN24" s="78"/>
      <c r="AO24" s="78"/>
      <c r="AP24" s="78"/>
      <c r="AQ24" s="78"/>
      <c r="AR24" s="81"/>
      <c r="AS24" s="78"/>
    </row>
    <row r="25" spans="1:45" ht="21" customHeight="1" x14ac:dyDescent="0.25">
      <c r="A25" s="70"/>
      <c r="B25" s="34"/>
      <c r="C25" s="78"/>
      <c r="D25" s="78"/>
      <c r="E25" s="71"/>
      <c r="F25" s="79"/>
      <c r="G25" s="71"/>
      <c r="H25" s="79"/>
      <c r="I25" s="71"/>
      <c r="J25" s="73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80"/>
      <c r="AL25" s="78"/>
      <c r="AM25" s="78"/>
      <c r="AN25" s="78"/>
      <c r="AO25" s="78"/>
      <c r="AP25" s="78"/>
      <c r="AQ25" s="78"/>
      <c r="AR25" s="81"/>
      <c r="AS25" s="78"/>
    </row>
    <row r="26" spans="1:45" ht="21" customHeight="1" x14ac:dyDescent="0.25">
      <c r="A26" s="70"/>
      <c r="B26" s="34"/>
      <c r="C26" s="78"/>
      <c r="D26" s="78"/>
      <c r="E26" s="71"/>
      <c r="F26" s="79"/>
      <c r="G26" s="71"/>
      <c r="H26" s="79"/>
      <c r="I26" s="71"/>
      <c r="J26" s="73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80"/>
      <c r="AL26" s="78"/>
      <c r="AM26" s="78"/>
      <c r="AN26" s="78"/>
      <c r="AO26" s="78"/>
      <c r="AP26" s="78"/>
      <c r="AQ26" s="78"/>
      <c r="AR26" s="81"/>
      <c r="AS26" s="78"/>
    </row>
    <row r="27" spans="1:45" ht="21" customHeight="1" x14ac:dyDescent="0.25">
      <c r="A27" s="70"/>
      <c r="B27" s="34"/>
      <c r="C27" s="78"/>
      <c r="D27" s="78"/>
      <c r="E27" s="71"/>
      <c r="F27" s="78"/>
      <c r="G27" s="71"/>
      <c r="H27" s="82"/>
      <c r="I27" s="71"/>
      <c r="J27" s="73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83"/>
      <c r="AL27" s="78"/>
      <c r="AM27" s="78"/>
      <c r="AN27" s="78"/>
      <c r="AO27" s="78"/>
      <c r="AP27" s="78"/>
      <c r="AQ27" s="78"/>
      <c r="AR27" s="81"/>
    </row>
    <row r="28" spans="1:45" ht="21" customHeight="1" x14ac:dyDescent="0.25">
      <c r="A28" s="70"/>
      <c r="B28" s="34"/>
      <c r="C28" s="78"/>
      <c r="D28" s="78"/>
      <c r="E28" s="71"/>
      <c r="F28" s="78"/>
      <c r="G28" s="71"/>
      <c r="H28" s="82"/>
      <c r="I28" s="71"/>
      <c r="J28" s="73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83"/>
      <c r="AL28" s="78"/>
      <c r="AM28" s="78"/>
      <c r="AN28" s="78"/>
      <c r="AO28" s="78"/>
      <c r="AP28" s="78"/>
      <c r="AQ28" s="78"/>
      <c r="AR28" s="81"/>
    </row>
    <row r="29" spans="1:45" ht="21" customHeight="1" x14ac:dyDescent="0.25">
      <c r="A29" s="70"/>
      <c r="B29" s="34"/>
      <c r="C29" s="78"/>
      <c r="D29" s="78"/>
      <c r="E29" s="71"/>
      <c r="F29" s="78"/>
      <c r="G29" s="71"/>
      <c r="H29" s="78"/>
      <c r="I29" s="71"/>
      <c r="J29" s="73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83"/>
      <c r="AL29" s="78"/>
      <c r="AM29" s="78"/>
      <c r="AN29" s="78"/>
      <c r="AO29" s="78"/>
      <c r="AP29" s="78"/>
      <c r="AQ29" s="78"/>
      <c r="AR29" s="81"/>
    </row>
    <row r="30" spans="1:45" ht="21" customHeight="1" x14ac:dyDescent="0.25">
      <c r="A30" s="70"/>
      <c r="B30" s="34"/>
      <c r="C30" s="78"/>
      <c r="D30" s="78"/>
      <c r="E30" s="71"/>
      <c r="F30" s="78"/>
      <c r="G30" s="71"/>
      <c r="H30" s="78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8"/>
      <c r="AL30" s="78"/>
      <c r="AM30" s="78"/>
      <c r="AN30" s="78"/>
      <c r="AO30" s="78"/>
      <c r="AP30" s="78"/>
      <c r="AQ30" s="78"/>
      <c r="AR30" s="81"/>
    </row>
    <row r="31" spans="1:45" ht="21" customHeight="1" x14ac:dyDescent="0.25">
      <c r="A31" s="70"/>
      <c r="B31" s="34"/>
      <c r="C31" s="78"/>
      <c r="D31" s="78"/>
      <c r="E31" s="71"/>
      <c r="F31" s="78"/>
      <c r="G31" s="71"/>
      <c r="H31" s="78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8"/>
      <c r="AL31" s="78"/>
      <c r="AM31" s="78"/>
      <c r="AN31" s="78"/>
      <c r="AO31" s="78"/>
      <c r="AP31" s="78"/>
      <c r="AQ31" s="78"/>
      <c r="AR31" s="81"/>
      <c r="AS31" s="84"/>
    </row>
    <row r="36" spans="4:5" ht="21" customHeight="1" x14ac:dyDescent="0.25">
      <c r="D36" s="113"/>
      <c r="E36" s="113"/>
    </row>
    <row r="2878" spans="39:39" ht="21" customHeight="1" x14ac:dyDescent="0.25">
      <c r="AM2878" s="43"/>
    </row>
    <row r="10028" s="162" customFormat="1" ht="21" customHeight="1" x14ac:dyDescent="0.25"/>
    <row r="101180" spans="50:50" ht="21" customHeight="1" x14ac:dyDescent="0.25">
      <c r="AX101180" s="77" t="s">
        <v>135</v>
      </c>
    </row>
  </sheetData>
  <mergeCells count="2">
    <mergeCell ref="C5:D5"/>
    <mergeCell ref="E5:AJ5"/>
  </mergeCells>
  <conditionalFormatting sqref="AS7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{EC47E36C-9443-45B4-A3CA-4A634BB85B2F}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95250</xdr:rowOff>
              </from>
              <to>
                <xdr:col>0</xdr:col>
                <xdr:colOff>1562100</xdr:colOff>
                <xdr:row>2</xdr:row>
                <xdr:rowOff>28575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CommandButton2">
          <controlPr defaultSize="0" autoLine="0" r:id="rId7">
            <anchor moveWithCells="1">
              <from>
                <xdr:col>0</xdr:col>
                <xdr:colOff>161925</xdr:colOff>
                <xdr:row>2</xdr:row>
                <xdr:rowOff>114300</xdr:rowOff>
              </from>
              <to>
                <xdr:col>0</xdr:col>
                <xdr:colOff>1609725</xdr:colOff>
                <xdr:row>4</xdr:row>
                <xdr:rowOff>57150</xdr:rowOff>
              </to>
            </anchor>
          </controlPr>
        </control>
      </mc:Choice>
      <mc:Fallback>
        <control shapeId="6146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C47E36C-9443-45B4-A3CA-4A634BB85B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AS7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pageSetUpPr fitToPage="1"/>
  </sheetPr>
  <dimension ref="A1:N69"/>
  <sheetViews>
    <sheetView showGridLines="0" showRowColHeaders="0" tabSelected="1" showOutlineSymbols="0" topLeftCell="A40" zoomScale="87" workbookViewId="0">
      <selection activeCell="M55" sqref="M55"/>
    </sheetView>
  </sheetViews>
  <sheetFormatPr baseColWidth="10" defaultColWidth="12.42578125" defaultRowHeight="15" x14ac:dyDescent="0.2"/>
  <cols>
    <col min="1" max="1" width="3.42578125" style="2" customWidth="1"/>
    <col min="2" max="2" width="14.140625" style="2" customWidth="1"/>
    <col min="3" max="3" width="15.140625" style="2" customWidth="1"/>
    <col min="4" max="4" width="3.42578125" style="2" customWidth="1"/>
    <col min="5" max="5" width="18.28515625" style="2" customWidth="1"/>
    <col min="6" max="6" width="8.42578125" style="2" customWidth="1"/>
    <col min="7" max="7" width="14.7109375" style="2" customWidth="1"/>
    <col min="8" max="8" width="4.7109375" style="2" customWidth="1"/>
    <col min="9" max="9" width="15.140625" style="2" customWidth="1"/>
    <col min="10" max="10" width="15.7109375" style="2" customWidth="1"/>
    <col min="11" max="11" width="27" style="2" customWidth="1"/>
    <col min="12" max="13" width="12.42578125" style="2"/>
    <col min="14" max="14" width="0" style="2" hidden="1" customWidth="1"/>
    <col min="15" max="16384" width="12.42578125" style="2"/>
  </cols>
  <sheetData>
    <row r="1" spans="1:12" ht="22.5" customHeight="1" x14ac:dyDescent="0.2">
      <c r="B1" s="15"/>
      <c r="C1" s="3"/>
      <c r="D1" s="11"/>
      <c r="E1" s="86"/>
      <c r="F1" s="16"/>
      <c r="G1" s="16"/>
      <c r="H1" s="11"/>
      <c r="I1" s="11"/>
      <c r="J1" s="118"/>
      <c r="K1" s="119"/>
      <c r="L1" s="3"/>
    </row>
    <row r="2" spans="1:12" ht="15" customHeight="1" x14ac:dyDescent="0.2">
      <c r="B2" s="15"/>
      <c r="C2" s="3"/>
      <c r="D2" s="18"/>
      <c r="E2" s="17"/>
      <c r="F2" s="16"/>
      <c r="G2" s="16"/>
      <c r="H2" s="11"/>
      <c r="I2" s="11"/>
      <c r="J2" s="119"/>
      <c r="K2" s="119"/>
      <c r="L2" s="3"/>
    </row>
    <row r="3" spans="1:12" ht="15" customHeight="1" x14ac:dyDescent="0.2">
      <c r="B3" s="15"/>
      <c r="C3" s="3"/>
      <c r="D3" s="11"/>
      <c r="E3" s="3"/>
      <c r="F3" s="3"/>
      <c r="G3" s="3"/>
      <c r="H3" s="3"/>
      <c r="I3" s="11"/>
      <c r="J3" s="119"/>
      <c r="K3" s="119"/>
      <c r="L3" s="3"/>
    </row>
    <row r="4" spans="1:12" ht="15" customHeight="1" x14ac:dyDescent="0.2">
      <c r="B4" s="15"/>
      <c r="C4" s="3"/>
      <c r="D4" s="11"/>
      <c r="E4" s="3"/>
      <c r="F4" s="3"/>
      <c r="G4" s="3"/>
      <c r="H4" s="3"/>
      <c r="I4" s="11"/>
      <c r="J4" s="119"/>
      <c r="K4" s="119"/>
      <c r="L4" s="3"/>
    </row>
    <row r="5" spans="1:12" ht="15" customHeight="1" x14ac:dyDescent="0.2">
      <c r="B5" s="15"/>
      <c r="C5" s="3"/>
      <c r="D5" s="11"/>
      <c r="E5" s="3"/>
      <c r="F5" s="3"/>
      <c r="G5" s="3"/>
      <c r="H5" s="3"/>
      <c r="I5" s="11"/>
      <c r="J5" s="119"/>
      <c r="K5" s="119"/>
      <c r="L5" s="3"/>
    </row>
    <row r="6" spans="1:12" ht="15" customHeight="1" x14ac:dyDescent="0.2">
      <c r="B6" s="15"/>
      <c r="C6" s="3"/>
      <c r="D6" s="11"/>
      <c r="E6" s="3"/>
      <c r="F6" s="3"/>
      <c r="G6" s="3"/>
      <c r="H6" s="3"/>
      <c r="I6" s="11"/>
      <c r="J6" s="119"/>
      <c r="K6" s="119"/>
      <c r="L6" s="3"/>
    </row>
    <row r="7" spans="1:12" ht="15" customHeight="1" x14ac:dyDescent="0.2">
      <c r="B7" s="15"/>
      <c r="C7" s="3"/>
      <c r="D7" s="11"/>
      <c r="E7" s="3"/>
      <c r="F7" s="3"/>
      <c r="G7" s="3"/>
      <c r="H7" s="3"/>
      <c r="I7" s="11"/>
      <c r="J7" s="119"/>
      <c r="K7" s="119"/>
      <c r="L7" s="3"/>
    </row>
    <row r="8" spans="1:12" ht="27" x14ac:dyDescent="0.35">
      <c r="A8" s="3"/>
      <c r="B8" s="15"/>
      <c r="C8" s="3"/>
      <c r="D8" s="3"/>
      <c r="E8" s="194" t="s">
        <v>170</v>
      </c>
      <c r="F8" s="194"/>
      <c r="G8" s="194"/>
      <c r="H8" s="194"/>
      <c r="I8" s="194"/>
      <c r="J8" s="194"/>
      <c r="K8" s="11"/>
      <c r="L8" s="3"/>
    </row>
    <row r="9" spans="1:12" ht="20.25" x14ac:dyDescent="0.3">
      <c r="A9" s="3"/>
      <c r="B9" s="15"/>
      <c r="C9" s="3"/>
      <c r="D9" s="3"/>
      <c r="E9" s="193" t="s">
        <v>169</v>
      </c>
      <c r="F9" s="193"/>
      <c r="G9" s="42" t="s">
        <v>180</v>
      </c>
      <c r="H9" s="11"/>
      <c r="I9" s="11"/>
      <c r="J9" s="11"/>
      <c r="K9" s="11"/>
      <c r="L9" s="3"/>
    </row>
    <row r="10" spans="1:12" x14ac:dyDescent="0.2">
      <c r="A10" s="3"/>
      <c r="B10" s="15"/>
      <c r="C10" s="3"/>
      <c r="D10" s="3"/>
      <c r="E10" s="3"/>
      <c r="F10" s="15"/>
      <c r="G10" s="15"/>
      <c r="H10" s="11"/>
      <c r="I10" s="11"/>
      <c r="J10" s="11"/>
      <c r="K10" s="11"/>
      <c r="L10" s="3"/>
    </row>
    <row r="11" spans="1:12" x14ac:dyDescent="0.2">
      <c r="A11" s="3"/>
      <c r="B11" s="3"/>
      <c r="C11" s="3"/>
      <c r="D11" s="3"/>
      <c r="E11" s="3"/>
      <c r="F11" s="16"/>
      <c r="G11" s="16"/>
      <c r="H11" s="11"/>
      <c r="I11" s="3"/>
      <c r="J11" s="3"/>
      <c r="K11" s="3"/>
      <c r="L11" s="3"/>
    </row>
    <row r="12" spans="1:12" x14ac:dyDescent="0.2">
      <c r="A12" s="3"/>
      <c r="B12" s="15"/>
      <c r="C12" s="3"/>
      <c r="D12" s="3"/>
      <c r="E12" s="3"/>
      <c r="F12" s="16"/>
      <c r="G12" s="16"/>
      <c r="H12" s="11"/>
      <c r="I12" s="3"/>
      <c r="J12" s="3"/>
      <c r="K12" s="3"/>
      <c r="L12" s="3"/>
    </row>
    <row r="13" spans="1:12" x14ac:dyDescent="0.2">
      <c r="A13" s="3"/>
      <c r="B13" s="117"/>
      <c r="C13" s="3" t="s">
        <v>88</v>
      </c>
      <c r="D13" s="3" t="s">
        <v>4</v>
      </c>
      <c r="E13" s="63">
        <f ca="1">NOW()</f>
        <v>42018.560460532404</v>
      </c>
      <c r="F13" s="62"/>
      <c r="G13" s="16"/>
      <c r="H13" s="11"/>
      <c r="I13" s="3"/>
      <c r="J13" s="3"/>
      <c r="K13" s="3"/>
      <c r="L13" s="3"/>
    </row>
    <row r="14" spans="1:12" x14ac:dyDescent="0.2">
      <c r="A14" s="3"/>
      <c r="B14" s="11"/>
      <c r="C14" s="15"/>
      <c r="D14" s="15"/>
      <c r="E14" s="15"/>
      <c r="F14" s="16"/>
      <c r="G14" s="16"/>
      <c r="H14" s="11"/>
      <c r="I14" s="3"/>
      <c r="J14" s="3"/>
      <c r="K14" s="3"/>
      <c r="L14" s="3"/>
    </row>
    <row r="15" spans="1:12" ht="20.25" x14ac:dyDescent="0.2">
      <c r="A15" s="3"/>
      <c r="B15" s="11"/>
      <c r="C15" s="14" t="s">
        <v>91</v>
      </c>
      <c r="D15" s="13" t="s">
        <v>4</v>
      </c>
      <c r="E15" s="49" t="s">
        <v>183</v>
      </c>
      <c r="F15" s="46"/>
      <c r="G15" s="3"/>
      <c r="H15" s="11"/>
      <c r="I15" s="3"/>
      <c r="J15" s="3"/>
      <c r="K15" s="3"/>
      <c r="L15" s="3"/>
    </row>
    <row r="16" spans="1:12" x14ac:dyDescent="0.2">
      <c r="A16" s="3"/>
      <c r="B16" s="11"/>
      <c r="C16" s="14" t="s">
        <v>92</v>
      </c>
      <c r="D16" s="13" t="s">
        <v>4</v>
      </c>
      <c r="E16" s="64"/>
      <c r="F16" s="48"/>
      <c r="G16" s="3"/>
      <c r="H16" s="11"/>
      <c r="I16" s="3"/>
      <c r="J16" s="3"/>
      <c r="K16" s="3"/>
      <c r="L16" s="3"/>
    </row>
    <row r="17" spans="1:14" x14ac:dyDescent="0.2">
      <c r="A17" s="3"/>
      <c r="B17" s="11"/>
      <c r="C17" s="14" t="s">
        <v>5</v>
      </c>
      <c r="D17" s="13" t="s">
        <v>4</v>
      </c>
      <c r="E17" s="65"/>
      <c r="F17" s="45"/>
      <c r="G17" s="11"/>
      <c r="H17" s="11"/>
      <c r="I17" s="11"/>
      <c r="J17" s="11"/>
      <c r="K17" s="11"/>
      <c r="L17" s="3"/>
    </row>
    <row r="18" spans="1:14" x14ac:dyDescent="0.2">
      <c r="A18" s="3"/>
      <c r="B18" s="11"/>
      <c r="C18" s="14"/>
      <c r="D18" s="13"/>
      <c r="E18" s="17"/>
      <c r="F18" s="11"/>
      <c r="G18" s="11"/>
      <c r="H18" s="11"/>
      <c r="I18" s="11"/>
      <c r="J18" s="11"/>
      <c r="K18" s="11"/>
      <c r="L18" s="3"/>
    </row>
    <row r="19" spans="1:14" ht="15.75" x14ac:dyDescent="0.25">
      <c r="A19" s="3"/>
      <c r="B19" s="11"/>
      <c r="C19" s="14"/>
      <c r="D19" s="13"/>
      <c r="E19" s="11"/>
      <c r="F19" s="11"/>
      <c r="G19" s="11"/>
      <c r="H19" s="3"/>
      <c r="I19" s="12"/>
      <c r="J19" s="3"/>
      <c r="K19" s="11"/>
      <c r="L19" s="3"/>
    </row>
    <row r="20" spans="1:14" x14ac:dyDescent="0.2">
      <c r="A20" s="3"/>
      <c r="B20" s="89"/>
      <c r="C20" s="10"/>
      <c r="D20" s="10"/>
      <c r="E20" s="10"/>
      <c r="F20" s="10"/>
      <c r="G20" s="10"/>
      <c r="H20" s="10"/>
      <c r="I20" s="10"/>
      <c r="J20" s="10"/>
      <c r="K20" s="10"/>
      <c r="L20" s="3"/>
    </row>
    <row r="21" spans="1:14" x14ac:dyDescent="0.2">
      <c r="A21" s="3"/>
      <c r="B21" s="134"/>
      <c r="C21" s="101"/>
      <c r="D21" s="101"/>
      <c r="E21" s="101"/>
      <c r="F21" s="101"/>
      <c r="G21" s="101"/>
      <c r="H21" s="101"/>
      <c r="I21" s="101"/>
      <c r="J21" s="101"/>
      <c r="K21" s="101"/>
      <c r="L21" s="3"/>
    </row>
    <row r="22" spans="1:14" x14ac:dyDescent="0.2">
      <c r="A22" s="3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3"/>
    </row>
    <row r="23" spans="1:14" ht="15.75" x14ac:dyDescent="0.25">
      <c r="A23" s="3"/>
      <c r="B23" s="91"/>
      <c r="C23" s="91"/>
      <c r="D23" s="3"/>
      <c r="E23" s="3"/>
      <c r="F23" s="3"/>
      <c r="G23" s="3"/>
      <c r="H23" s="3"/>
      <c r="I23" s="3"/>
      <c r="J23" s="11"/>
      <c r="K23" s="11"/>
      <c r="L23" s="3"/>
    </row>
    <row r="24" spans="1:14" x14ac:dyDescent="0.2">
      <c r="A24" s="3"/>
      <c r="B24" s="92"/>
      <c r="C24" s="3"/>
      <c r="D24" s="3"/>
      <c r="E24" s="3"/>
      <c r="F24" s="3"/>
      <c r="G24" s="3"/>
      <c r="H24" s="3"/>
      <c r="I24" s="3"/>
      <c r="J24" s="11"/>
      <c r="K24" s="11"/>
      <c r="L24" s="3"/>
    </row>
    <row r="25" spans="1:14" ht="15.75" thickBot="1" x14ac:dyDescent="0.25">
      <c r="A25" s="3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3"/>
    </row>
    <row r="26" spans="1:14" ht="20.25" customHeight="1" thickBot="1" x14ac:dyDescent="0.25">
      <c r="B26" s="153" t="s">
        <v>19</v>
      </c>
      <c r="C26" s="154"/>
      <c r="D26" s="155"/>
      <c r="E26" s="155" t="s">
        <v>2</v>
      </c>
      <c r="F26" s="155"/>
      <c r="G26" s="156" t="s">
        <v>3</v>
      </c>
      <c r="H26" s="157"/>
      <c r="I26" s="157"/>
      <c r="J26" s="158" t="s">
        <v>121</v>
      </c>
      <c r="K26" s="159" t="s">
        <v>119</v>
      </c>
      <c r="L26" s="3"/>
    </row>
    <row r="27" spans="1:14" x14ac:dyDescent="0.2">
      <c r="B27" s="102" t="str">
        <f xml:space="preserve"> IF(ISERROR(VLOOKUP(C27,Code!G6:H46,2,FALSE)),"",VLOOKUP(C27,Code!G6:H46,2,FALSE))</f>
        <v>TGC-525</v>
      </c>
      <c r="C27" s="94" t="s">
        <v>125</v>
      </c>
      <c r="D27" s="11"/>
      <c r="E27" s="11"/>
      <c r="F27" s="11"/>
      <c r="G27" s="50">
        <v>13</v>
      </c>
      <c r="H27" s="39" t="s">
        <v>21</v>
      </c>
      <c r="I27" s="116" t="str">
        <f>IF(H27="m3",G27/(VLOOKUP(B27,Code!H6:I46,2,FALSE))&amp;"t",IF(H27="t",G27*(VLOOKUP(B27,Code!H6:I46,2,FALSE))&amp;"m3",IF(C27="","")))</f>
        <v>9,09090909090909t</v>
      </c>
      <c r="J27" s="68">
        <v>15000</v>
      </c>
      <c r="K27" s="151">
        <f>IF(C27="","",G27*J27)</f>
        <v>195000</v>
      </c>
      <c r="L27" s="3"/>
      <c r="N27" s="2" t="str">
        <f>IF(J27="0","",IF(K56&lt;&gt;"-",J27-(J27*K56),""))</f>
        <v/>
      </c>
    </row>
    <row r="28" spans="1:14" x14ac:dyDescent="0.2">
      <c r="B28" s="102"/>
      <c r="C28" s="94"/>
      <c r="D28" s="11"/>
      <c r="E28" s="11"/>
      <c r="F28" s="11"/>
      <c r="G28" s="50"/>
      <c r="H28" s="39"/>
      <c r="I28" s="116"/>
      <c r="J28" s="68"/>
      <c r="K28" s="151"/>
      <c r="L28" s="3"/>
    </row>
    <row r="29" spans="1:14" x14ac:dyDescent="0.2">
      <c r="B29" s="102" t="str">
        <f xml:space="preserve"> IF(ISERROR(VLOOKUP(C29,Code!G6:H46,2,FALSE)),"",VLOOKUP(C29,Code!G6:H46,2,FALSE))</f>
        <v/>
      </c>
      <c r="C29" s="95"/>
      <c r="D29" s="11"/>
      <c r="E29" s="11"/>
      <c r="F29" s="11"/>
      <c r="G29" s="50">
        <v>0</v>
      </c>
      <c r="H29" s="39"/>
      <c r="I29" s="116" t="str">
        <f>IF(H29="m3",G29/(VLOOKUP(B29,Code!H6:I46,2,FALSE))&amp;"t",IF(H29="t",G29*(VLOOKUP(B29,Code!H6:I46,2,FALSE))&amp;"m3",IF(C29="","")))</f>
        <v/>
      </c>
      <c r="J29" s="68">
        <v>0</v>
      </c>
      <c r="K29" s="151" t="str">
        <f>IF(C29="","",G29*J29)</f>
        <v/>
      </c>
      <c r="L29" s="3"/>
      <c r="N29" s="2" t="str">
        <f>IF(J29=0,"",IF(K56&lt;&gt;"-",J29-(J27*K56),""))</f>
        <v/>
      </c>
    </row>
    <row r="30" spans="1:14" x14ac:dyDescent="0.2">
      <c r="B30" s="102"/>
      <c r="C30" s="95"/>
      <c r="D30" s="11"/>
      <c r="E30" s="11"/>
      <c r="F30" s="11"/>
      <c r="G30" s="50"/>
      <c r="H30" s="39"/>
      <c r="I30" s="116"/>
      <c r="J30" s="68"/>
      <c r="K30" s="151"/>
      <c r="L30" s="3"/>
    </row>
    <row r="31" spans="1:14" x14ac:dyDescent="0.2">
      <c r="B31" s="102" t="str">
        <f xml:space="preserve"> IF(ISERROR(VLOOKUP(C31,Code!G6:H46,2,FALSE)),"",VLOOKUP(C31,Code!G6:H46,2,FALSE))</f>
        <v/>
      </c>
      <c r="C31" s="95"/>
      <c r="D31" s="11"/>
      <c r="E31" s="11"/>
      <c r="F31" s="11"/>
      <c r="G31" s="50">
        <v>0</v>
      </c>
      <c r="H31" s="39"/>
      <c r="I31" s="116" t="str">
        <f>IF(H31="m3",G31/(VLOOKUP(B31,Code!H6:I46,2,FALSE))&amp;"t",IF(H31="t",G31*(VLOOKUP(B31,Code!H6:I46,2,FALSE))&amp;"m3",IF(C31="","")))</f>
        <v/>
      </c>
      <c r="J31" s="68">
        <v>0</v>
      </c>
      <c r="K31" s="151" t="str">
        <f>IF(C31="","",G31*J31)</f>
        <v/>
      </c>
      <c r="L31" s="3"/>
      <c r="N31" s="2" t="str">
        <f>IF(J31=0,"",IF(K56&lt;&gt;"-",J31-(J31*K56),""))</f>
        <v/>
      </c>
    </row>
    <row r="32" spans="1:14" x14ac:dyDescent="0.2">
      <c r="B32" s="102"/>
      <c r="C32" s="96"/>
      <c r="D32" s="11"/>
      <c r="E32" s="11"/>
      <c r="F32" s="11"/>
      <c r="G32" s="50"/>
      <c r="H32" s="39"/>
      <c r="I32" s="116"/>
      <c r="J32" s="68"/>
      <c r="K32" s="151"/>
      <c r="L32" s="3"/>
    </row>
    <row r="33" spans="2:14" x14ac:dyDescent="0.2">
      <c r="B33" s="102" t="str">
        <f xml:space="preserve"> IF(ISERROR(VLOOKUP(C33,Code!G6:H46,2,FALSE)),"",VLOOKUP(C33,Code!G6:H46,2,FALSE))</f>
        <v/>
      </c>
      <c r="C33" s="94"/>
      <c r="D33" s="11"/>
      <c r="E33" s="11"/>
      <c r="F33" s="11"/>
      <c r="G33" s="50">
        <v>0</v>
      </c>
      <c r="H33" s="39"/>
      <c r="I33" s="116" t="str">
        <f>IF(H33="m3",G33/(VLOOKUP(B33,Code!H6:I46,2,FALSE))&amp;"t",IF(H33="t",G33*(VLOOKUP(B33,Code!H6:I46,2,FALSE))&amp;"m3",IF(C33="","")))</f>
        <v/>
      </c>
      <c r="J33" s="68">
        <v>0</v>
      </c>
      <c r="K33" s="151" t="str">
        <f>IF(C33="","",G33*J33)</f>
        <v/>
      </c>
      <c r="L33" s="3"/>
      <c r="N33" s="2" t="str">
        <f>IF(J33=0,"",IF(K56&lt;&gt;"-",J33-(J33*K56),""))</f>
        <v/>
      </c>
    </row>
    <row r="34" spans="2:14" x14ac:dyDescent="0.2">
      <c r="B34" s="102"/>
      <c r="C34" s="94"/>
      <c r="D34" s="11"/>
      <c r="E34" s="11"/>
      <c r="F34" s="11"/>
      <c r="G34" s="50"/>
      <c r="H34" s="39"/>
      <c r="I34" s="116"/>
      <c r="J34" s="68"/>
      <c r="K34" s="151"/>
      <c r="L34" s="3"/>
    </row>
    <row r="35" spans="2:14" x14ac:dyDescent="0.2">
      <c r="B35" s="102" t="str">
        <f xml:space="preserve"> IF(ISERROR(VLOOKUP(C35,Code!G6:H46,2,FALSE)),"",VLOOKUP(C35,Code!G6:H46,2,FALSE))</f>
        <v/>
      </c>
      <c r="C35" s="97"/>
      <c r="D35" s="11"/>
      <c r="E35" s="11"/>
      <c r="F35" s="11"/>
      <c r="G35" s="50">
        <v>0</v>
      </c>
      <c r="H35" s="39"/>
      <c r="I35" s="116" t="str">
        <f>IF(H35="m3",G35/(VLOOKUP(B35,Code!H6:I46,2,FALSE))&amp;"t",IF(H35="t",G35*(VLOOKUP(B35,Code!H6:I46,2,FALSE))&amp;"m3",IF(C35="","")))</f>
        <v/>
      </c>
      <c r="J35" s="68">
        <v>0</v>
      </c>
      <c r="K35" s="151" t="str">
        <f>IF(C35="","",G35*J35)</f>
        <v/>
      </c>
      <c r="L35" s="3"/>
      <c r="N35" s="2" t="str">
        <f>IF(J35=0,"",IF(K56&lt;&gt;"-",J35-(J35*K56),""))</f>
        <v/>
      </c>
    </row>
    <row r="36" spans="2:14" x14ac:dyDescent="0.2">
      <c r="B36" s="102"/>
      <c r="C36" s="96"/>
      <c r="D36" s="11"/>
      <c r="E36" s="11"/>
      <c r="F36" s="11"/>
      <c r="G36" s="50"/>
      <c r="H36" s="39"/>
      <c r="I36" s="116"/>
      <c r="J36" s="68"/>
      <c r="K36" s="151"/>
      <c r="L36" s="3"/>
    </row>
    <row r="37" spans="2:14" x14ac:dyDescent="0.2">
      <c r="B37" s="102" t="str">
        <f xml:space="preserve"> IF(ISERROR(VLOOKUP(C37,Code!G6:H46,2,FALSE)),"",VLOOKUP(C37,Code!G6:H46,2,FALSE))</f>
        <v/>
      </c>
      <c r="C37" s="96"/>
      <c r="D37" s="11"/>
      <c r="E37" s="11"/>
      <c r="F37" s="11"/>
      <c r="G37" s="50">
        <v>0</v>
      </c>
      <c r="H37" s="39"/>
      <c r="I37" s="116" t="str">
        <f>IF(H37="m3",G37/(VLOOKUP(B37,Code!H6:I46,2,FALSE))&amp;"t",IF(H37="t",G37*(VLOOKUP(B37,Code!H6:I46,2,FALSE))&amp;"m3",IF(C37="","")))</f>
        <v/>
      </c>
      <c r="J37" s="68">
        <v>0</v>
      </c>
      <c r="K37" s="151" t="str">
        <f>IF(C37="","",G37*J37)</f>
        <v/>
      </c>
      <c r="L37" s="3"/>
      <c r="N37" s="2" t="str">
        <f>IF(J37=0,"",IF(K56&lt;&gt;"-",J37-(J37*K56),""))</f>
        <v/>
      </c>
    </row>
    <row r="38" spans="2:14" x14ac:dyDescent="0.2">
      <c r="B38" s="102"/>
      <c r="C38" s="96"/>
      <c r="D38" s="11"/>
      <c r="E38" s="11"/>
      <c r="F38" s="11"/>
      <c r="G38" s="50"/>
      <c r="H38" s="39"/>
      <c r="I38" s="116"/>
      <c r="J38" s="68"/>
      <c r="K38" s="151"/>
      <c r="L38" s="3"/>
    </row>
    <row r="39" spans="2:14" x14ac:dyDescent="0.2">
      <c r="B39" s="102" t="str">
        <f xml:space="preserve"> IF(ISERROR(VLOOKUP(C39,Code!G6:H46,2,FALSE)),"",VLOOKUP(C39,Code!G6:H46,2,FALSE))</f>
        <v/>
      </c>
      <c r="C39" s="97"/>
      <c r="D39" s="11"/>
      <c r="E39" s="11"/>
      <c r="F39" s="11"/>
      <c r="G39" s="50">
        <v>0</v>
      </c>
      <c r="H39" s="39"/>
      <c r="I39" s="116" t="str">
        <f>IF(H39="m3",G39/(VLOOKUP(B39,Code!H6:I46,2,FALSE))&amp;"t",IF(H39="t",G39*(VLOOKUP(B39,Code!H6:I46,2,FALSE))&amp;"m3",IF(C39="","")))</f>
        <v/>
      </c>
      <c r="J39" s="68">
        <v>0</v>
      </c>
      <c r="K39" s="151" t="str">
        <f>IF(C39="","",G39*J39)</f>
        <v/>
      </c>
      <c r="L39" s="3"/>
      <c r="N39" s="2" t="str">
        <f>IF(J39=0,"",IF(K56&lt;&gt;"-",J39-(J39*K56),""))</f>
        <v/>
      </c>
    </row>
    <row r="40" spans="2:14" x14ac:dyDescent="0.2">
      <c r="B40" s="102"/>
      <c r="C40" s="97"/>
      <c r="D40" s="11"/>
      <c r="E40" s="11"/>
      <c r="F40" s="11"/>
      <c r="G40" s="50"/>
      <c r="H40" s="39"/>
      <c r="I40" s="116"/>
      <c r="J40" s="68"/>
      <c r="K40" s="151"/>
      <c r="L40" s="3"/>
    </row>
    <row r="41" spans="2:14" x14ac:dyDescent="0.2">
      <c r="B41" s="102" t="str">
        <f xml:space="preserve"> IF(ISERROR(VLOOKUP(C41,Code!G6:H46,2,FALSE)),"",VLOOKUP(C41,Code!G6:H46,2,FALSE))</f>
        <v/>
      </c>
      <c r="C41" s="96"/>
      <c r="D41" s="11"/>
      <c r="E41" s="11"/>
      <c r="F41" s="11"/>
      <c r="G41" s="50">
        <v>0</v>
      </c>
      <c r="H41" s="39"/>
      <c r="I41" s="116" t="str">
        <f>IF(H41="m3",G41/(VLOOKUP(B41,Code!H6:I46,2,FALSE))&amp;"t",IF(H41="t",G41*(VLOOKUP(B41,Code!H6:I46,2,FALSE))&amp;"m3",IF(C41="","")))</f>
        <v/>
      </c>
      <c r="J41" s="68">
        <v>0</v>
      </c>
      <c r="K41" s="151" t="str">
        <f>IF(C41="","",G41*J41)</f>
        <v/>
      </c>
      <c r="L41" s="3"/>
      <c r="N41" s="2" t="str">
        <f>IF(J41=0,"",IF(K56&lt;&gt;"-",J41-(J41*K56),""))</f>
        <v/>
      </c>
    </row>
    <row r="42" spans="2:14" x14ac:dyDescent="0.2">
      <c r="B42" s="102"/>
      <c r="C42" s="96"/>
      <c r="D42" s="11"/>
      <c r="E42" s="11"/>
      <c r="F42" s="11"/>
      <c r="G42" s="51"/>
      <c r="H42" s="39"/>
      <c r="I42" s="115"/>
      <c r="J42" s="68"/>
      <c r="K42" s="151"/>
      <c r="L42" s="3"/>
    </row>
    <row r="43" spans="2:14" x14ac:dyDescent="0.2">
      <c r="B43" s="102"/>
      <c r="C43" s="96"/>
      <c r="D43" s="11"/>
      <c r="E43" s="11"/>
      <c r="F43" s="11"/>
      <c r="G43" s="51"/>
      <c r="H43" s="39"/>
      <c r="I43" s="66"/>
      <c r="J43" s="68"/>
      <c r="K43" s="151" t="str">
        <f t="shared" ref="K43:K54" si="0">IF(J43=0,"",B43*J43)</f>
        <v/>
      </c>
      <c r="L43" s="3"/>
    </row>
    <row r="44" spans="2:14" x14ac:dyDescent="0.2">
      <c r="B44" s="102"/>
      <c r="C44" s="96"/>
      <c r="D44" s="11"/>
      <c r="E44" s="11"/>
      <c r="F44" s="11"/>
      <c r="G44" s="51"/>
      <c r="H44" s="39"/>
      <c r="I44" s="66"/>
      <c r="J44" s="68"/>
      <c r="K44" s="151" t="str">
        <f t="shared" si="0"/>
        <v/>
      </c>
      <c r="L44" s="3"/>
    </row>
    <row r="45" spans="2:14" x14ac:dyDescent="0.2">
      <c r="B45" s="102"/>
      <c r="C45" s="97"/>
      <c r="D45" s="11"/>
      <c r="E45" s="11"/>
      <c r="F45" s="11"/>
      <c r="G45" s="51"/>
      <c r="H45" s="39"/>
      <c r="I45" s="66"/>
      <c r="J45" s="68"/>
      <c r="K45" s="151" t="str">
        <f t="shared" si="0"/>
        <v/>
      </c>
      <c r="L45" s="3"/>
    </row>
    <row r="46" spans="2:14" x14ac:dyDescent="0.2">
      <c r="B46" s="102"/>
      <c r="C46" s="96"/>
      <c r="D46" s="11"/>
      <c r="E46" s="11"/>
      <c r="F46" s="11"/>
      <c r="G46" s="51"/>
      <c r="H46" s="39"/>
      <c r="I46" s="66"/>
      <c r="J46" s="68"/>
      <c r="K46" s="151" t="str">
        <f t="shared" si="0"/>
        <v/>
      </c>
      <c r="L46" s="3"/>
    </row>
    <row r="47" spans="2:14" x14ac:dyDescent="0.2">
      <c r="B47" s="102"/>
      <c r="C47" s="98"/>
      <c r="D47" s="11"/>
      <c r="E47" s="11"/>
      <c r="F47" s="11"/>
      <c r="G47" s="51"/>
      <c r="H47" s="39"/>
      <c r="I47" s="66"/>
      <c r="J47" s="68"/>
      <c r="K47" s="151" t="str">
        <f t="shared" si="0"/>
        <v/>
      </c>
      <c r="L47" s="3"/>
    </row>
    <row r="48" spans="2:14" x14ac:dyDescent="0.2">
      <c r="B48" s="102"/>
      <c r="C48" s="97"/>
      <c r="D48" s="11"/>
      <c r="E48" s="11"/>
      <c r="F48" s="11"/>
      <c r="G48" s="51"/>
      <c r="H48" s="39"/>
      <c r="I48" s="66"/>
      <c r="J48" s="68"/>
      <c r="K48" s="151" t="str">
        <f t="shared" si="0"/>
        <v/>
      </c>
      <c r="L48" s="3"/>
    </row>
    <row r="49" spans="1:12" x14ac:dyDescent="0.2">
      <c r="B49" s="102"/>
      <c r="C49" s="97"/>
      <c r="D49" s="11"/>
      <c r="E49" s="11"/>
      <c r="F49" s="11"/>
      <c r="G49" s="51"/>
      <c r="H49" s="39"/>
      <c r="I49" s="66"/>
      <c r="J49" s="68"/>
      <c r="K49" s="151" t="str">
        <f t="shared" si="0"/>
        <v/>
      </c>
      <c r="L49" s="3"/>
    </row>
    <row r="50" spans="1:12" x14ac:dyDescent="0.2">
      <c r="B50" s="102"/>
      <c r="C50" s="97"/>
      <c r="D50" s="11"/>
      <c r="E50" s="11"/>
      <c r="F50" s="11"/>
      <c r="G50" s="51"/>
      <c r="H50" s="39"/>
      <c r="I50" s="66"/>
      <c r="J50" s="68"/>
      <c r="K50" s="151" t="str">
        <f t="shared" si="0"/>
        <v/>
      </c>
      <c r="L50" s="3"/>
    </row>
    <row r="51" spans="1:12" x14ac:dyDescent="0.2">
      <c r="B51" s="102"/>
      <c r="C51" s="97"/>
      <c r="D51" s="11"/>
      <c r="E51" s="11"/>
      <c r="F51" s="11"/>
      <c r="G51" s="51"/>
      <c r="H51" s="39"/>
      <c r="I51" s="66"/>
      <c r="J51" s="68"/>
      <c r="K51" s="151" t="str">
        <f t="shared" si="0"/>
        <v/>
      </c>
      <c r="L51" s="3"/>
    </row>
    <row r="52" spans="1:12" x14ac:dyDescent="0.2">
      <c r="B52" s="102"/>
      <c r="C52" s="97"/>
      <c r="D52" s="11"/>
      <c r="E52" s="11"/>
      <c r="F52" s="11"/>
      <c r="G52" s="51"/>
      <c r="H52" s="39"/>
      <c r="I52" s="66"/>
      <c r="J52" s="68"/>
      <c r="K52" s="151" t="str">
        <f t="shared" si="0"/>
        <v/>
      </c>
      <c r="L52" s="3"/>
    </row>
    <row r="53" spans="1:12" x14ac:dyDescent="0.2">
      <c r="B53" s="102"/>
      <c r="C53" s="97"/>
      <c r="D53" s="11"/>
      <c r="E53" s="11"/>
      <c r="F53" s="11"/>
      <c r="G53" s="51"/>
      <c r="H53" s="39"/>
      <c r="I53" s="66"/>
      <c r="J53" s="68"/>
      <c r="K53" s="151" t="str">
        <f t="shared" si="0"/>
        <v/>
      </c>
      <c r="L53" s="3"/>
    </row>
    <row r="54" spans="1:12" x14ac:dyDescent="0.2">
      <c r="B54" s="102"/>
      <c r="C54" s="97"/>
      <c r="D54" s="11"/>
      <c r="E54" s="11"/>
      <c r="F54" s="11"/>
      <c r="G54" s="52"/>
      <c r="H54" s="40"/>
      <c r="I54" s="67"/>
      <c r="J54" s="68"/>
      <c r="K54" s="152" t="str">
        <f t="shared" si="0"/>
        <v/>
      </c>
      <c r="L54" s="3"/>
    </row>
    <row r="55" spans="1:12" ht="23.25" customHeight="1" x14ac:dyDescent="0.2">
      <c r="A55" s="3"/>
      <c r="B55" s="133"/>
      <c r="C55" s="99"/>
      <c r="D55" s="99"/>
      <c r="E55" s="103"/>
      <c r="F55" s="103"/>
      <c r="G55" s="103"/>
      <c r="H55" s="103"/>
      <c r="I55" s="104"/>
      <c r="J55" s="100" t="s">
        <v>93</v>
      </c>
      <c r="K55" s="122">
        <v>195000</v>
      </c>
      <c r="L55" s="3"/>
    </row>
    <row r="56" spans="1:12" ht="23.25" customHeight="1" x14ac:dyDescent="0.2">
      <c r="A56" s="3"/>
      <c r="B56" s="4"/>
      <c r="C56" s="4"/>
      <c r="D56" s="4"/>
      <c r="E56" s="4"/>
      <c r="F56" s="4"/>
      <c r="G56" s="4"/>
      <c r="H56" s="4"/>
      <c r="I56" s="56"/>
      <c r="J56" s="60" t="s">
        <v>94</v>
      </c>
      <c r="K56" s="123" t="s">
        <v>188</v>
      </c>
      <c r="L56" s="3"/>
    </row>
    <row r="57" spans="1:12" ht="23.25" customHeight="1" x14ac:dyDescent="0.2">
      <c r="A57" s="3"/>
      <c r="B57" s="4"/>
      <c r="C57" s="4"/>
      <c r="D57" s="4"/>
      <c r="E57" s="4"/>
      <c r="F57" s="4"/>
      <c r="G57" s="4"/>
      <c r="H57" s="4"/>
      <c r="I57" s="56"/>
      <c r="J57" s="105" t="s">
        <v>118</v>
      </c>
      <c r="K57" s="124">
        <f>IF(K56="-",(K55),K55-(K55*K56))</f>
        <v>195000</v>
      </c>
      <c r="L57" s="3"/>
    </row>
    <row r="58" spans="1:12" ht="2.25" customHeight="1" x14ac:dyDescent="0.2">
      <c r="A58" s="3"/>
      <c r="B58" s="3"/>
      <c r="C58" s="4"/>
      <c r="D58" s="4"/>
      <c r="E58" s="4"/>
      <c r="F58" s="4"/>
      <c r="G58" s="4"/>
      <c r="H58" s="4"/>
      <c r="I58" s="106"/>
      <c r="J58" s="60"/>
      <c r="K58" s="125"/>
      <c r="L58" s="3"/>
    </row>
    <row r="59" spans="1:12" ht="3.75" customHeight="1" x14ac:dyDescent="0.2">
      <c r="A59" s="3"/>
      <c r="B59" s="4"/>
      <c r="C59" s="4"/>
      <c r="D59" s="4"/>
      <c r="E59" s="4"/>
      <c r="F59" s="4"/>
      <c r="G59" s="4"/>
      <c r="H59" s="4"/>
      <c r="I59" s="106"/>
      <c r="J59" s="57"/>
      <c r="K59" s="126"/>
      <c r="L59" s="3"/>
    </row>
    <row r="60" spans="1:12" ht="24" customHeight="1" x14ac:dyDescent="0.2">
      <c r="A60" s="3"/>
      <c r="B60" s="4"/>
      <c r="C60" s="4"/>
      <c r="D60" s="4"/>
      <c r="E60" s="4"/>
      <c r="F60" s="4"/>
      <c r="G60" s="4"/>
      <c r="H60" s="4"/>
      <c r="I60" s="106"/>
      <c r="J60" s="58" t="s">
        <v>97</v>
      </c>
      <c r="K60" s="127">
        <f>IF(K56="-",K55,K57)</f>
        <v>195000</v>
      </c>
      <c r="L60" s="3"/>
    </row>
    <row r="61" spans="1:12" x14ac:dyDescent="0.2">
      <c r="A61" s="3"/>
      <c r="B61" s="4"/>
      <c r="C61" s="4"/>
      <c r="D61" s="4"/>
      <c r="E61" s="4"/>
      <c r="F61" s="4"/>
      <c r="G61" s="4"/>
      <c r="H61" s="4"/>
      <c r="I61" s="103"/>
      <c r="J61" s="103"/>
      <c r="K61" s="4"/>
      <c r="L61" s="3"/>
    </row>
    <row r="62" spans="1:12" x14ac:dyDescent="0.2">
      <c r="A62" s="3"/>
      <c r="B62" s="4"/>
      <c r="C62" s="61" t="s">
        <v>98</v>
      </c>
      <c r="D62" s="3"/>
      <c r="E62" s="3"/>
      <c r="F62" s="3"/>
      <c r="G62" s="3"/>
      <c r="H62" s="3"/>
      <c r="I62" s="3"/>
      <c r="J62" s="4"/>
      <c r="K62" s="4"/>
      <c r="L62" s="3"/>
    </row>
    <row r="63" spans="1:12" ht="19.5" x14ac:dyDescent="0.3">
      <c r="A63" s="3"/>
      <c r="B63" s="4"/>
      <c r="C63" s="107" t="str">
        <f>numtext(K60,"Francs CFA")</f>
        <v xml:space="preserve">cent quatre-vingt-quinze mille Francs CFA  </v>
      </c>
      <c r="D63" s="3"/>
      <c r="E63" s="3"/>
      <c r="F63" s="3"/>
      <c r="G63" s="3"/>
      <c r="H63" s="3"/>
      <c r="I63" s="3"/>
      <c r="J63" s="4"/>
      <c r="K63" s="4"/>
      <c r="L63" s="3"/>
    </row>
    <row r="64" spans="1:12" x14ac:dyDescent="0.2">
      <c r="A64" s="3"/>
      <c r="B64" s="4"/>
      <c r="C64" s="8"/>
      <c r="D64" s="4"/>
      <c r="E64" s="8"/>
      <c r="F64" s="8"/>
      <c r="G64" s="4"/>
      <c r="H64" s="8"/>
      <c r="I64" s="8"/>
      <c r="J64" s="8"/>
      <c r="K64" s="8"/>
      <c r="L64" s="3"/>
    </row>
    <row r="65" spans="1:12" x14ac:dyDescent="0.2">
      <c r="A65" s="3"/>
      <c r="B65" s="3"/>
      <c r="C65" s="3"/>
      <c r="D65" s="3"/>
      <c r="E65" s="3"/>
      <c r="F65" s="3"/>
      <c r="G65" s="108" t="s">
        <v>96</v>
      </c>
      <c r="H65" s="11"/>
      <c r="I65" s="109" t="s">
        <v>86</v>
      </c>
      <c r="J65" s="110"/>
      <c r="K65" s="110"/>
      <c r="L65" s="3"/>
    </row>
    <row r="66" spans="1:12" x14ac:dyDescent="0.2">
      <c r="A66" s="3"/>
      <c r="B66" s="4"/>
      <c r="C66" s="8"/>
      <c r="D66" s="8"/>
      <c r="E66" s="8"/>
      <c r="F66" s="8"/>
      <c r="G66" s="4"/>
      <c r="H66" s="8"/>
      <c r="I66" s="8"/>
      <c r="J66" s="8"/>
      <c r="K66" s="8"/>
      <c r="L66" s="3"/>
    </row>
    <row r="67" spans="1:12" x14ac:dyDescent="0.2">
      <c r="A67" s="3"/>
      <c r="B67" s="7"/>
      <c r="C67" s="7"/>
      <c r="D67" s="6"/>
      <c r="E67" s="6"/>
      <c r="F67" s="6"/>
      <c r="G67" s="6"/>
      <c r="H67" s="6"/>
      <c r="I67" s="6"/>
      <c r="J67" s="5"/>
      <c r="K67" s="5"/>
      <c r="L67" s="3"/>
    </row>
    <row r="68" spans="1:12" ht="15.75" x14ac:dyDescent="0.25">
      <c r="A68" s="3"/>
      <c r="B68" s="4"/>
      <c r="C68" s="9" t="s">
        <v>90</v>
      </c>
      <c r="D68" s="4"/>
      <c r="E68" s="4"/>
      <c r="F68" s="4"/>
      <c r="G68" s="4"/>
      <c r="H68" s="4"/>
      <c r="I68" s="4"/>
      <c r="J68" s="4"/>
      <c r="K68" s="4"/>
      <c r="L68" s="3"/>
    </row>
    <row r="69" spans="1:12" x14ac:dyDescent="0.2">
      <c r="A69" s="3"/>
      <c r="B69" s="4"/>
      <c r="C69" s="4"/>
      <c r="D69" s="4"/>
      <c r="E69" s="4"/>
      <c r="F69" s="4"/>
      <c r="G69" s="4"/>
      <c r="H69" s="4"/>
      <c r="I69" s="4"/>
      <c r="J69" s="4"/>
      <c r="K69" s="4"/>
      <c r="L69" s="3"/>
    </row>
  </sheetData>
  <sheetProtection selectLockedCells="1"/>
  <mergeCells count="2">
    <mergeCell ref="E8:J8"/>
    <mergeCell ref="E9:F9"/>
  </mergeCells>
  <dataValidations count="1">
    <dataValidation type="list" allowBlank="1" showInputMessage="1" showErrorMessage="1" sqref="K56">
      <formula1>"-,1%,2%,3%,4%,5%"</formula1>
    </dataValidation>
  </dataValidations>
  <pageMargins left="0.511811023622047" right="0.511811023622047" top="0.511811023622047" bottom="0.511811023622047" header="0.511811023622047" footer="0.511811023622047"/>
  <pageSetup paperSize="9" scale="65" orientation="portrait" cellComments="atEnd" horizontalDpi="4294967293" r:id="rId1"/>
  <headerFooter alignWithMargins="0"/>
</worksheet>
</file>

<file path=customUI/customUI14.xml><?xml version="1.0" encoding="utf-8"?>
<customUI xmlns="http://schemas.microsoft.com/office/2009/07/customui">
  <ribbon startFromScratch="false">
    <tabs>
      <tab id="Au" label="QUITTER" insertAfterMso="TabAddIns">
        <group id="Au_revoir" label="GestionVB_Office">
          <button id="sauve" label="Enrégistrer" onAction="Enregistrer" size="large" imageMso="FileSave"/>
          <button id="quitte" label="Quitter" onAction="Quit" size="large" imageMso="Delete"/>
          <button id="param" label="Réglages" onAction="Code" size="large" imageMso="PageMenu"/>
        </group>
      </tab>
      <tab id="VENTES" label="RECAP_VENTES" insertAfterMso="TabAddIns">
        <group id="Tri1" label="TRIMESTRE1">
          <button id="Jan" label="Janvier" onAction="Janvier" size="large" imageMso="ViewsLayoutView"/>
          <button id="Jan2" label="Février" onAction="Février" size="large" imageMso="ViewsLayoutView"/>
          <button id="Jan3" label="Mars" onAction="Mars" size="large" imageMso="ViewsLayoutView"/>
        </group>
        <group id="Tri2" label="TRIMESTRE2">
          <button id="Jan4" label="Avril" onAction="Avril" size="large" imageMso="ViewsLayoutView"/>
          <button id="Jan5" label="Mai" onAction="Mai" size="large" imageMso="ViewsLayoutView"/>
          <button id="Jan6" label="Juin" onAction="Juin" size="large" imageMso="ViewsLayoutView"/>
        </group>
        <group id="Tri3" label="TRIMESTRE3">
          <button id="Jan7" label="Juillet" onAction="Juillet" size="large" imageMso="ViewsLayoutView"/>
          <button id="Jan8" label="Août" onAction="Août" size="large" imageMso="ViewsLayoutView"/>
          <button id="Jan9" label="Septembre" onAction="Septembre" size="large" imageMso="ViewsLayoutView"/>
        </group>
        <group id="Tri4" label="TRIMESTRE4">
          <button id="Jan10" label="Octobre" onAction="Octobre" size="large" imageMso="ViewsLayoutView"/>
          <button id="Jan11" label="Novembre" onAction="Novembre" size="large" imageMso="ViewsLayoutView"/>
          <button id="Jan12" label="Décembre" onAction="Décembre" size="large" imageMso="ViewsLayoutView"/>
        </group>
      </tab>
      <tab id="TVA" label="TVA Collecté" insertAfterMso="TabAddIns">
        <group id="Tri1t" label="TRIMESTRE1">
          <button id="Jant" label="Janvier" onAction="Janviertva" size="large" imageMso="ViewsLayoutView"/>
          <button id="Jan2t" label="Février" onAction="Févriertva" size="large" imageMso="ViewsLayoutView"/>
          <button id="Jan3t" label="Mars" onAction="Marstva" size="large" imageMso="ViewsLayoutView"/>
        </group>
        <group id="Tri2t" label="TRIMESTRE2">
          <button id="Jan4t" label="Avril" onAction="Avriltva" size="large" imageMso="ViewsLayoutView"/>
          <button id="Jan5t" label="Mai" onAction="Maitva" size="large" imageMso="ViewsLayoutView"/>
          <button id="Jan6t" label="Juin" onAction="Juintva" size="large" imageMso="ViewsLayoutView"/>
        </group>
        <group id="Tri3t" label="TRIMESTRE3">
          <button id="Jan7t" label="Juillet" onAction="Juillettva" size="large" imageMso="ViewsLayoutView"/>
          <button id="Jan8t" label="Août" onAction="Aoûttva" size="large" imageMso="ViewsLayoutView"/>
          <button id="Jan9t" label="Septembre" onAction="Septembretva" size="large" imageMso="ViewsLayoutView"/>
        </group>
        <group id="Tri4t" label="TRIMESTRE4">
          <button id="Jan10t" label="Octobre" onAction="Octobretva" size="large" imageMso="ViewsLayoutView"/>
          <button id="Jan11t" label="Novembre" onAction="Novembretva" size="large" imageMso="ViewsLayoutView"/>
          <button id="Jan12t" label="Décembre" onAction="Décembretva" size="large" imageMso="ViewsLayoutView"/>
        </group>
      </tab>
      <tab id="SITUATIONS" label="SITUATIONS" insertAfterMso="TabAddIns">
        <group id="Clients" label="CLIENTS">
          <button id="SITUC" label="Situation" onAction="Sclients" size="large" imageMso="CreateForm"/>
          <button id="Graphe" label="Graphes" screentip="Graphiques d'analyse de données." onAction="Graph" size="large" supertip="Consulter les différents graphiques." imageMso="ChartEditDataSource"/>
        </group>
        <group id="facture" label="FACTURES">
          <button id="SITUF" label="Situation" onAction="Sfact" size="large" imageMso="ReviewCompareMenu"/>
          <button id="Tut3" label="Régler une Facture" onAction="Paye" size="large" imageMso="AutoFormatWizard"/>
        </group>
        <group id="Basesret" label="BASES COMMANDE">
          <button id="Ret1" label="Base des commandes - Clients TVA" onAction="bddtva" size="large" imageMso="AccessTableContacts"/>
          <button id="Ret2" label="Base des commandes - Clients COMPTOIR" onAction="bddtva2" size="large" imageMso="AccessTableContacts"/>
        </group>
      </tab>
      <tab id="CLIENTS" label="GESTION COMMANDES" insertAfterMso="TabAddIns">
        <group id="Bienvenue" label="CLIENTS TVA">
          <button id="BASE" label="Base" onAction="bddtva" size="large" imageMso="AccessTableContacts"/>
          <button id="Param" label="Passer Commande" screentip="Gestion des commandes." onAction="Commande" size="large" supertip="Enrégistrer une commande." imageMso="QueryShowTable"/>
          <button id="Tut4" label="Valider la commande" onAction="Validation" size="large" imageMso="FileDocumentInspect"/>
        </group>
        <group id="Bienvenue2" label="CLIENTS COMPTOIR">
          <button id="BASE2" label="Base" onAction="bddtva2" size="large" imageMso="AccessTableContacts"/>
          <button id="Param2" label="Passer Commande" screentip="Gestion des commandes." onAction="Commande2" size="large" supertip="Enrégistrer une commande." imageMso="QueryShowTable"/>
          <button id="Tut42" label="Valider la commande" onAction="Validation2" size="large" imageMso="FileDocumentInspect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90</vt:i4>
      </vt:variant>
    </vt:vector>
  </HeadingPairs>
  <TitlesOfParts>
    <vt:vector size="99" baseType="lpstr">
      <vt:lpstr>Code</vt:lpstr>
      <vt:lpstr>Feuil1</vt:lpstr>
      <vt:lpstr>bddclients</vt:lpstr>
      <vt:lpstr>pfmTVA</vt:lpstr>
      <vt:lpstr>Clients</vt:lpstr>
      <vt:lpstr>factures</vt:lpstr>
      <vt:lpstr>Bon d'enlevée</vt:lpstr>
      <vt:lpstr>bddclients2</vt:lpstr>
      <vt:lpstr>pfmC</vt:lpstr>
      <vt:lpstr>bddclients!_458</vt:lpstr>
      <vt:lpstr>bddclients2!_458</vt:lpstr>
      <vt:lpstr>bddclients!AH1500000</vt:lpstr>
      <vt:lpstr>bddclients2!AH1500000</vt:lpstr>
      <vt:lpstr>bddclients2!AM</vt:lpstr>
      <vt:lpstr>pfmC!AM</vt:lpstr>
      <vt:lpstr>pfmTVA!AM</vt:lpstr>
      <vt:lpstr>AM</vt:lpstr>
      <vt:lpstr>'Bon d''enlevée'!BASE1</vt:lpstr>
      <vt:lpstr>'Bon d''enlevée'!BASE2</vt:lpstr>
      <vt:lpstr>bddclients!bddcl</vt:lpstr>
      <vt:lpstr>bddclients2!bddcl</vt:lpstr>
      <vt:lpstr>bddclients!Comptoir</vt:lpstr>
      <vt:lpstr>bddclients2!Comptoir</vt:lpstr>
      <vt:lpstr>pfmC!Comptoir</vt:lpstr>
      <vt:lpstr>pfmTVA!Comptoir</vt:lpstr>
      <vt:lpstr>Comptoir</vt:lpstr>
      <vt:lpstr>bddclients2!Criteres</vt:lpstr>
      <vt:lpstr>pfmC!densité</vt:lpstr>
      <vt:lpstr>pfmTVA!densité</vt:lpstr>
      <vt:lpstr>densité</vt:lpstr>
      <vt:lpstr>bddclients!ENTREPRISE</vt:lpstr>
      <vt:lpstr>bddclients2!ENTREPRISE</vt:lpstr>
      <vt:lpstr>bddclients!Jours</vt:lpstr>
      <vt:lpstr>bddclients2!Jours</vt:lpstr>
      <vt:lpstr>pfmC!Jours</vt:lpstr>
      <vt:lpstr>pfmTVA!Jours</vt:lpstr>
      <vt:lpstr>Jours</vt:lpstr>
      <vt:lpstr>bddclients!lesproduits</vt:lpstr>
      <vt:lpstr>bddclients2!lesproduits</vt:lpstr>
      <vt:lpstr>pfmC!lesproduits</vt:lpstr>
      <vt:lpstr>pfmTVA!lesproduits</vt:lpstr>
      <vt:lpstr>lesproduits</vt:lpstr>
      <vt:lpstr>m3_</vt:lpstr>
      <vt:lpstr>bddclients!metrecb</vt:lpstr>
      <vt:lpstr>bddclients2!metrecb</vt:lpstr>
      <vt:lpstr>pfmC!metrecb</vt:lpstr>
      <vt:lpstr>pfmTVA!metrecb</vt:lpstr>
      <vt:lpstr>metrecb</vt:lpstr>
      <vt:lpstr>bddclients!Mois</vt:lpstr>
      <vt:lpstr>bddclients2!Mois</vt:lpstr>
      <vt:lpstr>pfmC!Mois</vt:lpstr>
      <vt:lpstr>pfmTVA!Mois</vt:lpstr>
      <vt:lpstr>Mois</vt:lpstr>
      <vt:lpstr>bddclients2!MONTANT_A_PAYER</vt:lpstr>
      <vt:lpstr>pfmC!MONTANT_A_PAYER</vt:lpstr>
      <vt:lpstr>pfmTVA!MONTANT_A_PAYER</vt:lpstr>
      <vt:lpstr>MONTANT_A_PAYER</vt:lpstr>
      <vt:lpstr>bddclients!NUMERO_OPERATION</vt:lpstr>
      <vt:lpstr>bddclients2!NUMERO_OPERATION</vt:lpstr>
      <vt:lpstr>bddclients!NUMERO_OPERATION2</vt:lpstr>
      <vt:lpstr>bddclients2!NUMERO_OPERATION2</vt:lpstr>
      <vt:lpstr>pfmC!NUMOPSTVA</vt:lpstr>
      <vt:lpstr>pfmTVA!NUMOPSTVA</vt:lpstr>
      <vt:lpstr>NUMOPSTVA</vt:lpstr>
      <vt:lpstr>bddclients2!NUMOPTVA</vt:lpstr>
      <vt:lpstr>pfmC!NUMOPTVA</vt:lpstr>
      <vt:lpstr>pfmTVA!NUMOPTVA</vt:lpstr>
      <vt:lpstr>NUMOPTVA</vt:lpstr>
      <vt:lpstr>bddclients2!Option_crédit</vt:lpstr>
      <vt:lpstr>pfmC!Option_crédit</vt:lpstr>
      <vt:lpstr>pfmTVA!Option_crédit</vt:lpstr>
      <vt:lpstr>Option_crédit</vt:lpstr>
      <vt:lpstr>bddclients!Pduits</vt:lpstr>
      <vt:lpstr>bddclients2!Pduits</vt:lpstr>
      <vt:lpstr>pfmC!Pduits</vt:lpstr>
      <vt:lpstr>pfmTVA!Pduits</vt:lpstr>
      <vt:lpstr>Pduits</vt:lpstr>
      <vt:lpstr>Référence</vt:lpstr>
      <vt:lpstr>bddclients!Tonne</vt:lpstr>
      <vt:lpstr>bddclients2!Tonne</vt:lpstr>
      <vt:lpstr>pfmC!Tonne</vt:lpstr>
      <vt:lpstr>pfmTVA!Tonne</vt:lpstr>
      <vt:lpstr>Tonne</vt:lpstr>
      <vt:lpstr>bddclients!Tpaiement</vt:lpstr>
      <vt:lpstr>bddclients2!Tpaiement</vt:lpstr>
      <vt:lpstr>pfmC!Tpaiement</vt:lpstr>
      <vt:lpstr>pfmTVA!Tpaiement</vt:lpstr>
      <vt:lpstr>Tpaiement</vt:lpstr>
      <vt:lpstr>bddclients!TypePaiement</vt:lpstr>
      <vt:lpstr>bddclients2!TypePaiement</vt:lpstr>
      <vt:lpstr>pfmC!TypePaiement</vt:lpstr>
      <vt:lpstr>pfmTVA!TypePaiement</vt:lpstr>
      <vt:lpstr>TypePaiement</vt:lpstr>
      <vt:lpstr>bddclients!Unit</vt:lpstr>
      <vt:lpstr>bddclients2!Unit</vt:lpstr>
      <vt:lpstr>pfmC!Unit</vt:lpstr>
      <vt:lpstr>pfmTVA!Unit</vt:lpstr>
      <vt:lpstr>Unit</vt:lpstr>
      <vt:lpstr>'Bon d''enlevée'!Zone_d_impression</vt:lpstr>
    </vt:vector>
  </TitlesOfParts>
  <Company>IU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</dc:creator>
  <cp:lastModifiedBy>AZ</cp:lastModifiedBy>
  <cp:lastPrinted>2015-01-12T16:06:44Z</cp:lastPrinted>
  <dcterms:created xsi:type="dcterms:W3CDTF">2014-11-22T16:31:25Z</dcterms:created>
  <dcterms:modified xsi:type="dcterms:W3CDTF">2015-01-14T13:27:04Z</dcterms:modified>
</cp:coreProperties>
</file>