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4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13_ncr:1_{A1935B2D-565E-4A3A-909F-72537741E165}" xr6:coauthVersionLast="40" xr6:coauthVersionMax="40" xr10:uidLastSave="{00000000-0000-0000-0000-000000000000}"/>
  <bookViews>
    <workbookView xWindow="0" yWindow="0" windowWidth="24000" windowHeight="9525" activeTab="3" xr2:uid="{00000000-000D-0000-FFFF-FFFF00000000}"/>
  </bookViews>
  <sheets>
    <sheet name="Catégorie" sheetId="1" r:id="rId1"/>
    <sheet name="config" sheetId="2" r:id="rId2"/>
    <sheet name="Compte" sheetId="3" r:id="rId3"/>
    <sheet name="input" sheetId="4" r:id="rId4"/>
    <sheet name="Analyse" sheetId="5" r:id="rId5"/>
    <sheet name="Rapport" sheetId="7" r:id="rId6"/>
  </sheets>
  <externalReferences>
    <externalReference r:id="rId7"/>
  </externalReferences>
  <definedNames>
    <definedName name="_xlnm._FilterDatabase" localSheetId="3" hidden="1">input!$B$2:$Q$13</definedName>
    <definedName name="compte">Tableau15[]</definedName>
    <definedName name="_xlnm.Criteria" localSheetId="3">input!$Z$2:$Z$3</definedName>
    <definedName name="decaler">OFFSET([1]impit!$AB$3,0,0,COUNTA(input!E1048574:'input'!$AB$142654),16)</definedName>
    <definedName name="entrée">Tableau2[]</definedName>
    <definedName name="entrée1">Tableau11[]</definedName>
    <definedName name="entrée2">Tableau12[]</definedName>
    <definedName name="entrée3">Tableau13[]</definedName>
    <definedName name="_xlnm.Extract" localSheetId="3">input!$AB$2:$AQ$2</definedName>
    <definedName name="periode">Tableau17[]</definedName>
    <definedName name="période">Tableau17[]</definedName>
    <definedName name="Segment_Année">#N/A</definedName>
    <definedName name="Segment_Compte">#N/A</definedName>
    <definedName name="Segment_Mois">#N/A</definedName>
    <definedName name="sortie">Tableau1[]</definedName>
    <definedName name="sortie1">Tableau3[]</definedName>
    <definedName name="sortie2">Tableau4[]</definedName>
    <definedName name="sortie3">Tableau5[]</definedName>
    <definedName name="sortie4">Tableau6[]</definedName>
    <definedName name="sortie5">Tableau7[]</definedName>
    <definedName name="sortie6">Tableau8[]</definedName>
    <definedName name="sortie7">Tableau9[]</definedName>
    <definedName name="sortie8">Tableau10[]</definedName>
    <definedName name="type">Tableau14[Type]</definedName>
  </definedNames>
  <calcPr calcId="181029"/>
  <pivotCaches>
    <pivotCache cacheId="0" r:id="rId8"/>
  </pivotCaches>
  <extLst>
    <ext xmlns:x14="http://schemas.microsoft.com/office/spreadsheetml/2009/9/main" uri="{BBE1A952-AA13-448e-AADC-164F8A28A991}">
      <x14:slicerCaches>
        <x14:slicerCache r:id="rId9"/>
        <x14:slicerCache r:id="rId10"/>
        <x14:slicerCache r:id="rId11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4" l="1"/>
  <c r="J13" i="4"/>
  <c r="O13" i="4"/>
  <c r="P13" i="4"/>
  <c r="E4" i="3"/>
  <c r="E5" i="3"/>
  <c r="B12" i="4"/>
  <c r="J12" i="4"/>
  <c r="L12" i="4"/>
  <c r="O12" i="4"/>
  <c r="P12" i="4"/>
  <c r="B11" i="4"/>
  <c r="J11" i="4"/>
  <c r="L11" i="4"/>
  <c r="O11" i="4"/>
  <c r="P11" i="4"/>
  <c r="L13" i="4"/>
  <c r="Q12" i="4" l="1"/>
  <c r="Q11" i="4"/>
  <c r="Q13" i="4"/>
  <c r="P10" i="4"/>
  <c r="O10" i="4"/>
  <c r="J10" i="4"/>
  <c r="B10" i="4"/>
  <c r="P9" i="4"/>
  <c r="O9" i="4"/>
  <c r="J9" i="4"/>
  <c r="B9" i="4"/>
  <c r="P8" i="4"/>
  <c r="O8" i="4"/>
  <c r="J8" i="4"/>
  <c r="B8" i="4"/>
  <c r="P7" i="4"/>
  <c r="O7" i="4"/>
  <c r="J7" i="4"/>
  <c r="B7" i="4"/>
  <c r="P6" i="4"/>
  <c r="O6" i="4"/>
  <c r="J6" i="4"/>
  <c r="B6" i="4"/>
  <c r="P5" i="4"/>
  <c r="O5" i="4"/>
  <c r="J5" i="4"/>
  <c r="B5" i="4"/>
  <c r="P4" i="4"/>
  <c r="O4" i="4"/>
  <c r="J4" i="4"/>
  <c r="B4" i="4"/>
  <c r="P3" i="4"/>
  <c r="O3" i="4"/>
  <c r="J3" i="4"/>
  <c r="B3" i="4"/>
  <c r="F5" i="3"/>
  <c r="B5" i="3"/>
  <c r="F4" i="3"/>
  <c r="B4" i="3"/>
  <c r="K27" i="1"/>
  <c r="H27" i="1"/>
  <c r="E27" i="1"/>
  <c r="Z2" i="1"/>
  <c r="W2" i="1"/>
  <c r="T2" i="1"/>
  <c r="Q2" i="1"/>
  <c r="N2" i="1"/>
  <c r="K2" i="1"/>
  <c r="H2" i="1"/>
  <c r="E2" i="1"/>
  <c r="T26" i="5"/>
  <c r="M27" i="5"/>
  <c r="Q27" i="5"/>
  <c r="R27" i="5"/>
  <c r="I27" i="5"/>
  <c r="W1" i="5"/>
  <c r="L8" i="4"/>
  <c r="L5" i="4"/>
  <c r="M26" i="5"/>
  <c r="L6" i="4"/>
  <c r="K26" i="5"/>
  <c r="Q26" i="5"/>
  <c r="S26" i="5"/>
  <c r="O26" i="5"/>
  <c r="P26" i="5"/>
  <c r="T27" i="5"/>
  <c r="L27" i="5"/>
  <c r="L10" i="4"/>
  <c r="L9" i="4"/>
  <c r="J27" i="5"/>
  <c r="L26" i="5"/>
  <c r="I26" i="5"/>
  <c r="L4" i="4"/>
  <c r="S27" i="5"/>
  <c r="J26" i="5"/>
  <c r="R26" i="5"/>
  <c r="K27" i="5"/>
  <c r="W2" i="5"/>
  <c r="O27" i="5"/>
  <c r="P27" i="5"/>
  <c r="L3" i="4"/>
  <c r="L7" i="4"/>
  <c r="N27" i="5"/>
  <c r="N26" i="5"/>
  <c r="Q7" i="4" l="1"/>
  <c r="Q4" i="4"/>
  <c r="Q6" i="4"/>
  <c r="Q10" i="4"/>
  <c r="Q3" i="4"/>
  <c r="Q5" i="4"/>
  <c r="Q9" i="4"/>
  <c r="Q8" i="4"/>
</calcChain>
</file>

<file path=xl/sharedStrings.xml><?xml version="1.0" encoding="utf-8"?>
<sst xmlns="http://schemas.openxmlformats.org/spreadsheetml/2006/main" count="354" uniqueCount="162">
  <si>
    <t>catégorie</t>
  </si>
  <si>
    <t>Logement</t>
  </si>
  <si>
    <t>Voiture</t>
  </si>
  <si>
    <t>Alimentation</t>
  </si>
  <si>
    <t>Frais Bancaire</t>
  </si>
  <si>
    <t>Vêtement</t>
  </si>
  <si>
    <t>Soins</t>
  </si>
  <si>
    <t>Internet</t>
  </si>
  <si>
    <t>Loisirs</t>
  </si>
  <si>
    <t>Vacances</t>
  </si>
  <si>
    <t>Assurance</t>
  </si>
  <si>
    <t>Taxes</t>
  </si>
  <si>
    <t>Catégorie Sortie</t>
  </si>
  <si>
    <t>Catégorie</t>
  </si>
  <si>
    <t>ID</t>
  </si>
  <si>
    <t>Professionnel</t>
  </si>
  <si>
    <t>Mobilier</t>
  </si>
  <si>
    <t>Immobilier</t>
  </si>
  <si>
    <t>Catégorie Entrée</t>
  </si>
  <si>
    <t>Sous-Catégorie</t>
  </si>
  <si>
    <t>1.1</t>
  </si>
  <si>
    <t>Loyer</t>
  </si>
  <si>
    <t>Eau</t>
  </si>
  <si>
    <t>Electricité</t>
  </si>
  <si>
    <t>Gaz</t>
  </si>
  <si>
    <t>Travaux</t>
  </si>
  <si>
    <t>Entretien</t>
  </si>
  <si>
    <t>1.2</t>
  </si>
  <si>
    <t>1.3</t>
  </si>
  <si>
    <t>1.4</t>
  </si>
  <si>
    <t>1.5</t>
  </si>
  <si>
    <t>1.6</t>
  </si>
  <si>
    <t>1.7</t>
  </si>
  <si>
    <t>1.8</t>
  </si>
  <si>
    <t>Smitcon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</si>
  <si>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</si>
  <si>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</si>
  <si>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</si>
  <si>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</si>
  <si>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</si>
  <si>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</si>
  <si>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</si>
  <si>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</si>
  <si>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</si>
  <si>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Crédit</t>
  </si>
  <si>
    <t>Carburant</t>
  </si>
  <si>
    <t>3.1</t>
  </si>
  <si>
    <t>3.2</t>
  </si>
  <si>
    <t>4.1</t>
  </si>
  <si>
    <t>4.2</t>
  </si>
  <si>
    <t>5.1</t>
  </si>
  <si>
    <t>5.2</t>
  </si>
  <si>
    <t>6.1</t>
  </si>
  <si>
    <t>6.2</t>
  </si>
  <si>
    <t>7.1</t>
  </si>
  <si>
    <t>7.2</t>
  </si>
  <si>
    <t>8.1</t>
  </si>
  <si>
    <t>8.2</t>
  </si>
  <si>
    <t>3.3</t>
  </si>
  <si>
    <t>3.4</t>
  </si>
  <si>
    <t>3.5</t>
  </si>
  <si>
    <t>4.3</t>
  </si>
  <si>
    <t>4.4</t>
  </si>
  <si>
    <t>4.5</t>
  </si>
  <si>
    <t>5.3</t>
  </si>
  <si>
    <t>5.4</t>
  </si>
  <si>
    <t>5.5</t>
  </si>
  <si>
    <t>6.3</t>
  </si>
  <si>
    <t>6.4</t>
  </si>
  <si>
    <t>6.5</t>
  </si>
  <si>
    <t>7.3</t>
  </si>
  <si>
    <t>7.4</t>
  </si>
  <si>
    <t>7.5</t>
  </si>
  <si>
    <t>8.3</t>
  </si>
  <si>
    <t>8.4</t>
  </si>
  <si>
    <t>8.5</t>
  </si>
  <si>
    <t>Type</t>
  </si>
  <si>
    <t>Sortie</t>
  </si>
  <si>
    <t>Entrée</t>
  </si>
  <si>
    <t>Budget</t>
  </si>
  <si>
    <t>Transfert</t>
  </si>
  <si>
    <t>Compte</t>
  </si>
  <si>
    <t>Départ</t>
  </si>
  <si>
    <t>Calculer</t>
  </si>
  <si>
    <t>Solde</t>
  </si>
  <si>
    <t>Banque Orange</t>
  </si>
  <si>
    <t>id</t>
  </si>
  <si>
    <t>Date</t>
  </si>
  <si>
    <t>Somme</t>
  </si>
  <si>
    <t>Du/Au</t>
  </si>
  <si>
    <t>Description</t>
  </si>
  <si>
    <t>CatId</t>
  </si>
  <si>
    <t>SubId</t>
  </si>
  <si>
    <t>Référence</t>
  </si>
  <si>
    <t>Commentaire</t>
  </si>
  <si>
    <t>Année</t>
  </si>
  <si>
    <t>Mois</t>
  </si>
  <si>
    <t>Recherche</t>
  </si>
  <si>
    <t>Salaire Sandrine</t>
  </si>
  <si>
    <t>Retraite Michel</t>
  </si>
  <si>
    <t>Étiquettes de colonnes</t>
  </si>
  <si>
    <t>Total général</t>
  </si>
  <si>
    <t>Somme de Somme</t>
  </si>
  <si>
    <t>Étiquettes de lignes</t>
  </si>
  <si>
    <t>Total Professionnel</t>
  </si>
  <si>
    <t>Total Entrée</t>
  </si>
  <si>
    <t>Total Voiture</t>
  </si>
  <si>
    <t>Total Sortie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</si>
  <si>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</si>
  <si>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</si>
  <si>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</si>
  <si>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</si>
  <si>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</si>
  <si>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</si>
  <si>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</si>
  <si>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</si>
  <si>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</si>
  <si>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</si>
  <si>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</si>
  <si>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</si>
  <si>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06/12/2018</t>
  </si>
  <si>
    <t>test</t>
  </si>
  <si>
    <t>test2</t>
  </si>
  <si>
    <t>sdsd</t>
  </si>
  <si>
    <t>ree</t>
  </si>
  <si>
    <t>tesr</t>
  </si>
  <si>
    <t>eee</t>
  </si>
  <si>
    <t>01/01/2018</t>
  </si>
  <si>
    <t>cbcvb</t>
  </si>
  <si>
    <t>cbcv</t>
  </si>
  <si>
    <t>Recherches</t>
  </si>
  <si>
    <t>Crédit Mutuel</t>
  </si>
  <si>
    <t>Périodicité</t>
  </si>
  <si>
    <t>Code</t>
  </si>
  <si>
    <t>Journalier</t>
  </si>
  <si>
    <t>Hebdomadaire</t>
  </si>
  <si>
    <t>Mensuel</t>
  </si>
  <si>
    <t>Trimestriel</t>
  </si>
  <si>
    <t>Annuel</t>
  </si>
  <si>
    <t>d</t>
  </si>
  <si>
    <t>yyyy</t>
  </si>
  <si>
    <t>WW</t>
  </si>
  <si>
    <t>M</t>
  </si>
  <si>
    <t>Q</t>
  </si>
  <si>
    <t>janvier</t>
  </si>
  <si>
    <t>01/12/2018</t>
  </si>
  <si>
    <t>Transfer</t>
  </si>
  <si>
    <t>09/12/2018</t>
  </si>
  <si>
    <t/>
  </si>
  <si>
    <t>*test*</t>
  </si>
  <si>
    <t>décembre</t>
  </si>
  <si>
    <t>05/12/2018 Sortie 100 Banque Orange  Logement Loyer   2018 décembre</t>
  </si>
  <si>
    <t>05/12/2018 Entrée 140 Banque Orange  Professionnel Salaire Sandrine   2018 décembre</t>
  </si>
  <si>
    <t>07/12/2018 Sortie 250 Banque Orange  Voiture Crédit   2018 décembre</t>
  </si>
  <si>
    <t>01/01/2018 Sortie 52 Banque Orange  Voiture Carburant   2018 janvier</t>
  </si>
  <si>
    <t>06/12/2018 Sortie 2 Banque Orange test Voiture Crédit test test 2018 décembre</t>
  </si>
  <si>
    <t>06/12/2018 Entrée 6 Banque Orange test2 Professionnel Salaire Sandrine sdsd sdsd 2018 décembre</t>
  </si>
  <si>
    <t>06/12/2018 Entrée 2 Banque Orange tesr Professionnel Retraite Michel eee eee 2018 décembre</t>
  </si>
  <si>
    <t>01/01/2018 Entrée 1000 Banque Orange test Professionnel Salaire Sandrine cbcv cbcv 2018 janvier</t>
  </si>
  <si>
    <t>01/12/2018 Transfer -40 Banque Orange test     2018 décembre</t>
  </si>
  <si>
    <t>01/12/2018 Transfer 40 Crédit Mutuel test     2018 décembre</t>
  </si>
  <si>
    <t>09/12/2018 Entrée 90 Crédit Mutuel  Professionnel Salaire Sandrine   2018 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</si>
</sst>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1"/>
        <bgColor theme="1"/>
      </patternFill>
    </fill>
    <fill>
      <patternFill patternType="solid">
        <fgColor theme="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3" fillId="0" borderId="0" xfId="0" applyFont="1" applyAlignment="1">
      <alignment horizontal="center" vertical="center"/>
    </xf>
    <xf numFmtId="0" fontId="3" fillId="0" borderId="0" xfId="0" applyFont="1"/>
    <xf numFmtId="44" fontId="3" fillId="0" borderId="0" xfId="1" applyFont="1"/>
    <xf numFmtId="14" fontId="0" fillId="0" borderId="0" xfId="0" applyNumberFormat="1"/>
    <xf numFmtId="44" fontId="0" fillId="0" borderId="0" xfId="1" applyFont="1"/>
    <xf numFmtId="0" fontId="0" fillId="0" borderId="0" xfId="0" pivotButton="1"/>
    <xf numFmtId="164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left" indent="2"/>
    </xf>
    <xf numFmtId="0" fontId="0" fillId="0" borderId="12" xfId="0" applyBorder="1"/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5" xfId="0" applyFont="1" applyBorder="1"/>
    <xf numFmtId="0" fontId="4" fillId="0" borderId="16" xfId="0" applyFont="1" applyBorder="1"/>
    <xf numFmtId="44" fontId="0" fillId="0" borderId="11" xfId="1" applyFont="1" applyBorder="1"/>
    <xf numFmtId="0" fontId="5" fillId="0" borderId="0" xfId="0" applyFont="1"/>
    <xf numFmtId="0" fontId="6" fillId="3" borderId="17" xfId="0" applyFont="1" applyFill="1" applyBorder="1"/>
    <xf numFmtId="0" fontId="6" fillId="3" borderId="18" xfId="0" applyFont="1" applyFill="1" applyBorder="1"/>
    <xf numFmtId="0" fontId="6" fillId="3" borderId="19" xfId="0" applyFont="1" applyFill="1" applyBorder="1"/>
    <xf numFmtId="0" fontId="0" fillId="0" borderId="11" xfId="0" applyBorder="1"/>
    <xf numFmtId="0" fontId="5" fillId="4" borderId="11" xfId="0" applyFont="1" applyFill="1" applyBorder="1"/>
    <xf numFmtId="0" fontId="7" fillId="0" borderId="0" xfId="0" applyFont="1"/>
    <xf numFmtId="14" fontId="7" fillId="0" borderId="0" xfId="0" applyNumberFormat="1" applyFont="1"/>
    <xf numFmtId="0" fontId="8" fillId="0" borderId="0" xfId="0" applyFont="1"/>
    <xf numFmtId="44" fontId="8" fillId="0" borderId="0" xfId="1" applyFont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7" fontId="7" fillId="0" borderId="0" xfId="0" applyNumberFormat="1" applyFont="1"/>
    <xf numFmtId="7" fontId="7" fillId="0" borderId="0" xfId="1" applyNumberFormat="1" applyFont="1"/>
  </cellXfs>
  <cellStyles count="2">
    <cellStyle name="Monétaire" xfId="1" builtinId="4"/>
    <cellStyle name="Normal" xfId="0" builtinId="0"/>
  </cellStyles>
  <dxfs count="43"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color auto="1"/>
      </font>
      <fill>
        <patternFill patternType="none">
          <bgColor auto="1"/>
        </patternFill>
      </fill>
    </dxf>
    <dxf>
      <font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color theme="1"/>
      </font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left style="thin">
          <color theme="0" tint="-0.34998626667073579"/>
        </left>
        <right style="thin">
          <color theme="0" tint="-0.34998626667073579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9847407452621"/>
          <bgColor theme="0" tint="-0.14999847407452621"/>
        </patternFill>
      </fill>
      <border>
        <top style="thin">
          <color theme="1" tint="0.499984740745262"/>
        </top>
        <bottom style="thin">
          <color theme="1" tint="0.49998474074526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1" tint="0.499984740745262"/>
        </top>
      </border>
    </dxf>
    <dxf>
      <font>
        <b/>
        <color theme="1"/>
      </font>
      <border>
        <bottom style="thin">
          <color theme="1" tint="0.499984740745262"/>
        </bottom>
      </border>
    </dxf>
    <dxf>
      <font>
        <color theme="1"/>
      </font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 style="thin">
          <color theme="1" tint="0.499984740745262"/>
        </vertical>
        <horizontal style="thin">
          <color theme="1" tint="0.499984740745262"/>
        </horizontal>
      </border>
    </dxf>
  </dxfs>
  <tableStyles count="1" defaultTableStyle="TableStyleMedium2" defaultPivotStyle="PivotStyleLight16">
    <tableStyle name="MonDesign" table="0" count="10" xr9:uid="{00000000-0011-0000-FFFF-FFFF00000000}">
      <tableStyleElement type="wholeTable" dxfId="42"/>
      <tableStyleElement type="headerRow" dxfId="41"/>
      <tableStyleElement type="totalRow" dxfId="40"/>
      <tableStyleElement type="firstColumn" dxfId="39"/>
      <tableStyleElement type="firstRowStripe" dxfId="38"/>
      <tableStyleElement type="firstColumnStripe" dxfId="37"/>
      <tableStyleElement type="firstSubtotalColumn" dxfId="36"/>
      <tableStyleElement type="firstSubtotalRow" dxfId="35"/>
      <tableStyleElement type="secondSubtotalRow" dxfId="34"/>
      <tableStyleElement type="pageFieldLabels" dxfId="3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3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microsoft.com/office/2007/relationships/slicerCache" Target="slicerCaches/slicerCache2.xml"/><Relationship Id="rId4" Type="http://schemas.openxmlformats.org/officeDocument/2006/relationships/worksheet" Target="worksheets/sheet4.xml"/><Relationship Id="rId9" Type="http://schemas.microsoft.com/office/2007/relationships/slicerCache" Target="slicerCaches/slicerCache1.xml"/><Relationship Id="rId1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[v1-ApplicationMonBudget_1_7.xlsm]Analyse!Tableau croisé dynamique1</c:name>
    <c:fmtId val="2"/>
  </c:pivotSource>
  <c:chart>
    <c:autoTitleDeleted val="1"/>
    <c:pivotFmts>
      <c:pivotFmt>
        <c:idx val="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solidFill>
              <a:sysClr val="window" lastClr="FFFFFF"/>
            </a:solidFill>
            <a:ln>
              <a:solidFill>
                <a:sysClr val="windowText" lastClr="000000">
                  <a:lumMod val="25000"/>
                  <a:lumOff val="75000"/>
                </a:sysClr>
              </a:solidFill>
            </a:ln>
            <a:effectLst/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solidFill>
              <a:sysClr val="window" lastClr="FFFFFF"/>
            </a:solidFill>
            <a:ln>
              <a:solidFill>
                <a:sysClr val="windowText" lastClr="000000">
                  <a:lumMod val="25000"/>
                  <a:lumOff val="75000"/>
                </a:sysClr>
              </a:solidFill>
            </a:ln>
            <a:effectLst/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dLbl>
          <c:idx val="0"/>
          <c:spPr>
            <a:solidFill>
              <a:sysClr val="window" lastClr="FFFFFF"/>
            </a:solidFill>
            <a:ln>
              <a:solidFill>
                <a:sysClr val="windowText" lastClr="000000">
                  <a:lumMod val="25000"/>
                  <a:lumOff val="75000"/>
                </a:sysClr>
              </a:solidFill>
            </a:ln>
            <a:effectLst/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</c:pivotFmt>
      <c:pivotFmt>
        <c:idx val="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5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6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7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</c:pivotFmts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Analyse!$I$5:$I$6</c:f>
              <c:strCache>
                <c:ptCount val="1"/>
                <c:pt idx="0">
                  <c:v>Sortie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D924-4FE6-B1ED-0F27A557EA9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2-3503-49B0-9277-3BA71023F731}"/>
              </c:ext>
            </c:extLst>
          </c:dPt>
          <c:cat>
            <c:strRef>
              <c:f>Analyse!$H$7:$H$8</c:f>
              <c:strCache>
                <c:ptCount val="1"/>
                <c:pt idx="0">
                  <c:v>Voiture</c:v>
                </c:pt>
              </c:strCache>
            </c:strRef>
          </c:cat>
          <c:val>
            <c:numRef>
              <c:f>Analyse!$I$7:$I$8</c:f>
              <c:numCache>
                <c:formatCode>#\ ##0.00\ "€"</c:formatCode>
                <c:ptCount val="1"/>
                <c:pt idx="0">
                  <c:v>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503-49B0-9277-3BA71023F7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Analyse!$V$1</c:f>
              <c:strCache>
                <c:ptCount val="1"/>
                <c:pt idx="0">
                  <c:v>Sortie</c:v>
                </c:pt>
              </c:strCache>
            </c:strRef>
          </c:tx>
          <c:spPr>
            <a:solidFill>
              <a:srgbClr val="FF0000">
                <a:alpha val="70000"/>
              </a:srgbClr>
            </a:solidFill>
            <a:ln>
              <a:noFill/>
            </a:ln>
            <a:effectLst>
              <a:outerShdw blurRad="50800" dist="50800" dir="5400000" algn="ctr" rotWithShape="0">
                <a:srgbClr val="000000">
                  <a:alpha val="70000"/>
                </a:srgbClr>
              </a:outerShdw>
            </a:effectLst>
          </c:spPr>
          <c:invertIfNegative val="0"/>
          <c:dLbls>
            <c:numFmt formatCode="#,##0.00\ &quot;€&quot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1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Analyse!$W$1</c:f>
              <c:numCache>
                <c:formatCode>General</c:formatCode>
                <c:ptCount val="1"/>
                <c:pt idx="0">
                  <c:v>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E74-4E58-8B5B-FC5B45A51D9B}"/>
            </c:ext>
          </c:extLst>
        </c:ser>
        <c:ser>
          <c:idx val="1"/>
          <c:order val="1"/>
          <c:tx>
            <c:strRef>
              <c:f>Analyse!$V$2</c:f>
              <c:strCache>
                <c:ptCount val="1"/>
                <c:pt idx="0">
                  <c:v>Entrée</c:v>
                </c:pt>
              </c:strCache>
            </c:strRef>
          </c:tx>
          <c:spPr>
            <a:solidFill>
              <a:srgbClr val="00B050">
                <a:alpha val="70000"/>
              </a:srgbClr>
            </a:solidFill>
            <a:ln>
              <a:noFill/>
            </a:ln>
            <a:effectLst/>
          </c:spPr>
          <c:invertIfNegative val="0"/>
          <c:dLbls>
            <c:numFmt formatCode="#,##0.00\ &quot;€&quot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1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Analyse!$W$2</c:f>
              <c:numCache>
                <c:formatCode>General</c:formatCode>
                <c:ptCount val="1"/>
                <c:pt idx="0">
                  <c:v>1000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E74-4E58-8B5B-FC5B45A51D9B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40"/>
        <c:overlap val="100"/>
        <c:axId val="55254400"/>
        <c:axId val="55272576"/>
      </c:barChart>
      <c:catAx>
        <c:axId val="55254400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55272576"/>
        <c:crosses val="autoZero"/>
        <c:auto val="1"/>
        <c:lblAlgn val="ctr"/>
        <c:lblOffset val="100"/>
        <c:noMultiLvlLbl val="0"/>
      </c:catAx>
      <c:valAx>
        <c:axId val="55272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2544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Analyse!$H$26</c:f>
              <c:strCache>
                <c:ptCount val="1"/>
                <c:pt idx="0">
                  <c:v>Sortie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strRef>
              <c:f>Analyse!$I$25:$T$25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Analyse!$I$26:$T$26</c:f>
              <c:numCache>
                <c:formatCode>_("€"* #,##0.00_);_("€"* \(#,##0.00\);_("€"* "-"??_);_(@_)</c:formatCode>
                <c:ptCount val="12"/>
                <c:pt idx="0">
                  <c:v>52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06B-4A0B-AC53-27C0800A27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55310976"/>
        <c:axId val="55575296"/>
      </c:barChart>
      <c:lineChart>
        <c:grouping val="standard"/>
        <c:varyColors val="0"/>
        <c:ser>
          <c:idx val="1"/>
          <c:order val="1"/>
          <c:tx>
            <c:strRef>
              <c:f>Analyse!$H$27</c:f>
              <c:strCache>
                <c:ptCount val="1"/>
                <c:pt idx="0">
                  <c:v>Budget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30"/>
            <c:spPr>
              <a:solidFill>
                <a:srgbClr val="FF0000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Analyse!$I$25:$T$25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Analyse!$I$27:$T$27</c:f>
              <c:numCache>
                <c:formatCode>_("€"* #,##0.00_);_("€"* \(#,##0.00\);_("€"*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06B-4A0B-AC53-27C0800A27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310976"/>
        <c:axId val="55575296"/>
      </c:lineChart>
      <c:catAx>
        <c:axId val="55310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575296"/>
        <c:crosses val="autoZero"/>
        <c:auto val="1"/>
        <c:lblAlgn val="ctr"/>
        <c:lblOffset val="100"/>
        <c:noMultiLvlLbl val="0"/>
      </c:catAx>
      <c:valAx>
        <c:axId val="55575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3109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161925</xdr:colOff>
      <xdr:row>3</xdr:row>
      <xdr:rowOff>180975</xdr:rowOff>
    </xdr:from>
    <xdr:to>
      <xdr:col>12</xdr:col>
      <xdr:colOff>990601</xdr:colOff>
      <xdr:row>13</xdr:row>
      <xdr:rowOff>171450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37512ACC-B1BA-44C4-AAB0-293C7A03D4A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15</xdr:col>
      <xdr:colOff>152399</xdr:colOff>
      <xdr:row>3</xdr:row>
      <xdr:rowOff>180975</xdr:rowOff>
    </xdr:from>
    <xdr:to>
      <xdr:col>18</xdr:col>
      <xdr:colOff>523874</xdr:colOff>
      <xdr:row>13</xdr:row>
      <xdr:rowOff>142875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3A2B1514-CE56-44D6-83A2-47618B36841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6</xdr:col>
      <xdr:colOff>95249</xdr:colOff>
      <xdr:row>27</xdr:row>
      <xdr:rowOff>47625</xdr:rowOff>
    </xdr:from>
    <xdr:to>
      <xdr:col>19</xdr:col>
      <xdr:colOff>1038224</xdr:colOff>
      <xdr:row>38</xdr:row>
      <xdr:rowOff>76201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7AE6B7C7-E858-4FA1-8DB0-ACC011EFE84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1</xdr:col>
      <xdr:colOff>0</xdr:colOff>
      <xdr:row>1</xdr:row>
      <xdr:rowOff>0</xdr:rowOff>
    </xdr:from>
    <xdr:to>
      <xdr:col>2</xdr:col>
      <xdr:colOff>476250</xdr:colOff>
      <xdr:row>8</xdr:row>
      <xdr:rowOff>76200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Compte">
              <a:extLst>
                <a:ext uri="{FF2B5EF4-FFF2-40B4-BE49-F238E27FC236}">
                  <a16:creationId xmlns:a16="http://schemas.microsoft.com/office/drawing/2014/main" id="{AE5FD646-FF2C-4272-947D-13E41DC6834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mp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250" y="190500"/>
              <a:ext cx="1828800" cy="1219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2</xdr:col>
      <xdr:colOff>628650</xdr:colOff>
      <xdr:row>0</xdr:row>
      <xdr:rowOff>190499</xdr:rowOff>
    </xdr:from>
    <xdr:to>
      <xdr:col>3</xdr:col>
      <xdr:colOff>809625</xdr:colOff>
      <xdr:row>15</xdr:row>
      <xdr:rowOff>47624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Année">
              <a:extLst>
                <a:ext uri="{FF2B5EF4-FFF2-40B4-BE49-F238E27FC236}">
                  <a16:creationId xmlns:a16="http://schemas.microsoft.com/office/drawing/2014/main" id="{6DBBB407-3439-4A7E-939B-C6667DFA7D0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76450" y="190499"/>
              <a:ext cx="116205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</xdr:col>
      <xdr:colOff>0</xdr:colOff>
      <xdr:row>7</xdr:row>
      <xdr:rowOff>190499</xdr:rowOff>
    </xdr:from>
    <xdr:to>
      <xdr:col>2</xdr:col>
      <xdr:colOff>476250</xdr:colOff>
      <xdr:row>21</xdr:row>
      <xdr:rowOff>47624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Mois">
              <a:extLst>
                <a:ext uri="{FF2B5EF4-FFF2-40B4-BE49-F238E27FC236}">
                  <a16:creationId xmlns:a16="http://schemas.microsoft.com/office/drawing/2014/main" id="{9AB85BB6-1CF1-4BB6-9AB5-E188559B290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250" y="1333499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5</xdr:col>
      <xdr:colOff>19050</xdr:colOff>
      <xdr:row>1</xdr:row>
      <xdr:rowOff>19050</xdr:rowOff>
    </xdr:from>
    <xdr:to>
      <xdr:col>5</xdr:col>
      <xdr:colOff>19050</xdr:colOff>
      <xdr:row>20</xdr:row>
      <xdr:rowOff>152400</xdr:rowOff>
    </xdr:to>
    <xdr:cxnSp macro="">
      <xdr:nvCxnSpPr>
        <xdr:cNvPr id="9" name="Connecteur droit 8">
          <a:extLst>
            <a:ext uri="{FF2B5EF4-FFF2-40B4-BE49-F238E27FC236}">
              <a16:creationId xmlns:a16="http://schemas.microsoft.com/office/drawing/2014/main" id="{616DA276-81FB-48BC-A8C3-A5ED251FDB62}"/>
            </a:ext>
          </a:extLst>
        </xdr:cNvPr>
        <xdr:cNvCxnSpPr/>
      </xdr:nvCxnSpPr>
      <xdr:spPr>
        <a:xfrm>
          <a:off x="3695700" y="209550"/>
          <a:ext cx="0" cy="3562350"/>
        </a:xfrm>
        <a:prstGeom prst="line">
          <a:avLst/>
        </a:prstGeom>
        <a:ln w="381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22</xdr:row>
      <xdr:rowOff>180975</xdr:rowOff>
    </xdr:from>
    <xdr:to>
      <xdr:col>5</xdr:col>
      <xdr:colOff>19050</xdr:colOff>
      <xdr:row>37</xdr:row>
      <xdr:rowOff>171450</xdr:rowOff>
    </xdr:to>
    <xdr:cxnSp macro="">
      <xdr:nvCxnSpPr>
        <xdr:cNvPr id="10" name="Connecteur droit 9">
          <a:extLst>
            <a:ext uri="{FF2B5EF4-FFF2-40B4-BE49-F238E27FC236}">
              <a16:creationId xmlns:a16="http://schemas.microsoft.com/office/drawing/2014/main" id="{084CB79D-C6D7-49C1-AB66-BFDD11363380}"/>
            </a:ext>
          </a:extLst>
        </xdr:cNvPr>
        <xdr:cNvCxnSpPr/>
      </xdr:nvCxnSpPr>
      <xdr:spPr>
        <a:xfrm>
          <a:off x="3686175" y="4181475"/>
          <a:ext cx="9525" cy="2867025"/>
        </a:xfrm>
        <a:prstGeom prst="line">
          <a:avLst/>
        </a:prstGeom>
        <a:ln w="381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76200</xdr:colOff>
      <xdr:row>22</xdr:row>
      <xdr:rowOff>38100</xdr:rowOff>
    </xdr:from>
    <xdr:to>
      <xdr:col>19</xdr:col>
      <xdr:colOff>790575</xdr:colOff>
      <xdr:row>22</xdr:row>
      <xdr:rowOff>85725</xdr:rowOff>
    </xdr:to>
    <xdr:cxnSp macro="">
      <xdr:nvCxnSpPr>
        <xdr:cNvPr id="14" name="Connecteur droit 13">
          <a:extLst>
            <a:ext uri="{FF2B5EF4-FFF2-40B4-BE49-F238E27FC236}">
              <a16:creationId xmlns:a16="http://schemas.microsoft.com/office/drawing/2014/main" id="{5259C46D-F56D-4210-A417-4453E43514C7}"/>
            </a:ext>
          </a:extLst>
        </xdr:cNvPr>
        <xdr:cNvCxnSpPr/>
      </xdr:nvCxnSpPr>
      <xdr:spPr>
        <a:xfrm>
          <a:off x="3943350" y="4038600"/>
          <a:ext cx="13001625" cy="47625"/>
        </a:xfrm>
        <a:prstGeom prst="line">
          <a:avLst/>
        </a:prstGeom>
        <a:ln w="381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133350</xdr:colOff>
      <xdr:row>22</xdr:row>
      <xdr:rowOff>47625</xdr:rowOff>
    </xdr:from>
    <xdr:to>
      <xdr:col>3</xdr:col>
      <xdr:colOff>1009650</xdr:colOff>
      <xdr:row>22</xdr:row>
      <xdr:rowOff>57150</xdr:rowOff>
    </xdr:to>
    <xdr:cxnSp macro="">
      <xdr:nvCxnSpPr>
        <xdr:cNvPr id="19" name="Connecteur droit 18">
          <a:extLst>
            <a:ext uri="{FF2B5EF4-FFF2-40B4-BE49-F238E27FC236}">
              <a16:creationId xmlns:a16="http://schemas.microsoft.com/office/drawing/2014/main" id="{AAA6822A-BC09-4CBF-A09B-4B531587CD54}"/>
            </a:ext>
          </a:extLst>
        </xdr:cNvPr>
        <xdr:cNvCxnSpPr/>
      </xdr:nvCxnSpPr>
      <xdr:spPr>
        <a:xfrm flipV="1">
          <a:off x="228600" y="4048125"/>
          <a:ext cx="3209925" cy="9525"/>
        </a:xfrm>
        <a:prstGeom prst="line">
          <a:avLst/>
        </a:prstGeom>
        <a:ln w="381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impit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mpit"/>
    </sheetNames>
    <sheetDataSet>
      <sheetData sheetId="0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" refreshedDate="43443.402925000002" createdVersion="6" refreshedVersion="6" minRefreshableVersion="3" recordCount="11" xr:uid="{00000000-000A-0000-FFFF-FFFF18000000}">
  <cacheSource type="worksheet">
    <worksheetSource name="Tableau16"/>
  </cacheSource>
  <cacheFields count="16">
    <cacheField name="id" numFmtId="0">
      <sharedItems containsSemiMixedTypes="0" containsString="0" containsNumber="1" containsInteger="1" minValue="1" maxValue="11"/>
    </cacheField>
    <cacheField name="Date" numFmtId="14">
      <sharedItems containsDate="1" containsMixedTypes="1" minDate="2018-01-01T00:00:00" maxDate="2018-12-08T00:00:00"/>
    </cacheField>
    <cacheField name="Type" numFmtId="0">
      <sharedItems count="5">
        <s v="Sortie"/>
        <s v="Entrée"/>
        <s v="Transfer"/>
        <s v="Budget" u="1"/>
        <s v="Transfert" u="1"/>
      </sharedItems>
    </cacheField>
    <cacheField name="Somme" numFmtId="44">
      <sharedItems containsSemiMixedTypes="0" containsString="0" containsNumber="1" containsInteger="1" minValue="-40" maxValue="1000"/>
    </cacheField>
    <cacheField name="Compte" numFmtId="0">
      <sharedItems containsMixedTypes="1" containsNumber="1" containsInteger="1" minValue="1" maxValue="1" count="3">
        <s v="Banque Orange"/>
        <s v="Crédit Mutuel"/>
        <n v="1" u="1"/>
      </sharedItems>
    </cacheField>
    <cacheField name="Du/Au" numFmtId="0">
      <sharedItems containsBlank="1"/>
    </cacheField>
    <cacheField name="Description" numFmtId="0">
      <sharedItems containsBlank="1"/>
    </cacheField>
    <cacheField name="CatId" numFmtId="0">
      <sharedItems containsString="0" containsBlank="1" containsNumber="1" containsInteger="1" minValue="1" maxValue="2"/>
    </cacheField>
    <cacheField name="Catégorie" numFmtId="0">
      <sharedItems count="5">
        <s v="Logement"/>
        <s v="Professionnel"/>
        <s v="Voiture"/>
        <s v=""/>
        <s v="Frais Bancaire" u="1"/>
      </sharedItems>
    </cacheField>
    <cacheField name="SubId" numFmtId="0">
      <sharedItems containsBlank="1"/>
    </cacheField>
    <cacheField name="Sous-Catégorie" numFmtId="0">
      <sharedItems count="7">
        <s v="Loyer"/>
        <s v="Salaire Sandrine"/>
        <s v="Crédit"/>
        <s v="Carburant"/>
        <s v="Retraite Michel"/>
        <s v=""/>
        <s v="Sous-Catégorie" u="1"/>
      </sharedItems>
    </cacheField>
    <cacheField name="Référence" numFmtId="0">
      <sharedItems containsBlank="1"/>
    </cacheField>
    <cacheField name="Commentaire" numFmtId="0">
      <sharedItems containsBlank="1"/>
    </cacheField>
    <cacheField name="Année" numFmtId="0">
      <sharedItems containsSemiMixedTypes="0" containsString="0" containsNumber="1" containsInteger="1" minValue="2018" maxValue="2019" count="2">
        <n v="2018"/>
        <n v="2019" u="1"/>
      </sharedItems>
    </cacheField>
    <cacheField name="Mois" numFmtId="0">
      <sharedItems count="12">
        <s v="décembre"/>
        <s v="janvier"/>
        <s v="juillet" u="1"/>
        <s v="octobre" u="1"/>
        <s v="mai" u="1"/>
        <s v="août" u="1"/>
        <s v="mars" u="1"/>
        <s v="avril" u="1"/>
        <s v="novembre" u="1"/>
        <s v="septembre" u="1"/>
        <s v="juin" u="1"/>
        <s v="février" u="1"/>
      </sharedItems>
    </cacheField>
    <cacheField name="Recherche" numFmtId="0">
      <sharedItems/>
    </cacheField>
  </cacheFields>
  <extLst>
    <ext xmlns:x14="http://schemas.microsoft.com/office/spreadsheetml/2009/9/main" uri="{725AE2AE-9491-48be-B2B4-4EB974FC3084}">
      <x14:pivotCacheDefinition pivotCacheId="127214505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">
  <r>
    <n v="1"/>
    <d v="2018-12-05T00:00:00"/>
    <x v="0"/>
    <n v="100"/>
    <x v="0"/>
    <m/>
    <m/>
    <n v="1"/>
    <x v="0"/>
    <s v="1.1"/>
    <x v="0"/>
    <m/>
    <m/>
    <x v="0"/>
    <x v="0"/>
    <s v="05/12/2018 Sortie 100 Banque Orange  Logement Loyer   2018 décembre"/>
  </r>
  <r>
    <n v="2"/>
    <d v="2018-12-05T00:00:00"/>
    <x v="1"/>
    <n v="140"/>
    <x v="0"/>
    <m/>
    <m/>
    <n v="1"/>
    <x v="1"/>
    <s v="1.1"/>
    <x v="1"/>
    <m/>
    <m/>
    <x v="0"/>
    <x v="0"/>
    <s v="05/12/2018 Entrée 140 Banque Orange  Professionnel Salaire Sandrine   2018 décembre"/>
  </r>
  <r>
    <n v="3"/>
    <d v="2018-12-07T00:00:00"/>
    <x v="0"/>
    <n v="250"/>
    <x v="0"/>
    <m/>
    <m/>
    <n v="2"/>
    <x v="2"/>
    <s v="2.1"/>
    <x v="2"/>
    <m/>
    <m/>
    <x v="0"/>
    <x v="0"/>
    <s v="07/12/2018 Sortie 250 Banque Orange  Voiture Crédit   2018 décembre"/>
  </r>
  <r>
    <n v="4"/>
    <d v="2018-01-01T00:00:00"/>
    <x v="0"/>
    <n v="52"/>
    <x v="0"/>
    <m/>
    <m/>
    <n v="2"/>
    <x v="2"/>
    <s v="2.2"/>
    <x v="3"/>
    <m/>
    <m/>
    <x v="0"/>
    <x v="1"/>
    <s v="01/01/2018 Sortie 52 Banque Orange  Voiture Carburant   2018 janvier"/>
  </r>
  <r>
    <n v="5"/>
    <s v="06/12/2018"/>
    <x v="0"/>
    <n v="2"/>
    <x v="0"/>
    <s v="test"/>
    <s v="test"/>
    <n v="2"/>
    <x v="2"/>
    <s v="2.1"/>
    <x v="2"/>
    <s v="test"/>
    <s v="test"/>
    <x v="0"/>
    <x v="0"/>
    <s v="06/12/2018 Sortie 2 Banque Orange test Voiture Crédit test test 2018 décembre"/>
  </r>
  <r>
    <n v="6"/>
    <s v="06/12/2018"/>
    <x v="1"/>
    <n v="6"/>
    <x v="0"/>
    <s v="test"/>
    <s v="test2"/>
    <n v="1"/>
    <x v="1"/>
    <s v="1.1"/>
    <x v="1"/>
    <s v="sdsd"/>
    <s v="sdsd"/>
    <x v="0"/>
    <x v="0"/>
    <s v="06/12/2018 Entrée 6 Banque Orange test2 Professionnel Salaire Sandrine sdsd sdsd 2018 décembre"/>
  </r>
  <r>
    <n v="7"/>
    <s v="06/12/2018"/>
    <x v="1"/>
    <n v="2"/>
    <x v="0"/>
    <s v="ree"/>
    <s v="tesr"/>
    <n v="1"/>
    <x v="1"/>
    <s v="1.2"/>
    <x v="4"/>
    <s v="eee"/>
    <s v="eee"/>
    <x v="0"/>
    <x v="0"/>
    <s v="06/12/2018 Entrée 2 Banque Orange tesr Professionnel Retraite Michel eee eee 2018 décembre"/>
  </r>
  <r>
    <n v="8"/>
    <s v="01/01/2018"/>
    <x v="1"/>
    <n v="1000"/>
    <x v="0"/>
    <s v="cbcvb"/>
    <s v="test"/>
    <n v="1"/>
    <x v="1"/>
    <s v="1.1"/>
    <x v="1"/>
    <s v="cbcv"/>
    <s v="cbcv"/>
    <x v="0"/>
    <x v="1"/>
    <s v="01/01/2018 Entrée 1000 Banque Orange test Professionnel Salaire Sandrine cbcv cbcv 2018 janvier"/>
  </r>
  <r>
    <n v="9"/>
    <s v="01/12/2018"/>
    <x v="2"/>
    <n v="-40"/>
    <x v="0"/>
    <m/>
    <s v="test"/>
    <m/>
    <x v="3"/>
    <m/>
    <x v="5"/>
    <m/>
    <m/>
    <x v="0"/>
    <x v="0"/>
    <s v="01/12/2018 Transfer -40 Banque Orange test     2018 décembre"/>
  </r>
  <r>
    <n v="10"/>
    <s v="01/12/2018"/>
    <x v="2"/>
    <n v="40"/>
    <x v="1"/>
    <m/>
    <s v="test"/>
    <m/>
    <x v="3"/>
    <m/>
    <x v="5"/>
    <m/>
    <m/>
    <x v="0"/>
    <x v="0"/>
    <s v="01/12/2018 Transfer 40 Crédit Mutuel test     2018 décembre"/>
  </r>
  <r>
    <n v="11"/>
    <s v="09/12/2018"/>
    <x v="1"/>
    <n v="90"/>
    <x v="1"/>
    <s v=""/>
    <s v=""/>
    <n v="1"/>
    <x v="1"/>
    <s v="1.1"/>
    <x v="1"/>
    <s v=""/>
    <s v=""/>
    <x v="0"/>
    <x v="0"/>
    <s v="09/12/2018 Entrée 90 Crédit Mutuel  Professionnel Salaire Sandrine   2018 décembre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Tableau croisé dynamique1" cacheId="0" applyNumberFormats="0" applyBorderFormats="0" applyFontFormats="0" applyPatternFormats="0" applyAlignmentFormats="0" applyWidthHeightFormats="1" dataCaption="Valeurs" updatedVersion="6" minRefreshableVersion="3" showDrill="0" colGrandTotals="0" itemPrintTitles="1" createdVersion="6" indent="0" showHeaders="0" outline="1" outlineData="1" multipleFieldFilters="0" chartFormat="3">
  <location ref="H5:I8" firstHeaderRow="1" firstDataRow="2" firstDataCol="1"/>
  <pivotFields count="16">
    <pivotField showAll="0"/>
    <pivotField numFmtId="14" showAll="0"/>
    <pivotField axis="axisCol" showAll="0">
      <items count="6">
        <item h="1" x="1"/>
        <item x="0"/>
        <item h="1" m="1" x="4"/>
        <item m="1" x="3"/>
        <item h="1" x="2"/>
        <item t="default"/>
      </items>
    </pivotField>
    <pivotField dataField="1" numFmtId="44" showAll="0"/>
    <pivotField showAll="0">
      <items count="4">
        <item m="1" x="2"/>
        <item x="0"/>
        <item x="1"/>
        <item t="default"/>
      </items>
    </pivotField>
    <pivotField showAll="0"/>
    <pivotField showAll="0"/>
    <pivotField showAll="0"/>
    <pivotField axis="axisRow" showAll="0">
      <items count="6">
        <item x="3"/>
        <item x="0"/>
        <item x="1"/>
        <item x="2"/>
        <item m="1" x="4"/>
        <item t="default"/>
      </items>
    </pivotField>
    <pivotField showAll="0"/>
    <pivotField showAll="0"/>
    <pivotField showAll="0"/>
    <pivotField showAll="0"/>
    <pivotField showAll="0">
      <items count="3">
        <item x="0"/>
        <item m="1" x="1"/>
        <item t="default"/>
      </items>
    </pivotField>
    <pivotField showAll="0">
      <items count="13">
        <item x="1"/>
        <item h="1" m="1" x="11"/>
        <item h="1" m="1" x="6"/>
        <item h="1" m="1" x="7"/>
        <item h="1" m="1" x="4"/>
        <item h="1" m="1" x="10"/>
        <item h="1" m="1" x="2"/>
        <item h="1" m="1" x="5"/>
        <item h="1" m="1" x="9"/>
        <item h="1" m="1" x="3"/>
        <item h="1" m="1" x="8"/>
        <item h="1" x="0"/>
        <item t="default"/>
      </items>
    </pivotField>
    <pivotField showAll="0"/>
  </pivotFields>
  <rowFields count="1">
    <field x="8"/>
  </rowFields>
  <rowItems count="2">
    <i>
      <x v="3"/>
    </i>
    <i t="grand">
      <x/>
    </i>
  </rowItems>
  <colFields count="1">
    <field x="2"/>
  </colFields>
  <colItems count="1">
    <i>
      <x v="1"/>
    </i>
  </colItems>
  <dataFields count="1">
    <dataField name="Somme de Somme" fld="3" baseField="2" baseItem="1" numFmtId="164"/>
  </dataFields>
  <formats count="1">
    <format dxfId="0">
      <pivotArea dataOnly="0" labelOnly="1" fieldPosition="0">
        <references count="1">
          <reference field="2" count="0"/>
        </references>
      </pivotArea>
    </format>
  </formats>
  <conditionalFormats count="1">
    <conditionalFormat priority="5">
      <pivotAreas count="1">
        <pivotArea type="data" collapsedLevelsAreSubtotals="1" fieldPosition="0">
          <references count="3">
            <reference field="4294967294" count="1" selected="0">
              <x v="0"/>
            </reference>
            <reference field="2" count="1" selected="0">
              <x v="1"/>
            </reference>
            <reference field="8" count="2">
              <x v="1"/>
              <x v="3"/>
            </reference>
          </references>
        </pivotArea>
      </pivotAreas>
    </conditionalFormat>
  </conditionalFormats>
  <chartFormats count="8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2" format="2">
      <pivotArea type="data" outline="0" fieldPosition="0">
        <references count="3">
          <reference field="4294967294" count="1" selected="0">
            <x v="0"/>
          </reference>
          <reference field="2" count="1" selected="0">
            <x v="1"/>
          </reference>
          <reference field="8" count="1" selected="0">
            <x v="3"/>
          </reference>
        </references>
      </pivotArea>
    </chartFormat>
    <chartFormat chart="2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4">
      <pivotArea type="data" outline="0" fieldPosition="0">
        <references count="3">
          <reference field="4294967294" count="1" selected="0">
            <x v="0"/>
          </reference>
          <reference field="2" count="1" selected="0">
            <x v="1"/>
          </reference>
          <reference field="8" count="1" selected="0">
            <x v="1"/>
          </reference>
        </references>
      </pivotArea>
    </chartFormat>
    <chartFormat chart="2" format="5">
      <pivotArea type="data" outline="0" fieldPosition="0">
        <references count="3">
          <reference field="4294967294" count="1" selected="0">
            <x v="0"/>
          </reference>
          <reference field="2" count="1" selected="0">
            <x v="3"/>
          </reference>
          <reference field="8" count="1" selected="0">
            <x v="1"/>
          </reference>
        </references>
      </pivotArea>
    </chartFormat>
    <chartFormat chart="2" format="6">
      <pivotArea type="data" outline="0" fieldPosition="0">
        <references count="3">
          <reference field="4294967294" count="1" selected="0">
            <x v="0"/>
          </reference>
          <reference field="2" count="1" selected="0">
            <x v="3"/>
          </reference>
          <reference field="8" count="1" selected="0">
            <x v="3"/>
          </reference>
        </references>
      </pivotArea>
    </chartFormat>
    <chartFormat chart="2" format="7">
      <pivotArea type="data" outline="0" fieldPosition="0">
        <references count="2">
          <reference field="4294967294" count="1" selected="0">
            <x v="0"/>
          </reference>
          <reference field="8" count="1" selected="0">
            <x v="3"/>
          </reference>
        </references>
      </pivotArea>
    </chartFormat>
  </chartFormats>
  <pivotTableStyleInfo name="MonDesign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2000000}" name="Tableau croisé dynamique3" cacheId="0" applyNumberFormats="0" applyBorderFormats="0" applyFontFormats="0" applyPatternFormats="0" applyAlignmentFormats="0" applyWidthHeightFormats="1" dataCaption="Valeurs" updatedVersion="6" minRefreshableVersion="3" rowGrandTotals="0" colGrandTotals="0" itemPrintTitles="1" createdVersion="6" indent="0" showHeaders="0" outline="1" outlineData="1" multipleFieldFilters="0">
  <location ref="B25:C28" firstHeaderRow="1" firstDataRow="2" firstDataCol="1"/>
  <pivotFields count="16">
    <pivotField showAll="0" defaultSubtotal="0"/>
    <pivotField numFmtId="14" showAll="0" defaultSubtotal="0"/>
    <pivotField axis="axisCol" showAll="0" defaultSubtotal="0">
      <items count="5">
        <item h="1" x="1"/>
        <item x="0"/>
        <item h="1" m="1" x="4"/>
        <item m="1" x="3"/>
        <item h="1" x="2"/>
      </items>
    </pivotField>
    <pivotField dataField="1" numFmtId="44" showAll="0" defaultSubtotal="0"/>
    <pivotField showAll="0" defaultSubtotal="0">
      <items count="3">
        <item m="1" x="2"/>
        <item x="0"/>
        <item x="1"/>
      </items>
    </pivotField>
    <pivotField showAll="0" defaultSubtotal="0"/>
    <pivotField showAll="0" defaultSubtotal="0"/>
    <pivotField showAll="0" defaultSubtotal="0"/>
    <pivotField axis="axisRow" showAll="0" defaultSubtotal="0">
      <items count="5">
        <item x="3"/>
        <item x="0"/>
        <item x="1"/>
        <item x="2"/>
        <item m="1" x="4"/>
      </items>
    </pivotField>
    <pivotField showAll="0" defaultSubtotal="0"/>
    <pivotField axis="axisRow" showAll="0" defaultSubtotal="0">
      <items count="7">
        <item x="5"/>
        <item x="2"/>
        <item x="0"/>
        <item x="1"/>
        <item x="3"/>
        <item x="4"/>
        <item m="1" x="6"/>
      </items>
    </pivotField>
    <pivotField showAll="0" defaultSubtotal="0"/>
    <pivotField showAll="0" defaultSubtotal="0"/>
    <pivotField showAll="0" defaultSubtotal="0">
      <items count="2">
        <item x="0"/>
        <item m="1" x="1"/>
      </items>
    </pivotField>
    <pivotField showAll="0" defaultSubtotal="0">
      <items count="12">
        <item x="1"/>
        <item h="1" m="1" x="11"/>
        <item h="1" m="1" x="6"/>
        <item h="1" m="1" x="7"/>
        <item h="1" m="1" x="4"/>
        <item h="1" m="1" x="10"/>
        <item h="1" m="1" x="2"/>
        <item h="1" m="1" x="5"/>
        <item h="1" m="1" x="9"/>
        <item h="1" m="1" x="3"/>
        <item h="1" m="1" x="8"/>
        <item h="1" x="0"/>
      </items>
    </pivotField>
    <pivotField showAll="0" defaultSubtotal="0"/>
  </pivotFields>
  <rowFields count="2">
    <field x="8"/>
    <field x="10"/>
  </rowFields>
  <rowItems count="2">
    <i>
      <x v="3"/>
    </i>
    <i r="1">
      <x v="4"/>
    </i>
  </rowItems>
  <colFields count="1">
    <field x="2"/>
  </colFields>
  <colItems count="1">
    <i>
      <x v="1"/>
    </i>
  </colItems>
  <dataFields count="1">
    <dataField name="Somme de Somme" fld="3" baseField="8" baseItem="1" numFmtId="164"/>
  </dataFields>
  <formats count="3">
    <format dxfId="3">
      <pivotArea outline="0" collapsedLevelsAreSubtotals="1" fieldPosition="0"/>
    </format>
    <format dxfId="2">
      <pivotArea type="topRight" dataOnly="0" labelOnly="1" outline="0" fieldPosition="0"/>
    </format>
    <format dxfId="1">
      <pivotArea dataOnly="0" labelOnly="1" fieldPosition="0">
        <references count="1">
          <reference field="2" count="0"/>
        </references>
      </pivotArea>
    </format>
  </formats>
  <conditionalFormats count="4">
    <conditionalFormat priority="1">
      <pivotAreas count="1">
        <pivotArea type="data" outline="0" collapsedLevelsAreSubtotals="1" fieldPosition="0">
          <references count="2">
            <reference field="4294967294" count="1" selected="0">
              <x v="0"/>
            </reference>
            <reference field="2" count="1" selected="0">
              <x v="1"/>
            </reference>
          </references>
        </pivotArea>
      </pivotAreas>
    </conditionalFormat>
    <conditionalFormat priority="2">
      <pivotAreas count="1">
        <pivotArea type="data" outline="0" collapsedLevelsAreSubtotals="1" fieldPosition="0">
          <references count="2">
            <reference field="4294967294" count="1" selected="0">
              <x v="0"/>
            </reference>
            <reference field="2" count="1" selected="0">
              <x v="1"/>
            </reference>
          </references>
        </pivotArea>
      </pivotAreas>
    </conditionalFormat>
    <conditionalFormat priority="3">
      <pivotAreas count="1">
        <pivotArea type="data" outline="0" collapsedLevelsAreSubtotals="1" fieldPosition="0">
          <references count="2">
            <reference field="4294967294" count="1" selected="0">
              <x v="0"/>
            </reference>
            <reference field="2" count="1" selected="0">
              <x v="1"/>
            </reference>
          </references>
        </pivotArea>
      </pivotAreas>
    </conditionalFormat>
    <conditionalFormat priority="4">
      <pivotAreas count="1">
        <pivotArea type="data" outline="0" collapsedLevelsAreSubtotals="1" fieldPosition="0">
          <references count="2">
            <reference field="4294967294" count="1" selected="0">
              <x v="0"/>
            </reference>
            <reference field="2" count="1" selected="0">
              <x v="1"/>
            </reference>
          </references>
        </pivotArea>
      </pivotAreas>
    </conditionalFormat>
  </conditionalFormats>
  <pivotTableStyleInfo name="MonDesign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1000000}" name="Tableau croisé dynamique2" cacheId="0" applyNumberFormats="0" applyBorderFormats="0" applyFontFormats="0" applyPatternFormats="0" applyAlignmentFormats="0" applyWidthHeightFormats="1" dataCaption="Valeurs" updatedVersion="6" minRefreshableVersion="3" showDrill="0" colGrandTotals="0" itemPrintTitles="1" createdVersion="6" indent="0" showHeaders="0" outline="1" outlineData="1" multipleFieldFilters="0">
  <location ref="N5:O8" firstHeaderRow="1" firstDataRow="2" firstDataCol="1"/>
  <pivotFields count="16">
    <pivotField showAll="0"/>
    <pivotField numFmtId="14" showAll="0"/>
    <pivotField axis="axisCol" showAll="0">
      <items count="6">
        <item h="1" m="1" x="3"/>
        <item x="1"/>
        <item h="1" x="0"/>
        <item h="1" m="1" x="4"/>
        <item h="1" x="2"/>
        <item t="default"/>
      </items>
    </pivotField>
    <pivotField dataField="1" numFmtId="44" showAll="0"/>
    <pivotField showAll="0">
      <items count="4">
        <item m="1" x="2"/>
        <item x="0"/>
        <item x="1"/>
        <item t="default"/>
      </items>
    </pivotField>
    <pivotField showAll="0"/>
    <pivotField showAll="0"/>
    <pivotField showAll="0"/>
    <pivotField axis="axisRow" showAll="0">
      <items count="6">
        <item x="3"/>
        <item x="0"/>
        <item x="1"/>
        <item x="2"/>
        <item m="1" x="4"/>
        <item t="default"/>
      </items>
    </pivotField>
    <pivotField showAll="0"/>
    <pivotField showAll="0"/>
    <pivotField showAll="0"/>
    <pivotField showAll="0"/>
    <pivotField showAll="0">
      <items count="3">
        <item x="0"/>
        <item m="1" x="1"/>
        <item t="default"/>
      </items>
    </pivotField>
    <pivotField showAll="0">
      <items count="13">
        <item x="1"/>
        <item h="1" m="1" x="11"/>
        <item h="1" m="1" x="6"/>
        <item h="1" m="1" x="7"/>
        <item h="1" m="1" x="4"/>
        <item h="1" m="1" x="10"/>
        <item h="1" m="1" x="2"/>
        <item h="1" m="1" x="5"/>
        <item h="1" m="1" x="9"/>
        <item h="1" m="1" x="3"/>
        <item h="1" m="1" x="8"/>
        <item h="1" x="0"/>
        <item t="default"/>
      </items>
    </pivotField>
    <pivotField showAll="0"/>
  </pivotFields>
  <rowFields count="1">
    <field x="8"/>
  </rowFields>
  <rowItems count="2">
    <i>
      <x v="2"/>
    </i>
    <i t="grand">
      <x/>
    </i>
  </rowItems>
  <colFields count="1">
    <field x="2"/>
  </colFields>
  <colItems count="1">
    <i>
      <x v="1"/>
    </i>
  </colItems>
  <dataFields count="1">
    <dataField name="Somme de Somme" fld="3" baseField="2" baseItem="1" numFmtId="164"/>
  </dataFields>
  <formats count="1">
    <format dxfId="4">
      <pivotArea dataOnly="0" labelOnly="1" fieldPosition="0">
        <references count="1">
          <reference field="2" count="0"/>
        </references>
      </pivotArea>
    </format>
  </formats>
  <pivotTableStyleInfo name="MonDesign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500-000000000000}" name="Tableau croisé dynamique4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B3:D15" firstHeaderRow="1" firstDataRow="2" firstDataCol="1"/>
  <pivotFields count="16">
    <pivotField subtotalTop="0" showAll="0"/>
    <pivotField numFmtId="14" subtotalTop="0" showAll="0"/>
    <pivotField axis="axisRow" subtotalTop="0" showAll="0">
      <items count="6">
        <item m="1" x="3"/>
        <item x="1"/>
        <item x="0"/>
        <item m="1" x="4"/>
        <item x="2"/>
        <item t="default"/>
      </items>
    </pivotField>
    <pivotField dataField="1" numFmtId="44" subtotalTop="0" showAll="0"/>
    <pivotField subtotalTop="0" showAll="0">
      <items count="4">
        <item m="1" x="2"/>
        <item x="0"/>
        <item x="1"/>
        <item t="default"/>
      </items>
    </pivotField>
    <pivotField subtotalTop="0" showAll="0"/>
    <pivotField subtotalTop="0" showAll="0"/>
    <pivotField subtotalTop="0" showAll="0"/>
    <pivotField axis="axisRow" subtotalTop="0" showAll="0">
      <items count="6">
        <item x="3"/>
        <item x="0"/>
        <item x="1"/>
        <item x="2"/>
        <item m="1" x="4"/>
        <item t="default"/>
      </items>
    </pivotField>
    <pivotField subtotalTop="0" showAll="0"/>
    <pivotField axis="axisRow" subtotalTop="0" showAll="0">
      <items count="8">
        <item x="5"/>
        <item x="2"/>
        <item x="0"/>
        <item x="1"/>
        <item x="3"/>
        <item x="4"/>
        <item m="1" x="6"/>
        <item t="default"/>
      </items>
    </pivotField>
    <pivotField subtotalTop="0" showAll="0"/>
    <pivotField subtotalTop="0" showAll="0"/>
    <pivotField subtotalTop="0" showAll="0">
      <items count="3">
        <item x="0"/>
        <item m="1" x="1"/>
        <item t="default"/>
      </items>
    </pivotField>
    <pivotField axis="axisCol" subtotalTop="0" showAll="0">
      <items count="13">
        <item h="1" x="0"/>
        <item x="1"/>
        <item h="1" m="1" x="11"/>
        <item h="1" m="1" x="6"/>
        <item h="1" m="1" x="7"/>
        <item h="1" m="1" x="4"/>
        <item h="1" m="1" x="10"/>
        <item h="1" m="1" x="2"/>
        <item h="1" m="1" x="5"/>
        <item h="1" m="1" x="9"/>
        <item h="1" m="1" x="3"/>
        <item h="1" m="1" x="8"/>
        <item t="default"/>
      </items>
    </pivotField>
    <pivotField subtotalTop="0" showAll="0"/>
  </pivotFields>
  <rowFields count="3">
    <field x="2"/>
    <field x="8"/>
    <field x="10"/>
  </rowFields>
  <rowItems count="11">
    <i>
      <x v="1"/>
    </i>
    <i r="1">
      <x v="2"/>
    </i>
    <i r="2">
      <x v="3"/>
    </i>
    <i t="default" r="1">
      <x v="2"/>
    </i>
    <i t="default">
      <x v="1"/>
    </i>
    <i>
      <x v="2"/>
    </i>
    <i r="1">
      <x v="3"/>
    </i>
    <i r="2">
      <x v="4"/>
    </i>
    <i t="default" r="1">
      <x v="3"/>
    </i>
    <i t="default">
      <x v="2"/>
    </i>
    <i t="grand">
      <x/>
    </i>
  </rowItems>
  <colFields count="1">
    <field x="14"/>
  </colFields>
  <colItems count="2">
    <i>
      <x v="1"/>
    </i>
    <i t="grand">
      <x/>
    </i>
  </colItems>
  <dataFields count="1">
    <dataField name="Somme de Somme" fld="3" baseField="2" baseItem="0" numFmtId="164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ompte" xr10:uid="{00000000-0013-0000-FFFF-FFFF01000000}" sourceName="Compte">
  <pivotTables>
    <pivotTable tabId="5" name="Tableau croisé dynamique1"/>
    <pivotTable tabId="5" name="Tableau croisé dynamique2"/>
    <pivotTable tabId="5" name="Tableau croisé dynamique3"/>
    <pivotTable tabId="7" name="Tableau croisé dynamique4"/>
  </pivotTables>
  <data>
    <tabular pivotCacheId="1272145052">
      <items count="3">
        <i x="0" s="1"/>
        <i x="2" s="1" nd="1"/>
        <i x="1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00000000-0013-0000-FFFF-FFFF02000000}" sourceName="Année">
  <pivotTables>
    <pivotTable tabId="5" name="Tableau croisé dynamique1"/>
    <pivotTable tabId="5" name="Tableau croisé dynamique2"/>
    <pivotTable tabId="5" name="Tableau croisé dynamique3"/>
    <pivotTable tabId="7" name="Tableau croisé dynamique4"/>
  </pivotTables>
  <data>
    <tabular pivotCacheId="1272145052">
      <items count="2">
        <i x="0" s="1"/>
        <i x="1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00000000-0013-0000-FFFF-FFFF03000000}" sourceName="Mois">
  <pivotTables>
    <pivotTable tabId="5" name="Tableau croisé dynamique1"/>
    <pivotTable tabId="5" name="Tableau croisé dynamique2"/>
    <pivotTable tabId="5" name="Tableau croisé dynamique3"/>
    <pivotTable tabId="7" name="Tableau croisé dynamique4"/>
  </pivotTables>
  <data>
    <tabular pivotCacheId="1272145052">
      <items count="12">
        <i x="1" s="1"/>
        <i x="0"/>
        <i x="11" nd="1"/>
        <i x="6" nd="1"/>
        <i x="7" nd="1"/>
        <i x="4" nd="1"/>
        <i x="10" nd="1"/>
        <i x="2" nd="1"/>
        <i x="5" nd="1"/>
        <i x="9" nd="1"/>
        <i x="3" nd="1"/>
        <i x="8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ompte" xr10:uid="{00000000-0014-0000-FFFF-FFFF01000000}" cache="Segment_Compte" caption="Compte" rowHeight="241300"/>
  <slicer name="Année" xr10:uid="{00000000-0014-0000-FFFF-FFFF02000000}" cache="Segment_Année" caption="Année" rowHeight="241300"/>
  <slicer name="Mois" xr10:uid="{00000000-0014-0000-FFFF-FFFF03000000}" cache="Segment_Mois" caption="Mois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3:C21" totalsRowShown="0" headerRowDxfId="32">
  <autoFilter ref="B3:C21" xr:uid="{00000000-0009-0000-0100-000001000000}"/>
  <tableColumns count="2">
    <tableColumn id="1" xr3:uid="{00000000-0010-0000-0000-000001000000}" name="ID" dataDxfId="31"/>
    <tableColumn id="2" xr3:uid="{00000000-0010-0000-0000-000002000000}" name="catégorie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B28:C31" totalsRowShown="0" headerRowDxfId="30" tableBorderDxfId="29">
  <autoFilter ref="B28:C31" xr:uid="{00000000-0009-0000-0100-000002000000}"/>
  <tableColumns count="2">
    <tableColumn id="1" xr3:uid="{00000000-0010-0000-0100-000001000000}" name="ID" dataDxfId="28"/>
    <tableColumn id="2" xr3:uid="{00000000-0010-0000-0100-000002000000}" name="Catégorie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3" displayName="Tableau3" ref="E3:F11" totalsRowShown="0" headerRowDxfId="27" tableBorderDxfId="26">
  <autoFilter ref="E3:F11" xr:uid="{00000000-0009-0000-0100-000003000000}"/>
  <tableColumns count="2">
    <tableColumn id="1" xr3:uid="{00000000-0010-0000-0200-000001000000}" name="ID"/>
    <tableColumn id="2" xr3:uid="{00000000-0010-0000-0200-000002000000}" name="Sous-Catégorie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4" displayName="Tableau4" ref="H3:I12" totalsRowShown="0" headerRowDxfId="25">
  <autoFilter ref="H3:I12" xr:uid="{00000000-0009-0000-0100-000004000000}"/>
  <tableColumns count="2">
    <tableColumn id="1" xr3:uid="{00000000-0010-0000-0300-000001000000}" name="ID"/>
    <tableColumn id="2" xr3:uid="{00000000-0010-0000-0300-000002000000}" name="Sous-Catégorie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au5" displayName="Tableau5" ref="K3:L8" totalsRowShown="0" headerRowDxfId="24">
  <autoFilter ref="K3:L8" xr:uid="{00000000-0009-0000-0100-000005000000}"/>
  <tableColumns count="2">
    <tableColumn id="1" xr3:uid="{00000000-0010-0000-0400-000001000000}" name="ID"/>
    <tableColumn id="2" xr3:uid="{00000000-0010-0000-0400-000002000000}" name="Sous-Catégorie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eau6" displayName="Tableau6" ref="N3:O8" totalsRowShown="0">
  <autoFilter ref="N3:O8" xr:uid="{00000000-0009-0000-0100-000006000000}"/>
  <tableColumns count="2">
    <tableColumn id="1" xr3:uid="{00000000-0010-0000-0500-000001000000}" name="ID"/>
    <tableColumn id="2" xr3:uid="{00000000-0010-0000-0500-000002000000}" name="Sous-Catégorie"/>
  </tableColumns>
  <tableStyleInfo name="TableStyleMedium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eau7" displayName="Tableau7" ref="Q3:R8" totalsRowShown="0">
  <autoFilter ref="Q3:R8" xr:uid="{00000000-0009-0000-0100-000007000000}"/>
  <tableColumns count="2">
    <tableColumn id="1" xr3:uid="{00000000-0010-0000-0600-000001000000}" name="ID"/>
    <tableColumn id="2" xr3:uid="{00000000-0010-0000-0600-000002000000}" name="Sous-Catégorie"/>
  </tableColumns>
  <tableStyleInfo name="TableStyleMedium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eau8" displayName="Tableau8" ref="T3:U8" totalsRowShown="0">
  <autoFilter ref="T3:U8" xr:uid="{00000000-0009-0000-0100-000008000000}"/>
  <tableColumns count="2">
    <tableColumn id="1" xr3:uid="{00000000-0010-0000-0700-000001000000}" name="ID"/>
    <tableColumn id="2" xr3:uid="{00000000-0010-0000-0700-000002000000}" name="Sous-Catégorie"/>
  </tableColumns>
  <tableStyleInfo name="TableStyleMedium1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eau9" displayName="Tableau9" ref="W3:X8" totalsRowShown="0">
  <autoFilter ref="W3:X8" xr:uid="{00000000-0009-0000-0100-000009000000}"/>
  <tableColumns count="2">
    <tableColumn id="1" xr3:uid="{00000000-0010-0000-0800-000001000000}" name="ID"/>
    <tableColumn id="2" xr3:uid="{00000000-0010-0000-0800-000002000000}" name="Sous-Catégorie"/>
  </tableColumns>
  <tableStyleInfo name="TableStyleMedium1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eau10" displayName="Tableau10" ref="Z3:AA8" totalsRowShown="0">
  <autoFilter ref="Z3:AA8" xr:uid="{00000000-0009-0000-0100-00000A000000}"/>
  <tableColumns count="2">
    <tableColumn id="1" xr3:uid="{00000000-0010-0000-0900-000001000000}" name="ID"/>
    <tableColumn id="2" xr3:uid="{00000000-0010-0000-0900-000002000000}" name="Sous-Catégorie"/>
  </tableColumns>
  <tableStyleInfo name="TableStyleMedium1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eau11" displayName="Tableau11" ref="E28:F31" totalsRowShown="0" headerRowDxfId="23">
  <autoFilter ref="E28:F31" xr:uid="{00000000-0009-0000-0100-00000B000000}"/>
  <tableColumns count="2">
    <tableColumn id="1" xr3:uid="{00000000-0010-0000-0A00-000001000000}" name="ID" dataDxfId="22"/>
    <tableColumn id="2" xr3:uid="{00000000-0010-0000-0A00-000002000000}" name="Sous-Catégorie"/>
  </tableColumns>
  <tableStyleInfo name="TableStyleMedium1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eau12" displayName="Tableau12" ref="H28:I31" totalsRowShown="0" headerRowDxfId="21">
  <autoFilter ref="H28:I31" xr:uid="{00000000-0009-0000-0100-00000C000000}"/>
  <tableColumns count="2">
    <tableColumn id="1" xr3:uid="{00000000-0010-0000-0B00-000001000000}" name="ID" dataDxfId="20"/>
    <tableColumn id="2" xr3:uid="{00000000-0010-0000-0B00-000002000000}" name="Sous-Catégorie"/>
  </tableColumns>
  <tableStyleInfo name="TableStyleMedium1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C000000}" name="Tableau13" displayName="Tableau13" ref="K28:L31" totalsRowShown="0" headerRowDxfId="19">
  <autoFilter ref="K28:L31" xr:uid="{00000000-0009-0000-0100-00000D000000}"/>
  <tableColumns count="2">
    <tableColumn id="1" xr3:uid="{00000000-0010-0000-0C00-000001000000}" name="ID" dataDxfId="18"/>
    <tableColumn id="2" xr3:uid="{00000000-0010-0000-0C00-000002000000}" name="Sous-Catégorie"/>
  </tableColumns>
  <tableStyleInfo name="TableStyleMedium1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D000000}" name="Tableau14" displayName="Tableau14" ref="B3:B7" totalsRowShown="0" headerRowDxfId="17">
  <autoFilter ref="B3:B7" xr:uid="{00000000-0009-0000-0100-00000E000000}"/>
  <tableColumns count="1">
    <tableColumn id="1" xr3:uid="{00000000-0010-0000-0D00-000001000000}" name="Type"/>
  </tableColumns>
  <tableStyleInfo name="TableStyleMedium1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E000000}" name="Tableau17" displayName="Tableau17" ref="D3:E8" totalsRowShown="0">
  <autoFilter ref="D3:E8" xr:uid="{00000000-0009-0000-0100-000011000000}"/>
  <tableColumns count="2">
    <tableColumn id="1" xr3:uid="{00000000-0010-0000-0E00-000001000000}" name="Périodicité"/>
    <tableColumn id="2" xr3:uid="{00000000-0010-0000-0E00-000002000000}" name="Code"/>
  </tableColumns>
  <tableStyleInfo name="TableStyleLight8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F000000}" name="Tableau15" displayName="Tableau15" ref="B3:F5" totalsRowShown="0" headerRowDxfId="16" dataDxfId="15">
  <autoFilter ref="B3:F5" xr:uid="{00000000-0009-0000-0100-00000F000000}"/>
  <tableColumns count="5">
    <tableColumn id="1" xr3:uid="{00000000-0010-0000-0F00-000001000000}" name="ID" dataDxfId="14">
      <calculatedColumnFormula>ROW(B4)-3</calculatedColumnFormula>
    </tableColumn>
    <tableColumn id="2" xr3:uid="{00000000-0010-0000-0F00-000002000000}" name="Compte" dataDxfId="13"/>
    <tableColumn id="3" xr3:uid="{00000000-0010-0000-0F00-000003000000}" name="Départ" dataDxfId="12" dataCellStyle="Monétaire"/>
    <tableColumn id="4" xr3:uid="{00000000-0010-0000-0F00-000004000000}" name="Calculer" dataDxfId="11" dataCellStyle="Monétaire">
      <calculatedColumnFormula>(SUM(SUMIFS(Tableau16[Somme],Tableau16[Compte],Compte!C4,Tableau16[Type],{"Entrée";"Transfert"})))-SUMIFS(Tableau16[Somme],Tableau16[Compte],Compte!C4,Tableau16[Type],"Sortie")</calculatedColumnFormula>
    </tableColumn>
    <tableColumn id="5" xr3:uid="{00000000-0010-0000-0F00-000005000000}" name="Solde" dataDxfId="10" dataCellStyle="Monétaire">
      <calculatedColumnFormula>Tableau15[Départ]+Tableau15[Calculer]</calculatedColumnFormula>
    </tableColumn>
  </tableColumns>
  <tableStyleInfo name="TableStyleMedium8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10000000}" name="Tableau16" displayName="Tableau16" ref="B2:Q13" totalsRowShown="0">
  <tableColumns count="16">
    <tableColumn id="1" xr3:uid="{00000000-0010-0000-1000-000001000000}" name="id">
      <calculatedColumnFormula>ROW(B3)-2</calculatedColumnFormula>
    </tableColumn>
    <tableColumn id="2" xr3:uid="{00000000-0010-0000-1000-000002000000}" name="Date" dataDxfId="9"/>
    <tableColumn id="3" xr3:uid="{00000000-0010-0000-1000-000003000000}" name="Type"/>
    <tableColumn id="4" xr3:uid="{00000000-0010-0000-1000-000004000000}" name="Somme" dataCellStyle="Monétaire"/>
    <tableColumn id="5" xr3:uid="{00000000-0010-0000-1000-000005000000}" name="Compte"/>
    <tableColumn id="6" xr3:uid="{00000000-0010-0000-1000-000006000000}" name="Du/Au"/>
    <tableColumn id="7" xr3:uid="{00000000-0010-0000-1000-000007000000}" name="Description"/>
    <tableColumn id="8" xr3:uid="{00000000-0010-0000-1000-000008000000}" name="CatId"/>
    <tableColumn id="9" xr3:uid="{00000000-0010-0000-1000-000009000000}" name="Catégorie">
      <calculatedColumnFormula>IFERROR(IF(OR(Tableau16[Type]="Sortie",Tableau16[Type]="Budget"),VLOOKUP(Tableau16[CatId],sortie,2,0),IF(Tableau16[Type]="Entrée",VLOOKUP(Tableau16[CatId],entrée,2,0),"")),"")</calculatedColumnFormula>
    </tableColumn>
    <tableColumn id="10" xr3:uid="{00000000-0010-0000-1000-00000A000000}" name="SubId"/>
    <tableColumn id="11" xr3:uid="{00000000-0010-0000-1000-00000B000000}" name="Sous-Catégorie">
      <calculatedColumnFormula>IFERROR(IF(OR(Tableau16[Type]="Sortie",Tableau16[Type]="Budget"),VLOOKUP(Tableau16[SubId],INDIRECT("Sortie" &amp; Tableau16[CatId]),2,0),IF(Tableau16[Type]="Entrée",VLOOKUP(Tableau16[SubId],INDIRECT("Entrée"&amp;Tableau16[CatId]),2,0),"")),"")</calculatedColumnFormula>
    </tableColumn>
    <tableColumn id="12" xr3:uid="{00000000-0010-0000-1000-00000C000000}" name="Référence"/>
    <tableColumn id="13" xr3:uid="{00000000-0010-0000-1000-00000D000000}" name="Commentaire"/>
    <tableColumn id="14" xr3:uid="{00000000-0010-0000-1000-00000E000000}" name="Année">
      <calculatedColumnFormula>YEAR(Tableau16[Date])</calculatedColumnFormula>
    </tableColumn>
    <tableColumn id="15" xr3:uid="{00000000-0010-0000-1000-00000F000000}" name="Mois">
      <calculatedColumnFormula>TEXT(Tableau16[Date],"mmmm")</calculatedColumnFormula>
    </tableColumn>
    <tableColumn id="16" xr3:uid="{00000000-0010-0000-1000-000010000000}" name="Recherche">
      <calculatedColumnFormula>CONCATENATE(TEXT(Tableau16[Date],"jj/mm/aaaa")," ",Tableau16[Type]," ",Tableau16[Somme]," ",Tableau16[Compte]," ",Tableau16[Description]," ",Tableau16[Catégorie]," ",Tableau16[Sous-Catégorie]," ",Tableau16[Référence]," ",Tableau16[Commentaire]," ",Tableau16[Année]," ",Tableau16[Mois])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5.xml"/><Relationship Id="rId1" Type="http://schemas.openxmlformats.org/officeDocument/2006/relationships/table" Target="../tables/table1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microsoft.com/office/2007/relationships/slicer" Target="../slicers/slicer1.x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AA31"/>
  <sheetViews>
    <sheetView workbookViewId="0">
      <selection activeCell="C4" sqref="C4"/>
    </sheetView>
  </sheetViews>
  <sheetFormatPr baseColWidth="10" defaultRowHeight="15" x14ac:dyDescent="0.25"/>
  <cols>
    <col min="2" max="2" width="4.7109375" customWidth="1"/>
    <col min="3" max="3" width="25.7109375" customWidth="1"/>
    <col min="4" max="4" width="2.7109375" customWidth="1"/>
    <col min="5" max="5" width="5" customWidth="1"/>
    <col min="6" max="6" width="25.7109375" customWidth="1"/>
    <col min="7" max="7" width="2.7109375" customWidth="1"/>
    <col min="8" max="8" width="5.140625" customWidth="1"/>
    <col min="9" max="9" width="25.7109375" customWidth="1"/>
    <col min="10" max="10" width="3" customWidth="1"/>
    <col min="11" max="11" width="5" customWidth="1"/>
    <col min="12" max="12" width="25.7109375" customWidth="1"/>
    <col min="13" max="13" width="3" customWidth="1"/>
    <col min="14" max="14" width="4.7109375" customWidth="1"/>
    <col min="15" max="15" width="25.7109375" customWidth="1"/>
    <col min="16" max="16" width="3" customWidth="1"/>
    <col min="17" max="17" width="5" customWidth="1"/>
    <col min="18" max="18" width="25.7109375" customWidth="1"/>
    <col min="19" max="19" width="3" customWidth="1"/>
    <col min="20" max="20" width="5" customWidth="1"/>
    <col min="21" max="21" width="25.7109375" customWidth="1"/>
    <col min="22" max="22" width="3" customWidth="1"/>
    <col min="23" max="23" width="5" customWidth="1"/>
    <col min="24" max="24" width="25.7109375" customWidth="1"/>
    <col min="25" max="25" width="3" customWidth="1"/>
    <col min="26" max="26" width="5" customWidth="1"/>
    <col min="27" max="27" width="25.7109375" customWidth="1"/>
  </cols>
  <sheetData>
    <row r="2" spans="2:27" ht="35.1" customHeight="1" thickBot="1" x14ac:dyDescent="0.3">
      <c r="B2" s="38" t="s">
        <v>12</v>
      </c>
      <c r="C2" s="39"/>
      <c r="E2" s="42" t="str">
        <f>IFERROR(INDEX(Tableau1[catégorie],MATCH(1,Tableau1[ID],0)),"")</f>
        <v>Logement</v>
      </c>
      <c r="F2" s="43"/>
      <c r="H2" s="42" t="str">
        <f>IFERROR(INDEX(Tableau1[catégorie],MATCH(2,Tableau1[ID],0)),"")</f>
        <v>Voiture</v>
      </c>
      <c r="I2" s="43"/>
      <c r="K2" s="42" t="str">
        <f>IFERROR(INDEX(Tableau1[catégorie],MATCH(3,Tableau1[ID],0)),"")</f>
        <v>Alimentation</v>
      </c>
      <c r="L2" s="43"/>
      <c r="N2" s="42" t="str">
        <f>IFERROR(INDEX(Tableau1[catégorie],MATCH(4,Tableau1[ID],0)),"")</f>
        <v>Frais Bancaire</v>
      </c>
      <c r="O2" s="43"/>
      <c r="Q2" s="42" t="str">
        <f>IFERROR(INDEX(Tableau1[catégorie],MATCH(5,Tableau1[ID],0)),"")</f>
        <v>Vêtement</v>
      </c>
      <c r="R2" s="43"/>
      <c r="T2" s="42" t="str">
        <f>IFERROR(INDEX(Tableau1[catégorie],MATCH(6,Tableau1[ID],0)),"")</f>
        <v>Soins</v>
      </c>
      <c r="U2" s="43"/>
      <c r="W2" s="42" t="str">
        <f>IFERROR(INDEX(Tableau1[catégorie],MATCH(7,Tableau1[ID],0)),"")</f>
        <v>Internet</v>
      </c>
      <c r="X2" s="43"/>
      <c r="Z2" s="42" t="str">
        <f>IFERROR(INDEX(Tableau1[catégorie],MATCH(9,Tableau1[ID],0)),"")</f>
        <v>Vacances</v>
      </c>
      <c r="AA2" s="43"/>
    </row>
    <row r="3" spans="2:27" x14ac:dyDescent="0.25">
      <c r="B3" s="3" t="s">
        <v>14</v>
      </c>
      <c r="C3" s="4" t="s">
        <v>0</v>
      </c>
      <c r="E3" s="2" t="s">
        <v>14</v>
      </c>
      <c r="F3" s="2" t="s">
        <v>19</v>
      </c>
      <c r="H3" s="1" t="s">
        <v>14</v>
      </c>
      <c r="I3" s="1" t="s">
        <v>19</v>
      </c>
      <c r="K3" s="1" t="s">
        <v>14</v>
      </c>
      <c r="L3" s="1" t="s">
        <v>19</v>
      </c>
      <c r="N3" t="s">
        <v>14</v>
      </c>
      <c r="O3" t="s">
        <v>19</v>
      </c>
      <c r="Q3" t="s">
        <v>14</v>
      </c>
      <c r="R3" t="s">
        <v>19</v>
      </c>
      <c r="T3" t="s">
        <v>14</v>
      </c>
      <c r="U3" t="s">
        <v>19</v>
      </c>
      <c r="W3" t="s">
        <v>14</v>
      </c>
      <c r="X3" t="s">
        <v>19</v>
      </c>
      <c r="Z3" t="s">
        <v>14</v>
      </c>
      <c r="AA3" t="s">
        <v>19</v>
      </c>
    </row>
    <row r="4" spans="2:27" x14ac:dyDescent="0.25">
      <c r="B4" s="3">
        <v>1</v>
      </c>
      <c r="C4" s="5" t="s">
        <v>1</v>
      </c>
      <c r="E4" t="s">
        <v>20</v>
      </c>
      <c r="F4" t="s">
        <v>21</v>
      </c>
      <c r="H4" t="s">
        <v>35</v>
      </c>
      <c r="I4" t="s">
        <v>44</v>
      </c>
      <c r="K4" t="s">
        <v>46</v>
      </c>
      <c r="N4" t="s">
        <v>48</v>
      </c>
      <c r="Q4" t="s">
        <v>50</v>
      </c>
      <c r="T4" t="s">
        <v>52</v>
      </c>
      <c r="W4" t="s">
        <v>54</v>
      </c>
      <c r="Z4" t="s">
        <v>56</v>
      </c>
    </row>
    <row r="5" spans="2:27" x14ac:dyDescent="0.25">
      <c r="B5" s="3">
        <v>2</v>
      </c>
      <c r="C5" s="5" t="s">
        <v>2</v>
      </c>
      <c r="E5" t="s">
        <v>27</v>
      </c>
      <c r="F5" t="s">
        <v>22</v>
      </c>
      <c r="H5" t="s">
        <v>36</v>
      </c>
      <c r="I5" t="s">
        <v>45</v>
      </c>
      <c r="K5" t="s">
        <v>47</v>
      </c>
      <c r="N5" t="s">
        <v>49</v>
      </c>
      <c r="Q5" t="s">
        <v>51</v>
      </c>
      <c r="T5" t="s">
        <v>53</v>
      </c>
      <c r="W5" t="s">
        <v>55</v>
      </c>
      <c r="Z5" t="s">
        <v>57</v>
      </c>
    </row>
    <row r="6" spans="2:27" x14ac:dyDescent="0.25">
      <c r="B6" s="3">
        <v>3</v>
      </c>
      <c r="C6" s="5" t="s">
        <v>3</v>
      </c>
      <c r="E6" t="s">
        <v>28</v>
      </c>
      <c r="F6" t="s">
        <v>23</v>
      </c>
      <c r="H6" t="s">
        <v>37</v>
      </c>
      <c r="I6" t="s">
        <v>10</v>
      </c>
      <c r="K6" t="s">
        <v>58</v>
      </c>
      <c r="N6" t="s">
        <v>61</v>
      </c>
      <c r="Q6" t="s">
        <v>64</v>
      </c>
      <c r="T6" t="s">
        <v>67</v>
      </c>
      <c r="W6" t="s">
        <v>70</v>
      </c>
      <c r="Z6" t="s">
        <v>73</v>
      </c>
    </row>
    <row r="7" spans="2:27" x14ac:dyDescent="0.25">
      <c r="B7" s="3">
        <v>4</v>
      </c>
      <c r="C7" s="5" t="s">
        <v>4</v>
      </c>
      <c r="E7" t="s">
        <v>29</v>
      </c>
      <c r="F7" t="s">
        <v>24</v>
      </c>
      <c r="H7" t="s">
        <v>38</v>
      </c>
      <c r="I7" t="s">
        <v>26</v>
      </c>
      <c r="K7" t="s">
        <v>59</v>
      </c>
      <c r="N7" t="s">
        <v>62</v>
      </c>
      <c r="Q7" t="s">
        <v>65</v>
      </c>
      <c r="T7" t="s">
        <v>68</v>
      </c>
      <c r="W7" t="s">
        <v>71</v>
      </c>
      <c r="Z7" t="s">
        <v>74</v>
      </c>
    </row>
    <row r="8" spans="2:27" x14ac:dyDescent="0.25">
      <c r="B8" s="3">
        <v>5</v>
      </c>
      <c r="C8" s="5" t="s">
        <v>5</v>
      </c>
      <c r="E8" t="s">
        <v>30</v>
      </c>
      <c r="F8" t="s">
        <v>25</v>
      </c>
      <c r="H8" t="s">
        <v>39</v>
      </c>
      <c r="K8" t="s">
        <v>60</v>
      </c>
      <c r="N8" t="s">
        <v>63</v>
      </c>
      <c r="Q8" t="s">
        <v>66</v>
      </c>
      <c r="T8" t="s">
        <v>69</v>
      </c>
      <c r="W8" t="s">
        <v>72</v>
      </c>
      <c r="Z8" t="s">
        <v>75</v>
      </c>
    </row>
    <row r="9" spans="2:27" x14ac:dyDescent="0.25">
      <c r="B9" s="3">
        <v>6</v>
      </c>
      <c r="C9" s="5" t="s">
        <v>6</v>
      </c>
      <c r="E9" t="s">
        <v>31</v>
      </c>
      <c r="F9" t="s">
        <v>26</v>
      </c>
      <c r="H9" t="s">
        <v>40</v>
      </c>
    </row>
    <row r="10" spans="2:27" x14ac:dyDescent="0.25">
      <c r="B10" s="3">
        <v>7</v>
      </c>
      <c r="C10" s="5" t="s">
        <v>7</v>
      </c>
      <c r="E10" t="s">
        <v>32</v>
      </c>
      <c r="F10" t="s">
        <v>10</v>
      </c>
      <c r="H10" t="s">
        <v>41</v>
      </c>
    </row>
    <row r="11" spans="2:27" x14ac:dyDescent="0.25">
      <c r="B11" s="3">
        <v>8</v>
      </c>
      <c r="C11" s="5" t="s">
        <v>8</v>
      </c>
      <c r="E11" t="s">
        <v>33</v>
      </c>
      <c r="F11" t="s">
        <v>34</v>
      </c>
      <c r="H11" t="s">
        <v>42</v>
      </c>
    </row>
    <row r="12" spans="2:27" x14ac:dyDescent="0.25">
      <c r="B12" s="3">
        <v>9</v>
      </c>
      <c r="C12" s="5" t="s">
        <v>9</v>
      </c>
      <c r="H12" t="s">
        <v>43</v>
      </c>
    </row>
    <row r="13" spans="2:27" x14ac:dyDescent="0.25">
      <c r="B13" s="3">
        <v>10</v>
      </c>
      <c r="C13" s="5" t="s">
        <v>10</v>
      </c>
    </row>
    <row r="14" spans="2:27" x14ac:dyDescent="0.25">
      <c r="B14" s="3">
        <v>11</v>
      </c>
      <c r="C14" s="5" t="s">
        <v>11</v>
      </c>
    </row>
    <row r="15" spans="2:27" x14ac:dyDescent="0.25">
      <c r="B15" s="3">
        <v>12</v>
      </c>
      <c r="C15" s="5"/>
    </row>
    <row r="16" spans="2:27" x14ac:dyDescent="0.25">
      <c r="B16" s="3">
        <v>13</v>
      </c>
      <c r="C16" s="5"/>
    </row>
    <row r="17" spans="2:12" x14ac:dyDescent="0.25">
      <c r="B17" s="3">
        <v>14</v>
      </c>
      <c r="C17" s="5"/>
    </row>
    <row r="18" spans="2:12" x14ac:dyDescent="0.25">
      <c r="B18" s="3">
        <v>15</v>
      </c>
      <c r="C18" s="5"/>
    </row>
    <row r="19" spans="2:12" x14ac:dyDescent="0.25">
      <c r="B19" s="3">
        <v>16</v>
      </c>
      <c r="C19" s="5"/>
    </row>
    <row r="20" spans="2:12" x14ac:dyDescent="0.25">
      <c r="B20" s="3">
        <v>17</v>
      </c>
      <c r="C20" s="5"/>
    </row>
    <row r="21" spans="2:12" x14ac:dyDescent="0.25">
      <c r="B21" s="6">
        <v>18</v>
      </c>
      <c r="C21" s="7"/>
    </row>
    <row r="26" spans="2:12" ht="15.75" thickBot="1" x14ac:dyDescent="0.3"/>
    <row r="27" spans="2:12" ht="35.1" customHeight="1" x14ac:dyDescent="0.25">
      <c r="B27" s="40" t="s">
        <v>18</v>
      </c>
      <c r="C27" s="41"/>
      <c r="E27" s="40" t="str">
        <f>IFERROR(INDEX(Tableau2[Catégorie],MATCH(1,Tableau2[ID],0)),"")</f>
        <v>Professionnel</v>
      </c>
      <c r="F27" s="41"/>
      <c r="H27" s="40" t="str">
        <f>IFERROR(INDEX(Tableau2[Catégorie],MATCH(2,Tableau2[ID],0)),"")</f>
        <v>Immobilier</v>
      </c>
      <c r="I27" s="41"/>
      <c r="K27" s="40" t="str">
        <f>IFERROR(INDEX(Tableau2[Catégorie],MATCH(3,Tableau2[ID],0)),"")</f>
        <v>Mobilier</v>
      </c>
      <c r="L27" s="41"/>
    </row>
    <row r="28" spans="2:12" x14ac:dyDescent="0.25">
      <c r="B28" s="8" t="s">
        <v>14</v>
      </c>
      <c r="C28" s="8" t="s">
        <v>13</v>
      </c>
      <c r="E28" s="1" t="s">
        <v>14</v>
      </c>
      <c r="F28" s="1" t="s">
        <v>19</v>
      </c>
      <c r="H28" s="1" t="s">
        <v>14</v>
      </c>
      <c r="I28" s="1" t="s">
        <v>19</v>
      </c>
      <c r="K28" s="1" t="s">
        <v>14</v>
      </c>
      <c r="L28" s="1" t="s">
        <v>19</v>
      </c>
    </row>
    <row r="29" spans="2:12" x14ac:dyDescent="0.25">
      <c r="B29" s="9">
        <v>1</v>
      </c>
      <c r="C29" s="10" t="s">
        <v>15</v>
      </c>
      <c r="E29" s="1" t="s">
        <v>20</v>
      </c>
      <c r="F29" t="s">
        <v>98</v>
      </c>
      <c r="H29" s="1" t="s">
        <v>35</v>
      </c>
      <c r="K29" s="1" t="s">
        <v>46</v>
      </c>
    </row>
    <row r="30" spans="2:12" x14ac:dyDescent="0.25">
      <c r="B30" s="9">
        <v>2</v>
      </c>
      <c r="C30" s="10" t="s">
        <v>17</v>
      </c>
      <c r="E30" s="1" t="s">
        <v>27</v>
      </c>
      <c r="F30" t="s">
        <v>99</v>
      </c>
      <c r="H30" s="1" t="s">
        <v>36</v>
      </c>
      <c r="K30" s="1" t="s">
        <v>47</v>
      </c>
    </row>
    <row r="31" spans="2:12" x14ac:dyDescent="0.25">
      <c r="B31" s="9">
        <v>3</v>
      </c>
      <c r="C31" s="10" t="s">
        <v>16</v>
      </c>
      <c r="E31" s="1" t="s">
        <v>28</v>
      </c>
      <c r="H31" s="1" t="s">
        <v>37</v>
      </c>
      <c r="K31" s="1" t="s">
        <v>58</v>
      </c>
    </row>
  </sheetData>
  <mergeCells count="13">
    <mergeCell ref="Q2:R2"/>
    <mergeCell ref="T2:U2"/>
    <mergeCell ref="W2:X2"/>
    <mergeCell ref="Z2:AA2"/>
    <mergeCell ref="E27:F27"/>
    <mergeCell ref="H27:I27"/>
    <mergeCell ref="K27:L27"/>
    <mergeCell ref="N2:O2"/>
    <mergeCell ref="B2:C2"/>
    <mergeCell ref="B27:C27"/>
    <mergeCell ref="E2:F2"/>
    <mergeCell ref="H2:I2"/>
    <mergeCell ref="K2:L2"/>
  </mergeCells>
  <pageMargins left="0.7" right="0.7" top="0.75" bottom="0.75" header="0.3" footer="0.3"/>
  <pageSetup paperSize="9" orientation="portrait" horizontalDpi="0" verticalDpi="0" r:id="rId1"/>
  <tableParts count="13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3:E8"/>
  <sheetViews>
    <sheetView workbookViewId="0">
      <selection activeCell="B4" sqref="B4:B7"/>
    </sheetView>
  </sheetViews>
  <sheetFormatPr baseColWidth="10" defaultRowHeight="15" x14ac:dyDescent="0.25"/>
  <cols>
    <col min="4" max="4" width="14.140625" bestFit="1" customWidth="1"/>
  </cols>
  <sheetData>
    <row r="3" spans="2:5" x14ac:dyDescent="0.25">
      <c r="B3" s="1" t="s">
        <v>76</v>
      </c>
      <c r="D3" t="s">
        <v>132</v>
      </c>
      <c r="E3" t="s">
        <v>133</v>
      </c>
    </row>
    <row r="4" spans="2:5" x14ac:dyDescent="0.25">
      <c r="B4" t="s">
        <v>77</v>
      </c>
      <c r="D4" t="s">
        <v>134</v>
      </c>
      <c r="E4" t="s">
        <v>139</v>
      </c>
    </row>
    <row r="5" spans="2:5" x14ac:dyDescent="0.25">
      <c r="B5" t="s">
        <v>78</v>
      </c>
      <c r="D5" t="s">
        <v>135</v>
      </c>
      <c r="E5" t="s">
        <v>141</v>
      </c>
    </row>
    <row r="6" spans="2:5" x14ac:dyDescent="0.25">
      <c r="B6" t="s">
        <v>79</v>
      </c>
      <c r="D6" t="s">
        <v>136</v>
      </c>
      <c r="E6" t="s">
        <v>142</v>
      </c>
    </row>
    <row r="7" spans="2:5" x14ac:dyDescent="0.25">
      <c r="B7" t="s">
        <v>80</v>
      </c>
      <c r="D7" t="s">
        <v>137</v>
      </c>
      <c r="E7" t="s">
        <v>143</v>
      </c>
    </row>
    <row r="8" spans="2:5" x14ac:dyDescent="0.25">
      <c r="D8" t="s">
        <v>138</v>
      </c>
      <c r="E8" t="s">
        <v>140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3:F5"/>
  <sheetViews>
    <sheetView showGridLines="0" workbookViewId="0">
      <selection activeCell="E5" sqref="E5"/>
    </sheetView>
  </sheetViews>
  <sheetFormatPr baseColWidth="10" defaultRowHeight="15" x14ac:dyDescent="0.25"/>
  <cols>
    <col min="2" max="2" width="8.5703125" bestFit="1" customWidth="1"/>
    <col min="3" max="6" width="33" customWidth="1"/>
  </cols>
  <sheetData>
    <row r="3" spans="2:6" ht="21" x14ac:dyDescent="0.25">
      <c r="B3" s="11" t="s">
        <v>14</v>
      </c>
      <c r="C3" s="11" t="s">
        <v>81</v>
      </c>
      <c r="D3" s="11" t="s">
        <v>82</v>
      </c>
      <c r="E3" s="11" t="s">
        <v>83</v>
      </c>
      <c r="F3" s="11" t="s">
        <v>84</v>
      </c>
    </row>
    <row r="4" spans="2:6" ht="21" x14ac:dyDescent="0.35">
      <c r="B4" s="12">
        <f>ROW(B4)-3</f>
        <v>1</v>
      </c>
      <c r="C4" s="12" t="s">
        <v>85</v>
      </c>
      <c r="D4" s="13">
        <v>80</v>
      </c>
      <c r="E4" s="13">
        <f>(SUM(SUMIFS(Tableau16[Somme],Tableau16[Compte],Compte!C4,Tableau16[Type],{"Entrée";"Transfert"})))-SUMIFS(Tableau16[Somme],Tableau16[Compte],Compte!C4,Tableau16[Type],"Sortie")</f>
        <v>744</v>
      </c>
      <c r="F4" s="13">
        <f>Tableau15[Départ]+Tableau15[Calculer]</f>
        <v>824</v>
      </c>
    </row>
    <row r="5" spans="2:6" ht="21" x14ac:dyDescent="0.35">
      <c r="B5" s="36">
        <f>ROW(B5)-3</f>
        <v>2</v>
      </c>
      <c r="C5" s="36" t="s">
        <v>131</v>
      </c>
      <c r="D5" s="37">
        <v>10</v>
      </c>
      <c r="E5" s="37">
        <f>(SUM(SUMIFS(Tableau16[Somme],Tableau16[Compte],Compte!C5,Tableau16[Type],{"Entrée";"Transfert"})))-SUMIFS(Tableau16[Somme],Tableau16[Compte],Compte!C5,Tableau16[Type],"Sortie")</f>
        <v>90</v>
      </c>
      <c r="F5" s="37">
        <f>Tableau15[Départ]+Tableau15[Calculer]</f>
        <v>100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B2:AS19"/>
  <sheetViews>
    <sheetView showGridLines="0" tabSelected="1" workbookViewId="0">
      <selection activeCell="AG21" sqref="AG21"/>
    </sheetView>
  </sheetViews>
  <sheetFormatPr baseColWidth="10" defaultRowHeight="15" x14ac:dyDescent="0.25"/>
  <cols>
    <col min="8" max="8" width="13.28515625" customWidth="1"/>
    <col min="10" max="10" width="13.28515625" bestFit="1" customWidth="1"/>
    <col min="12" max="12" width="16.5703125" customWidth="1"/>
    <col min="13" max="13" width="12.28515625" customWidth="1"/>
    <col min="14" max="14" width="15.28515625" customWidth="1"/>
    <col min="17" max="17" width="89.5703125" bestFit="1" customWidth="1"/>
    <col min="43" max="43" width="89.5703125" bestFit="1" customWidth="1"/>
  </cols>
  <sheetData>
    <row r="2" spans="2:45" x14ac:dyDescent="0.25">
      <c r="B2" t="s">
        <v>86</v>
      </c>
      <c r="C2" t="s">
        <v>87</v>
      </c>
      <c r="D2" t="s">
        <v>76</v>
      </c>
      <c r="E2" t="s">
        <v>88</v>
      </c>
      <c r="F2" t="s">
        <v>81</v>
      </c>
      <c r="G2" t="s">
        <v>89</v>
      </c>
      <c r="H2" t="s">
        <v>90</v>
      </c>
      <c r="I2" t="s">
        <v>91</v>
      </c>
      <c r="J2" t="s">
        <v>13</v>
      </c>
      <c r="K2" t="s">
        <v>92</v>
      </c>
      <c r="L2" t="s">
        <v>19</v>
      </c>
      <c r="M2" t="s">
        <v>93</v>
      </c>
      <c r="N2" t="s">
        <v>94</v>
      </c>
      <c r="O2" t="s">
        <v>95</v>
      </c>
      <c r="P2" t="s">
        <v>96</v>
      </c>
      <c r="Q2" t="s">
        <v>97</v>
      </c>
      <c r="Z2" s="33" t="s">
        <v>130</v>
      </c>
      <c r="AB2" s="29" t="s">
        <v>86</v>
      </c>
      <c r="AC2" s="30" t="s">
        <v>87</v>
      </c>
      <c r="AD2" s="30" t="s">
        <v>76</v>
      </c>
      <c r="AE2" s="30" t="s">
        <v>88</v>
      </c>
      <c r="AF2" s="30" t="s">
        <v>81</v>
      </c>
      <c r="AG2" s="30" t="s">
        <v>89</v>
      </c>
      <c r="AH2" s="30" t="s">
        <v>90</v>
      </c>
      <c r="AI2" s="30" t="s">
        <v>91</v>
      </c>
      <c r="AJ2" s="30" t="s">
        <v>13</v>
      </c>
      <c r="AK2" s="30" t="s">
        <v>92</v>
      </c>
      <c r="AL2" s="30" t="s">
        <v>19</v>
      </c>
      <c r="AM2" s="30" t="s">
        <v>93</v>
      </c>
      <c r="AN2" s="30" t="s">
        <v>94</v>
      </c>
      <c r="AO2" s="30" t="s">
        <v>95</v>
      </c>
      <c r="AP2" s="30" t="s">
        <v>96</v>
      </c>
      <c r="AQ2" s="31" t="s">
        <v>97</v>
      </c>
    </row>
    <row r="3" spans="2:45" x14ac:dyDescent="0.25">
      <c r="B3">
        <f t="shared" ref="B3:B6" si="0">ROW(B3)-2</f>
        <v>1</v>
      </c>
      <c r="C3" s="14">
        <v>43439</v>
      </c>
      <c r="D3" t="s">
        <v>77</v>
      </c>
      <c r="E3" s="15">
        <v>100</v>
      </c>
      <c r="F3" t="s">
        <v>85</v>
      </c>
      <c r="I3">
        <v>1</v>
      </c>
      <c r="J3" t="str">
        <f>IFERROR(IF(OR(Tableau16[Type]="Sortie",Tableau16[Type]="Budget"),VLOOKUP(Tableau16[CatId],sortie,2,0),IF(Tableau16[Type]="Entrée",VLOOKUP(Tableau16[CatId],entrée,2,0),"")),"")</f>
        <v>Logement</v>
      </c>
      <c r="K3" t="s">
        <v>20</v>
      </c>
      <c r="L3" t="str">
        <f ca="1">IFERROR(IF(OR(Tableau16[Type]="Sortie",Tableau16[Type]="Budget"),VLOOKUP(Tableau16[SubId],INDIRECT("Sortie" &amp; Tableau16[CatId]),2,0),IF(Tableau16[Type]="Entrée",VLOOKUP(Tableau16[SubId],INDIRECT("Entrée"&amp;Tableau16[CatId]),2,0),"")),"")</f>
        <v>Loyer</v>
      </c>
      <c r="O3">
        <f>YEAR(Tableau16[Date])</f>
        <v>2018</v>
      </c>
      <c r="P3" t="str">
        <f>TEXT(Tableau16[Date],"mmmm")</f>
        <v>décembre</v>
      </c>
      <c r="Q3" t="str">
        <f ca="1">CONCATENATE(TEXT(Tableau16[Date],"jj/mm/aaaa")," ",Tableau16[Type]," ",Tableau16[Somme]," ",Tableau16[Compte]," ",Tableau16[Description]," ",Tableau16[Catégorie]," ",Tableau16[Sous-Catégorie]," ",Tableau16[Référence]," ",Tableau16[Commentaire]," ",Tableau16[Année]," ",Tableau16[Mois])</f>
        <v>05/12/2018 Sortie 100 Banque Orange  Logement Loyer   2018 décembre</v>
      </c>
      <c r="Z3" s="32" t="s">
        <v>149</v>
      </c>
      <c r="AB3" s="34">
        <v>1</v>
      </c>
      <c r="AC3" s="35">
        <v>43439</v>
      </c>
      <c r="AD3" s="34" t="s">
        <v>77</v>
      </c>
      <c r="AE3" s="44">
        <v>100</v>
      </c>
      <c r="AF3" s="34" t="s">
        <v>85</v>
      </c>
      <c r="AG3" s="34"/>
      <c r="AH3" s="34"/>
      <c r="AI3" s="34">
        <v>1</v>
      </c>
      <c r="AJ3" s="34" t="s">
        <v>1</v>
      </c>
      <c r="AK3" s="34">
        <v>1.1000000000000001</v>
      </c>
      <c r="AL3" s="34" t="s">
        <v>21</v>
      </c>
      <c r="AM3" s="34"/>
      <c r="AN3" s="34"/>
      <c r="AO3" s="34">
        <v>2018</v>
      </c>
      <c r="AP3" s="34" t="s">
        <v>150</v>
      </c>
      <c r="AQ3" s="34" t="s">
        <v>151</v>
      </c>
      <c r="AR3" s="34"/>
      <c r="AS3" s="34"/>
    </row>
    <row r="4" spans="2:45" x14ac:dyDescent="0.25">
      <c r="B4">
        <f t="shared" si="0"/>
        <v>2</v>
      </c>
      <c r="C4" s="14">
        <v>43439</v>
      </c>
      <c r="D4" t="s">
        <v>78</v>
      </c>
      <c r="E4" s="15">
        <v>140</v>
      </c>
      <c r="F4" t="s">
        <v>85</v>
      </c>
      <c r="I4">
        <v>1</v>
      </c>
      <c r="J4" t="str">
        <f>IFERROR(IF(OR(Tableau16[Type]="Sortie",Tableau16[Type]="Budget"),VLOOKUP(Tableau16[CatId],sortie,2,0),IF(Tableau16[Type]="Entrée",VLOOKUP(Tableau16[CatId],entrée,2,0),"")),"")</f>
        <v>Professionnel</v>
      </c>
      <c r="K4" t="s">
        <v>20</v>
      </c>
      <c r="L4" t="str">
        <f ca="1">IFERROR(IF(OR(Tableau16[Type]="Sortie",Tableau16[Type]="Budget"),VLOOKUP(Tableau16[SubId],INDIRECT("Sortie" &amp; Tableau16[CatId]),2,0),IF(Tableau16[Type]="Entrée",VLOOKUP(Tableau16[SubId],INDIRECT("Entrée"&amp;Tableau16[CatId]),2,0),"")),"")</f>
        <v>Salaire Sandrine</v>
      </c>
      <c r="O4">
        <f>YEAR(Tableau16[Date])</f>
        <v>2018</v>
      </c>
      <c r="P4" t="str">
        <f>TEXT(Tableau16[Date],"mmmm")</f>
        <v>décembre</v>
      </c>
      <c r="Q4" t="str">
        <f ca="1">CONCATENATE(TEXT(Tableau16[Date],"jj/mm/aaaa")," ",Tableau16[Type]," ",Tableau16[Somme]," ",Tableau16[Compte]," ",Tableau16[Description]," ",Tableau16[Catégorie]," ",Tableau16[Sous-Catégorie]," ",Tableau16[Référence]," ",Tableau16[Commentaire]," ",Tableau16[Année]," ",Tableau16[Mois])</f>
        <v>05/12/2018 Entrée 140 Banque Orange  Professionnel Salaire Sandrine   2018 décembre</v>
      </c>
      <c r="AB4" s="34">
        <v>2</v>
      </c>
      <c r="AC4" s="35">
        <v>43439</v>
      </c>
      <c r="AD4" s="34" t="s">
        <v>78</v>
      </c>
      <c r="AE4" s="45">
        <v>140</v>
      </c>
      <c r="AF4" s="34" t="s">
        <v>85</v>
      </c>
      <c r="AG4" s="34"/>
      <c r="AH4" s="34"/>
      <c r="AI4" s="34">
        <v>1</v>
      </c>
      <c r="AJ4" s="34" t="s">
        <v>15</v>
      </c>
      <c r="AK4" s="34">
        <v>1.1000000000000001</v>
      </c>
      <c r="AL4" s="34" t="s">
        <v>98</v>
      </c>
      <c r="AM4" s="34"/>
      <c r="AN4" s="34"/>
      <c r="AO4" s="34">
        <v>2018</v>
      </c>
      <c r="AP4" s="34" t="s">
        <v>150</v>
      </c>
      <c r="AQ4" s="34" t="s">
        <v>152</v>
      </c>
      <c r="AR4" s="34"/>
      <c r="AS4" s="34"/>
    </row>
    <row r="5" spans="2:45" x14ac:dyDescent="0.25">
      <c r="B5">
        <f t="shared" si="0"/>
        <v>3</v>
      </c>
      <c r="C5" s="14">
        <v>43441</v>
      </c>
      <c r="D5" t="s">
        <v>77</v>
      </c>
      <c r="E5" s="15">
        <v>250</v>
      </c>
      <c r="F5" t="s">
        <v>85</v>
      </c>
      <c r="I5">
        <v>2</v>
      </c>
      <c r="J5" t="str">
        <f>IFERROR(IF(OR(Tableau16[Type]="Sortie",Tableau16[Type]="Budget"),VLOOKUP(Tableau16[CatId],sortie,2,0),IF(Tableau16[Type]="Entrée",VLOOKUP(Tableau16[CatId],entrée,2,0),"")),"")</f>
        <v>Voiture</v>
      </c>
      <c r="K5" t="s">
        <v>35</v>
      </c>
      <c r="L5" t="str">
        <f ca="1">IFERROR(IF(OR(Tableau16[Type]="Sortie",Tableau16[Type]="Budget"),VLOOKUP(Tableau16[SubId],INDIRECT("Sortie" &amp; Tableau16[CatId]),2,0),IF(Tableau16[Type]="Entrée",VLOOKUP(Tableau16[SubId],INDIRECT("Entrée"&amp;Tableau16[CatId]),2,0),"")),"")</f>
        <v>Crédit</v>
      </c>
      <c r="O5">
        <f>YEAR(Tableau16[Date])</f>
        <v>2018</v>
      </c>
      <c r="P5" t="str">
        <f>TEXT(Tableau16[Date],"mmmm")</f>
        <v>décembre</v>
      </c>
      <c r="Q5" t="str">
        <f ca="1">CONCATENATE(TEXT(Tableau16[Date],"jj/mm/aaaa")," ",Tableau16[Type]," ",Tableau16[Somme]," ",Tableau16[Compte]," ",Tableau16[Description]," ",Tableau16[Catégorie]," ",Tableau16[Sous-Catégorie]," ",Tableau16[Référence]," ",Tableau16[Commentaire]," ",Tableau16[Année]," ",Tableau16[Mois])</f>
        <v>07/12/2018 Sortie 250 Banque Orange  Voiture Crédit   2018 décembre</v>
      </c>
      <c r="AB5" s="34">
        <v>3</v>
      </c>
      <c r="AC5" s="35">
        <v>43441</v>
      </c>
      <c r="AD5" s="34" t="s">
        <v>77</v>
      </c>
      <c r="AE5" s="45">
        <v>250</v>
      </c>
      <c r="AF5" s="34" t="s">
        <v>85</v>
      </c>
      <c r="AG5" s="34"/>
      <c r="AH5" s="34"/>
      <c r="AI5" s="34">
        <v>2</v>
      </c>
      <c r="AJ5" s="34" t="s">
        <v>2</v>
      </c>
      <c r="AK5" s="34">
        <v>2.1</v>
      </c>
      <c r="AL5" s="34" t="s">
        <v>44</v>
      </c>
      <c r="AM5" s="34"/>
      <c r="AN5" s="34"/>
      <c r="AO5" s="34">
        <v>2018</v>
      </c>
      <c r="AP5" s="34" t="s">
        <v>150</v>
      </c>
      <c r="AQ5" s="34" t="s">
        <v>153</v>
      </c>
      <c r="AR5" s="34"/>
      <c r="AS5" s="34"/>
    </row>
    <row r="6" spans="2:45" x14ac:dyDescent="0.25">
      <c r="B6">
        <f t="shared" si="0"/>
        <v>4</v>
      </c>
      <c r="C6" s="14">
        <v>43101</v>
      </c>
      <c r="D6" t="s">
        <v>77</v>
      </c>
      <c r="E6" s="15">
        <v>52</v>
      </c>
      <c r="F6" t="s">
        <v>85</v>
      </c>
      <c r="I6">
        <v>2</v>
      </c>
      <c r="J6" t="str">
        <f>IFERROR(IF(OR(Tableau16[Type]="Sortie",Tableau16[Type]="Budget"),VLOOKUP(Tableau16[CatId],sortie,2,0),IF(Tableau16[Type]="Entrée",VLOOKUP(Tableau16[CatId],entrée,2,0),"")),"")</f>
        <v>Voiture</v>
      </c>
      <c r="K6" t="s">
        <v>36</v>
      </c>
      <c r="L6" t="str">
        <f ca="1">IFERROR(IF(OR(Tableau16[Type]="Sortie",Tableau16[Type]="Budget"),VLOOKUP(Tableau16[SubId],INDIRECT("Sortie" &amp; Tableau16[CatId]),2,0),IF(Tableau16[Type]="Entrée",VLOOKUP(Tableau16[SubId],INDIRECT("Entrée"&amp;Tableau16[CatId]),2,0),"")),"")</f>
        <v>Carburant</v>
      </c>
      <c r="O6">
        <f>YEAR(Tableau16[Date])</f>
        <v>2018</v>
      </c>
      <c r="P6" t="str">
        <f>TEXT(Tableau16[Date],"mmmm")</f>
        <v>janvier</v>
      </c>
      <c r="Q6" t="str">
        <f ca="1">CONCATENATE(TEXT(Tableau16[Date],"jj/mm/aaaa")," ",Tableau16[Type]," ",Tableau16[Somme]," ",Tableau16[Compte]," ",Tableau16[Description]," ",Tableau16[Catégorie]," ",Tableau16[Sous-Catégorie]," ",Tableau16[Référence]," ",Tableau16[Commentaire]," ",Tableau16[Année]," ",Tableau16[Mois])</f>
        <v>01/01/2018 Sortie 52 Banque Orange  Voiture Carburant   2018 janvier</v>
      </c>
      <c r="AB6" s="34">
        <v>4</v>
      </c>
      <c r="AC6" s="35">
        <v>43101</v>
      </c>
      <c r="AD6" s="34" t="s">
        <v>77</v>
      </c>
      <c r="AE6" s="45">
        <v>52</v>
      </c>
      <c r="AF6" s="34" t="s">
        <v>85</v>
      </c>
      <c r="AG6" s="34"/>
      <c r="AH6" s="34"/>
      <c r="AI6" s="34">
        <v>2</v>
      </c>
      <c r="AJ6" s="34" t="s">
        <v>2</v>
      </c>
      <c r="AK6" s="34">
        <v>2.2000000000000002</v>
      </c>
      <c r="AL6" s="34" t="s">
        <v>45</v>
      </c>
      <c r="AM6" s="34"/>
      <c r="AN6" s="34"/>
      <c r="AO6" s="34">
        <v>2018</v>
      </c>
      <c r="AP6" s="34" t="s">
        <v>144</v>
      </c>
      <c r="AQ6" s="34" t="s">
        <v>154</v>
      </c>
      <c r="AR6" s="34"/>
      <c r="AS6" s="34"/>
    </row>
    <row r="7" spans="2:45" x14ac:dyDescent="0.25">
      <c r="B7">
        <f t="shared" ref="B7:B13" si="1">ROW(B7)-2</f>
        <v>5</v>
      </c>
      <c r="C7" s="14" t="s">
        <v>120</v>
      </c>
      <c r="D7" t="s">
        <v>77</v>
      </c>
      <c r="E7" s="15">
        <v>2</v>
      </c>
      <c r="F7" t="s">
        <v>85</v>
      </c>
      <c r="G7" t="s">
        <v>121</v>
      </c>
      <c r="H7" t="s">
        <v>121</v>
      </c>
      <c r="I7">
        <v>2</v>
      </c>
      <c r="J7" t="str">
        <f>IFERROR(IF(OR(Tableau16[Type]="Sortie",Tableau16[Type]="Budget"),VLOOKUP(Tableau16[CatId],sortie,2,0),IF(Tableau16[Type]="Entrée",VLOOKUP(Tableau16[CatId],entrée,2,0),"")),"")</f>
        <v>Voiture</v>
      </c>
      <c r="K7" t="s">
        <v>35</v>
      </c>
      <c r="L7" t="str">
        <f ca="1">IFERROR(IF(OR(Tableau16[Type]="Sortie",Tableau16[Type]="Budget"),VLOOKUP(Tableau16[SubId],INDIRECT("Sortie" &amp; Tableau16[CatId]),2,0),IF(Tableau16[Type]="Entrée",VLOOKUP(Tableau16[SubId],INDIRECT("Entrée"&amp;Tableau16[CatId]),2,0),"")),"")</f>
        <v>Crédit</v>
      </c>
      <c r="M7" t="s">
        <v>121</v>
      </c>
      <c r="N7" t="s">
        <v>121</v>
      </c>
      <c r="O7">
        <f>YEAR(Tableau16[Date])</f>
        <v>2018</v>
      </c>
      <c r="P7" t="str">
        <f>TEXT(Tableau16[Date],"mmmm")</f>
        <v>décembre</v>
      </c>
      <c r="Q7" t="str">
        <f ca="1">CONCATENATE(TEXT(Tableau16[Date],"jj/mm/aaaa")," ",Tableau16[Type]," ",Tableau16[Somme]," ",Tableau16[Compte]," ",Tableau16[Description]," ",Tableau16[Catégorie]," ",Tableau16[Sous-Catégorie]," ",Tableau16[Référence]," ",Tableau16[Commentaire]," ",Tableau16[Année]," ",Tableau16[Mois])</f>
        <v>06/12/2018 Sortie 2 Banque Orange test Voiture Crédit test test 2018 décembre</v>
      </c>
      <c r="AB7" s="34">
        <v>5</v>
      </c>
      <c r="AC7" s="35">
        <v>43263</v>
      </c>
      <c r="AD7" s="34" t="s">
        <v>77</v>
      </c>
      <c r="AE7" s="45">
        <v>2</v>
      </c>
      <c r="AF7" s="34" t="s">
        <v>85</v>
      </c>
      <c r="AG7" s="34" t="s">
        <v>121</v>
      </c>
      <c r="AH7" s="34" t="s">
        <v>121</v>
      </c>
      <c r="AI7" s="34">
        <v>2</v>
      </c>
      <c r="AJ7" s="34" t="s">
        <v>2</v>
      </c>
      <c r="AK7" s="34">
        <v>2.1</v>
      </c>
      <c r="AL7" s="34" t="s">
        <v>44</v>
      </c>
      <c r="AM7" s="34" t="s">
        <v>121</v>
      </c>
      <c r="AN7" s="34" t="s">
        <v>121</v>
      </c>
      <c r="AO7" s="34">
        <v>2018</v>
      </c>
      <c r="AP7" s="34" t="s">
        <v>150</v>
      </c>
      <c r="AQ7" s="34" t="s">
        <v>155</v>
      </c>
      <c r="AR7" s="34"/>
      <c r="AS7" s="34"/>
    </row>
    <row r="8" spans="2:45" x14ac:dyDescent="0.25">
      <c r="B8">
        <f t="shared" si="1"/>
        <v>6</v>
      </c>
      <c r="C8" s="14" t="s">
        <v>120</v>
      </c>
      <c r="D8" t="s">
        <v>78</v>
      </c>
      <c r="E8" s="15">
        <v>6</v>
      </c>
      <c r="F8" t="s">
        <v>85</v>
      </c>
      <c r="G8" t="s">
        <v>121</v>
      </c>
      <c r="H8" t="s">
        <v>122</v>
      </c>
      <c r="I8">
        <v>1</v>
      </c>
      <c r="J8" t="str">
        <f>IFERROR(IF(OR(Tableau16[Type]="Sortie",Tableau16[Type]="Budget"),VLOOKUP(Tableau16[CatId],sortie,2,0),IF(Tableau16[Type]="Entrée",VLOOKUP(Tableau16[CatId],entrée,2,0),"")),"")</f>
        <v>Professionnel</v>
      </c>
      <c r="K8" t="s">
        <v>20</v>
      </c>
      <c r="L8" t="str">
        <f ca="1">IFERROR(IF(OR(Tableau16[Type]="Sortie",Tableau16[Type]="Budget"),VLOOKUP(Tableau16[SubId],INDIRECT("Sortie" &amp; Tableau16[CatId]),2,0),IF(Tableau16[Type]="Entrée",VLOOKUP(Tableau16[SubId],INDIRECT("Entrée"&amp;Tableau16[CatId]),2,0),"")),"")</f>
        <v>Salaire Sandrine</v>
      </c>
      <c r="M8" t="s">
        <v>123</v>
      </c>
      <c r="N8" t="s">
        <v>123</v>
      </c>
      <c r="O8">
        <f>YEAR(Tableau16[Date])</f>
        <v>2018</v>
      </c>
      <c r="P8" t="str">
        <f>TEXT(Tableau16[Date],"mmmm")</f>
        <v>décembre</v>
      </c>
      <c r="Q8" t="str">
        <f ca="1">CONCATENATE(TEXT(Tableau16[Date],"jj/mm/aaaa")," ",Tableau16[Type]," ",Tableau16[Somme]," ",Tableau16[Compte]," ",Tableau16[Description]," ",Tableau16[Catégorie]," ",Tableau16[Sous-Catégorie]," ",Tableau16[Référence]," ",Tableau16[Commentaire]," ",Tableau16[Année]," ",Tableau16[Mois])</f>
        <v>06/12/2018 Entrée 6 Banque Orange test2 Professionnel Salaire Sandrine sdsd sdsd 2018 décembre</v>
      </c>
      <c r="AB8" s="34">
        <v>6</v>
      </c>
      <c r="AC8" s="35">
        <v>43263</v>
      </c>
      <c r="AD8" s="34" t="s">
        <v>78</v>
      </c>
      <c r="AE8" s="45">
        <v>6</v>
      </c>
      <c r="AF8" s="34" t="s">
        <v>85</v>
      </c>
      <c r="AG8" s="34" t="s">
        <v>121</v>
      </c>
      <c r="AH8" s="34" t="s">
        <v>122</v>
      </c>
      <c r="AI8" s="34">
        <v>1</v>
      </c>
      <c r="AJ8" s="34" t="s">
        <v>15</v>
      </c>
      <c r="AK8" s="34">
        <v>1.1000000000000001</v>
      </c>
      <c r="AL8" s="34" t="s">
        <v>98</v>
      </c>
      <c r="AM8" s="34" t="s">
        <v>123</v>
      </c>
      <c r="AN8" s="34" t="s">
        <v>123</v>
      </c>
      <c r="AO8" s="34">
        <v>2018</v>
      </c>
      <c r="AP8" s="34" t="s">
        <v>150</v>
      </c>
      <c r="AQ8" s="34" t="s">
        <v>156</v>
      </c>
      <c r="AR8" s="34"/>
      <c r="AS8" s="34"/>
    </row>
    <row r="9" spans="2:45" x14ac:dyDescent="0.25">
      <c r="B9">
        <f t="shared" si="1"/>
        <v>7</v>
      </c>
      <c r="C9" s="14" t="s">
        <v>120</v>
      </c>
      <c r="D9" t="s">
        <v>78</v>
      </c>
      <c r="E9" s="15">
        <v>2</v>
      </c>
      <c r="F9" t="s">
        <v>85</v>
      </c>
      <c r="G9" t="s">
        <v>124</v>
      </c>
      <c r="H9" t="s">
        <v>125</v>
      </c>
      <c r="I9">
        <v>1</v>
      </c>
      <c r="J9" t="str">
        <f>IFERROR(IF(OR(Tableau16[Type]="Sortie",Tableau16[Type]="Budget"),VLOOKUP(Tableau16[CatId],sortie,2,0),IF(Tableau16[Type]="Entrée",VLOOKUP(Tableau16[CatId],entrée,2,0),"")),"")</f>
        <v>Professionnel</v>
      </c>
      <c r="K9" t="s">
        <v>27</v>
      </c>
      <c r="L9" t="str">
        <f ca="1">IFERROR(IF(OR(Tableau16[Type]="Sortie",Tableau16[Type]="Budget"),VLOOKUP(Tableau16[SubId],INDIRECT("Sortie" &amp; Tableau16[CatId]),2,0),IF(Tableau16[Type]="Entrée",VLOOKUP(Tableau16[SubId],INDIRECT("Entrée"&amp;Tableau16[CatId]),2,0),"")),"")</f>
        <v>Retraite Michel</v>
      </c>
      <c r="M9" t="s">
        <v>126</v>
      </c>
      <c r="N9" t="s">
        <v>126</v>
      </c>
      <c r="O9">
        <f>YEAR(Tableau16[Date])</f>
        <v>2018</v>
      </c>
      <c r="P9" t="str">
        <f>TEXT(Tableau16[Date],"mmmm")</f>
        <v>décembre</v>
      </c>
      <c r="Q9" t="str">
        <f ca="1">CONCATENATE(TEXT(Tableau16[Date],"jj/mm/aaaa")," ",Tableau16[Type]," ",Tableau16[Somme]," ",Tableau16[Compte]," ",Tableau16[Description]," ",Tableau16[Catégorie]," ",Tableau16[Sous-Catégorie]," ",Tableau16[Référence]," ",Tableau16[Commentaire]," ",Tableau16[Année]," ",Tableau16[Mois])</f>
        <v>06/12/2018 Entrée 2 Banque Orange tesr Professionnel Retraite Michel eee eee 2018 décembre</v>
      </c>
      <c r="AB9" s="34">
        <v>7</v>
      </c>
      <c r="AC9" s="35">
        <v>43263</v>
      </c>
      <c r="AD9" s="34" t="s">
        <v>78</v>
      </c>
      <c r="AE9" s="45">
        <v>2</v>
      </c>
      <c r="AF9" s="34" t="s">
        <v>85</v>
      </c>
      <c r="AG9" s="34" t="s">
        <v>124</v>
      </c>
      <c r="AH9" s="34" t="s">
        <v>125</v>
      </c>
      <c r="AI9" s="34">
        <v>1</v>
      </c>
      <c r="AJ9" s="34" t="s">
        <v>15</v>
      </c>
      <c r="AK9" s="34">
        <v>1.2</v>
      </c>
      <c r="AL9" s="34" t="s">
        <v>99</v>
      </c>
      <c r="AM9" s="34" t="s">
        <v>126</v>
      </c>
      <c r="AN9" s="34" t="s">
        <v>126</v>
      </c>
      <c r="AO9" s="34">
        <v>2018</v>
      </c>
      <c r="AP9" s="34" t="s">
        <v>150</v>
      </c>
      <c r="AQ9" s="34" t="s">
        <v>157</v>
      </c>
      <c r="AR9" s="34"/>
      <c r="AS9" s="34"/>
    </row>
    <row r="10" spans="2:45" x14ac:dyDescent="0.25">
      <c r="B10">
        <f t="shared" si="1"/>
        <v>8</v>
      </c>
      <c r="C10" s="14" t="s">
        <v>127</v>
      </c>
      <c r="D10" t="s">
        <v>78</v>
      </c>
      <c r="E10" s="15">
        <v>1000</v>
      </c>
      <c r="F10" t="s">
        <v>85</v>
      </c>
      <c r="G10" t="s">
        <v>128</v>
      </c>
      <c r="H10" t="s">
        <v>121</v>
      </c>
      <c r="I10">
        <v>1</v>
      </c>
      <c r="J10" t="str">
        <f>IFERROR(IF(OR(Tableau16[Type]="Sortie",Tableau16[Type]="Budget"),VLOOKUP(Tableau16[CatId],sortie,2,0),IF(Tableau16[Type]="Entrée",VLOOKUP(Tableau16[CatId],entrée,2,0),"")),"")</f>
        <v>Professionnel</v>
      </c>
      <c r="K10" t="s">
        <v>20</v>
      </c>
      <c r="L10" t="str">
        <f ca="1">IFERROR(IF(OR(Tableau16[Type]="Sortie",Tableau16[Type]="Budget"),VLOOKUP(Tableau16[SubId],INDIRECT("Sortie" &amp; Tableau16[CatId]),2,0),IF(Tableau16[Type]="Entrée",VLOOKUP(Tableau16[SubId],INDIRECT("Entrée"&amp;Tableau16[CatId]),2,0),"")),"")</f>
        <v>Salaire Sandrine</v>
      </c>
      <c r="M10" t="s">
        <v>129</v>
      </c>
      <c r="N10" t="s">
        <v>129</v>
      </c>
      <c r="O10">
        <f>YEAR(Tableau16[Date])</f>
        <v>2018</v>
      </c>
      <c r="P10" t="str">
        <f>TEXT(Tableau16[Date],"mmmm")</f>
        <v>janvier</v>
      </c>
      <c r="Q10" t="str">
        <f ca="1">CONCATENATE(TEXT(Tableau16[Date],"jj/mm/aaaa")," ",Tableau16[Type]," ",Tableau16[Somme]," ",Tableau16[Compte]," ",Tableau16[Description]," ",Tableau16[Catégorie]," ",Tableau16[Sous-Catégorie]," ",Tableau16[Référence]," ",Tableau16[Commentaire]," ",Tableau16[Année]," ",Tableau16[Mois])</f>
        <v>01/01/2018 Entrée 1000 Banque Orange test Professionnel Salaire Sandrine cbcv cbcv 2018 janvier</v>
      </c>
      <c r="AB10" s="34">
        <v>8</v>
      </c>
      <c r="AC10" s="35">
        <v>43101</v>
      </c>
      <c r="AD10" s="34" t="s">
        <v>78</v>
      </c>
      <c r="AE10" s="45">
        <v>1000</v>
      </c>
      <c r="AF10" s="34" t="s">
        <v>85</v>
      </c>
      <c r="AG10" s="34" t="s">
        <v>128</v>
      </c>
      <c r="AH10" s="34" t="s">
        <v>121</v>
      </c>
      <c r="AI10" s="34">
        <v>1</v>
      </c>
      <c r="AJ10" s="34" t="s">
        <v>15</v>
      </c>
      <c r="AK10" s="34">
        <v>1.1000000000000001</v>
      </c>
      <c r="AL10" s="34" t="s">
        <v>98</v>
      </c>
      <c r="AM10" s="34" t="s">
        <v>129</v>
      </c>
      <c r="AN10" s="34" t="s">
        <v>129</v>
      </c>
      <c r="AO10" s="34">
        <v>2018</v>
      </c>
      <c r="AP10" s="34" t="s">
        <v>144</v>
      </c>
      <c r="AQ10" s="34" t="s">
        <v>158</v>
      </c>
      <c r="AR10" s="34"/>
      <c r="AS10" s="34"/>
    </row>
    <row r="11" spans="2:45" x14ac:dyDescent="0.25">
      <c r="B11">
        <f t="shared" si="1"/>
        <v>9</v>
      </c>
      <c r="C11" s="14" t="s">
        <v>145</v>
      </c>
      <c r="D11" t="s">
        <v>146</v>
      </c>
      <c r="E11" s="15">
        <v>-40</v>
      </c>
      <c r="F11" t="s">
        <v>85</v>
      </c>
      <c r="H11" t="s">
        <v>121</v>
      </c>
      <c r="J11" t="str">
        <f>IFERROR(IF(OR(Tableau16[Type]="Sortie",Tableau16[Type]="Budget"),VLOOKUP(Tableau16[CatId],sortie,2,0),IF(Tableau16[Type]="Entrée",VLOOKUP(Tableau16[CatId],entrée,2,0),"")),"")</f>
        <v/>
      </c>
      <c r="L11" t="str">
        <f ca="1">IFERROR(IF(OR(Tableau16[Type]="Sortie",Tableau16[Type]="Budget"),VLOOKUP(Tableau16[SubId],INDIRECT("Sortie" &amp; Tableau16[CatId]),2,0),IF(Tableau16[Type]="Entrée",VLOOKUP(Tableau16[SubId],INDIRECT("Entrée"&amp;Tableau16[CatId]),2,0),"")),"")</f>
        <v/>
      </c>
      <c r="O11">
        <f>YEAR(Tableau16[Date])</f>
        <v>2018</v>
      </c>
      <c r="P11" t="str">
        <f>TEXT(Tableau16[Date],"mmmm")</f>
        <v>décembre</v>
      </c>
      <c r="Q11" t="str">
        <f ca="1">CONCATENATE(TEXT(Tableau16[Date],"jj/mm/aaaa")," ",Tableau16[Type]," ",Tableau16[Somme]," ",Tableau16[Compte]," ",Tableau16[Description]," ",Tableau16[Catégorie]," ",Tableau16[Sous-Catégorie]," ",Tableau16[Référence]," ",Tableau16[Commentaire]," ",Tableau16[Année]," ",Tableau16[Mois])</f>
        <v>01/12/2018 Transfer -40 Banque Orange test     2018 décembre</v>
      </c>
      <c r="AB11" s="34">
        <v>9</v>
      </c>
      <c r="AC11" s="35">
        <v>43112</v>
      </c>
      <c r="AD11" s="34" t="s">
        <v>146</v>
      </c>
      <c r="AE11" s="45">
        <v>-40</v>
      </c>
      <c r="AF11" s="34" t="s">
        <v>85</v>
      </c>
      <c r="AG11" s="34"/>
      <c r="AH11" s="34" t="s">
        <v>121</v>
      </c>
      <c r="AI11" s="34"/>
      <c r="AJ11" s="34"/>
      <c r="AK11" s="34"/>
      <c r="AL11" s="34"/>
      <c r="AM11" s="34"/>
      <c r="AN11" s="34"/>
      <c r="AO11" s="34">
        <v>2018</v>
      </c>
      <c r="AP11" s="34" t="s">
        <v>150</v>
      </c>
      <c r="AQ11" s="34" t="s">
        <v>159</v>
      </c>
      <c r="AR11" s="34"/>
      <c r="AS11" s="34"/>
    </row>
    <row r="12" spans="2:45" x14ac:dyDescent="0.25">
      <c r="B12">
        <f t="shared" si="1"/>
        <v>10</v>
      </c>
      <c r="C12" s="14" t="s">
        <v>145</v>
      </c>
      <c r="D12" t="s">
        <v>146</v>
      </c>
      <c r="E12" s="15">
        <v>40</v>
      </c>
      <c r="F12" t="s">
        <v>131</v>
      </c>
      <c r="H12" t="s">
        <v>121</v>
      </c>
      <c r="J12" t="str">
        <f>IFERROR(IF(OR(Tableau16[Type]="Sortie",Tableau16[Type]="Budget"),VLOOKUP(Tableau16[CatId],sortie,2,0),IF(Tableau16[Type]="Entrée",VLOOKUP(Tableau16[CatId],entrée,2,0),"")),"")</f>
        <v/>
      </c>
      <c r="L12" t="str">
        <f ca="1">IFERROR(IF(OR(Tableau16[Type]="Sortie",Tableau16[Type]="Budget"),VLOOKUP(Tableau16[SubId],INDIRECT("Sortie" &amp; Tableau16[CatId]),2,0),IF(Tableau16[Type]="Entrée",VLOOKUP(Tableau16[SubId],INDIRECT("Entrée"&amp;Tableau16[CatId]),2,0),"")),"")</f>
        <v/>
      </c>
      <c r="O12">
        <f>YEAR(Tableau16[Date])</f>
        <v>2018</v>
      </c>
      <c r="P12" t="str">
        <f>TEXT(Tableau16[Date],"mmmm")</f>
        <v>décembre</v>
      </c>
      <c r="Q12" t="str">
        <f ca="1">CONCATENATE(TEXT(Tableau16[Date],"jj/mm/aaaa")," ",Tableau16[Type]," ",Tableau16[Somme]," ",Tableau16[Compte]," ",Tableau16[Description]," ",Tableau16[Catégorie]," ",Tableau16[Sous-Catégorie]," ",Tableau16[Référence]," ",Tableau16[Commentaire]," ",Tableau16[Année]," ",Tableau16[Mois])</f>
        <v>01/12/2018 Transfer 40 Crédit Mutuel test     2018 décembre</v>
      </c>
      <c r="AB12" s="34">
        <v>10</v>
      </c>
      <c r="AC12" s="35">
        <v>43112</v>
      </c>
      <c r="AD12" s="34" t="s">
        <v>146</v>
      </c>
      <c r="AE12" s="45">
        <v>40</v>
      </c>
      <c r="AF12" s="34" t="s">
        <v>131</v>
      </c>
      <c r="AG12" s="34"/>
      <c r="AH12" s="34" t="s">
        <v>121</v>
      </c>
      <c r="AI12" s="34"/>
      <c r="AJ12" s="34"/>
      <c r="AK12" s="34"/>
      <c r="AL12" s="34"/>
      <c r="AM12" s="34"/>
      <c r="AN12" s="34"/>
      <c r="AO12" s="34">
        <v>2018</v>
      </c>
      <c r="AP12" s="34" t="s">
        <v>150</v>
      </c>
      <c r="AQ12" s="34" t="s">
        <v>160</v>
      </c>
      <c r="AR12" s="34"/>
      <c r="AS12" s="34"/>
    </row>
    <row r="13" spans="2:45" x14ac:dyDescent="0.25">
      <c r="B13">
        <f t="shared" si="1"/>
        <v>11</v>
      </c>
      <c r="C13" s="14" t="s">
        <v>147</v>
      </c>
      <c r="D13" t="s">
        <v>78</v>
      </c>
      <c r="E13" s="15">
        <v>90</v>
      </c>
      <c r="F13" t="s">
        <v>131</v>
      </c>
      <c r="G13" t="s">
        <v>148</v>
      </c>
      <c r="H13" t="s">
        <v>148</v>
      </c>
      <c r="I13">
        <v>1</v>
      </c>
      <c r="J13" t="str">
        <f>IFERROR(IF(OR(Tableau16[Type]="Sortie",Tableau16[Type]="Budget"),VLOOKUP(Tableau16[CatId],sortie,2,0),IF(Tableau16[Type]="Entrée",VLOOKUP(Tableau16[CatId],entrée,2,0),"")),"")</f>
        <v>Professionnel</v>
      </c>
      <c r="K13" t="s">
        <v>20</v>
      </c>
      <c r="L13" t="str">
        <f ca="1">IFERROR(IF(OR(Tableau16[Type]="Sortie",Tableau16[Type]="Budget"),VLOOKUP(Tableau16[SubId],INDIRECT("Sortie" &amp; Tableau16[CatId]),2,0),IF(Tableau16[Type]="Entrée",VLOOKUP(Tableau16[SubId],INDIRECT("Entrée"&amp;Tableau16[CatId]),2,0),"")),"")</f>
        <v>Salaire Sandrine</v>
      </c>
      <c r="M13" t="s">
        <v>148</v>
      </c>
      <c r="N13" t="s">
        <v>148</v>
      </c>
      <c r="O13">
        <f>YEAR(Tableau16[Date])</f>
        <v>2018</v>
      </c>
      <c r="P13" t="str">
        <f>TEXT(Tableau16[Date],"mmmm")</f>
        <v>décembre</v>
      </c>
      <c r="Q13" t="str">
        <f ca="1">CONCATENATE(TEXT(Tableau16[Date],"jj/mm/aaaa")," ",Tableau16[Type]," ",Tableau16[Somme]," ",Tableau16[Compte]," ",Tableau16[Description]," ",Tableau16[Catégorie]," ",Tableau16[Sous-Catégorie]," ",Tableau16[Référence]," ",Tableau16[Commentaire]," ",Tableau16[Année]," ",Tableau16[Mois])</f>
        <v>09/12/2018 Entrée 90 Crédit Mutuel  Professionnel Salaire Sandrine   2018 décembre</v>
      </c>
      <c r="AB13" s="34">
        <v>11</v>
      </c>
      <c r="AC13" s="35">
        <v>43355</v>
      </c>
      <c r="AD13" s="34" t="s">
        <v>78</v>
      </c>
      <c r="AE13" s="44">
        <v>90</v>
      </c>
      <c r="AF13" s="34" t="s">
        <v>131</v>
      </c>
      <c r="AG13" s="34"/>
      <c r="AH13" s="34"/>
      <c r="AI13" s="34">
        <v>1</v>
      </c>
      <c r="AJ13" s="34" t="s">
        <v>15</v>
      </c>
      <c r="AK13" s="34">
        <v>1.1000000000000001</v>
      </c>
      <c r="AL13" s="34" t="s">
        <v>98</v>
      </c>
      <c r="AM13" s="34"/>
      <c r="AN13" s="34"/>
      <c r="AO13" s="34">
        <v>2018</v>
      </c>
      <c r="AP13" s="34" t="s">
        <v>150</v>
      </c>
      <c r="AQ13" s="34" t="s">
        <v>161</v>
      </c>
      <c r="AR13" s="34"/>
      <c r="AS13" s="34"/>
    </row>
    <row r="14" spans="2:45" x14ac:dyDescent="0.25"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34"/>
    </row>
    <row r="15" spans="2:45" x14ac:dyDescent="0.25"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</row>
    <row r="16" spans="2:45" x14ac:dyDescent="0.25"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  <c r="AR16" s="34"/>
      <c r="AS16" s="34"/>
    </row>
    <row r="17" spans="28:45" x14ac:dyDescent="0.25">
      <c r="AB17" s="34"/>
      <c r="AC17" s="34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34"/>
      <c r="AQ17" s="34"/>
      <c r="AR17" s="34"/>
      <c r="AS17" s="34"/>
    </row>
    <row r="18" spans="28:45" x14ac:dyDescent="0.25"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</row>
    <row r="19" spans="28:45" x14ac:dyDescent="0.25"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B1:W31"/>
  <sheetViews>
    <sheetView showGridLines="0" workbookViewId="0">
      <selection activeCell="B3" sqref="B3"/>
    </sheetView>
  </sheetViews>
  <sheetFormatPr baseColWidth="10" defaultRowHeight="15" x14ac:dyDescent="0.25"/>
  <cols>
    <col min="1" max="1" width="1.42578125" customWidth="1"/>
    <col min="2" max="2" width="20.28515625" customWidth="1"/>
    <col min="3" max="3" width="14.7109375" style="1" customWidth="1"/>
    <col min="4" max="4" width="17.28515625" style="1" customWidth="1"/>
    <col min="5" max="7" width="1.42578125" customWidth="1"/>
    <col min="9" max="20" width="15.7109375" customWidth="1"/>
  </cols>
  <sheetData>
    <row r="1" spans="8:23" x14ac:dyDescent="0.25">
      <c r="V1" s="28" t="s">
        <v>77</v>
      </c>
      <c r="W1" s="28">
        <f>GETPIVOTDATA("Somme",$H$5,"Type","Sortie")</f>
        <v>52</v>
      </c>
    </row>
    <row r="2" spans="8:23" x14ac:dyDescent="0.25">
      <c r="V2" s="28" t="s">
        <v>78</v>
      </c>
      <c r="W2" s="28">
        <f>GETPIVOTDATA("Somme",$N$5,"Type","Entrée")</f>
        <v>1000</v>
      </c>
    </row>
    <row r="5" spans="8:23" hidden="1" x14ac:dyDescent="0.25">
      <c r="H5" s="16" t="s">
        <v>102</v>
      </c>
      <c r="N5" s="16" t="s">
        <v>102</v>
      </c>
    </row>
    <row r="6" spans="8:23" x14ac:dyDescent="0.25">
      <c r="I6" s="1" t="s">
        <v>77</v>
      </c>
      <c r="O6" s="1" t="s">
        <v>78</v>
      </c>
    </row>
    <row r="7" spans="8:23" x14ac:dyDescent="0.25">
      <c r="H7" s="18" t="s">
        <v>2</v>
      </c>
      <c r="I7" s="17">
        <v>52</v>
      </c>
      <c r="N7" s="18" t="s">
        <v>15</v>
      </c>
      <c r="O7" s="17">
        <v>1000</v>
      </c>
    </row>
    <row r="8" spans="8:23" x14ac:dyDescent="0.25">
      <c r="H8" s="18" t="s">
        <v>101</v>
      </c>
      <c r="I8" s="17">
        <v>52</v>
      </c>
      <c r="N8" s="18" t="s">
        <v>101</v>
      </c>
      <c r="O8" s="17">
        <v>1000</v>
      </c>
    </row>
    <row r="24" spans="2:20" ht="15.75" thickBot="1" x14ac:dyDescent="0.3"/>
    <row r="25" spans="2:20" x14ac:dyDescent="0.25">
      <c r="B25" s="16" t="s">
        <v>102</v>
      </c>
      <c r="C25"/>
      <c r="D25"/>
      <c r="H25" s="22"/>
      <c r="I25" s="23" t="s">
        <v>108</v>
      </c>
      <c r="J25" s="23" t="s">
        <v>109</v>
      </c>
      <c r="K25" s="23" t="s">
        <v>110</v>
      </c>
      <c r="L25" s="23" t="s">
        <v>111</v>
      </c>
      <c r="M25" s="23" t="s">
        <v>112</v>
      </c>
      <c r="N25" s="23" t="s">
        <v>113</v>
      </c>
      <c r="O25" s="23" t="s">
        <v>114</v>
      </c>
      <c r="P25" s="23" t="s">
        <v>115</v>
      </c>
      <c r="Q25" s="23" t="s">
        <v>116</v>
      </c>
      <c r="R25" s="23" t="s">
        <v>117</v>
      </c>
      <c r="S25" s="23" t="s">
        <v>118</v>
      </c>
      <c r="T25" s="24" t="s">
        <v>119</v>
      </c>
    </row>
    <row r="26" spans="2:20" x14ac:dyDescent="0.25">
      <c r="C26" s="1" t="s">
        <v>77</v>
      </c>
      <c r="D26"/>
      <c r="H26" s="25" t="s">
        <v>77</v>
      </c>
      <c r="I26" s="27">
        <f>IFERROR(GETPIVOTDATA("Somme",Rapport!$B$3,"Type","Sortie","Mois",I$25),"")</f>
        <v>52</v>
      </c>
      <c r="J26" s="27" t="str">
        <f>IFERROR(GETPIVOTDATA("Somme",Rapport!$B$3,"Type","Sortie","Mois",J$25),"")</f>
        <v/>
      </c>
      <c r="K26" s="27" t="str">
        <f>IFERROR(GETPIVOTDATA("Somme",Rapport!$B$3,"Type","Sortie","Mois",K$25),"")</f>
        <v/>
      </c>
      <c r="L26" s="27" t="str">
        <f>IFERROR(GETPIVOTDATA("Somme",Rapport!$B$3,"Type","Sortie","Mois",L$25),"")</f>
        <v/>
      </c>
      <c r="M26" s="27" t="str">
        <f>IFERROR(GETPIVOTDATA("Somme",Rapport!$B$3,"Type","Sortie","Mois",M$25),"")</f>
        <v/>
      </c>
      <c r="N26" s="27" t="str">
        <f>IFERROR(GETPIVOTDATA("Somme",Rapport!$B$3,"Type","Sortie","Mois",N$25),"")</f>
        <v/>
      </c>
      <c r="O26" s="27" t="str">
        <f>IFERROR(GETPIVOTDATA("Somme",Rapport!$B$3,"Type","Sortie","Mois",O$25),"")</f>
        <v/>
      </c>
      <c r="P26" s="27" t="str">
        <f>IFERROR(GETPIVOTDATA("Somme",Rapport!$B$3,"Type","Sortie","Mois",P$25),"")</f>
        <v/>
      </c>
      <c r="Q26" s="27" t="str">
        <f>IFERROR(GETPIVOTDATA("Somme",Rapport!$B$3,"Type","Sortie","Mois",Q$25),"")</f>
        <v/>
      </c>
      <c r="R26" s="27" t="str">
        <f>IFERROR(GETPIVOTDATA("Somme",Rapport!$B$3,"Type","Sortie","Mois",R$25),"")</f>
        <v/>
      </c>
      <c r="S26" s="27" t="str">
        <f>IFERROR(GETPIVOTDATA("Somme",Rapport!$B$3,"Type","Sortie","Mois",S$25),"")</f>
        <v/>
      </c>
      <c r="T26" s="27" t="str">
        <f>IFERROR(GETPIVOTDATA("Somme",Rapport!$B$3,"Type","Sortie","Mois",T$25),"")</f>
        <v/>
      </c>
    </row>
    <row r="27" spans="2:20" ht="15.75" thickBot="1" x14ac:dyDescent="0.3">
      <c r="B27" s="18" t="s">
        <v>2</v>
      </c>
      <c r="C27" s="20"/>
      <c r="D27"/>
      <c r="H27" s="26" t="s">
        <v>79</v>
      </c>
      <c r="I27" s="27" t="str">
        <f>IFERROR(GETPIVOTDATA("Somme",Rapport!$B$3,"Type","Budget","Mois",I$25),"")</f>
        <v/>
      </c>
      <c r="J27" s="27" t="str">
        <f>IFERROR(GETPIVOTDATA("Somme",Rapport!$B$3,"Type","Budget","Mois",J$25),"")</f>
        <v/>
      </c>
      <c r="K27" s="27" t="str">
        <f>IFERROR(GETPIVOTDATA("Somme",Rapport!$B$3,"Type","Budget","Mois",K$25),"")</f>
        <v/>
      </c>
      <c r="L27" s="27" t="str">
        <f>IFERROR(GETPIVOTDATA("Somme",Rapport!$B$3,"Type","Budget","Mois",L$25),"")</f>
        <v/>
      </c>
      <c r="M27" s="27" t="str">
        <f>IFERROR(GETPIVOTDATA("Somme",Rapport!$B$3,"Type","Budget","Mois",M$25),"")</f>
        <v/>
      </c>
      <c r="N27" s="27" t="str">
        <f>IFERROR(GETPIVOTDATA("Somme",Rapport!$B$3,"Type","Budget","Mois",N$25),"")</f>
        <v/>
      </c>
      <c r="O27" s="27" t="str">
        <f>IFERROR(GETPIVOTDATA("Somme",Rapport!$B$3,"Type","Budget","Mois",O$25),"")</f>
        <v/>
      </c>
      <c r="P27" s="27" t="str">
        <f>IFERROR(GETPIVOTDATA("Somme",Rapport!$B$3,"Type","Budget","Mois",P$25),"")</f>
        <v/>
      </c>
      <c r="Q27" s="27" t="str">
        <f>IFERROR(GETPIVOTDATA("Somme",Rapport!$B$3,"Type","Budget","Mois",Q$25),"")</f>
        <v/>
      </c>
      <c r="R27" s="27" t="str">
        <f>IFERROR(GETPIVOTDATA("Somme",Rapport!$B$3,"Type","Budget","Mois",R$25),"")</f>
        <v/>
      </c>
      <c r="S27" s="27" t="str">
        <f>IFERROR(GETPIVOTDATA("Somme",Rapport!$B$3,"Type","Budget","Mois",S$25),"")</f>
        <v/>
      </c>
      <c r="T27" s="27" t="str">
        <f>IFERROR(GETPIVOTDATA("Somme",Rapport!$B$3,"Type","Budget","Mois",T$25),"")</f>
        <v/>
      </c>
    </row>
    <row r="28" spans="2:20" x14ac:dyDescent="0.25">
      <c r="B28" s="19" t="s">
        <v>45</v>
      </c>
      <c r="C28" s="20">
        <v>52</v>
      </c>
      <c r="D28"/>
    </row>
    <row r="29" spans="2:20" x14ac:dyDescent="0.25">
      <c r="C29"/>
      <c r="D29"/>
    </row>
    <row r="30" spans="2:20" x14ac:dyDescent="0.25">
      <c r="C30"/>
      <c r="D30"/>
    </row>
    <row r="31" spans="2:20" x14ac:dyDescent="0.25">
      <c r="C31"/>
      <c r="D31"/>
    </row>
  </sheetData>
  <conditionalFormatting pivot="1" sqref="I7">
    <cfRule type="dataBar" priority="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{C7DA8383-239E-4577-B12F-F67F9D7A969D}</x14:id>
        </ext>
      </extLst>
    </cfRule>
  </conditionalFormatting>
  <conditionalFormatting pivot="1" sqref="C27:C28">
    <cfRule type="expression" dxfId="8" priority="4">
      <formula>C27&lt;&gt;""</formula>
    </cfRule>
  </conditionalFormatting>
  <conditionalFormatting pivot="1" sqref="C27:C28">
    <cfRule type="expression" dxfId="7" priority="3">
      <formula>C27&gt;D27</formula>
    </cfRule>
  </conditionalFormatting>
  <conditionalFormatting pivot="1" sqref="C27:C28">
    <cfRule type="expression" dxfId="6" priority="2">
      <formula>AND(C27&lt;=D27,C27&gt;D27-(D27*10%))</formula>
    </cfRule>
  </conditionalFormatting>
  <conditionalFormatting pivot="1" sqref="C27:C28">
    <cfRule type="expression" dxfId="5" priority="1">
      <formula>C27=""</formula>
    </cfRule>
  </conditionalFormatting>
  <pageMargins left="0.7" right="0.7" top="0.75" bottom="0.75" header="0.3" footer="0.3"/>
  <pageSetup paperSize="9" orientation="portrait" horizontalDpi="0" verticalDpi="0" r:id="rId4"/>
  <drawing r:id="rId5"/>
  <extLst>
    <ext xmlns:x14="http://schemas.microsoft.com/office/spreadsheetml/2009/9/main" uri="{78C0D931-6437-407d-A8EE-F0AAD7539E65}">
      <x14:conditionalFormattings>
        <x14:conditionalFormatting xmlns:xm="http://schemas.microsoft.com/office/excel/2006/main" pivot="1">
          <x14:cfRule type="dataBar" id="{C7DA8383-239E-4577-B12F-F67F9D7A969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I7</xm:sqref>
        </x14:conditionalFormatting>
      </x14:conditionalFormattings>
    </ext>
    <ext xmlns:x14="http://schemas.microsoft.com/office/spreadsheetml/2009/9/main" uri="{A8765BA9-456A-4dab-B4F3-ACF838C121DE}">
      <x14:slicerList>
        <x14:slicer r:id="rId6"/>
      </x14:slicerList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B3:D15"/>
  <sheetViews>
    <sheetView workbookViewId="0">
      <selection activeCell="B3" sqref="B3"/>
    </sheetView>
  </sheetViews>
  <sheetFormatPr baseColWidth="10" defaultRowHeight="15" x14ac:dyDescent="0.25"/>
  <cols>
    <col min="2" max="2" width="21" bestFit="1" customWidth="1"/>
    <col min="3" max="3" width="23.85546875" bestFit="1" customWidth="1"/>
    <col min="4" max="5" width="12.5703125" bestFit="1" customWidth="1"/>
  </cols>
  <sheetData>
    <row r="3" spans="2:4" x14ac:dyDescent="0.25">
      <c r="B3" s="16" t="s">
        <v>102</v>
      </c>
      <c r="C3" s="16" t="s">
        <v>100</v>
      </c>
    </row>
    <row r="4" spans="2:4" x14ac:dyDescent="0.25">
      <c r="B4" s="16" t="s">
        <v>103</v>
      </c>
      <c r="C4" t="s">
        <v>144</v>
      </c>
      <c r="D4" t="s">
        <v>101</v>
      </c>
    </row>
    <row r="5" spans="2:4" x14ac:dyDescent="0.25">
      <c r="B5" s="18" t="s">
        <v>78</v>
      </c>
      <c r="C5" s="17"/>
      <c r="D5" s="17"/>
    </row>
    <row r="6" spans="2:4" x14ac:dyDescent="0.25">
      <c r="B6" s="19" t="s">
        <v>15</v>
      </c>
      <c r="C6" s="17"/>
      <c r="D6" s="17"/>
    </row>
    <row r="7" spans="2:4" x14ac:dyDescent="0.25">
      <c r="B7" s="21" t="s">
        <v>98</v>
      </c>
      <c r="C7" s="17">
        <v>1000</v>
      </c>
      <c r="D7" s="17">
        <v>1000</v>
      </c>
    </row>
    <row r="8" spans="2:4" x14ac:dyDescent="0.25">
      <c r="B8" s="19" t="s">
        <v>104</v>
      </c>
      <c r="C8" s="17">
        <v>1000</v>
      </c>
      <c r="D8" s="17">
        <v>1000</v>
      </c>
    </row>
    <row r="9" spans="2:4" x14ac:dyDescent="0.25">
      <c r="B9" s="18" t="s">
        <v>105</v>
      </c>
      <c r="C9" s="17">
        <v>1000</v>
      </c>
      <c r="D9" s="17">
        <v>1000</v>
      </c>
    </row>
    <row r="10" spans="2:4" x14ac:dyDescent="0.25">
      <c r="B10" s="18" t="s">
        <v>77</v>
      </c>
      <c r="C10" s="17"/>
      <c r="D10" s="17"/>
    </row>
    <row r="11" spans="2:4" x14ac:dyDescent="0.25">
      <c r="B11" s="19" t="s">
        <v>2</v>
      </c>
      <c r="C11" s="17"/>
      <c r="D11" s="17"/>
    </row>
    <row r="12" spans="2:4" x14ac:dyDescent="0.25">
      <c r="B12" s="21" t="s">
        <v>45</v>
      </c>
      <c r="C12" s="17">
        <v>52</v>
      </c>
      <c r="D12" s="17">
        <v>52</v>
      </c>
    </row>
    <row r="13" spans="2:4" x14ac:dyDescent="0.25">
      <c r="B13" s="19" t="s">
        <v>106</v>
      </c>
      <c r="C13" s="17">
        <v>52</v>
      </c>
      <c r="D13" s="17">
        <v>52</v>
      </c>
    </row>
    <row r="14" spans="2:4" x14ac:dyDescent="0.25">
      <c r="B14" s="18" t="s">
        <v>107</v>
      </c>
      <c r="C14" s="17">
        <v>52</v>
      </c>
      <c r="D14" s="17">
        <v>52</v>
      </c>
    </row>
    <row r="15" spans="2:4" x14ac:dyDescent="0.25">
      <c r="B15" s="18" t="s">
        <v>101</v>
      </c>
      <c r="C15" s="17">
        <v>1052</v>
      </c>
      <c r="D15" s="17">
        <v>1052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19</vt:i4>
      </vt:variant>
    </vt:vector>
  </HeadingPairs>
  <TitlesOfParts>
    <vt:vector size="25" baseType="lpstr">
      <vt:lpstr>Catégorie</vt:lpstr>
      <vt:lpstr>config</vt:lpstr>
      <vt:lpstr>Compte</vt:lpstr>
      <vt:lpstr>input</vt:lpstr>
      <vt:lpstr>Analyse</vt:lpstr>
      <vt:lpstr>Rapport</vt:lpstr>
      <vt:lpstr>compte</vt:lpstr>
      <vt:lpstr>input!Criteres</vt:lpstr>
      <vt:lpstr>entrée</vt:lpstr>
      <vt:lpstr>entrée1</vt:lpstr>
      <vt:lpstr>entrée2</vt:lpstr>
      <vt:lpstr>entrée3</vt:lpstr>
      <vt:lpstr>input!Extraire</vt:lpstr>
      <vt:lpstr>periode</vt:lpstr>
      <vt:lpstr>période</vt:lpstr>
      <vt:lpstr>sortie</vt:lpstr>
      <vt:lpstr>sortie1</vt:lpstr>
      <vt:lpstr>sortie2</vt:lpstr>
      <vt:lpstr>sortie3</vt:lpstr>
      <vt:lpstr>sortie4</vt:lpstr>
      <vt:lpstr>sortie5</vt:lpstr>
      <vt:lpstr>sortie6</vt:lpstr>
      <vt:lpstr>sortie7</vt:lpstr>
      <vt:lpstr>sortie8</vt:lpstr>
      <vt:lpstr>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jp</cp:lastModifiedBy>
  <dcterms:created xsi:type="dcterms:W3CDTF">2018-12-05T20:02:43Z</dcterms:created>
  <dcterms:modified xsi:type="dcterms:W3CDTF">2018-12-09T09:48:03Z</dcterms:modified>
</cp:coreProperties>
</file>