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omments1.xml" ContentType="application/vnd.openxmlformats-officedocument.spreadsheetml.comments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omments2.xml" ContentType="application/vnd.openxmlformats-officedocument.spreadsheetml.comments+xml"/>
  <Override PartName="/xl/tables/table12.xml" ContentType="application/vnd.openxmlformats-officedocument.spreadsheetml.table+xml"/>
  <Override PartName="/xl/comments3.xml" ContentType="application/vnd.openxmlformats-officedocument.spreadsheetml.comments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60" windowWidth="15240" windowHeight="6285" tabRatio="937" activeTab="1"/>
  </bookViews>
  <sheets>
    <sheet name="SG" sheetId="2" r:id="rId1"/>
    <sheet name="SAV" sheetId="20" r:id="rId2"/>
    <sheet name="Matrice" sheetId="6" state="hidden" r:id="rId3"/>
    <sheet name="BDD Salariés" sheetId="4" r:id="rId4"/>
    <sheet name="Variables" sheetId="1" state="hidden" r:id="rId5"/>
  </sheets>
  <definedNames>
    <definedName name="_xlnm.Print_Titles" localSheetId="2">Matrice!$1:$5</definedName>
    <definedName name="_xlnm.Print_Titles" localSheetId="1">SAV!$1:$6</definedName>
    <definedName name="_xlnm.Print_Titles" localSheetId="0">SG!$1:$6</definedName>
    <definedName name="_xlnm.Print_Area" localSheetId="1">SAV!#REF!</definedName>
  </definedNames>
  <calcPr calcId="145621"/>
</workbook>
</file>

<file path=xl/calcChain.xml><?xml version="1.0" encoding="utf-8"?>
<calcChain xmlns="http://schemas.openxmlformats.org/spreadsheetml/2006/main">
  <c r="B127" i="2" l="1"/>
  <c r="O127" i="2" s="1"/>
  <c r="O132" i="2"/>
  <c r="O131" i="2"/>
  <c r="O128" i="2"/>
  <c r="B126" i="2"/>
  <c r="O126" i="2" s="1"/>
  <c r="A124" i="2"/>
  <c r="O123" i="2"/>
  <c r="B129" i="2" s="1"/>
  <c r="O129" i="2" s="1"/>
  <c r="N123" i="2"/>
  <c r="M123" i="2"/>
  <c r="L123" i="2"/>
  <c r="O122" i="2"/>
  <c r="N122" i="2"/>
  <c r="M122" i="2"/>
  <c r="L122" i="2"/>
  <c r="A122" i="2"/>
  <c r="H121" i="2"/>
  <c r="A136" i="2" l="1"/>
  <c r="B133" i="2"/>
  <c r="O133" i="2" s="1"/>
  <c r="G123" i="2"/>
  <c r="E135" i="2"/>
  <c r="E136" i="2" s="1"/>
  <c r="I135" i="2"/>
  <c r="I136" i="2" s="1"/>
  <c r="B130" i="2"/>
  <c r="O130" i="2" s="1"/>
  <c r="A135" i="2"/>
  <c r="A133" i="2"/>
  <c r="M135" i="2"/>
  <c r="M136" i="2" s="1"/>
  <c r="H123" i="2"/>
  <c r="H124" i="2" s="1"/>
  <c r="F135" i="2"/>
  <c r="F136" i="2" s="1"/>
  <c r="J135" i="2"/>
  <c r="J136" i="2" s="1"/>
  <c r="N135" i="2"/>
  <c r="N136" i="2" s="1"/>
  <c r="A137" i="2"/>
  <c r="C135" i="2"/>
  <c r="G135" i="2"/>
  <c r="G136" i="2" s="1"/>
  <c r="K135" i="2"/>
  <c r="K136" i="2" s="1"/>
  <c r="H122" i="2"/>
  <c r="G124" i="2"/>
  <c r="D135" i="2"/>
  <c r="D136" i="2" s="1"/>
  <c r="H135" i="2"/>
  <c r="H136" i="2" s="1"/>
  <c r="L135" i="2"/>
  <c r="L136" i="2" s="1"/>
  <c r="B137" i="2" l="1"/>
  <c r="O134" i="2"/>
  <c r="C136" i="2"/>
  <c r="O136" i="2" s="1"/>
  <c r="O135" i="2"/>
  <c r="B135" i="2"/>
  <c r="N87" i="4"/>
  <c r="O87" i="4"/>
  <c r="P87" i="4"/>
  <c r="Q87" i="4"/>
  <c r="R87" i="4"/>
  <c r="S87" i="4"/>
  <c r="N86" i="4"/>
  <c r="O86" i="4"/>
  <c r="P86" i="4"/>
  <c r="Q86" i="4"/>
  <c r="R86" i="4"/>
  <c r="S86" i="4"/>
  <c r="N85" i="4"/>
  <c r="O85" i="4"/>
  <c r="P85" i="4"/>
  <c r="Q85" i="4"/>
  <c r="R85" i="4"/>
  <c r="S85" i="4"/>
  <c r="C137" i="2" l="1"/>
  <c r="D137" i="2" s="1"/>
  <c r="E137" i="2" s="1"/>
  <c r="F137" i="2" s="1"/>
  <c r="G137" i="2" s="1"/>
  <c r="H137" i="2" s="1"/>
  <c r="I137" i="2" s="1"/>
  <c r="J137" i="2" s="1"/>
  <c r="K137" i="2" s="1"/>
  <c r="L137" i="2" s="1"/>
  <c r="M137" i="2" s="1"/>
  <c r="N137" i="2" s="1"/>
  <c r="O137" i="2" s="1"/>
  <c r="O94" i="2" l="1"/>
  <c r="O93" i="2"/>
  <c r="O90" i="2"/>
  <c r="A86" i="2"/>
  <c r="O85" i="2"/>
  <c r="N85" i="2"/>
  <c r="M85" i="2"/>
  <c r="L85" i="2"/>
  <c r="O84" i="2"/>
  <c r="N84" i="2"/>
  <c r="M84" i="2"/>
  <c r="L84" i="2"/>
  <c r="A84" i="2"/>
  <c r="H83" i="2"/>
  <c r="A98" i="2" s="1"/>
  <c r="N84" i="4"/>
  <c r="O84" i="4"/>
  <c r="P84" i="4"/>
  <c r="Q84" i="4"/>
  <c r="R84" i="4"/>
  <c r="S84" i="4"/>
  <c r="H84" i="2" l="1"/>
  <c r="B92" i="2" s="1"/>
  <c r="O92" i="2" s="1"/>
  <c r="H86" i="2"/>
  <c r="A97" i="2"/>
  <c r="E97" i="2"/>
  <c r="E98" i="2" s="1"/>
  <c r="G85" i="2"/>
  <c r="I97" i="2"/>
  <c r="I98" i="2" s="1"/>
  <c r="A95" i="2"/>
  <c r="M97" i="2"/>
  <c r="M98" i="2" s="1"/>
  <c r="H85" i="2"/>
  <c r="B95" i="2"/>
  <c r="O95" i="2" s="1"/>
  <c r="F97" i="2"/>
  <c r="F98" i="2" s="1"/>
  <c r="J97" i="2"/>
  <c r="J98" i="2" s="1"/>
  <c r="N97" i="2"/>
  <c r="N98" i="2" s="1"/>
  <c r="A99" i="2"/>
  <c r="C97" i="2"/>
  <c r="G97" i="2"/>
  <c r="G98" i="2" s="1"/>
  <c r="K97" i="2"/>
  <c r="K98" i="2" s="1"/>
  <c r="B99" i="2"/>
  <c r="G86" i="2"/>
  <c r="D97" i="2"/>
  <c r="D98" i="2" s="1"/>
  <c r="H97" i="2"/>
  <c r="H98" i="2" s="1"/>
  <c r="L97" i="2"/>
  <c r="L98" i="2" s="1"/>
  <c r="N83" i="4"/>
  <c r="O83" i="4"/>
  <c r="P83" i="4"/>
  <c r="Q83" i="4"/>
  <c r="R83" i="4"/>
  <c r="S83" i="4"/>
  <c r="N82" i="4"/>
  <c r="O82" i="4"/>
  <c r="P82" i="4"/>
  <c r="Q82" i="4"/>
  <c r="R82" i="4"/>
  <c r="S82" i="4"/>
  <c r="O97" i="2" l="1"/>
  <c r="B97" i="2"/>
  <c r="C98" i="2"/>
  <c r="O98" i="2" s="1"/>
  <c r="C99" i="2" l="1"/>
  <c r="D99" i="2" s="1"/>
  <c r="E99" i="2" s="1"/>
  <c r="F99" i="2" s="1"/>
  <c r="G99" i="2" s="1"/>
  <c r="H99" i="2" s="1"/>
  <c r="I99" i="2" s="1"/>
  <c r="J99" i="2" s="1"/>
  <c r="K99" i="2" s="1"/>
  <c r="L99" i="2" s="1"/>
  <c r="M99" i="2" s="1"/>
  <c r="N99" i="2" s="1"/>
  <c r="O99" i="2" s="1"/>
  <c r="B147" i="2"/>
  <c r="B109" i="2" l="1"/>
  <c r="N81" i="4" l="1"/>
  <c r="O81" i="4"/>
  <c r="P81" i="4"/>
  <c r="Q81" i="4"/>
  <c r="R81" i="4"/>
  <c r="S81" i="4"/>
  <c r="O37" i="20" l="1"/>
  <c r="O36" i="20"/>
  <c r="O33" i="20"/>
  <c r="A29" i="20"/>
  <c r="A27" i="20"/>
  <c r="H26" i="20"/>
  <c r="A42" i="20" s="1"/>
  <c r="O18" i="20"/>
  <c r="O17" i="20"/>
  <c r="O14" i="20"/>
  <c r="A10" i="20"/>
  <c r="A8" i="20"/>
  <c r="H7" i="20"/>
  <c r="A22" i="20" s="1"/>
  <c r="B2" i="20"/>
  <c r="N4" i="20"/>
  <c r="L4" i="20"/>
  <c r="J4" i="20"/>
  <c r="N3" i="20"/>
  <c r="L3" i="20"/>
  <c r="J3" i="20"/>
  <c r="N5" i="20" l="1"/>
  <c r="L5" i="20"/>
  <c r="J5" i="20"/>
  <c r="H40" i="20"/>
  <c r="H41" i="20" s="1"/>
  <c r="B42" i="20"/>
  <c r="H27" i="20"/>
  <c r="C40" i="20"/>
  <c r="C41" i="20" s="1"/>
  <c r="M40" i="20"/>
  <c r="M41" i="20" s="1"/>
  <c r="H29" i="20"/>
  <c r="I40" i="20"/>
  <c r="I41" i="20" s="1"/>
  <c r="G28" i="20"/>
  <c r="D40" i="20"/>
  <c r="D41" i="20" s="1"/>
  <c r="A41" i="20"/>
  <c r="A38" i="20"/>
  <c r="E40" i="20"/>
  <c r="E41" i="20" s="1"/>
  <c r="K40" i="20"/>
  <c r="K41" i="20" s="1"/>
  <c r="G29" i="20"/>
  <c r="A40" i="20"/>
  <c r="G40" i="20"/>
  <c r="G41" i="20" s="1"/>
  <c r="L40" i="20"/>
  <c r="L41" i="20" s="1"/>
  <c r="H9" i="20"/>
  <c r="H10" i="20" s="1"/>
  <c r="A19" i="20"/>
  <c r="E21" i="20"/>
  <c r="E22" i="20" s="1"/>
  <c r="M21" i="20"/>
  <c r="M22" i="20" s="1"/>
  <c r="B19" i="20"/>
  <c r="O19" i="20" s="1"/>
  <c r="F21" i="20"/>
  <c r="F22" i="20" s="1"/>
  <c r="J21" i="20"/>
  <c r="J22" i="20" s="1"/>
  <c r="N21" i="20"/>
  <c r="N22" i="20" s="1"/>
  <c r="A23" i="20"/>
  <c r="H8" i="20"/>
  <c r="G10" i="20"/>
  <c r="C21" i="20"/>
  <c r="G21" i="20"/>
  <c r="G22" i="20" s="1"/>
  <c r="K21" i="20"/>
  <c r="K22" i="20" s="1"/>
  <c r="A21" i="20"/>
  <c r="I21" i="20"/>
  <c r="I22" i="20" s="1"/>
  <c r="G9" i="20"/>
  <c r="D21" i="20"/>
  <c r="D22" i="20" s="1"/>
  <c r="H21" i="20"/>
  <c r="H22" i="20" s="1"/>
  <c r="L21" i="20"/>
  <c r="L22" i="20" s="1"/>
  <c r="H28" i="20"/>
  <c r="B38" i="20"/>
  <c r="O38" i="20" s="1"/>
  <c r="F40" i="20"/>
  <c r="F41" i="20" s="1"/>
  <c r="J40" i="20"/>
  <c r="J41" i="20" s="1"/>
  <c r="N40" i="20"/>
  <c r="N41" i="20" s="1"/>
  <c r="B31" i="20" l="1"/>
  <c r="O31" i="20" s="1"/>
  <c r="B12" i="20"/>
  <c r="O12" i="20" s="1"/>
  <c r="C42" i="20"/>
  <c r="D42" i="20" s="1"/>
  <c r="E42" i="20" s="1"/>
  <c r="F42" i="20" s="1"/>
  <c r="G42" i="20" s="1"/>
  <c r="H42" i="20" s="1"/>
  <c r="I42" i="20" s="1"/>
  <c r="J42" i="20" s="1"/>
  <c r="K42" i="20" s="1"/>
  <c r="L42" i="20" s="1"/>
  <c r="M42" i="20" s="1"/>
  <c r="N42" i="20" s="1"/>
  <c r="O42" i="20" s="1"/>
  <c r="B32" i="20"/>
  <c r="O32" i="20" s="1"/>
  <c r="B13" i="20"/>
  <c r="O13" i="20" s="1"/>
  <c r="O41" i="20"/>
  <c r="O40" i="20"/>
  <c r="B40" i="20"/>
  <c r="C22" i="20"/>
  <c r="O22" i="20" s="1"/>
  <c r="O21" i="20"/>
  <c r="B21" i="20"/>
  <c r="H7" i="2" l="1"/>
  <c r="G9" i="2" s="1"/>
  <c r="A8" i="2"/>
  <c r="A10" i="2"/>
  <c r="O14" i="2"/>
  <c r="O17" i="2"/>
  <c r="O18" i="2"/>
  <c r="H26" i="2"/>
  <c r="A27" i="2"/>
  <c r="A29" i="2"/>
  <c r="O33" i="2"/>
  <c r="O36" i="2"/>
  <c r="O37" i="2"/>
  <c r="H45" i="2"/>
  <c r="E59" i="2" s="1"/>
  <c r="E60" i="2" s="1"/>
  <c r="A46" i="2"/>
  <c r="A48" i="2"/>
  <c r="O52" i="2"/>
  <c r="O55" i="2"/>
  <c r="O56" i="2"/>
  <c r="H64" i="2"/>
  <c r="A78" i="2" s="1"/>
  <c r="A65" i="2"/>
  <c r="A67" i="2"/>
  <c r="O71" i="2"/>
  <c r="O74" i="2"/>
  <c r="O75" i="2"/>
  <c r="H102" i="2"/>
  <c r="D116" i="2" s="1"/>
  <c r="D117" i="2" s="1"/>
  <c r="A103" i="2"/>
  <c r="A105" i="2"/>
  <c r="O109" i="2"/>
  <c r="O112" i="2"/>
  <c r="O113" i="2"/>
  <c r="H140" i="2"/>
  <c r="G142" i="2" s="1"/>
  <c r="A141" i="2"/>
  <c r="A143" i="2"/>
  <c r="O147" i="2"/>
  <c r="O150" i="2"/>
  <c r="O151" i="2"/>
  <c r="H159" i="2"/>
  <c r="A173" i="2" s="1"/>
  <c r="A160" i="2"/>
  <c r="A162" i="2"/>
  <c r="O166" i="2"/>
  <c r="O169" i="2"/>
  <c r="O170" i="2"/>
  <c r="L3" i="2"/>
  <c r="O19" i="6"/>
  <c r="O18" i="6"/>
  <c r="O15" i="6"/>
  <c r="A11" i="6"/>
  <c r="O10" i="6"/>
  <c r="B16" i="6" s="1"/>
  <c r="N10" i="6"/>
  <c r="M10" i="6"/>
  <c r="L10" i="6"/>
  <c r="O9" i="6"/>
  <c r="N9" i="6"/>
  <c r="M9" i="6"/>
  <c r="L9" i="6"/>
  <c r="A9" i="6"/>
  <c r="H8" i="6"/>
  <c r="A24" i="6" s="1"/>
  <c r="H9" i="6" l="1"/>
  <c r="B17" i="6"/>
  <c r="O17" i="6" s="1"/>
  <c r="G10" i="6"/>
  <c r="A20" i="6"/>
  <c r="O16" i="6"/>
  <c r="J40" i="2"/>
  <c r="J41" i="2" s="1"/>
  <c r="H28" i="2"/>
  <c r="K22" i="6"/>
  <c r="K23" i="6" s="1"/>
  <c r="E22" i="6"/>
  <c r="E23" i="6" s="1"/>
  <c r="A42" i="2"/>
  <c r="K40" i="2"/>
  <c r="K41" i="2" s="1"/>
  <c r="G40" i="2"/>
  <c r="G41" i="2" s="1"/>
  <c r="H116" i="2"/>
  <c r="H117" i="2" s="1"/>
  <c r="F154" i="2"/>
  <c r="F155" i="2" s="1"/>
  <c r="A116" i="2"/>
  <c r="N154" i="2"/>
  <c r="N155" i="2" s="1"/>
  <c r="F40" i="2"/>
  <c r="F41" i="2" s="1"/>
  <c r="B152" i="2"/>
  <c r="O152" i="2" s="1"/>
  <c r="L116" i="2"/>
  <c r="L117" i="2" s="1"/>
  <c r="H104" i="2"/>
  <c r="H105" i="2" s="1"/>
  <c r="A156" i="2"/>
  <c r="A152" i="2"/>
  <c r="I116" i="2"/>
  <c r="I117" i="2" s="1"/>
  <c r="G104" i="2"/>
  <c r="N40" i="2"/>
  <c r="N41" i="2" s="1"/>
  <c r="C40" i="2"/>
  <c r="C41" i="2" s="1"/>
  <c r="I154" i="2"/>
  <c r="I155" i="2" s="1"/>
  <c r="D59" i="2"/>
  <c r="D60" i="2" s="1"/>
  <c r="B38" i="2"/>
  <c r="O38" i="2" s="1"/>
  <c r="B57" i="2"/>
  <c r="O57" i="2" s="1"/>
  <c r="M154" i="2"/>
  <c r="M155" i="2" s="1"/>
  <c r="E154" i="2"/>
  <c r="E155" i="2" s="1"/>
  <c r="H142" i="2"/>
  <c r="H143" i="2" s="1"/>
  <c r="A117" i="2"/>
  <c r="L59" i="2"/>
  <c r="L60" i="2" s="1"/>
  <c r="H47" i="2"/>
  <c r="H48" i="2" s="1"/>
  <c r="J154" i="2"/>
  <c r="J155" i="2" s="1"/>
  <c r="A154" i="2"/>
  <c r="H59" i="2"/>
  <c r="H60" i="2" s="1"/>
  <c r="G59" i="2"/>
  <c r="G60" i="2" s="1"/>
  <c r="G47" i="2"/>
  <c r="A175" i="2"/>
  <c r="A61" i="2"/>
  <c r="N59" i="2"/>
  <c r="N60" i="2" s="1"/>
  <c r="J59" i="2"/>
  <c r="J60" i="2" s="1"/>
  <c r="F59" i="2"/>
  <c r="F60" i="2" s="1"/>
  <c r="A59" i="2"/>
  <c r="G48" i="2"/>
  <c r="H46" i="2"/>
  <c r="A60" i="2"/>
  <c r="K59" i="2"/>
  <c r="K60" i="2" s="1"/>
  <c r="C59" i="2"/>
  <c r="C60" i="2" s="1"/>
  <c r="A57" i="2"/>
  <c r="I78" i="2"/>
  <c r="I79" i="2" s="1"/>
  <c r="M59" i="2"/>
  <c r="M60" i="2" s="1"/>
  <c r="I59" i="2"/>
  <c r="I60" i="2" s="1"/>
  <c r="I173" i="2"/>
  <c r="I174" i="2" s="1"/>
  <c r="B171" i="2"/>
  <c r="O171" i="2" s="1"/>
  <c r="A171" i="2"/>
  <c r="M173" i="2"/>
  <c r="M174" i="2" s="1"/>
  <c r="E173" i="2"/>
  <c r="E174" i="2" s="1"/>
  <c r="N173" i="2"/>
  <c r="N174" i="2" s="1"/>
  <c r="F173" i="2"/>
  <c r="F174" i="2" s="1"/>
  <c r="G162" i="2"/>
  <c r="J173" i="2"/>
  <c r="J174" i="2" s="1"/>
  <c r="B76" i="2"/>
  <c r="O76" i="2" s="1"/>
  <c r="E78" i="2"/>
  <c r="E79" i="2" s="1"/>
  <c r="M78" i="2"/>
  <c r="M79" i="2" s="1"/>
  <c r="L78" i="2"/>
  <c r="L79" i="2" s="1"/>
  <c r="D78" i="2"/>
  <c r="D79" i="2" s="1"/>
  <c r="G66" i="2"/>
  <c r="A79" i="2"/>
  <c r="K78" i="2"/>
  <c r="K79" i="2" s="1"/>
  <c r="G78" i="2"/>
  <c r="G79" i="2" s="1"/>
  <c r="C78" i="2"/>
  <c r="G67" i="2"/>
  <c r="H65" i="2"/>
  <c r="H66" i="2"/>
  <c r="H67" i="2" s="1"/>
  <c r="H78" i="2"/>
  <c r="H79" i="2" s="1"/>
  <c r="A76" i="2"/>
  <c r="A80" i="2"/>
  <c r="N78" i="2"/>
  <c r="N79" i="2" s="1"/>
  <c r="J78" i="2"/>
  <c r="J79" i="2" s="1"/>
  <c r="F78" i="2"/>
  <c r="F79" i="2" s="1"/>
  <c r="J21" i="2"/>
  <c r="J22" i="2" s="1"/>
  <c r="H160" i="2"/>
  <c r="G161" i="2"/>
  <c r="I21" i="2"/>
  <c r="I22" i="2" s="1"/>
  <c r="A21" i="2"/>
  <c r="H9" i="2"/>
  <c r="H10" i="2" s="1"/>
  <c r="A174" i="2"/>
  <c r="L173" i="2"/>
  <c r="L174" i="2" s="1"/>
  <c r="H173" i="2"/>
  <c r="H174" i="2" s="1"/>
  <c r="D173" i="2"/>
  <c r="D174" i="2" s="1"/>
  <c r="C154" i="2"/>
  <c r="G154" i="2"/>
  <c r="G155" i="2" s="1"/>
  <c r="K154" i="2"/>
  <c r="K155" i="2" s="1"/>
  <c r="H141" i="2"/>
  <c r="G143" i="2"/>
  <c r="D154" i="2"/>
  <c r="D155" i="2" s="1"/>
  <c r="H154" i="2"/>
  <c r="H155" i="2" s="1"/>
  <c r="L154" i="2"/>
  <c r="L155" i="2" s="1"/>
  <c r="A155" i="2"/>
  <c r="M116" i="2"/>
  <c r="M117" i="2" s="1"/>
  <c r="E116" i="2"/>
  <c r="E117" i="2" s="1"/>
  <c r="A114" i="2"/>
  <c r="A23" i="2"/>
  <c r="N21" i="2"/>
  <c r="N22" i="2" s="1"/>
  <c r="F21" i="2"/>
  <c r="F22" i="2" s="1"/>
  <c r="B19" i="2"/>
  <c r="O19" i="2" s="1"/>
  <c r="C21" i="2"/>
  <c r="G21" i="2"/>
  <c r="G22" i="2" s="1"/>
  <c r="K21" i="2"/>
  <c r="K22" i="2" s="1"/>
  <c r="H8" i="2"/>
  <c r="G10" i="2"/>
  <c r="D21" i="2"/>
  <c r="D22" i="2" s="1"/>
  <c r="H21" i="2"/>
  <c r="H22" i="2" s="1"/>
  <c r="L21" i="2"/>
  <c r="L22" i="2" s="1"/>
  <c r="A22" i="2"/>
  <c r="K173" i="2"/>
  <c r="K174" i="2" s="1"/>
  <c r="G173" i="2"/>
  <c r="G174" i="2" s="1"/>
  <c r="C173" i="2"/>
  <c r="H161" i="2"/>
  <c r="H162" i="2" s="1"/>
  <c r="B114" i="2"/>
  <c r="O114" i="2" s="1"/>
  <c r="F116" i="2"/>
  <c r="F117" i="2" s="1"/>
  <c r="J116" i="2"/>
  <c r="J117" i="2" s="1"/>
  <c r="N116" i="2"/>
  <c r="N117" i="2" s="1"/>
  <c r="A118" i="2"/>
  <c r="H103" i="2"/>
  <c r="G105" i="2"/>
  <c r="C116" i="2"/>
  <c r="G116" i="2"/>
  <c r="G117" i="2" s="1"/>
  <c r="K116" i="2"/>
  <c r="K117" i="2" s="1"/>
  <c r="H27" i="2"/>
  <c r="G29" i="2"/>
  <c r="D40" i="2"/>
  <c r="D41" i="2" s="1"/>
  <c r="H40" i="2"/>
  <c r="H41" i="2" s="1"/>
  <c r="L40" i="2"/>
  <c r="L41" i="2" s="1"/>
  <c r="A41" i="2"/>
  <c r="G28" i="2"/>
  <c r="H29" i="2"/>
  <c r="A38" i="2"/>
  <c r="A40" i="2"/>
  <c r="E40" i="2"/>
  <c r="E41" i="2" s="1"/>
  <c r="I40" i="2"/>
  <c r="I41" i="2" s="1"/>
  <c r="M40" i="2"/>
  <c r="M41" i="2" s="1"/>
  <c r="M21" i="2"/>
  <c r="M22" i="2" s="1"/>
  <c r="E21" i="2"/>
  <c r="E22" i="2" s="1"/>
  <c r="A19" i="2"/>
  <c r="C22" i="6"/>
  <c r="C23" i="6" s="1"/>
  <c r="H22" i="6"/>
  <c r="H23" i="6" s="1"/>
  <c r="M22" i="6"/>
  <c r="M23" i="6" s="1"/>
  <c r="A22" i="6"/>
  <c r="G22" i="6"/>
  <c r="G23" i="6" s="1"/>
  <c r="L22" i="6"/>
  <c r="L23" i="6" s="1"/>
  <c r="G11" i="6"/>
  <c r="D22" i="6"/>
  <c r="D23" i="6" s="1"/>
  <c r="I22" i="6"/>
  <c r="I23" i="6" s="1"/>
  <c r="A23" i="6"/>
  <c r="H10" i="6"/>
  <c r="H11" i="6" s="1"/>
  <c r="B20" i="6"/>
  <c r="O20" i="6" s="1"/>
  <c r="F22" i="6"/>
  <c r="F23" i="6" s="1"/>
  <c r="J22" i="6"/>
  <c r="J23" i="6" s="1"/>
  <c r="N22" i="6"/>
  <c r="N23" i="6" s="1"/>
  <c r="N4" i="6"/>
  <c r="L4" i="6"/>
  <c r="J4" i="6"/>
  <c r="J5" i="6" s="1"/>
  <c r="N3" i="6"/>
  <c r="L3" i="6"/>
  <c r="J3" i="6"/>
  <c r="C99" i="1"/>
  <c r="N5" i="6" l="1"/>
  <c r="B13" i="6" s="1"/>
  <c r="O13" i="6" s="1"/>
  <c r="O21" i="6" s="1"/>
  <c r="O59" i="2"/>
  <c r="B59" i="2"/>
  <c r="O60" i="2"/>
  <c r="O41" i="2"/>
  <c r="B78" i="2"/>
  <c r="C79" i="2"/>
  <c r="O79" i="2" s="1"/>
  <c r="O78" i="2"/>
  <c r="B116" i="2"/>
  <c r="O116" i="2"/>
  <c r="C117" i="2"/>
  <c r="O117" i="2" s="1"/>
  <c r="O40" i="2"/>
  <c r="O154" i="2"/>
  <c r="C155" i="2"/>
  <c r="O155" i="2" s="1"/>
  <c r="B154" i="2"/>
  <c r="O21" i="2"/>
  <c r="C22" i="2"/>
  <c r="O22" i="2" s="1"/>
  <c r="B21" i="2"/>
  <c r="O173" i="2"/>
  <c r="C174" i="2"/>
  <c r="O174" i="2" s="1"/>
  <c r="B173" i="2"/>
  <c r="B40" i="2"/>
  <c r="B24" i="6"/>
  <c r="C24" i="6" s="1"/>
  <c r="D24" i="6" s="1"/>
  <c r="E24" i="6" s="1"/>
  <c r="F24" i="6" s="1"/>
  <c r="G24" i="6" s="1"/>
  <c r="H24" i="6" s="1"/>
  <c r="I24" i="6" s="1"/>
  <c r="J24" i="6" s="1"/>
  <c r="K24" i="6" s="1"/>
  <c r="L24" i="6" s="1"/>
  <c r="M24" i="6" s="1"/>
  <c r="N24" i="6" s="1"/>
  <c r="O24" i="6" s="1"/>
  <c r="B22" i="6"/>
  <c r="O23" i="6"/>
  <c r="O22" i="6"/>
  <c r="L5" i="6"/>
  <c r="B14" i="6" s="1"/>
  <c r="O14" i="6" s="1"/>
  <c r="C87" i="1" l="1"/>
  <c r="C89" i="1" s="1"/>
  <c r="L46" i="2" l="1"/>
  <c r="L8" i="2"/>
  <c r="L65" i="2"/>
  <c r="L27" i="2"/>
  <c r="F31" i="4"/>
  <c r="L8" i="20" s="1"/>
  <c r="F32" i="4"/>
  <c r="L27" i="20" s="1"/>
  <c r="M46" i="2"/>
  <c r="M8" i="2"/>
  <c r="M65" i="2"/>
  <c r="M27" i="2"/>
  <c r="G31" i="4"/>
  <c r="M8" i="20" s="1"/>
  <c r="G32" i="4"/>
  <c r="M27" i="20" s="1"/>
  <c r="L47" i="2"/>
  <c r="L9" i="2"/>
  <c r="L66" i="2"/>
  <c r="L28" i="2"/>
  <c r="M31" i="4"/>
  <c r="L9" i="20" s="1"/>
  <c r="M32" i="4"/>
  <c r="L28" i="20" s="1"/>
  <c r="M47" i="2"/>
  <c r="M9" i="2"/>
  <c r="M66" i="2"/>
  <c r="M28" i="2"/>
  <c r="N31" i="4"/>
  <c r="M9" i="20" s="1"/>
  <c r="N32" i="4"/>
  <c r="M28" i="20" s="1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S31" i="4"/>
  <c r="S32" i="4"/>
  <c r="S33" i="4"/>
  <c r="S34" i="4"/>
  <c r="S35" i="4"/>
  <c r="S36" i="4"/>
  <c r="S37" i="4"/>
  <c r="S38" i="4"/>
  <c r="S39" i="4"/>
  <c r="S40" i="4"/>
  <c r="S41" i="4"/>
  <c r="S42" i="4"/>
  <c r="S43" i="4"/>
  <c r="S44" i="4"/>
  <c r="S45" i="4"/>
  <c r="S46" i="4"/>
  <c r="S47" i="4"/>
  <c r="S48" i="4"/>
  <c r="S49" i="4"/>
  <c r="S50" i="4"/>
  <c r="S51" i="4"/>
  <c r="S52" i="4"/>
  <c r="S53" i="4"/>
  <c r="S54" i="4"/>
  <c r="S55" i="4"/>
  <c r="S56" i="4"/>
  <c r="S57" i="4"/>
  <c r="S58" i="4"/>
  <c r="S59" i="4"/>
  <c r="S60" i="4"/>
  <c r="S61" i="4"/>
  <c r="S62" i="4"/>
  <c r="S63" i="4"/>
  <c r="S64" i="4"/>
  <c r="S65" i="4"/>
  <c r="S66" i="4"/>
  <c r="S67" i="4"/>
  <c r="S68" i="4"/>
  <c r="S69" i="4"/>
  <c r="S70" i="4"/>
  <c r="S71" i="4"/>
  <c r="S72" i="4"/>
  <c r="S73" i="4"/>
  <c r="S74" i="4"/>
  <c r="S75" i="4"/>
  <c r="S76" i="4"/>
  <c r="S77" i="4"/>
  <c r="S78" i="4"/>
  <c r="S79" i="4"/>
  <c r="S80" i="4"/>
  <c r="R31" i="4"/>
  <c r="R32" i="4"/>
  <c r="R33" i="4"/>
  <c r="R34" i="4"/>
  <c r="R35" i="4"/>
  <c r="R36" i="4"/>
  <c r="R37" i="4"/>
  <c r="R38" i="4"/>
  <c r="R39" i="4"/>
  <c r="R40" i="4"/>
  <c r="R41" i="4"/>
  <c r="R42" i="4"/>
  <c r="R43" i="4"/>
  <c r="R44" i="4"/>
  <c r="R45" i="4"/>
  <c r="R46" i="4"/>
  <c r="R47" i="4"/>
  <c r="R48" i="4"/>
  <c r="R49" i="4"/>
  <c r="R50" i="4"/>
  <c r="R51" i="4"/>
  <c r="R52" i="4"/>
  <c r="R53" i="4"/>
  <c r="R54" i="4"/>
  <c r="R55" i="4"/>
  <c r="R56" i="4"/>
  <c r="R57" i="4"/>
  <c r="R58" i="4"/>
  <c r="R59" i="4"/>
  <c r="R60" i="4"/>
  <c r="R61" i="4"/>
  <c r="R62" i="4"/>
  <c r="R63" i="4"/>
  <c r="R64" i="4"/>
  <c r="R65" i="4"/>
  <c r="R66" i="4"/>
  <c r="R67" i="4"/>
  <c r="R68" i="4"/>
  <c r="R69" i="4"/>
  <c r="R70" i="4"/>
  <c r="R71" i="4"/>
  <c r="R72" i="4"/>
  <c r="R73" i="4"/>
  <c r="R74" i="4"/>
  <c r="R75" i="4"/>
  <c r="R76" i="4"/>
  <c r="R77" i="4"/>
  <c r="R78" i="4"/>
  <c r="R79" i="4"/>
  <c r="R80" i="4"/>
  <c r="Q31" i="4"/>
  <c r="Q32" i="4"/>
  <c r="Q33" i="4"/>
  <c r="Q34" i="4"/>
  <c r="Q35" i="4"/>
  <c r="Q36" i="4"/>
  <c r="Q37" i="4"/>
  <c r="Q38" i="4"/>
  <c r="Q39" i="4"/>
  <c r="Q40" i="4"/>
  <c r="Q41" i="4"/>
  <c r="Q42" i="4"/>
  <c r="Q43" i="4"/>
  <c r="Q44" i="4"/>
  <c r="Q45" i="4"/>
  <c r="Q46" i="4"/>
  <c r="Q47" i="4"/>
  <c r="Q48" i="4"/>
  <c r="Q49" i="4"/>
  <c r="Q50" i="4"/>
  <c r="Q51" i="4"/>
  <c r="Q52" i="4"/>
  <c r="Q53" i="4"/>
  <c r="Q54" i="4"/>
  <c r="Q55" i="4"/>
  <c r="Q56" i="4"/>
  <c r="Q57" i="4"/>
  <c r="Q58" i="4"/>
  <c r="Q59" i="4"/>
  <c r="Q60" i="4"/>
  <c r="Q61" i="4"/>
  <c r="Q62" i="4"/>
  <c r="Q63" i="4"/>
  <c r="Q64" i="4"/>
  <c r="Q65" i="4"/>
  <c r="Q66" i="4"/>
  <c r="Q67" i="4"/>
  <c r="Q68" i="4"/>
  <c r="Q69" i="4"/>
  <c r="Q70" i="4"/>
  <c r="Q71" i="4"/>
  <c r="Q72" i="4"/>
  <c r="Q73" i="4"/>
  <c r="Q74" i="4"/>
  <c r="Q75" i="4"/>
  <c r="Q76" i="4"/>
  <c r="Q77" i="4"/>
  <c r="Q78" i="4"/>
  <c r="Q79" i="4"/>
  <c r="Q80" i="4"/>
  <c r="O47" i="2"/>
  <c r="O9" i="2"/>
  <c r="O66" i="2"/>
  <c r="O28" i="2"/>
  <c r="P31" i="4"/>
  <c r="O9" i="20" s="1"/>
  <c r="B15" i="20" s="1"/>
  <c r="P32" i="4"/>
  <c r="O28" i="20" s="1"/>
  <c r="P33" i="4"/>
  <c r="P34" i="4"/>
  <c r="P35" i="4"/>
  <c r="P36" i="4"/>
  <c r="P37" i="4"/>
  <c r="P38" i="4"/>
  <c r="P39" i="4"/>
  <c r="P40" i="4"/>
  <c r="P41" i="4"/>
  <c r="P42" i="4"/>
  <c r="P43" i="4"/>
  <c r="P44" i="4"/>
  <c r="P45" i="4"/>
  <c r="P46" i="4"/>
  <c r="P47" i="4"/>
  <c r="P48" i="4"/>
  <c r="P49" i="4"/>
  <c r="P50" i="4"/>
  <c r="P51" i="4"/>
  <c r="P52" i="4"/>
  <c r="P53" i="4"/>
  <c r="P54" i="4"/>
  <c r="P55" i="4"/>
  <c r="P56" i="4"/>
  <c r="P57" i="4"/>
  <c r="P58" i="4"/>
  <c r="P59" i="4"/>
  <c r="P60" i="4"/>
  <c r="P61" i="4"/>
  <c r="P62" i="4"/>
  <c r="P63" i="4"/>
  <c r="P64" i="4"/>
  <c r="P65" i="4"/>
  <c r="P66" i="4"/>
  <c r="P67" i="4"/>
  <c r="P68" i="4"/>
  <c r="P69" i="4"/>
  <c r="P70" i="4"/>
  <c r="P71" i="4"/>
  <c r="P72" i="4"/>
  <c r="P73" i="4"/>
  <c r="P74" i="4"/>
  <c r="P75" i="4"/>
  <c r="P76" i="4"/>
  <c r="P77" i="4"/>
  <c r="P78" i="4"/>
  <c r="P79" i="4"/>
  <c r="P80" i="4"/>
  <c r="N47" i="2"/>
  <c r="N9" i="2"/>
  <c r="N66" i="2"/>
  <c r="N28" i="2"/>
  <c r="O31" i="4"/>
  <c r="N9" i="20" s="1"/>
  <c r="O32" i="4"/>
  <c r="N28" i="20" s="1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O58" i="4"/>
  <c r="O59" i="4"/>
  <c r="O60" i="4"/>
  <c r="O61" i="4"/>
  <c r="O62" i="4"/>
  <c r="O63" i="4"/>
  <c r="O64" i="4"/>
  <c r="O65" i="4"/>
  <c r="O66" i="4"/>
  <c r="O67" i="4"/>
  <c r="O68" i="4"/>
  <c r="O69" i="4"/>
  <c r="O70" i="4"/>
  <c r="O71" i="4"/>
  <c r="O72" i="4"/>
  <c r="O73" i="4"/>
  <c r="O74" i="4"/>
  <c r="O75" i="4"/>
  <c r="O76" i="4"/>
  <c r="O77" i="4"/>
  <c r="O78" i="4"/>
  <c r="O79" i="4"/>
  <c r="O80" i="4"/>
  <c r="L31" i="4"/>
  <c r="L32" i="4"/>
  <c r="K31" i="4"/>
  <c r="K32" i="4"/>
  <c r="J31" i="4"/>
  <c r="J32" i="4"/>
  <c r="O46" i="2"/>
  <c r="O8" i="2"/>
  <c r="O65" i="2"/>
  <c r="O27" i="2"/>
  <c r="I31" i="4"/>
  <c r="O8" i="20" s="1"/>
  <c r="I32" i="4"/>
  <c r="O27" i="20" s="1"/>
  <c r="N46" i="2"/>
  <c r="N8" i="2"/>
  <c r="N65" i="2"/>
  <c r="N27" i="2"/>
  <c r="H31" i="4"/>
  <c r="N8" i="20" s="1"/>
  <c r="H32" i="4"/>
  <c r="N27" i="20" s="1"/>
  <c r="B34" i="20" l="1"/>
  <c r="O34" i="20" s="1"/>
  <c r="O15" i="20"/>
  <c r="B35" i="20"/>
  <c r="O35" i="20" s="1"/>
  <c r="B16" i="20"/>
  <c r="O16" i="20" s="1"/>
  <c r="B16" i="2"/>
  <c r="O16" i="2" s="1"/>
  <c r="B35" i="2"/>
  <c r="O35" i="2" s="1"/>
  <c r="B54" i="2"/>
  <c r="O54" i="2" s="1"/>
  <c r="B73" i="2"/>
  <c r="O73" i="2" s="1"/>
  <c r="O103" i="2"/>
  <c r="L161" i="2"/>
  <c r="M161" i="2"/>
  <c r="L103" i="2"/>
  <c r="L141" i="2"/>
  <c r="N103" i="2"/>
  <c r="N141" i="2"/>
  <c r="O160" i="2"/>
  <c r="N161" i="2"/>
  <c r="O104" i="2"/>
  <c r="O142" i="2"/>
  <c r="L104" i="2"/>
  <c r="L142" i="2"/>
  <c r="M103" i="2"/>
  <c r="M141" i="2"/>
  <c r="N104" i="2"/>
  <c r="N142" i="2"/>
  <c r="O161" i="2"/>
  <c r="M160" i="2"/>
  <c r="M104" i="2"/>
  <c r="M142" i="2"/>
  <c r="L160" i="2"/>
  <c r="N160" i="2"/>
  <c r="O141" i="2"/>
  <c r="N4" i="2"/>
  <c r="N3" i="2"/>
  <c r="O39" i="20" l="1"/>
  <c r="B34" i="2"/>
  <c r="B91" i="2"/>
  <c r="O91" i="2" s="1"/>
  <c r="O20" i="20"/>
  <c r="B23" i="20"/>
  <c r="C23" i="20" s="1"/>
  <c r="D23" i="20" s="1"/>
  <c r="E23" i="20" s="1"/>
  <c r="F23" i="20" s="1"/>
  <c r="G23" i="20" s="1"/>
  <c r="H23" i="20" s="1"/>
  <c r="I23" i="20" s="1"/>
  <c r="J23" i="20" s="1"/>
  <c r="K23" i="20" s="1"/>
  <c r="L23" i="20" s="1"/>
  <c r="M23" i="20" s="1"/>
  <c r="N23" i="20" s="1"/>
  <c r="O23" i="20" s="1"/>
  <c r="B149" i="2"/>
  <c r="O149" i="2" s="1"/>
  <c r="B111" i="2"/>
  <c r="O111" i="2" s="1"/>
  <c r="B168" i="2"/>
  <c r="O168" i="2" s="1"/>
  <c r="B15" i="2"/>
  <c r="B53" i="2"/>
  <c r="O53" i="2" s="1"/>
  <c r="B72" i="2"/>
  <c r="B167" i="2"/>
  <c r="B148" i="2"/>
  <c r="O148" i="2" s="1"/>
  <c r="B110" i="2"/>
  <c r="O110" i="2" s="1"/>
  <c r="N5" i="2"/>
  <c r="B88" i="2" s="1"/>
  <c r="O88" i="2" s="1"/>
  <c r="B2" i="1"/>
  <c r="B1" i="1" s="1"/>
  <c r="L4" i="2"/>
  <c r="L5" i="2" s="1"/>
  <c r="B89" i="2" s="1"/>
  <c r="O89" i="2" s="1"/>
  <c r="J4" i="2"/>
  <c r="J5" i="2" s="1"/>
  <c r="J3" i="2"/>
  <c r="O96" i="2" l="1"/>
  <c r="O167" i="2"/>
  <c r="B175" i="2"/>
  <c r="C175" i="2" s="1"/>
  <c r="D175" i="2" s="1"/>
  <c r="E175" i="2" s="1"/>
  <c r="F175" i="2" s="1"/>
  <c r="G175" i="2" s="1"/>
  <c r="H175" i="2" s="1"/>
  <c r="I175" i="2" s="1"/>
  <c r="J175" i="2" s="1"/>
  <c r="K175" i="2" s="1"/>
  <c r="L175" i="2" s="1"/>
  <c r="M175" i="2" s="1"/>
  <c r="N175" i="2" s="1"/>
  <c r="O175" i="2" s="1"/>
  <c r="O15" i="2"/>
  <c r="B23" i="2"/>
  <c r="C23" i="2" s="1"/>
  <c r="D23" i="2" s="1"/>
  <c r="E23" i="2" s="1"/>
  <c r="F23" i="2" s="1"/>
  <c r="G23" i="2" s="1"/>
  <c r="H23" i="2" s="1"/>
  <c r="I23" i="2" s="1"/>
  <c r="J23" i="2" s="1"/>
  <c r="K23" i="2" s="1"/>
  <c r="L23" i="2" s="1"/>
  <c r="M23" i="2" s="1"/>
  <c r="N23" i="2" s="1"/>
  <c r="O23" i="2" s="1"/>
  <c r="O34" i="2"/>
  <c r="B42" i="2"/>
  <c r="C42" i="2" s="1"/>
  <c r="D42" i="2" s="1"/>
  <c r="E42" i="2" s="1"/>
  <c r="F42" i="2" s="1"/>
  <c r="G42" i="2" s="1"/>
  <c r="H42" i="2" s="1"/>
  <c r="I42" i="2" s="1"/>
  <c r="J42" i="2" s="1"/>
  <c r="K42" i="2" s="1"/>
  <c r="L42" i="2" s="1"/>
  <c r="M42" i="2" s="1"/>
  <c r="N42" i="2" s="1"/>
  <c r="O42" i="2" s="1"/>
  <c r="O72" i="2"/>
  <c r="B80" i="2"/>
  <c r="C80" i="2" s="1"/>
  <c r="D80" i="2" s="1"/>
  <c r="E80" i="2" s="1"/>
  <c r="F80" i="2" s="1"/>
  <c r="G80" i="2" s="1"/>
  <c r="H80" i="2" s="1"/>
  <c r="I80" i="2" s="1"/>
  <c r="J80" i="2" s="1"/>
  <c r="K80" i="2" s="1"/>
  <c r="L80" i="2" s="1"/>
  <c r="M80" i="2" s="1"/>
  <c r="N80" i="2" s="1"/>
  <c r="O80" i="2" s="1"/>
  <c r="B69" i="2"/>
  <c r="O69" i="2" s="1"/>
  <c r="B50" i="2"/>
  <c r="O50" i="2" s="1"/>
  <c r="B31" i="2"/>
  <c r="O31" i="2" s="1"/>
  <c r="B12" i="2"/>
  <c r="O12" i="2" s="1"/>
  <c r="B107" i="2"/>
  <c r="O107" i="2" s="1"/>
  <c r="B164" i="2"/>
  <c r="O164" i="2" s="1"/>
  <c r="B145" i="2"/>
  <c r="O145" i="2" s="1"/>
  <c r="B32" i="2"/>
  <c r="O32" i="2" s="1"/>
  <c r="B13" i="2"/>
  <c r="O13" i="2" s="1"/>
  <c r="B108" i="2"/>
  <c r="B146" i="2"/>
  <c r="B51" i="2"/>
  <c r="B70" i="2"/>
  <c r="O70" i="2" s="1"/>
  <c r="B165" i="2"/>
  <c r="O165" i="2" s="1"/>
  <c r="O20" i="2" l="1"/>
  <c r="O77" i="2"/>
  <c r="O172" i="2"/>
  <c r="O51" i="2"/>
  <c r="O58" i="2" s="1"/>
  <c r="B61" i="2"/>
  <c r="C61" i="2" s="1"/>
  <c r="D61" i="2" s="1"/>
  <c r="E61" i="2" s="1"/>
  <c r="F61" i="2" s="1"/>
  <c r="G61" i="2" s="1"/>
  <c r="H61" i="2" s="1"/>
  <c r="I61" i="2" s="1"/>
  <c r="J61" i="2" s="1"/>
  <c r="K61" i="2" s="1"/>
  <c r="L61" i="2" s="1"/>
  <c r="M61" i="2" s="1"/>
  <c r="N61" i="2" s="1"/>
  <c r="O61" i="2" s="1"/>
  <c r="O146" i="2"/>
  <c r="O153" i="2" s="1"/>
  <c r="B156" i="2"/>
  <c r="C156" i="2" s="1"/>
  <c r="D156" i="2" s="1"/>
  <c r="E156" i="2" s="1"/>
  <c r="F156" i="2" s="1"/>
  <c r="G156" i="2" s="1"/>
  <c r="H156" i="2" s="1"/>
  <c r="I156" i="2" s="1"/>
  <c r="J156" i="2" s="1"/>
  <c r="K156" i="2" s="1"/>
  <c r="L156" i="2" s="1"/>
  <c r="M156" i="2" s="1"/>
  <c r="N156" i="2" s="1"/>
  <c r="O156" i="2" s="1"/>
  <c r="O108" i="2"/>
  <c r="O115" i="2" s="1"/>
  <c r="B118" i="2"/>
  <c r="C118" i="2" s="1"/>
  <c r="D118" i="2" s="1"/>
  <c r="E118" i="2" s="1"/>
  <c r="F118" i="2" s="1"/>
  <c r="G118" i="2" s="1"/>
  <c r="H118" i="2" s="1"/>
  <c r="I118" i="2" s="1"/>
  <c r="J118" i="2" s="1"/>
  <c r="K118" i="2" s="1"/>
  <c r="L118" i="2" s="1"/>
  <c r="M118" i="2" s="1"/>
  <c r="N118" i="2" s="1"/>
  <c r="O118" i="2" s="1"/>
  <c r="O39" i="2"/>
</calcChain>
</file>

<file path=xl/comments1.xml><?xml version="1.0" encoding="utf-8"?>
<comments xmlns="http://schemas.openxmlformats.org/spreadsheetml/2006/main">
  <authors>
    <author>Harvey David</author>
    <author>Véronique BORDE</author>
  </authors>
  <commentList>
    <comment ref="C13" authorId="0">
      <text>
        <r>
          <rPr>
            <b/>
            <sz val="9"/>
            <color indexed="81"/>
            <rFont val="Tahoma"/>
            <family val="2"/>
          </rPr>
          <t>1 CP le 8/01/15</t>
        </r>
      </text>
    </comment>
    <comment ref="E13" authorId="0">
      <text>
        <r>
          <rPr>
            <b/>
            <sz val="9"/>
            <color indexed="81"/>
            <rFont val="Tahoma"/>
            <family val="2"/>
          </rPr>
          <t xml:space="preserve">1 CP : le 09/03/15
0,5 CP : le 13/03/15 PM
1 CP : le 27/02/2015
</t>
        </r>
      </text>
    </comment>
    <comment ref="F13" authorId="0">
      <text>
        <r>
          <rPr>
            <b/>
            <sz val="9"/>
            <color indexed="81"/>
            <rFont val="Tahoma"/>
            <family val="2"/>
          </rPr>
          <t>- 0,5 cp : le 13/03/15 matin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3" authorId="0">
      <text>
        <r>
          <rPr>
            <b/>
            <sz val="9"/>
            <color indexed="81"/>
            <rFont val="Tahoma"/>
            <family val="2"/>
          </rPr>
          <t>1 CP : le 15/05/15</t>
        </r>
      </text>
    </comment>
    <comment ref="D33" authorId="0">
      <text>
        <r>
          <rPr>
            <b/>
            <sz val="9"/>
            <color indexed="81"/>
            <rFont val="Tahoma"/>
            <family val="2"/>
          </rPr>
          <t>CP : 2J 
Le 23/02/15
Le 24/02/15</t>
        </r>
      </text>
    </comment>
    <comment ref="F33" authorId="0">
      <text>
        <r>
          <rPr>
            <b/>
            <sz val="9"/>
            <color indexed="81"/>
            <rFont val="Tahoma"/>
            <family val="2"/>
          </rPr>
          <t>4 cp :
du 27/04/15 au 30/04/15</t>
        </r>
      </text>
    </comment>
    <comment ref="G51" authorId="0">
      <text>
        <r>
          <rPr>
            <b/>
            <sz val="9"/>
            <color indexed="81"/>
            <rFont val="Tahoma"/>
            <family val="2"/>
          </rPr>
          <t>du 12/05 au 15/05</t>
        </r>
      </text>
    </comment>
    <comment ref="D52" authorId="0">
      <text>
        <r>
          <rPr>
            <b/>
            <sz val="9"/>
            <color indexed="81"/>
            <rFont val="Tahoma"/>
            <family val="2"/>
          </rPr>
          <t>CP : 5J
du 23 au 27/02/2015</t>
        </r>
      </text>
    </comment>
    <comment ref="E52" authorId="0">
      <text>
        <r>
          <rPr>
            <b/>
            <sz val="9"/>
            <color indexed="81"/>
            <rFont val="Tahoma"/>
            <family val="2"/>
          </rPr>
          <t>0,5 CP le 13/03/2015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2" authorId="0">
      <text>
        <r>
          <rPr>
            <b/>
            <sz val="9"/>
            <color indexed="81"/>
            <rFont val="Tahoma"/>
            <family val="2"/>
          </rPr>
          <t>1 cp le 03/04/15</t>
        </r>
      </text>
    </comment>
    <comment ref="G52" authorId="0">
      <text>
        <r>
          <rPr>
            <b/>
            <sz val="9"/>
            <color indexed="81"/>
            <rFont val="Tahoma"/>
            <family val="2"/>
          </rPr>
          <t>le 11/5</t>
        </r>
      </text>
    </comment>
    <comment ref="D71" authorId="0">
      <text>
        <r>
          <rPr>
            <b/>
            <sz val="9"/>
            <color indexed="81"/>
            <rFont val="Tahoma"/>
            <family val="2"/>
          </rPr>
          <t>CP : 5J
du 16 au 20/02/15</t>
        </r>
      </text>
    </comment>
    <comment ref="F71" authorId="0">
      <text>
        <r>
          <rPr>
            <b/>
            <sz val="9"/>
            <color indexed="81"/>
            <rFont val="Tahoma"/>
            <family val="2"/>
          </rPr>
          <t>0,5 cp le 20/03/15 matin</t>
        </r>
      </text>
    </comment>
    <comment ref="G71" authorId="0">
      <text>
        <r>
          <rPr>
            <b/>
            <sz val="9"/>
            <color indexed="81"/>
            <rFont val="Tahoma"/>
            <family val="2"/>
          </rPr>
          <t>1 cp le 22/05
0,5 cp le 29/05 ap-midi</t>
        </r>
      </text>
    </comment>
    <comment ref="G89" authorId="0">
      <text>
        <r>
          <rPr>
            <b/>
            <sz val="9"/>
            <color indexed="81"/>
            <rFont val="Tahoma"/>
            <family val="2"/>
          </rPr>
          <t>1 cp le 15/05/15</t>
        </r>
      </text>
    </comment>
    <comment ref="B109" authorId="1">
      <text>
        <r>
          <rPr>
            <b/>
            <sz val="9"/>
            <color indexed="81"/>
            <rFont val="Tahoma"/>
            <family val="2"/>
          </rPr>
          <t>Dont reliquat CP 2012/2013 : 3J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09" authorId="0">
      <text>
        <r>
          <rPr>
            <b/>
            <sz val="9"/>
            <color indexed="81"/>
            <rFont val="Tahoma"/>
            <family val="2"/>
          </rPr>
          <t>1 CP le 02/01/2015</t>
        </r>
      </text>
    </comment>
    <comment ref="D109" authorId="0">
      <text>
        <r>
          <rPr>
            <b/>
            <sz val="9"/>
            <color indexed="81"/>
            <rFont val="Tahoma"/>
            <family val="2"/>
          </rPr>
          <t xml:space="preserve">CP : 5J
du 23/02/15 au 27/02/15
</t>
        </r>
      </text>
    </comment>
    <comment ref="E109" authorId="0">
      <text>
        <r>
          <rPr>
            <b/>
            <sz val="9"/>
            <color indexed="81"/>
            <rFont val="Tahoma"/>
            <family val="2"/>
          </rPr>
          <t xml:space="preserve">1 CP : le 30/03/2015 </t>
        </r>
      </text>
    </comment>
    <comment ref="D146" authorId="0">
      <text>
        <r>
          <rPr>
            <b/>
            <sz val="9"/>
            <color indexed="81"/>
            <rFont val="Tahoma"/>
            <family val="2"/>
          </rPr>
          <t xml:space="preserve">CP : 0,5J
le 30/01/15 (matin)
</t>
        </r>
      </text>
    </comment>
    <comment ref="D147" authorId="0">
      <text>
        <r>
          <rPr>
            <b/>
            <sz val="9"/>
            <color indexed="81"/>
            <rFont val="Tahoma"/>
            <family val="2"/>
          </rPr>
          <t xml:space="preserve">CP : 8J
le 6/2/15
du 14 au 24/02/15
</t>
        </r>
      </text>
    </comment>
    <comment ref="B150" authorId="0">
      <text>
        <r>
          <rPr>
            <b/>
            <sz val="9"/>
            <color indexed="81"/>
            <rFont val="Tahoma"/>
            <family val="2"/>
          </rPr>
          <t>5 JW acquis :
le 28/02/2015
le 01/03/2015
le 04/04/2015
le 05/04/2015
le 06/04/2015</t>
        </r>
      </text>
    </comment>
    <comment ref="E150" authorId="0">
      <text>
        <r>
          <rPr>
            <b/>
            <sz val="9"/>
            <color indexed="81"/>
            <rFont val="Tahoma"/>
            <family val="2"/>
          </rPr>
          <t>0,5 JWE : le 12/03/2015 (PM)</t>
        </r>
      </text>
    </comment>
    <comment ref="F150" authorId="0">
      <text>
        <r>
          <rPr>
            <b/>
            <sz val="9"/>
            <color indexed="81"/>
            <rFont val="Tahoma"/>
            <family val="2"/>
          </rPr>
          <t>1 JWE pris le 27/03/15</t>
        </r>
      </text>
    </comment>
    <comment ref="G150" authorId="0">
      <text>
        <r>
          <rPr>
            <b/>
            <sz val="9"/>
            <color indexed="81"/>
            <rFont val="Tahoma"/>
            <family val="2"/>
          </rPr>
          <t>1 JWE pris :
le 15/05/15</t>
        </r>
      </text>
    </comment>
    <comment ref="F165" authorId="0">
      <text>
        <r>
          <rPr>
            <b/>
            <sz val="9"/>
            <color indexed="81"/>
            <rFont val="Tahoma"/>
            <family val="2"/>
          </rPr>
          <t>0,5 cp le 30/03/15 après midi</t>
        </r>
      </text>
    </comment>
    <comment ref="G165" authorId="0">
      <text>
        <r>
          <rPr>
            <b/>
            <sz val="9"/>
            <color indexed="81"/>
            <rFont val="Tahoma"/>
            <family val="2"/>
          </rPr>
          <t>0,5 cp le 11/5 (Ap)</t>
        </r>
      </text>
    </comment>
    <comment ref="C166" authorId="0">
      <text>
        <r>
          <rPr>
            <b/>
            <sz val="9"/>
            <color indexed="81"/>
            <rFont val="Tahoma"/>
            <family val="2"/>
          </rPr>
          <t>1 CP le 02/01/2015</t>
        </r>
      </text>
    </comment>
  </commentList>
</comments>
</file>

<file path=xl/comments2.xml><?xml version="1.0" encoding="utf-8"?>
<comments xmlns="http://schemas.openxmlformats.org/spreadsheetml/2006/main">
  <authors>
    <author>Harvey David</author>
  </authors>
  <commentList>
    <comment ref="G32" authorId="0">
      <text>
        <r>
          <rPr>
            <b/>
            <sz val="9"/>
            <color indexed="81"/>
            <rFont val="Tahoma"/>
            <family val="2"/>
          </rPr>
          <t>2 cp du 21/5 au 22/5</t>
        </r>
      </text>
    </comment>
    <comment ref="C33" authorId="0">
      <text>
        <r>
          <rPr>
            <b/>
            <sz val="9"/>
            <color indexed="81"/>
            <rFont val="Tahoma"/>
            <family val="2"/>
          </rPr>
          <t>1 CP le 2/01/15</t>
        </r>
      </text>
    </comment>
    <comment ref="G33" authorId="0">
      <text>
        <r>
          <rPr>
            <b/>
            <sz val="9"/>
            <color indexed="81"/>
            <rFont val="Tahoma"/>
            <family val="2"/>
          </rPr>
          <t xml:space="preserve">1,5 CP du 13/5 ap midi au 15/5
3 cp du 18/5 au 20/5
</t>
        </r>
      </text>
    </comment>
    <comment ref="B36" authorId="0">
      <text>
        <r>
          <rPr>
            <b/>
            <sz val="9"/>
            <color indexed="81"/>
            <rFont val="Tahoma"/>
            <family val="2"/>
          </rPr>
          <t xml:space="preserve">0,5 j le 14/03/15
1 j le 15/03/15
1 j le 28/03/15 </t>
        </r>
      </text>
    </comment>
    <comment ref="G36" authorId="0">
      <text>
        <r>
          <rPr>
            <b/>
            <sz val="9"/>
            <color indexed="81"/>
            <rFont val="Tahoma"/>
            <family val="2"/>
          </rPr>
          <t>2,5 JWE : du 11/5 au 13/5 matin</t>
        </r>
      </text>
    </comment>
  </commentList>
</comments>
</file>

<file path=xl/comments3.xml><?xml version="1.0" encoding="utf-8"?>
<comments xmlns="http://schemas.openxmlformats.org/spreadsheetml/2006/main">
  <authors>
    <author>Harvey David</author>
  </authors>
  <commentList>
    <comment ref="O7" authorId="0">
      <text>
        <r>
          <rPr>
            <b/>
            <sz val="9"/>
            <color indexed="81"/>
            <rFont val="Tahoma"/>
            <family val="2"/>
          </rPr>
          <t>sélection de la ligne 8 à 26</t>
        </r>
      </text>
    </comment>
  </commentList>
</comments>
</file>

<file path=xl/sharedStrings.xml><?xml version="1.0" encoding="utf-8"?>
<sst xmlns="http://schemas.openxmlformats.org/spreadsheetml/2006/main" count="528" uniqueCount="116">
  <si>
    <t>Services</t>
  </si>
  <si>
    <t>GÉNÉRAL</t>
  </si>
  <si>
    <t>COMMERCIAL</t>
  </si>
  <si>
    <t xml:space="preserve">VENTES DIRECTES YMF PARIS </t>
  </si>
  <si>
    <t>SAV</t>
  </si>
  <si>
    <t xml:space="preserve">COMMERCIAL YMF EAST </t>
  </si>
  <si>
    <t>PARTS CENTER</t>
  </si>
  <si>
    <t>SAV YMF EAST</t>
  </si>
  <si>
    <t>YMF SOUTH WEST</t>
  </si>
  <si>
    <t>COMMERCIAL YMF LASER</t>
  </si>
  <si>
    <t>SAV YMF LASER</t>
  </si>
  <si>
    <t>APPLICATION MACON</t>
  </si>
  <si>
    <t xml:space="preserve">au </t>
  </si>
  <si>
    <t>CP 2012-2013</t>
  </si>
  <si>
    <t>CP 2013-2014</t>
  </si>
  <si>
    <t>CP 2014-2015</t>
  </si>
  <si>
    <t>CP 2015-2016</t>
  </si>
  <si>
    <t>CP 2016-2017</t>
  </si>
  <si>
    <t>CP 2017-2018</t>
  </si>
  <si>
    <t>CP 2018-2019</t>
  </si>
  <si>
    <t>CP 2019-2020</t>
  </si>
  <si>
    <t>Périodes de référence</t>
  </si>
  <si>
    <t>CP 2011-2012</t>
  </si>
  <si>
    <t>ANC 2011-2012</t>
  </si>
  <si>
    <t>ANC 2012-2013</t>
  </si>
  <si>
    <t>ANC 2013-2014</t>
  </si>
  <si>
    <t>ANC 2014-2015</t>
  </si>
  <si>
    <t>ANC 2015-2016</t>
  </si>
  <si>
    <t>ANC 2016-2017</t>
  </si>
  <si>
    <t>ANC 2017-2018</t>
  </si>
  <si>
    <t>ANC 2018-2019</t>
  </si>
  <si>
    <t>ANC 2019-2020</t>
  </si>
  <si>
    <t>Nom</t>
  </si>
  <si>
    <t>Prénom</t>
  </si>
  <si>
    <t>03/05/1955</t>
  </si>
  <si>
    <t>04/09/1959</t>
  </si>
  <si>
    <t>Statut</t>
  </si>
  <si>
    <t>Technicien</t>
  </si>
  <si>
    <t>18/04/1988</t>
  </si>
  <si>
    <t>14/04/1997</t>
  </si>
  <si>
    <t>Catégorie</t>
  </si>
  <si>
    <t>Date entrée</t>
  </si>
  <si>
    <t>Date de Naissance</t>
  </si>
  <si>
    <t>ANC 2020-2021</t>
  </si>
  <si>
    <t>ANC 2021-2022</t>
  </si>
  <si>
    <t>CP 2020-2021</t>
  </si>
  <si>
    <t>CP 2021-2022</t>
  </si>
  <si>
    <t>Fin de période</t>
  </si>
  <si>
    <t>Début de période</t>
  </si>
  <si>
    <t>Acquis</t>
  </si>
  <si>
    <t>MAI</t>
  </si>
  <si>
    <t>Reliquat 12/2003</t>
  </si>
  <si>
    <t>Mois en cours</t>
  </si>
  <si>
    <t>Date du jour</t>
  </si>
  <si>
    <t>Nb mois écoulés</t>
  </si>
  <si>
    <t>TOTAL</t>
  </si>
  <si>
    <t xml:space="preserve">Périodes de référence </t>
  </si>
  <si>
    <t>Colonne1</t>
  </si>
  <si>
    <t>Âge</t>
  </si>
  <si>
    <t>Type de contrat</t>
  </si>
  <si>
    <t>Date début de période</t>
  </si>
  <si>
    <t>Période</t>
  </si>
  <si>
    <t>Age 01/06/2014</t>
  </si>
  <si>
    <t>Age 01/06/2015</t>
  </si>
  <si>
    <t>Age 01/06/2016</t>
  </si>
  <si>
    <t>Age 01/06/2017</t>
  </si>
  <si>
    <t>Age 01/06/2018</t>
  </si>
  <si>
    <t>Ancienneté au 01/06/2014</t>
  </si>
  <si>
    <t>Ancienneté au 01/06/2015</t>
  </si>
  <si>
    <t>Ancienneté au 01/06/2016</t>
  </si>
  <si>
    <t>Ancienneté au 01/06/2017</t>
  </si>
  <si>
    <t>Ancienneté au 01/06/2018</t>
  </si>
  <si>
    <t>Ancienneté au 01/06/2012</t>
  </si>
  <si>
    <t>Ancienneté au 01/06/2013</t>
  </si>
  <si>
    <t>Age 01/06/2012</t>
  </si>
  <si>
    <t>Age 01/06/2013</t>
  </si>
  <si>
    <t>2012/13</t>
  </si>
  <si>
    <t>2013/14</t>
  </si>
  <si>
    <t>2014/15</t>
  </si>
  <si>
    <t>2015/16</t>
  </si>
  <si>
    <t>Date d'entrée</t>
  </si>
  <si>
    <t>JANV</t>
  </si>
  <si>
    <t>FÉVR</t>
  </si>
  <si>
    <t>MARS</t>
  </si>
  <si>
    <t>AVRI</t>
  </si>
  <si>
    <t>JUIL</t>
  </si>
  <si>
    <t>JUIN</t>
  </si>
  <si>
    <t>AOÛT</t>
  </si>
  <si>
    <t>SEPT</t>
  </si>
  <si>
    <t>OCTO</t>
  </si>
  <si>
    <t>NOVE</t>
  </si>
  <si>
    <t>DÉCE</t>
  </si>
  <si>
    <t>JWE</t>
  </si>
  <si>
    <t>Année civile</t>
  </si>
  <si>
    <t>Jours fériés</t>
  </si>
  <si>
    <t>Décompte du temps de travail année 2015</t>
  </si>
  <si>
    <t>NATURE JOURS</t>
  </si>
  <si>
    <t xml:space="preserve">NOMBRE </t>
  </si>
  <si>
    <t>DE JOURS</t>
  </si>
  <si>
    <t>Année</t>
  </si>
  <si>
    <t>Dimanche</t>
  </si>
  <si>
    <t>Samedi</t>
  </si>
  <si>
    <t>Jours fériés chômés</t>
  </si>
  <si>
    <t>Congés payés légaux</t>
  </si>
  <si>
    <t>Journée de solidarité</t>
  </si>
  <si>
    <t>Forfait annuel en jours base 218 jours (durée annuelle de travail incluant la journée de solidarité) selon la convention collective de la Métallurgie</t>
  </si>
  <si>
    <t>Solde jours RTT</t>
  </si>
  <si>
    <t>Nombre jours de travail forfait jour</t>
  </si>
  <si>
    <t>SOLDE CONGÉS RESTANT À PRENDRE</t>
  </si>
  <si>
    <t>Année(s) d'ancienneté*</t>
  </si>
  <si>
    <t>*Acquisition au 1er juin de chaque année</t>
  </si>
  <si>
    <t xml:space="preserve"> Cadre </t>
  </si>
  <si>
    <t>Al</t>
  </si>
  <si>
    <t>ABORDAGE</t>
  </si>
  <si>
    <t>Fred</t>
  </si>
  <si>
    <t>ASTER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</si>
</sst>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6\4"/>
  </numFmts>
  <fonts count="1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9"/>
      <color indexed="81"/>
      <name val="Tahoma"/>
      <family val="2"/>
    </font>
    <font>
      <sz val="9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/>
      <top style="thin">
        <color theme="3" tint="0.59996337778862885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0" xfId="0" applyFont="1"/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2" borderId="0" xfId="0" applyFill="1" applyAlignment="1">
      <alignment horizontal="right"/>
    </xf>
    <xf numFmtId="0" fontId="4" fillId="0" borderId="0" xfId="0" applyFont="1" applyAlignment="1">
      <alignment horizontal="right"/>
    </xf>
    <xf numFmtId="0" fontId="0" fillId="2" borderId="1" xfId="0" applyFill="1" applyBorder="1"/>
    <xf numFmtId="14" fontId="0" fillId="2" borderId="1" xfId="0" applyNumberFormat="1" applyFill="1" applyBorder="1"/>
    <xf numFmtId="0" fontId="0" fillId="0" borderId="0" xfId="0" applyAlignment="1">
      <alignment horizontal="left"/>
    </xf>
    <xf numFmtId="14" fontId="0" fillId="4" borderId="0" xfId="0" applyNumberFormat="1" applyFill="1"/>
    <xf numFmtId="0" fontId="5" fillId="0" borderId="0" xfId="0" applyFont="1"/>
    <xf numFmtId="0" fontId="3" fillId="0" borderId="0" xfId="0" applyFont="1"/>
    <xf numFmtId="0" fontId="3" fillId="3" borderId="0" xfId="0" applyFont="1" applyFill="1"/>
    <xf numFmtId="0" fontId="0" fillId="2" borderId="0" xfId="0" applyNumberFormat="1" applyFill="1" applyAlignment="1">
      <alignment horizontal="right"/>
    </xf>
    <xf numFmtId="164" fontId="6" fillId="0" borderId="0" xfId="0" applyNumberFormat="1" applyFon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0" fontId="3" fillId="2" borderId="0" xfId="0" applyFont="1" applyFill="1" applyAlignment="1"/>
    <xf numFmtId="0" fontId="0" fillId="0" borderId="7" xfId="0" applyBorder="1"/>
    <xf numFmtId="17" fontId="0" fillId="0" borderId="0" xfId="0" applyNumberFormat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7" fillId="0" borderId="0" xfId="0" applyFont="1"/>
    <xf numFmtId="0" fontId="8" fillId="0" borderId="0" xfId="0" applyFont="1"/>
    <xf numFmtId="0" fontId="7" fillId="0" borderId="11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8" fillId="0" borderId="14" xfId="0" applyFont="1" applyBorder="1"/>
    <xf numFmtId="0" fontId="8" fillId="0" borderId="15" xfId="0" applyFont="1" applyBorder="1"/>
    <xf numFmtId="0" fontId="8" fillId="0" borderId="16" xfId="0" applyFont="1" applyBorder="1"/>
    <xf numFmtId="0" fontId="8" fillId="0" borderId="17" xfId="0" applyFont="1" applyBorder="1"/>
    <xf numFmtId="0" fontId="8" fillId="0" borderId="18" xfId="0" applyFont="1" applyBorder="1"/>
    <xf numFmtId="0" fontId="7" fillId="0" borderId="19" xfId="0" applyFont="1" applyBorder="1"/>
    <xf numFmtId="0" fontId="8" fillId="0" borderId="18" xfId="0" applyFont="1" applyBorder="1" applyAlignment="1">
      <alignment wrapText="1"/>
    </xf>
    <xf numFmtId="0" fontId="8" fillId="0" borderId="19" xfId="0" applyFont="1" applyBorder="1" applyAlignment="1">
      <alignment vertical="center"/>
    </xf>
    <xf numFmtId="0" fontId="7" fillId="0" borderId="12" xfId="0" applyFont="1" applyBorder="1"/>
    <xf numFmtId="0" fontId="7" fillId="0" borderId="13" xfId="0" applyFont="1" applyBorder="1"/>
    <xf numFmtId="0" fontId="0" fillId="5" borderId="0" xfId="0" applyFill="1"/>
    <xf numFmtId="1" fontId="0" fillId="0" borderId="0" xfId="0" applyNumberFormat="1" applyAlignment="1">
      <alignment horizontal="right"/>
    </xf>
    <xf numFmtId="0" fontId="11" fillId="0" borderId="0" xfId="0" applyFont="1"/>
    <xf numFmtId="0" fontId="4" fillId="0" borderId="0" xfId="0" applyFont="1"/>
    <xf numFmtId="0" fontId="4" fillId="0" borderId="8" xfId="0" applyFont="1" applyBorder="1" applyAlignment="1"/>
    <xf numFmtId="0" fontId="4" fillId="0" borderId="9" xfId="0" applyFont="1" applyBorder="1" applyAlignment="1"/>
    <xf numFmtId="0" fontId="11" fillId="0" borderId="0" xfId="0" applyFont="1" applyAlignment="1">
      <alignment horizontal="left"/>
    </xf>
    <xf numFmtId="0" fontId="4" fillId="2" borderId="0" xfId="0" applyFont="1" applyFill="1"/>
    <xf numFmtId="0" fontId="4" fillId="2" borderId="0" xfId="0" applyFont="1" applyFill="1" applyAlignment="1">
      <alignment wrapText="1"/>
    </xf>
    <xf numFmtId="0" fontId="11" fillId="5" borderId="0" xfId="0" applyFont="1" applyFill="1"/>
    <xf numFmtId="1" fontId="0" fillId="0" borderId="0" xfId="0" applyNumberFormat="1" applyAlignment="1">
      <alignment horizontal="right"/>
    </xf>
    <xf numFmtId="14" fontId="0" fillId="2" borderId="0" xfId="0" applyNumberFormat="1" applyFill="1" applyAlignment="1">
      <alignment horizontal="right"/>
    </xf>
    <xf numFmtId="14" fontId="11" fillId="0" borderId="0" xfId="0" applyNumberFormat="1" applyFont="1" applyAlignment="1">
      <alignment horizontal="left"/>
    </xf>
    <xf numFmtId="0" fontId="0" fillId="0" borderId="0" xfId="0" applyNumberFormat="1"/>
    <xf numFmtId="14" fontId="13" fillId="0" borderId="0" xfId="0" applyNumberFormat="1" applyFont="1"/>
    <xf numFmtId="14" fontId="0" fillId="0" borderId="0" xfId="0" applyNumberFormat="1" applyAlignment="1">
      <alignment horizontal="left"/>
    </xf>
    <xf numFmtId="0" fontId="2" fillId="0" borderId="0" xfId="0" applyFont="1" applyAlignment="1">
      <alignment horizontal="left" vertical="center" wrapText="1"/>
    </xf>
    <xf numFmtId="1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2" borderId="0" xfId="0" applyFill="1" applyAlignment="1">
      <alignment horizontal="center"/>
    </xf>
    <xf numFmtId="14" fontId="3" fillId="0" borderId="0" xfId="0" applyNumberFormat="1" applyFont="1" applyAlignment="1">
      <alignment horizontal="left"/>
    </xf>
    <xf numFmtId="0" fontId="7" fillId="0" borderId="10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2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1" xfId="0" applyBorder="1" applyAlignment="1">
      <alignment horizontal="right"/>
    </xf>
  </cellXfs>
  <cellStyles count="1">
    <cellStyle name="Normal" xfId="0" builtinId="0"/>
  </cellStyles>
  <dxfs count="164">
    <dxf>
      <numFmt numFmtId="0" formatCode="General"/>
      <fill>
        <patternFill patternType="solid">
          <fgColor indexed="64"/>
          <bgColor theme="3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3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3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3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3" tint="0.79998168889431442"/>
        </patternFill>
      </fill>
      <alignment horizontal="right" textRotation="0" indent="0" justifyLastLine="0" shrinkToFit="0" readingOrder="0"/>
    </dxf>
    <dxf>
      <numFmt numFmtId="0" formatCode="General"/>
      <fill>
        <patternFill patternType="solid">
          <fgColor indexed="64"/>
          <bgColor theme="3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3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3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3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3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3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3" tint="0.79998168889431442"/>
        </patternFill>
      </fill>
      <alignment horizontal="right" textRotation="0" indent="0" justifyLastLine="0" shrinkToFit="0" readingOrder="0"/>
    </dxf>
    <dxf>
      <numFmt numFmtId="19" formatCode="dd/mm/yyyy"/>
      <fill>
        <patternFill patternType="solid">
          <fgColor indexed="64"/>
          <bgColor theme="3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3" tint="0.79998168889431442"/>
        </patternFill>
      </fill>
      <alignment horizontal="right" vertical="bottom" textRotation="0" wrapText="0" indent="0" justifyLastLine="0" shrinkToFit="0" readingOrder="0"/>
    </dxf>
    <dxf>
      <numFmt numFmtId="19" formatCode="dd/mm/yyyy"/>
    </dxf>
    <dxf>
      <numFmt numFmtId="30" formatCode="@"/>
    </dxf>
    <dxf>
      <numFmt numFmtId="19" formatCode="dd/mm/yyyy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4" formatCode="\6\4"/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25" name="Tableau2202126" displayName="Tableau2202126" ref="A11:O23" totalsRowShown="0">
  <autoFilter ref="A11:O23"/>
  <tableColumns count="15">
    <tableColumn id="1" name="Colonne1"/>
    <tableColumn id="2" name="Acquis"/>
    <tableColumn id="3" name="JANV" dataDxfId="163"/>
    <tableColumn id="4" name="FÉVR" dataDxfId="162"/>
    <tableColumn id="5" name="MARS" dataDxfId="161"/>
    <tableColumn id="6" name="AVRI" dataDxfId="160"/>
    <tableColumn id="7" name="MAI" dataDxfId="159"/>
    <tableColumn id="8" name="JUIN" dataDxfId="158"/>
    <tableColumn id="9" name="JUIL" dataDxfId="157"/>
    <tableColumn id="10" name="AOÛT" dataDxfId="156"/>
    <tableColumn id="11" name="SEPT" dataDxfId="155"/>
    <tableColumn id="12" name="OCTO" dataDxfId="154"/>
    <tableColumn id="13" name="NOVE" dataDxfId="153"/>
    <tableColumn id="14" name="DÉCE" dataDxfId="152"/>
    <tableColumn id="15" name="TOTAL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8" name="Tableau220212679" displayName="Tableau220212679" ref="A30:O42" totalsRowShown="0">
  <autoFilter ref="A30:O42"/>
  <tableColumns count="15">
    <tableColumn id="1" name="Colonne1"/>
    <tableColumn id="2" name="Acquis"/>
    <tableColumn id="3" name="JANV" dataDxfId="151"/>
    <tableColumn id="4" name="FÉVR" dataDxfId="150"/>
    <tableColumn id="5" name="MARS" dataDxfId="149"/>
    <tableColumn id="6" name="AVRI" dataDxfId="148"/>
    <tableColumn id="7" name="MAI" dataDxfId="147"/>
    <tableColumn id="8" name="JUIN" dataDxfId="146"/>
    <tableColumn id="9" name="JUIL" dataDxfId="145"/>
    <tableColumn id="10" name="AOÛT" dataDxfId="144"/>
    <tableColumn id="11" name="SEPT" dataDxfId="143"/>
    <tableColumn id="12" name="OCTO" dataDxfId="142"/>
    <tableColumn id="13" name="NOVE" dataDxfId="141"/>
    <tableColumn id="14" name="DÉCE" dataDxfId="140"/>
    <tableColumn id="15" name="TOTAL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9" name="Tableau2202126710" displayName="Tableau2202126710" ref="A49:O61" totalsRowShown="0">
  <autoFilter ref="A49:O61"/>
  <tableColumns count="15">
    <tableColumn id="1" name="Colonne1"/>
    <tableColumn id="2" name="Acquis"/>
    <tableColumn id="3" name="JANV" dataDxfId="139"/>
    <tableColumn id="4" name="FÉVR" dataDxfId="138"/>
    <tableColumn id="5" name="MARS" dataDxfId="137"/>
    <tableColumn id="6" name="AVRI" dataDxfId="136"/>
    <tableColumn id="7" name="MAI" dataDxfId="135"/>
    <tableColumn id="8" name="JUIN" dataDxfId="134"/>
    <tableColumn id="9" name="JUIL" dataDxfId="133"/>
    <tableColumn id="10" name="AOÛT" dataDxfId="132"/>
    <tableColumn id="11" name="SEPT" dataDxfId="131"/>
    <tableColumn id="12" name="OCTO" dataDxfId="130"/>
    <tableColumn id="13" name="NOVE" dataDxfId="129"/>
    <tableColumn id="14" name="DÉCE" dataDxfId="128"/>
    <tableColumn id="15" name="TOTAL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10" name="Tableau2202126711" displayName="Tableau2202126711" ref="A68:O80" totalsRowShown="0">
  <autoFilter ref="A68:O80"/>
  <tableColumns count="15">
    <tableColumn id="1" name="Colonne1"/>
    <tableColumn id="2" name="Acquis"/>
    <tableColumn id="3" name="JANV" dataDxfId="127"/>
    <tableColumn id="4" name="FÉVR" dataDxfId="126"/>
    <tableColumn id="5" name="MARS" dataDxfId="125"/>
    <tableColumn id="6" name="AVRI" dataDxfId="124"/>
    <tableColumn id="7" name="MAI" dataDxfId="123"/>
    <tableColumn id="8" name="JUIN" dataDxfId="122"/>
    <tableColumn id="9" name="JUIL" dataDxfId="121"/>
    <tableColumn id="10" name="AOÛT" dataDxfId="120"/>
    <tableColumn id="11" name="SEPT" dataDxfId="119"/>
    <tableColumn id="12" name="OCTO" dataDxfId="118"/>
    <tableColumn id="13" name="NOVE" dataDxfId="117"/>
    <tableColumn id="14" name="DÉCE" dataDxfId="116"/>
    <tableColumn id="15" name="TOTAL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11" name="Tableau2202126712" displayName="Tableau2202126712" ref="A106:O118" totalsRowShown="0">
  <autoFilter ref="A106:O118"/>
  <tableColumns count="15">
    <tableColumn id="1" name="Colonne1"/>
    <tableColumn id="2" name="Acquis"/>
    <tableColumn id="3" name="JANV" dataDxfId="115"/>
    <tableColumn id="4" name="FÉVR" dataDxfId="114"/>
    <tableColumn id="5" name="MARS" dataDxfId="113"/>
    <tableColumn id="6" name="AVRI" dataDxfId="112"/>
    <tableColumn id="7" name="MAI" dataDxfId="111"/>
    <tableColumn id="8" name="JUIN" dataDxfId="110"/>
    <tableColumn id="9" name="JUIL" dataDxfId="109"/>
    <tableColumn id="10" name="AOÛT" dataDxfId="108"/>
    <tableColumn id="11" name="SEPT" dataDxfId="107"/>
    <tableColumn id="12" name="OCTO" dataDxfId="106"/>
    <tableColumn id="13" name="NOVE" dataDxfId="105"/>
    <tableColumn id="14" name="DÉCE" dataDxfId="104"/>
    <tableColumn id="15" name="TOTAL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id="12" name="Tableau2202126713" displayName="Tableau2202126713" ref="A144:O156" totalsRowShown="0">
  <autoFilter ref="A144:O156"/>
  <tableColumns count="15">
    <tableColumn id="1" name="Colonne1"/>
    <tableColumn id="2" name="Acquis"/>
    <tableColumn id="3" name="JANV" dataDxfId="103"/>
    <tableColumn id="4" name="FÉVR" dataDxfId="102"/>
    <tableColumn id="5" name="MARS" dataDxfId="101"/>
    <tableColumn id="6" name="AVRI" dataDxfId="100"/>
    <tableColumn id="7" name="MAI" dataDxfId="99"/>
    <tableColumn id="8" name="JUIN" dataDxfId="98"/>
    <tableColumn id="9" name="JUIL" dataDxfId="97"/>
    <tableColumn id="10" name="AOÛT" dataDxfId="96"/>
    <tableColumn id="11" name="SEPT" dataDxfId="95"/>
    <tableColumn id="12" name="OCTO" dataDxfId="94"/>
    <tableColumn id="13" name="NOVE" dataDxfId="93"/>
    <tableColumn id="14" name="DÉCE" dataDxfId="92"/>
    <tableColumn id="15" name="TOTAL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id="13" name="Tableau2202126714" displayName="Tableau2202126714" ref="A163:O175" totalsRowShown="0">
  <autoFilter ref="A163:O175"/>
  <tableColumns count="15">
    <tableColumn id="1" name="Colonne1"/>
    <tableColumn id="2" name="Acquis"/>
    <tableColumn id="3" name="JANV" dataDxfId="91"/>
    <tableColumn id="4" name="FÉVR" dataDxfId="90"/>
    <tableColumn id="5" name="MARS" dataDxfId="89"/>
    <tableColumn id="6" name="AVRI" dataDxfId="88"/>
    <tableColumn id="7" name="MAI" dataDxfId="87"/>
    <tableColumn id="8" name="JUIN" dataDxfId="86"/>
    <tableColumn id="9" name="JUIL" dataDxfId="85"/>
    <tableColumn id="10" name="AOÛT" dataDxfId="84"/>
    <tableColumn id="11" name="SEPT" dataDxfId="83"/>
    <tableColumn id="12" name="OCTO" dataDxfId="82"/>
    <tableColumn id="13" name="NOVE" dataDxfId="81"/>
    <tableColumn id="14" name="DÉCE" dataDxfId="80"/>
    <tableColumn id="15" name="TOTAL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id="5" name="Tableau220212676" displayName="Tableau220212676" ref="A87:O99" totalsRowShown="0">
  <autoFilter ref="A87:O99"/>
  <tableColumns count="15">
    <tableColumn id="1" name="Colonne1"/>
    <tableColumn id="2" name="Acquis"/>
    <tableColumn id="3" name="JANV" dataDxfId="79"/>
    <tableColumn id="4" name="FÉVR" dataDxfId="78"/>
    <tableColumn id="5" name="MARS" dataDxfId="77"/>
    <tableColumn id="6" name="AVRI" dataDxfId="76"/>
    <tableColumn id="7" name="MAI" dataDxfId="75"/>
    <tableColumn id="8" name="JUIN" dataDxfId="74"/>
    <tableColumn id="9" name="JUIL" dataDxfId="73"/>
    <tableColumn id="10" name="AOÛT" dataDxfId="72"/>
    <tableColumn id="11" name="SEPT" dataDxfId="71"/>
    <tableColumn id="12" name="OCTO" dataDxfId="70"/>
    <tableColumn id="13" name="NOVE" dataDxfId="69"/>
    <tableColumn id="14" name="DÉCE" dataDxfId="68"/>
    <tableColumn id="15" name="TOTAL"/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id="26" name="Tableau2202126727" displayName="Tableau2202126727" ref="A125:O137" totalsRowShown="0">
  <autoFilter ref="A125:O137"/>
  <tableColumns count="15">
    <tableColumn id="1" name="Colonne1"/>
    <tableColumn id="2" name="Acquis"/>
    <tableColumn id="3" name="JANV" dataDxfId="67"/>
    <tableColumn id="4" name="FÉVR" dataDxfId="66"/>
    <tableColumn id="5" name="MARS" dataDxfId="65"/>
    <tableColumn id="6" name="AVRI" dataDxfId="64"/>
    <tableColumn id="7" name="MAI" dataDxfId="63"/>
    <tableColumn id="8" name="JUIN" dataDxfId="62"/>
    <tableColumn id="9" name="JUIL" dataDxfId="61"/>
    <tableColumn id="10" name="AOÛT" dataDxfId="60"/>
    <tableColumn id="11" name="SEPT" dataDxfId="59"/>
    <tableColumn id="12" name="OCTO" dataDxfId="58"/>
    <tableColumn id="13" name="NOVE" dataDxfId="57"/>
    <tableColumn id="14" name="DÉCE" dataDxfId="56"/>
    <tableColumn id="15" name="TOTAL"/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id="86" name="Tableau2202126387" displayName="Tableau2202126387" ref="A11:O23" totalsRowShown="0">
  <autoFilter ref="A11:O23"/>
  <tableColumns count="15">
    <tableColumn id="1" name="Colonne1"/>
    <tableColumn id="2" name="Acquis"/>
    <tableColumn id="3" name="JANV" dataDxfId="55"/>
    <tableColumn id="4" name="FÉVR" dataDxfId="54"/>
    <tableColumn id="5" name="MARS" dataDxfId="53"/>
    <tableColumn id="6" name="AVRI" dataDxfId="52"/>
    <tableColumn id="7" name="MAI" dataDxfId="51"/>
    <tableColumn id="8" name="JUIN" dataDxfId="50"/>
    <tableColumn id="9" name="JUIL" dataDxfId="49"/>
    <tableColumn id="10" name="AOÛT" dataDxfId="48"/>
    <tableColumn id="11" name="SEPT" dataDxfId="47"/>
    <tableColumn id="12" name="OCTO" dataDxfId="46"/>
    <tableColumn id="13" name="NOVE" dataDxfId="45"/>
    <tableColumn id="14" name="DÉCE" dataDxfId="44"/>
    <tableColumn id="15" name="TOTAL"/>
  </tableColumns>
  <tableStyleInfo name="TableStyleLight16" showFirstColumn="0" showLastColumn="0" showRowStripes="1" showColumnStripes="0"/>
</table>
</file>

<file path=xl/tables/table11.xml><?xml version="1.0" encoding="utf-8"?>
<table xmlns="http://schemas.openxmlformats.org/spreadsheetml/2006/main" id="87" name="Tableau220212679488" displayName="Tableau220212679488" ref="A30:O42" totalsRowShown="0">
  <autoFilter ref="A30:O42"/>
  <tableColumns count="15">
    <tableColumn id="1" name="Colonne1"/>
    <tableColumn id="2" name="Acquis"/>
    <tableColumn id="3" name="JANV" dataDxfId="43"/>
    <tableColumn id="4" name="FÉVR" dataDxfId="42"/>
    <tableColumn id="5" name="MARS" dataDxfId="41"/>
    <tableColumn id="6" name="AVRI" dataDxfId="40"/>
    <tableColumn id="7" name="MAI" dataDxfId="39"/>
    <tableColumn id="8" name="JUIN" dataDxfId="38"/>
    <tableColumn id="9" name="JUIL" dataDxfId="37"/>
    <tableColumn id="10" name="AOÛT" dataDxfId="36"/>
    <tableColumn id="11" name="SEPT" dataDxfId="35"/>
    <tableColumn id="12" name="OCTO" dataDxfId="34"/>
    <tableColumn id="13" name="NOVE" dataDxfId="33"/>
    <tableColumn id="14" name="DÉCE" dataDxfId="32"/>
    <tableColumn id="15" name="TOTAL"/>
  </tableColumns>
  <tableStyleInfo name="TableStyleLight16" showFirstColumn="0" showLastColumn="0" showRowStripes="1" showColumnStripes="0"/>
</table>
</file>

<file path=xl/tables/table12.xml><?xml version="1.0" encoding="utf-8"?>
<table xmlns="http://schemas.openxmlformats.org/spreadsheetml/2006/main" id="6" name="Tableau22021267" displayName="Tableau22021267" ref="A12:O24" totalsRowShown="0">
  <autoFilter ref="A12:O24"/>
  <tableColumns count="15">
    <tableColumn id="1" name="Colonne1"/>
    <tableColumn id="2" name="Acquis"/>
    <tableColumn id="3" name="JANV" dataDxfId="31"/>
    <tableColumn id="4" name="FÉVR" dataDxfId="30"/>
    <tableColumn id="5" name="MARS" dataDxfId="29"/>
    <tableColumn id="6" name="AVRI" dataDxfId="28"/>
    <tableColumn id="7" name="MAI" dataDxfId="27"/>
    <tableColumn id="8" name="JUIN" dataDxfId="26"/>
    <tableColumn id="9" name="JUIL" dataDxfId="25"/>
    <tableColumn id="10" name="AOÛT" dataDxfId="24"/>
    <tableColumn id="11" name="SEPT" dataDxfId="23"/>
    <tableColumn id="12" name="OCTO" dataDxfId="22"/>
    <tableColumn id="13" name="NOVE" dataDxfId="21"/>
    <tableColumn id="14" name="DÉCE" dataDxfId="20"/>
    <tableColumn id="15" name="TOTAL"/>
  </tableColumns>
  <tableStyleInfo name="TableStyleLight16" showFirstColumn="0" showLastColumn="0" showRowStripes="1" showColumnStripes="0"/>
</table>
</file>

<file path=xl/tables/table13.xml><?xml version="1.0" encoding="utf-8"?>
<table xmlns="http://schemas.openxmlformats.org/spreadsheetml/2006/main" id="1" name="Tableau1" displayName="Tableau1" ref="A1:S87" totalsRowShown="0" headerRowDxfId="19">
  <autoFilter ref="A1:S87"/>
  <tableColumns count="19">
    <tableColumn id="1" name="Nom" dataDxfId="18"/>
    <tableColumn id="2" name="Prénom" dataDxfId="17"/>
    <tableColumn id="3" name="Date de Naissance" dataDxfId="16"/>
    <tableColumn id="4" name="Catégorie" dataDxfId="15"/>
    <tableColumn id="5" name="Date entrée" dataDxfId="14"/>
    <tableColumn id="22" name="Age 01/06/2012" dataDxfId="13">
      <calculatedColumnFormula>DATEDIF(C2,Variables!$D$9,"y")</calculatedColumnFormula>
    </tableColumn>
    <tableColumn id="23" name="Age 01/06/2013" dataDxfId="12">
      <calculatedColumnFormula>DATEDIF(C2,Variables!$D$10,"y")</calculatedColumnFormula>
    </tableColumn>
    <tableColumn id="6" name="Age 01/06/2014" dataDxfId="11">
      <calculatedColumnFormula>DATEDIF(C2,Variables!$D$11,"y")</calculatedColumnFormula>
    </tableColumn>
    <tableColumn id="8" name="Age 01/06/2015" dataDxfId="10">
      <calculatedColumnFormula>DATEDIF(C2,Variables!$D$12,"y")</calculatedColumnFormula>
    </tableColumn>
    <tableColumn id="9" name="Age 01/06/2016" dataDxfId="9">
      <calculatedColumnFormula>DATEDIF(C2,Variables!$D$13,"y")</calculatedColumnFormula>
    </tableColumn>
    <tableColumn id="10" name="Age 01/06/2017" dataDxfId="8">
      <calculatedColumnFormula>DATEDIF(C2,Variables!$D$14,"y")</calculatedColumnFormula>
    </tableColumn>
    <tableColumn id="11" name="Age 01/06/2018" dataDxfId="7">
      <calculatedColumnFormula>DATEDIF(C2,Variables!$D$15,"y")</calculatedColumnFormula>
    </tableColumn>
    <tableColumn id="19" name="Ancienneté au 01/06/2012" dataDxfId="6">
      <calculatedColumnFormula>IFERROR(DATEDIF(E2,Variables!$D$9,"y"),0)</calculatedColumnFormula>
    </tableColumn>
    <tableColumn id="20" name="Ancienneté au 01/06/2013" dataDxfId="5">
      <calculatedColumnFormula>IFERROR(DATEDIF(E2,Variables!$D$10,"y"),0)</calculatedColumnFormula>
    </tableColumn>
    <tableColumn id="7" name="Ancienneté au 01/06/2014" dataDxfId="4">
      <calculatedColumnFormula>IFERROR(DATEDIF(E2,Variables!$D$11,"y"),0)</calculatedColumnFormula>
    </tableColumn>
    <tableColumn id="12" name="Ancienneté au 01/06/2015" dataDxfId="3">
      <calculatedColumnFormula>IFERROR(DATEDIF(E2,Variables!$D$12,"y"),0)</calculatedColumnFormula>
    </tableColumn>
    <tableColumn id="13" name="Ancienneté au 01/06/2016" dataDxfId="2">
      <calculatedColumnFormula>IFERROR(DATEDIF(E2,Variables!$D$13,"y"),0)</calculatedColumnFormula>
    </tableColumn>
    <tableColumn id="14" name="Ancienneté au 01/06/2017" dataDxfId="1">
      <calculatedColumnFormula>IFERROR(DATEDIF(E2,Variables!$D$14,"y"),0)</calculatedColumnFormula>
    </tableColumn>
    <tableColumn id="15" name="Ancienneté au 01/06/2018" dataDxfId="0">
      <calculatedColumnFormula>IFERROR(DATEDIF(E2,Variables!$D$15,"y"),0)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12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table" Target="../tables/table3.xml"/><Relationship Id="rId10" Type="http://schemas.openxmlformats.org/officeDocument/2006/relationships/table" Target="../tables/table8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table" Target="../tables/table1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O175"/>
  <sheetViews>
    <sheetView zoomScaleNormal="100" workbookViewId="0">
      <selection activeCell="B8" sqref="B8"/>
    </sheetView>
  </sheetViews>
  <sheetFormatPr baseColWidth="10" defaultRowHeight="15" x14ac:dyDescent="0.25"/>
  <cols>
    <col min="1" max="1" width="23.42578125" customWidth="1"/>
    <col min="2" max="2" width="10.5703125" customWidth="1"/>
    <col min="3" max="15" width="8.28515625" customWidth="1"/>
  </cols>
  <sheetData>
    <row r="1" spans="1:15" ht="18.75" x14ac:dyDescent="0.3">
      <c r="A1" s="1" t="s">
        <v>1</v>
      </c>
      <c r="I1" s="7"/>
      <c r="J1" s="53" t="s">
        <v>56</v>
      </c>
      <c r="K1" s="53"/>
      <c r="L1" s="53"/>
    </row>
    <row r="2" spans="1:15" ht="15" customHeight="1" x14ac:dyDescent="0.25">
      <c r="A2" s="5" t="s">
        <v>12</v>
      </c>
      <c r="B2" s="52">
        <v>42155</v>
      </c>
      <c r="C2" s="52"/>
      <c r="I2" s="7"/>
      <c r="J2" s="56" t="s">
        <v>14</v>
      </c>
      <c r="K2" s="56"/>
      <c r="L2" s="56" t="s">
        <v>15</v>
      </c>
      <c r="M2" s="56"/>
      <c r="N2" s="56" t="s">
        <v>16</v>
      </c>
      <c r="O2" s="56"/>
    </row>
    <row r="3" spans="1:15" x14ac:dyDescent="0.25">
      <c r="I3" s="7" t="s">
        <v>48</v>
      </c>
      <c r="J3" s="55">
        <f>(IFERROR(VLOOKUP(J2,Variables!B8:E24,3),""))</f>
        <v>41426</v>
      </c>
      <c r="K3" s="55"/>
      <c r="L3" s="55">
        <f>(IFERROR(VLOOKUP(L2,Variables!B8:E24,3),""))</f>
        <v>41791</v>
      </c>
      <c r="M3" s="55"/>
      <c r="N3" s="55">
        <f>(IFERROR(VLOOKUP(N2,Variables!B8:E24,3),""))</f>
        <v>42156</v>
      </c>
      <c r="O3" s="55"/>
    </row>
    <row r="4" spans="1:15" x14ac:dyDescent="0.25">
      <c r="I4" s="7" t="s">
        <v>47</v>
      </c>
      <c r="J4" s="55">
        <f>(IFERROR(VLOOKUP(J2,Variables!B8:E24,4),""))</f>
        <v>41790</v>
      </c>
      <c r="K4" s="55"/>
      <c r="L4" s="55">
        <f>(IFERROR(VLOOKUP(L2,Variables!B8:E24,4),""))</f>
        <v>42155</v>
      </c>
      <c r="M4" s="55"/>
      <c r="N4" s="55">
        <f>(IFERROR(VLOOKUP(N2,Variables!B8:E24,4),""))</f>
        <v>42521</v>
      </c>
      <c r="O4" s="55"/>
    </row>
    <row r="5" spans="1:15" x14ac:dyDescent="0.25">
      <c r="I5" s="7" t="s">
        <v>54</v>
      </c>
      <c r="J5" s="54">
        <f>IF(B2&gt;J4,12,(IFERROR(ROUNDUP(MONTH($B$2-J3),1),"")))</f>
        <v>12</v>
      </c>
      <c r="K5" s="54"/>
      <c r="L5" s="54">
        <f>IF(B2&gt;L4,12,(IFERROR(ROUNDUP(MONTH($B$2-L3),1),"")))</f>
        <v>12</v>
      </c>
      <c r="M5" s="54"/>
      <c r="N5" s="54" t="str">
        <f>IF(B2&gt;N4,12,(IFERROR(ROUNDUP(MONTH($B$2-N3),1),"0")))</f>
        <v>0</v>
      </c>
      <c r="O5" s="54"/>
    </row>
    <row r="6" spans="1:15" x14ac:dyDescent="0.25">
      <c r="I6" s="7"/>
      <c r="J6" s="38"/>
      <c r="K6" s="38"/>
      <c r="L6" s="38"/>
      <c r="M6" s="38"/>
      <c r="N6" s="38"/>
      <c r="O6" s="38"/>
    </row>
    <row r="7" spans="1:15" x14ac:dyDescent="0.25">
      <c r="A7" s="18"/>
      <c r="G7" s="7" t="s">
        <v>36</v>
      </c>
      <c r="H7" t="str">
        <f>IFERROR(VLOOKUP(A7,'BDD Salariés'!$1:$1048576,4,FALSE),"")</f>
        <v/>
      </c>
      <c r="J7" s="41" t="s">
        <v>61</v>
      </c>
      <c r="K7" s="42"/>
      <c r="L7" s="19" t="s">
        <v>76</v>
      </c>
      <c r="M7" s="19" t="s">
        <v>77</v>
      </c>
      <c r="N7" s="19" t="s">
        <v>78</v>
      </c>
      <c r="O7" s="19" t="s">
        <v>79</v>
      </c>
    </row>
    <row r="8" spans="1:15" x14ac:dyDescent="0.25">
      <c r="A8" s="10" t="str">
        <f>IFERROR(VLOOKUP(A7,'BDD Salariés'!$1:$1048576,2,FALSE),"")</f>
        <v/>
      </c>
      <c r="G8" s="7" t="s">
        <v>59</v>
      </c>
      <c r="H8" t="str">
        <f>IF(H7="Cadre","Forfait Jours","Mensualisation")</f>
        <v>Mensualisation</v>
      </c>
      <c r="J8" s="41" t="s">
        <v>58</v>
      </c>
      <c r="K8" s="42"/>
      <c r="L8" s="19" t="str">
        <f>IFERROR(VLOOKUP(A7,'BDD Salariés'!$1:$1048576,6,FALSE),"")</f>
        <v/>
      </c>
      <c r="M8" s="19" t="str">
        <f>IFERROR(VLOOKUP(A7,'BDD Salariés'!$1:$1048576,7,FALSE),"")</f>
        <v/>
      </c>
      <c r="N8" s="19" t="str">
        <f>IFERROR(VLOOKUP(A7,'BDD Salariés'!$1:$1048576,8,FALSE),"")</f>
        <v/>
      </c>
      <c r="O8" s="19" t="str">
        <f>IFERROR(VLOOKUP(A7,'BDD Salariés'!$1:$1048576,9,FALSE),"")</f>
        <v/>
      </c>
    </row>
    <row r="9" spans="1:15" x14ac:dyDescent="0.25">
      <c r="A9" s="43" t="s">
        <v>80</v>
      </c>
      <c r="G9" s="7" t="str">
        <f>IF(H7="Cadre","Base forfaitaire en jours","")</f>
        <v/>
      </c>
      <c r="H9" s="10" t="str">
        <f>IF(H7="Cadre","218","")</f>
        <v/>
      </c>
      <c r="J9" s="41" t="s">
        <v>109</v>
      </c>
      <c r="K9" s="42"/>
      <c r="L9" s="19" t="str">
        <f>IFERROR(VLOOKUP(A7,'BDD Salariés'!$1:$1048576,13,FALSE),"")</f>
        <v/>
      </c>
      <c r="M9" s="19" t="str">
        <f>IFERROR(VLOOKUP(A7,'BDD Salariés'!$1:$1048576,14,FALSE),"")</f>
        <v/>
      </c>
      <c r="N9" s="19" t="str">
        <f>IFERROR(VLOOKUP(A7,'BDD Salariés'!$1:$1048576,15,FALSE),"")</f>
        <v/>
      </c>
      <c r="O9" s="19" t="str">
        <f>IFERROR(VLOOKUP(A7,'BDD Salariés'!$1:$1048576,16,FALSE),"")</f>
        <v/>
      </c>
    </row>
    <row r="10" spans="1:15" x14ac:dyDescent="0.25">
      <c r="A10" s="39" t="str">
        <f>IFERROR(VLOOKUP(A7,'BDD Salariés'!$1:$1048576,5,FALSE),"")</f>
        <v/>
      </c>
      <c r="G10" s="7" t="str">
        <f>IF(H7="Cadre","Après déduction reliquat 12/2003","")</f>
        <v/>
      </c>
      <c r="H10" s="10" t="str">
        <f>IF(H7="Cadre",H9-B18,"")</f>
        <v/>
      </c>
      <c r="J10" s="40" t="s">
        <v>110</v>
      </c>
    </row>
    <row r="11" spans="1:15" x14ac:dyDescent="0.25">
      <c r="A11" s="12" t="s">
        <v>57</v>
      </c>
      <c r="B11" t="s">
        <v>49</v>
      </c>
      <c r="C11" t="s">
        <v>81</v>
      </c>
      <c r="D11" t="s">
        <v>82</v>
      </c>
      <c r="E11" t="s">
        <v>83</v>
      </c>
      <c r="F11" t="s">
        <v>84</v>
      </c>
      <c r="G11" t="s">
        <v>50</v>
      </c>
      <c r="H11" t="s">
        <v>86</v>
      </c>
      <c r="I11" s="20" t="s">
        <v>85</v>
      </c>
      <c r="J11" t="s">
        <v>87</v>
      </c>
      <c r="K11" t="s">
        <v>88</v>
      </c>
      <c r="L11" t="s">
        <v>89</v>
      </c>
      <c r="M11" t="s">
        <v>90</v>
      </c>
      <c r="N11" t="s">
        <v>91</v>
      </c>
      <c r="O11" t="s">
        <v>55</v>
      </c>
    </row>
    <row r="12" spans="1:15" x14ac:dyDescent="0.25">
      <c r="A12" t="s">
        <v>16</v>
      </c>
      <c r="B12" t="str">
        <f>IF(SG!$N$5="0","",IF((SG!$N$5*2.08)&gt;24.5,25,ROUNDDOWN(SG!$N$5*2.08,0)))</f>
        <v/>
      </c>
      <c r="O12" t="str">
        <f t="shared" ref="O12:O19" si="0">IF(B12="","",B12-SUM(C12:N12))</f>
        <v/>
      </c>
    </row>
    <row r="13" spans="1:15" x14ac:dyDescent="0.25">
      <c r="A13" t="s">
        <v>15</v>
      </c>
      <c r="B13">
        <f>IF(SG!$L$5="","",IF((SG!$L$5*2.08)&gt;24.5,25,ROUNDDOWN(SG!$L$5*2.08,0)))</f>
        <v>25</v>
      </c>
      <c r="C13">
        <v>1</v>
      </c>
      <c r="E13">
        <v>2.5</v>
      </c>
      <c r="F13">
        <v>0.5</v>
      </c>
      <c r="G13">
        <v>1</v>
      </c>
      <c r="O13">
        <f>IF(B13="","",B13-SUM(C13:N13))</f>
        <v>20</v>
      </c>
    </row>
    <row r="14" spans="1:15" x14ac:dyDescent="0.25">
      <c r="A14" t="s">
        <v>14</v>
      </c>
      <c r="B14">
        <v>-2.5</v>
      </c>
      <c r="C14" s="50"/>
      <c r="O14">
        <f>IF(B14="","",B14-SUM(C14:N14))</f>
        <v>-2.5</v>
      </c>
    </row>
    <row r="15" spans="1:15" x14ac:dyDescent="0.25">
      <c r="A15" t="s">
        <v>27</v>
      </c>
      <c r="B15" t="str">
        <f>IF(O9="","",IF($B$2&lt;$N$3,"",IF(AND(O7="Cadre",O9&gt;=2,O8&gt;=35),3,IF(AND(H7="Cadre",O9&gt;=1,O8&gt;=30),2,IF(AND(H8="Mensualisation",O9&gt;=20),3,IF(AND(O8="Mensualisation",O9&lt;20,O9&gt;14),2,IF(AND(H8="Mensualisation",O9&gt;9,O9&lt;15),1,"")))))))</f>
        <v/>
      </c>
      <c r="O15" t="str">
        <f t="shared" si="0"/>
        <v/>
      </c>
    </row>
    <row r="16" spans="1:15" x14ac:dyDescent="0.25">
      <c r="A16" t="s">
        <v>26</v>
      </c>
      <c r="B16" t="str">
        <f>IF(N9="","",IF(AND(H7="Cadre",N9&gt;=2,N8&gt;=35),3,IF(AND(H7="Cadre",N9&gt;=1,N8&gt;=30),2,IF(AND(H8="Mensualisation",N9&gt;=20),3,IF(AND(H8="Mensualisation",N9&lt;20,N9&gt;14),2,IF(AND(H8="Mensualisation",N9&gt;9,N9&lt;15),1,""))))))</f>
        <v/>
      </c>
      <c r="O16" t="str">
        <f t="shared" si="0"/>
        <v/>
      </c>
    </row>
    <row r="17" spans="1:15" x14ac:dyDescent="0.25">
      <c r="A17" t="s">
        <v>92</v>
      </c>
      <c r="O17" t="str">
        <f t="shared" si="0"/>
        <v/>
      </c>
    </row>
    <row r="18" spans="1:15" x14ac:dyDescent="0.25">
      <c r="A18" t="s">
        <v>51</v>
      </c>
      <c r="O18" t="str">
        <f t="shared" si="0"/>
        <v/>
      </c>
    </row>
    <row r="19" spans="1:15" x14ac:dyDescent="0.25">
      <c r="A19" t="str">
        <f>IF(H7="Cadre","RTT","")</f>
        <v/>
      </c>
      <c r="B19" t="str">
        <f>IF(H7="Cadre",Variables!$C$89,"")</f>
        <v/>
      </c>
      <c r="O19" t="str">
        <f t="shared" si="0"/>
        <v/>
      </c>
    </row>
    <row r="20" spans="1:15" x14ac:dyDescent="0.25">
      <c r="A20" s="14" t="s">
        <v>108</v>
      </c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3">
        <f>SUBTOTAL(109,O12:O19)</f>
        <v>17.5</v>
      </c>
    </row>
    <row r="21" spans="1:15" x14ac:dyDescent="0.25">
      <c r="A21" s="44" t="str">
        <f>IF(H7="Cadre","Jours ouvrés","")</f>
        <v/>
      </c>
      <c r="B21" s="44" t="str">
        <f>IF(SUM(C21:N21)=0,"",SUM(C21:N21))</f>
        <v/>
      </c>
      <c r="C21" s="44" t="str">
        <f>IF(H7="Cadre",NETWORKDAYS(Variables!$B$49,Variables!$C$49,Variables!$D$49:$D$60),"")</f>
        <v/>
      </c>
      <c r="D21" s="44" t="str">
        <f>IF(H7="Cadre",NETWORKDAYS(Variables!$B$50,Variables!$C$50,Variables!$D$49:$D$60),"")</f>
        <v/>
      </c>
      <c r="E21" s="44" t="str">
        <f>IF(H7="Cadre",NETWORKDAYS(Variables!$B$51,Variables!$C$51,Variables!$D$49:$D$60),"")</f>
        <v/>
      </c>
      <c r="F21" s="44" t="str">
        <f>IF(H7="Cadre",NETWORKDAYS(Variables!$B$52,Variables!$C$52,Variables!$D$49:$D$60),"")</f>
        <v/>
      </c>
      <c r="G21" s="44" t="str">
        <f>IF(H7="Cadre",NETWORKDAYS(Variables!$B$53,Variables!$C$53,Variables!$D$49:$D$60),"")</f>
        <v/>
      </c>
      <c r="H21" s="44" t="str">
        <f>IF(H7="Cadre",NETWORKDAYS(Variables!$B$54,Variables!$C$54,Variables!$D$49:$D$60),"")</f>
        <v/>
      </c>
      <c r="I21" s="44" t="str">
        <f>IF(H7="Cadre",NETWORKDAYS(Variables!$B$55,Variables!$C$55,Variables!$D$49:$D$60),"")</f>
        <v/>
      </c>
      <c r="J21" s="44" t="str">
        <f>IF(H7="Cadre",NETWORKDAYS(Variables!$B$56,Variables!$C$56,Variables!$D$49:$D$60),"")</f>
        <v/>
      </c>
      <c r="K21" s="44" t="str">
        <f>IF(H7="Cadre",NETWORKDAYS(Variables!$B$57,Variables!$C$57,Variables!$D$49:$D$60),"")</f>
        <v/>
      </c>
      <c r="L21" s="44" t="str">
        <f>IF(H7="Cadre",NETWORKDAYS(Variables!$B$58,Variables!$C$58,Variables!$D$49:$D$60),"")</f>
        <v/>
      </c>
      <c r="M21" s="44" t="str">
        <f>IF(H7="Cadre",NETWORKDAYS(Variables!$B$59,Variables!$C$59,Variables!$D$49:$D$60),"")</f>
        <v/>
      </c>
      <c r="N21" s="44" t="str">
        <f>IF(H7="Cadre",NETWORKDAYS(Variables!$B$60,Variables!$C$60,Variables!$D$49:$D$60),"")</f>
        <v/>
      </c>
      <c r="O21" s="44" t="str">
        <f>IF(SUM(C21:N21)=0,"",SUM(C21:N21))</f>
        <v/>
      </c>
    </row>
    <row r="22" spans="1:15" x14ac:dyDescent="0.25">
      <c r="A22" s="44" t="str">
        <f>IF(H7="Cadre","Jours travaillés","")</f>
        <v/>
      </c>
      <c r="B22" s="44"/>
      <c r="C22" s="44" t="str">
        <f>IF(C21="","",C21-SUM(C13:C19))</f>
        <v/>
      </c>
      <c r="D22" s="44" t="str">
        <f t="shared" ref="D22:N22" si="1">IF(D21="","",D21-SUM(D13:D19))</f>
        <v/>
      </c>
      <c r="E22" s="44" t="str">
        <f t="shared" si="1"/>
        <v/>
      </c>
      <c r="F22" s="44" t="str">
        <f t="shared" si="1"/>
        <v/>
      </c>
      <c r="G22" s="44" t="str">
        <f t="shared" si="1"/>
        <v/>
      </c>
      <c r="H22" s="44" t="str">
        <f t="shared" si="1"/>
        <v/>
      </c>
      <c r="I22" s="44" t="str">
        <f t="shared" si="1"/>
        <v/>
      </c>
      <c r="J22" s="44" t="str">
        <f t="shared" si="1"/>
        <v/>
      </c>
      <c r="K22" s="44" t="str">
        <f t="shared" si="1"/>
        <v/>
      </c>
      <c r="L22" s="44" t="str">
        <f t="shared" si="1"/>
        <v/>
      </c>
      <c r="M22" s="44" t="str">
        <f t="shared" si="1"/>
        <v/>
      </c>
      <c r="N22" s="44" t="str">
        <f t="shared" si="1"/>
        <v/>
      </c>
      <c r="O22" s="44" t="str">
        <f>IF(SUM(C22:N22)=0,"",SUM(C22:N22))</f>
        <v/>
      </c>
    </row>
    <row r="23" spans="1:15" ht="15" customHeight="1" x14ac:dyDescent="0.25">
      <c r="A23" s="45" t="str">
        <f>IF(H7="Cadre","Solde jours restants à travailler","")</f>
        <v/>
      </c>
      <c r="B23" s="44" t="str">
        <f>IF(H7="Cadre",Variables!$C$99-SUM(B13:B19),"")</f>
        <v/>
      </c>
      <c r="C23" s="44" t="str">
        <f t="shared" ref="C23:N23" si="2">IF(ISERROR(B23-C22),"",B23-C22)</f>
        <v/>
      </c>
      <c r="D23" s="44" t="str">
        <f t="shared" si="2"/>
        <v/>
      </c>
      <c r="E23" s="44" t="str">
        <f t="shared" si="2"/>
        <v/>
      </c>
      <c r="F23" s="44" t="str">
        <f t="shared" si="2"/>
        <v/>
      </c>
      <c r="G23" s="44" t="str">
        <f t="shared" si="2"/>
        <v/>
      </c>
      <c r="H23" s="44" t="str">
        <f t="shared" si="2"/>
        <v/>
      </c>
      <c r="I23" s="44" t="str">
        <f t="shared" si="2"/>
        <v/>
      </c>
      <c r="J23" s="44" t="str">
        <f t="shared" si="2"/>
        <v/>
      </c>
      <c r="K23" s="44" t="str">
        <f t="shared" si="2"/>
        <v/>
      </c>
      <c r="L23" s="44" t="str">
        <f t="shared" si="2"/>
        <v/>
      </c>
      <c r="M23" s="44" t="str">
        <f t="shared" si="2"/>
        <v/>
      </c>
      <c r="N23" s="44" t="str">
        <f t="shared" si="2"/>
        <v/>
      </c>
      <c r="O23" s="44" t="str">
        <f>IF(ISERROR(N23),"",N23)</f>
        <v/>
      </c>
    </row>
    <row r="26" spans="1:15" x14ac:dyDescent="0.25">
      <c r="A26" s="18"/>
      <c r="G26" s="7" t="s">
        <v>36</v>
      </c>
      <c r="H26" t="str">
        <f>IFERROR(VLOOKUP(A26,'BDD Salariés'!$1:$1048576,4,FALSE),"")</f>
        <v/>
      </c>
      <c r="J26" s="41" t="s">
        <v>61</v>
      </c>
      <c r="K26" s="42"/>
      <c r="L26" s="19" t="s">
        <v>76</v>
      </c>
      <c r="M26" s="19" t="s">
        <v>77</v>
      </c>
      <c r="N26" s="19" t="s">
        <v>78</v>
      </c>
      <c r="O26" s="19" t="s">
        <v>79</v>
      </c>
    </row>
    <row r="27" spans="1:15" x14ac:dyDescent="0.25">
      <c r="A27" s="10" t="str">
        <f>IFERROR(VLOOKUP(A26,'BDD Salariés'!$1:$1048576,2,FALSE),"")</f>
        <v/>
      </c>
      <c r="G27" s="7" t="s">
        <v>59</v>
      </c>
      <c r="H27" t="str">
        <f>IF(H26="Cadre","Forfait Jours","Mensualisation")</f>
        <v>Mensualisation</v>
      </c>
      <c r="J27" s="41" t="s">
        <v>58</v>
      </c>
      <c r="K27" s="42"/>
      <c r="L27" s="19" t="str">
        <f>IFERROR(VLOOKUP(A26,'BDD Salariés'!$1:$1048576,6,FALSE),"")</f>
        <v/>
      </c>
      <c r="M27" s="19" t="str">
        <f>IFERROR(VLOOKUP(A26,'BDD Salariés'!$1:$1048576,7,FALSE),"")</f>
        <v/>
      </c>
      <c r="N27" s="19" t="str">
        <f>IFERROR(VLOOKUP(A26,'BDD Salariés'!$1:$1048576,8,FALSE),"")</f>
        <v/>
      </c>
      <c r="O27" s="19" t="str">
        <f>IFERROR(VLOOKUP(A26,'BDD Salariés'!$1:$1048576,9,FALSE),"")</f>
        <v/>
      </c>
    </row>
    <row r="28" spans="1:15" x14ac:dyDescent="0.25">
      <c r="A28" s="43" t="s">
        <v>80</v>
      </c>
      <c r="G28" s="7" t="str">
        <f>IF(H26="Cadre","Base forfaitaire en jours","")</f>
        <v/>
      </c>
      <c r="H28" s="10" t="str">
        <f>IF(H26="Cadre","218","")</f>
        <v/>
      </c>
      <c r="J28" s="41" t="s">
        <v>109</v>
      </c>
      <c r="K28" s="42"/>
      <c r="L28" s="19" t="str">
        <f>IFERROR(VLOOKUP(A26,'BDD Salariés'!$1:$1048576,13,FALSE),"")</f>
        <v/>
      </c>
      <c r="M28" s="19" t="str">
        <f>IFERROR(VLOOKUP(A26,'BDD Salariés'!$1:$1048576,14,FALSE),"")</f>
        <v/>
      </c>
      <c r="N28" s="19" t="str">
        <f>IFERROR(VLOOKUP(A26,'BDD Salariés'!$1:$1048576,15,FALSE),"")</f>
        <v/>
      </c>
      <c r="O28" s="19" t="str">
        <f>IFERROR(VLOOKUP(A26,'BDD Salariés'!$1:$1048576,16,FALSE),"")</f>
        <v/>
      </c>
    </row>
    <row r="29" spans="1:15" x14ac:dyDescent="0.25">
      <c r="A29" s="39" t="str">
        <f>IFERROR(VLOOKUP(A26,'BDD Salariés'!$1:$1048576,5,FALSE),"")</f>
        <v/>
      </c>
      <c r="G29" s="7" t="str">
        <f>IF(H26="Cadre","Après déduction reliquat 12/2003","")</f>
        <v/>
      </c>
      <c r="H29" s="10" t="str">
        <f>IF(H26="Cadre",H28-B37,"")</f>
        <v/>
      </c>
      <c r="J29" s="40" t="s">
        <v>110</v>
      </c>
    </row>
    <row r="30" spans="1:15" x14ac:dyDescent="0.25">
      <c r="A30" s="12" t="s">
        <v>57</v>
      </c>
      <c r="B30" t="s">
        <v>49</v>
      </c>
      <c r="C30" t="s">
        <v>81</v>
      </c>
      <c r="D30" t="s">
        <v>82</v>
      </c>
      <c r="E30" t="s">
        <v>83</v>
      </c>
      <c r="F30" t="s">
        <v>84</v>
      </c>
      <c r="G30" t="s">
        <v>50</v>
      </c>
      <c r="H30" t="s">
        <v>86</v>
      </c>
      <c r="I30" s="20" t="s">
        <v>85</v>
      </c>
      <c r="J30" t="s">
        <v>87</v>
      </c>
      <c r="K30" t="s">
        <v>88</v>
      </c>
      <c r="L30" t="s">
        <v>89</v>
      </c>
      <c r="M30" t="s">
        <v>90</v>
      </c>
      <c r="N30" t="s">
        <v>91</v>
      </c>
      <c r="O30" t="s">
        <v>55</v>
      </c>
    </row>
    <row r="31" spans="1:15" x14ac:dyDescent="0.25">
      <c r="A31" t="s">
        <v>16</v>
      </c>
      <c r="B31" t="str">
        <f>IF(SG!$N$5="0","",IF((SG!$N$5*2.08)&gt;24.5,25,ROUNDDOWN(SG!$N$5*2.08,0)))</f>
        <v/>
      </c>
      <c r="O31" t="str">
        <f t="shared" ref="O31:O38" si="3">IF(B31="","",B31-SUM(C31:N31))</f>
        <v/>
      </c>
    </row>
    <row r="32" spans="1:15" x14ac:dyDescent="0.25">
      <c r="A32" t="s">
        <v>15</v>
      </c>
      <c r="B32">
        <f>IF(SG!$L$5="","",IF((SG!$L$5*2.08)&gt;24.5,25,ROUNDDOWN(SG!$L$5*2.08,0)))</f>
        <v>25</v>
      </c>
      <c r="O32">
        <f t="shared" si="3"/>
        <v>25</v>
      </c>
    </row>
    <row r="33" spans="1:15" x14ac:dyDescent="0.25">
      <c r="A33" t="s">
        <v>14</v>
      </c>
      <c r="B33">
        <v>6</v>
      </c>
      <c r="D33">
        <v>2</v>
      </c>
      <c r="F33">
        <v>4</v>
      </c>
      <c r="O33">
        <f t="shared" si="3"/>
        <v>0</v>
      </c>
    </row>
    <row r="34" spans="1:15" x14ac:dyDescent="0.25">
      <c r="A34" t="s">
        <v>27</v>
      </c>
      <c r="B34" t="str">
        <f>IF(O28="","",IF($B$2&lt;$N$3,"",IF(AND(O26="Cadre",O28&gt;=2,O27&gt;=35),3,IF(AND(H26="Cadre",O28&gt;=1,O27&gt;=30),2,IF(AND(H27="Mensualisation",O28&gt;=20),3,IF(AND(O27="Mensualisation",O28&lt;20,O28&gt;14),2,IF(AND(H27="Mensualisation",O28&gt;9,O28&lt;15),1,"")))))))</f>
        <v/>
      </c>
      <c r="O34" t="str">
        <f t="shared" si="3"/>
        <v/>
      </c>
    </row>
    <row r="35" spans="1:15" x14ac:dyDescent="0.25">
      <c r="A35" t="s">
        <v>26</v>
      </c>
      <c r="B35" t="str">
        <f>IF(N28="","",IF(AND(H26="Cadre",N28&gt;=2,N27&gt;=35),3,IF(AND(H26="Cadre",N28&gt;=1,N27&gt;=30),2,IF(AND(H27="Mensualisation",N28&gt;=20),3,IF(AND(H27="Mensualisation",N28&lt;20,N28&gt;14),2,IF(AND(H27="Mensualisation",N28&gt;9,N28&lt;15),1,""))))))</f>
        <v/>
      </c>
      <c r="O35" t="str">
        <f t="shared" si="3"/>
        <v/>
      </c>
    </row>
    <row r="36" spans="1:15" x14ac:dyDescent="0.25">
      <c r="A36" t="s">
        <v>92</v>
      </c>
      <c r="O36" t="str">
        <f t="shared" si="3"/>
        <v/>
      </c>
    </row>
    <row r="37" spans="1:15" x14ac:dyDescent="0.25">
      <c r="A37" t="s">
        <v>51</v>
      </c>
      <c r="O37" t="str">
        <f t="shared" si="3"/>
        <v/>
      </c>
    </row>
    <row r="38" spans="1:15" x14ac:dyDescent="0.25">
      <c r="A38" t="str">
        <f>IF(H26="Cadre","RTT","")</f>
        <v/>
      </c>
      <c r="B38" t="str">
        <f>IF(H26="Cadre",Variables!$C$89,"")</f>
        <v/>
      </c>
      <c r="O38" t="str">
        <f t="shared" si="3"/>
        <v/>
      </c>
    </row>
    <row r="39" spans="1:15" x14ac:dyDescent="0.25">
      <c r="A39" s="14" t="s">
        <v>108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3">
        <f>SUBTOTAL(109,O31:O38)</f>
        <v>25</v>
      </c>
    </row>
    <row r="40" spans="1:15" x14ac:dyDescent="0.25">
      <c r="A40" s="44" t="str">
        <f>IF(H26="Cadre","Jours ouvrés","")</f>
        <v/>
      </c>
      <c r="B40" s="44" t="str">
        <f>IF(SUM(C40:N40)=0,"",SUM(C40:N40))</f>
        <v/>
      </c>
      <c r="C40" s="44" t="str">
        <f>IF(H26="Cadre",NETWORKDAYS(Variables!$B$49,Variables!$C$49,Variables!$D$49:$D$60),"")</f>
        <v/>
      </c>
      <c r="D40" s="44" t="str">
        <f>IF(H26="Cadre",NETWORKDAYS(Variables!$B$50,Variables!$C$50,Variables!$D$49:$D$60),"")</f>
        <v/>
      </c>
      <c r="E40" s="44" t="str">
        <f>IF(H26="Cadre",NETWORKDAYS(Variables!$B$51,Variables!$C$51,Variables!$D$49:$D$60),"")</f>
        <v/>
      </c>
      <c r="F40" s="44" t="str">
        <f>IF(H26="Cadre",NETWORKDAYS(Variables!$B$52,Variables!$C$52,Variables!$D$49:$D$60),"")</f>
        <v/>
      </c>
      <c r="G40" s="44" t="str">
        <f>IF(H26="Cadre",NETWORKDAYS(Variables!$B$53,Variables!$C$53,Variables!$D$49:$D$60),"")</f>
        <v/>
      </c>
      <c r="H40" s="44" t="str">
        <f>IF(H26="Cadre",NETWORKDAYS(Variables!$B$54,Variables!$C$54,Variables!$D$49:$D$60),"")</f>
        <v/>
      </c>
      <c r="I40" s="44" t="str">
        <f>IF(H26="Cadre",NETWORKDAYS(Variables!$B$55,Variables!$C$55,Variables!$D$49:$D$60),"")</f>
        <v/>
      </c>
      <c r="J40" s="44" t="str">
        <f>IF(H26="Cadre",NETWORKDAYS(Variables!$B$56,Variables!$C$56,Variables!$D$49:$D$60),"")</f>
        <v/>
      </c>
      <c r="K40" s="44" t="str">
        <f>IF(H26="Cadre",NETWORKDAYS(Variables!$B$57,Variables!$C$57,Variables!$D$49:$D$60),"")</f>
        <v/>
      </c>
      <c r="L40" s="44" t="str">
        <f>IF(H26="Cadre",NETWORKDAYS(Variables!$B$58,Variables!$C$58,Variables!$D$49:$D$60),"")</f>
        <v/>
      </c>
      <c r="M40" s="44" t="str">
        <f>IF(H26="Cadre",NETWORKDAYS(Variables!$B$59,Variables!$C$59,Variables!$D$49:$D$60),"")</f>
        <v/>
      </c>
      <c r="N40" s="44" t="str">
        <f>IF(H26="Cadre",NETWORKDAYS(Variables!$B$60,Variables!$C$60,Variables!$D$49:$D$60),"")</f>
        <v/>
      </c>
      <c r="O40" s="44" t="str">
        <f>IF(SUM(C40:N40)=0,"",SUM(C40:N40))</f>
        <v/>
      </c>
    </row>
    <row r="41" spans="1:15" x14ac:dyDescent="0.25">
      <c r="A41" s="44" t="str">
        <f>IF(H26="Cadre","Jours travaillés","")</f>
        <v/>
      </c>
      <c r="B41" s="44"/>
      <c r="C41" s="44" t="str">
        <f t="shared" ref="C41:N41" si="4">IF(C40="","",C40-SUM(C32:C38))</f>
        <v/>
      </c>
      <c r="D41" s="44" t="str">
        <f t="shared" si="4"/>
        <v/>
      </c>
      <c r="E41" s="44" t="str">
        <f t="shared" si="4"/>
        <v/>
      </c>
      <c r="F41" s="44" t="str">
        <f t="shared" si="4"/>
        <v/>
      </c>
      <c r="G41" s="44" t="str">
        <f t="shared" si="4"/>
        <v/>
      </c>
      <c r="H41" s="44" t="str">
        <f t="shared" si="4"/>
        <v/>
      </c>
      <c r="I41" s="44" t="str">
        <f t="shared" si="4"/>
        <v/>
      </c>
      <c r="J41" s="44" t="str">
        <f t="shared" si="4"/>
        <v/>
      </c>
      <c r="K41" s="44" t="str">
        <f t="shared" si="4"/>
        <v/>
      </c>
      <c r="L41" s="44" t="str">
        <f t="shared" si="4"/>
        <v/>
      </c>
      <c r="M41" s="44" t="str">
        <f t="shared" si="4"/>
        <v/>
      </c>
      <c r="N41" s="44" t="str">
        <f t="shared" si="4"/>
        <v/>
      </c>
      <c r="O41" s="44" t="str">
        <f>IF(SUM(C41:N41)=0,"",SUM(C41:N41))</f>
        <v/>
      </c>
    </row>
    <row r="42" spans="1:15" ht="15" customHeight="1" x14ac:dyDescent="0.25">
      <c r="A42" s="45" t="str">
        <f>IF(H26="Cadre","Solde jours restants à travailler","")</f>
        <v/>
      </c>
      <c r="B42" s="44" t="str">
        <f>IF(H26="Cadre",Variables!$C$99-SUM(B32:B38),"")</f>
        <v/>
      </c>
      <c r="C42" s="44" t="str">
        <f t="shared" ref="C42:N42" si="5">IF(ISERROR(B42-C41),"",B42-C41)</f>
        <v/>
      </c>
      <c r="D42" s="44" t="str">
        <f t="shared" si="5"/>
        <v/>
      </c>
      <c r="E42" s="44" t="str">
        <f t="shared" si="5"/>
        <v/>
      </c>
      <c r="F42" s="44" t="str">
        <f t="shared" si="5"/>
        <v/>
      </c>
      <c r="G42" s="44" t="str">
        <f t="shared" si="5"/>
        <v/>
      </c>
      <c r="H42" s="44" t="str">
        <f t="shared" si="5"/>
        <v/>
      </c>
      <c r="I42" s="44" t="str">
        <f t="shared" si="5"/>
        <v/>
      </c>
      <c r="J42" s="44" t="str">
        <f t="shared" si="5"/>
        <v/>
      </c>
      <c r="K42" s="44" t="str">
        <f t="shared" si="5"/>
        <v/>
      </c>
      <c r="L42" s="44" t="str">
        <f t="shared" si="5"/>
        <v/>
      </c>
      <c r="M42" s="44" t="str">
        <f t="shared" si="5"/>
        <v/>
      </c>
      <c r="N42" s="44" t="str">
        <f t="shared" si="5"/>
        <v/>
      </c>
      <c r="O42" s="44" t="str">
        <f>IF(ISERROR(N42),"",N42)</f>
        <v/>
      </c>
    </row>
    <row r="45" spans="1:15" x14ac:dyDescent="0.25">
      <c r="A45" s="18"/>
      <c r="G45" s="7" t="s">
        <v>36</v>
      </c>
      <c r="H45" t="str">
        <f>IFERROR(VLOOKUP(A45,'BDD Salariés'!$1:$1048576,4,FALSE),"")</f>
        <v/>
      </c>
      <c r="J45" s="41" t="s">
        <v>61</v>
      </c>
      <c r="K45" s="42"/>
      <c r="L45" s="19" t="s">
        <v>76</v>
      </c>
      <c r="M45" s="19" t="s">
        <v>77</v>
      </c>
      <c r="N45" s="19" t="s">
        <v>78</v>
      </c>
      <c r="O45" s="19" t="s">
        <v>79</v>
      </c>
    </row>
    <row r="46" spans="1:15" x14ac:dyDescent="0.25">
      <c r="A46" s="10" t="str">
        <f>IFERROR(VLOOKUP(A45,'BDD Salariés'!$1:$1048576,2,FALSE),"")</f>
        <v/>
      </c>
      <c r="G46" s="7" t="s">
        <v>59</v>
      </c>
      <c r="H46" t="str">
        <f>IF(H45="Cadre","Forfait Jours","Mensualisation")</f>
        <v>Mensualisation</v>
      </c>
      <c r="J46" s="41" t="s">
        <v>58</v>
      </c>
      <c r="K46" s="42"/>
      <c r="L46" s="19" t="str">
        <f>IFERROR(VLOOKUP(A45,'BDD Salariés'!$1:$1048576,6,FALSE),"")</f>
        <v/>
      </c>
      <c r="M46" s="19" t="str">
        <f>IFERROR(VLOOKUP(A45,'BDD Salariés'!$1:$1048576,7,FALSE),"")</f>
        <v/>
      </c>
      <c r="N46" s="19" t="str">
        <f>IFERROR(VLOOKUP(A45,'BDD Salariés'!$1:$1048576,8,FALSE),"")</f>
        <v/>
      </c>
      <c r="O46" s="19" t="str">
        <f>IFERROR(VLOOKUP(A45,'BDD Salariés'!$1:$1048576,9,FALSE),"")</f>
        <v/>
      </c>
    </row>
    <row r="47" spans="1:15" x14ac:dyDescent="0.25">
      <c r="A47" s="43" t="s">
        <v>80</v>
      </c>
      <c r="G47" s="7" t="str">
        <f>IF(H45="Cadre","Base forfaitaire en jours","")</f>
        <v/>
      </c>
      <c r="H47" s="10" t="str">
        <f>IF(H45="Cadre","218","")</f>
        <v/>
      </c>
      <c r="J47" s="41" t="s">
        <v>109</v>
      </c>
      <c r="K47" s="42"/>
      <c r="L47" s="19" t="str">
        <f>IFERROR(VLOOKUP(A45,'BDD Salariés'!$1:$1048576,13,FALSE),"")</f>
        <v/>
      </c>
      <c r="M47" s="19" t="str">
        <f>IFERROR(VLOOKUP(A45,'BDD Salariés'!$1:$1048576,14,FALSE),"")</f>
        <v/>
      </c>
      <c r="N47" s="19" t="str">
        <f>IFERROR(VLOOKUP(A45,'BDD Salariés'!$1:$1048576,15,FALSE),"")</f>
        <v/>
      </c>
      <c r="O47" s="19" t="str">
        <f>IFERROR(VLOOKUP(A45,'BDD Salariés'!$1:$1048576,16,FALSE),"")</f>
        <v/>
      </c>
    </row>
    <row r="48" spans="1:15" x14ac:dyDescent="0.25">
      <c r="A48" s="39" t="str">
        <f>IFERROR(VLOOKUP(A45,'BDD Salariés'!$1:$1048576,5,FALSE),"")</f>
        <v/>
      </c>
      <c r="G48" s="7" t="str">
        <f>IF(H45="Cadre","Après déduction reliquat 12/2003","")</f>
        <v/>
      </c>
      <c r="H48" s="10" t="str">
        <f>IF(H45="Cadre",H47-B56,"")</f>
        <v/>
      </c>
      <c r="J48" s="40" t="s">
        <v>110</v>
      </c>
    </row>
    <row r="49" spans="1:15" x14ac:dyDescent="0.25">
      <c r="A49" s="12" t="s">
        <v>57</v>
      </c>
      <c r="B49" t="s">
        <v>49</v>
      </c>
      <c r="C49" t="s">
        <v>81</v>
      </c>
      <c r="D49" t="s">
        <v>82</v>
      </c>
      <c r="E49" t="s">
        <v>83</v>
      </c>
      <c r="F49" t="s">
        <v>84</v>
      </c>
      <c r="G49" t="s">
        <v>50</v>
      </c>
      <c r="H49" t="s">
        <v>86</v>
      </c>
      <c r="I49" s="20" t="s">
        <v>85</v>
      </c>
      <c r="J49" t="s">
        <v>87</v>
      </c>
      <c r="K49" t="s">
        <v>88</v>
      </c>
      <c r="L49" t="s">
        <v>89</v>
      </c>
      <c r="M49" t="s">
        <v>90</v>
      </c>
      <c r="N49" t="s">
        <v>91</v>
      </c>
      <c r="O49" t="s">
        <v>55</v>
      </c>
    </row>
    <row r="50" spans="1:15" x14ac:dyDescent="0.25">
      <c r="A50" t="s">
        <v>16</v>
      </c>
      <c r="B50" t="str">
        <f>IF(SG!$N$5="0","",IF((SG!$N$5*2.08)&gt;24.5,25,ROUNDDOWN(SG!$N$5*2.08,0)))</f>
        <v/>
      </c>
      <c r="O50" t="str">
        <f t="shared" ref="O50:O57" si="6">IF(B50="","",B50-SUM(C50:N50))</f>
        <v/>
      </c>
    </row>
    <row r="51" spans="1:15" x14ac:dyDescent="0.25">
      <c r="A51" t="s">
        <v>15</v>
      </c>
      <c r="B51">
        <f>IF(SG!$L$5="","",IF((SG!$L$5*2.08)&gt;24.5,25,ROUNDDOWN(SG!$L$5*2.08,0)))</f>
        <v>25</v>
      </c>
      <c r="G51">
        <v>3</v>
      </c>
      <c r="O51">
        <f t="shared" si="6"/>
        <v>22</v>
      </c>
    </row>
    <row r="52" spans="1:15" x14ac:dyDescent="0.25">
      <c r="A52" t="s">
        <v>14</v>
      </c>
      <c r="B52">
        <v>9</v>
      </c>
      <c r="C52">
        <v>1.5</v>
      </c>
      <c r="D52">
        <v>5</v>
      </c>
      <c r="E52">
        <v>0.5</v>
      </c>
      <c r="F52">
        <v>1</v>
      </c>
      <c r="G52">
        <v>1</v>
      </c>
      <c r="O52">
        <f t="shared" si="6"/>
        <v>0</v>
      </c>
    </row>
    <row r="53" spans="1:15" x14ac:dyDescent="0.25">
      <c r="A53" t="s">
        <v>27</v>
      </c>
      <c r="B53" t="str">
        <f>IF(O47="","",IF($B$2&lt;$N$3,"",IF(AND(O45="Cadre",O47&gt;=2,O46&gt;=35),3,IF(AND(H45="Cadre",O47&gt;=1,O46&gt;=30),2,IF(AND(H46="Mensualisation",O47&gt;=20),3,IF(AND(O46="Mensualisation",O47&lt;20,O47&gt;14),2,IF(AND(H46="Mensualisation",O47&gt;9,O47&lt;15),1,"")))))))</f>
        <v/>
      </c>
      <c r="O53" t="str">
        <f t="shared" si="6"/>
        <v/>
      </c>
    </row>
    <row r="54" spans="1:15" x14ac:dyDescent="0.25">
      <c r="A54" t="s">
        <v>26</v>
      </c>
      <c r="B54" t="str">
        <f>IF(N47="","",IF(AND(H45="Cadre",N47&gt;=2,N46&gt;=35),3,IF(AND(H45="Cadre",N47&gt;=1,N46&gt;=30),2,IF(AND(H46="Mensualisation",N47&gt;=20),3,IF(AND(H46="Mensualisation",N47&lt;20,N47&gt;14),2,IF(AND(H46="Mensualisation",N47&gt;9,N47&lt;15),1,""))))))</f>
        <v/>
      </c>
      <c r="O54" t="str">
        <f t="shared" si="6"/>
        <v/>
      </c>
    </row>
    <row r="55" spans="1:15" x14ac:dyDescent="0.25">
      <c r="A55" t="s">
        <v>92</v>
      </c>
      <c r="O55" t="str">
        <f t="shared" si="6"/>
        <v/>
      </c>
    </row>
    <row r="56" spans="1:15" x14ac:dyDescent="0.25">
      <c r="A56" t="s">
        <v>51</v>
      </c>
      <c r="O56" t="str">
        <f t="shared" si="6"/>
        <v/>
      </c>
    </row>
    <row r="57" spans="1:15" x14ac:dyDescent="0.25">
      <c r="A57" t="str">
        <f>IF(H45="Cadre","RTT","")</f>
        <v/>
      </c>
      <c r="B57" t="str">
        <f>IF(H45="Cadre",Variables!$C$89,"")</f>
        <v/>
      </c>
      <c r="O57" t="str">
        <f t="shared" si="6"/>
        <v/>
      </c>
    </row>
    <row r="58" spans="1:15" x14ac:dyDescent="0.25">
      <c r="A58" s="14" t="s">
        <v>108</v>
      </c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3">
        <f>SUBTOTAL(109,O50:O57)</f>
        <v>22</v>
      </c>
    </row>
    <row r="59" spans="1:15" x14ac:dyDescent="0.25">
      <c r="A59" s="44" t="str">
        <f>IF(H45="Cadre","Jours ouvrés","")</f>
        <v/>
      </c>
      <c r="B59" s="44" t="str">
        <f>IF(SUM(C59:N59)=0,"",SUM(C59:N59))</f>
        <v/>
      </c>
      <c r="C59" s="44" t="str">
        <f>IF(H45="Cadre",NETWORKDAYS(Variables!$B$49,Variables!$C$49,Variables!$D$49:$D$60),"")</f>
        <v/>
      </c>
      <c r="D59" s="44" t="str">
        <f>IF(H45="Cadre",NETWORKDAYS(Variables!$B$50,Variables!$C$50,Variables!$D$49:$D$60),"")</f>
        <v/>
      </c>
      <c r="E59" s="44" t="str">
        <f>IF(H45="Cadre",NETWORKDAYS(Variables!$B$51,Variables!$C$51,Variables!$D$49:$D$60),"")</f>
        <v/>
      </c>
      <c r="F59" s="44" t="str">
        <f>IF(H45="Cadre",NETWORKDAYS(Variables!$B$52,Variables!$C$52,Variables!$D$49:$D$60),"")</f>
        <v/>
      </c>
      <c r="G59" s="44" t="str">
        <f>IF(H45="Cadre",NETWORKDAYS(Variables!$B$53,Variables!$C$53,Variables!$D$49:$D$60),"")</f>
        <v/>
      </c>
      <c r="H59" s="44" t="str">
        <f>IF(H45="Cadre",NETWORKDAYS(Variables!$B$54,Variables!$C$54,Variables!$D$49:$D$60),"")</f>
        <v/>
      </c>
      <c r="I59" s="44" t="str">
        <f>IF(H45="Cadre",NETWORKDAYS(Variables!$B$55,Variables!$C$55,Variables!$D$49:$D$60),"")</f>
        <v/>
      </c>
      <c r="J59" s="44" t="str">
        <f>IF(H45="Cadre",NETWORKDAYS(Variables!$B$56,Variables!$C$56,Variables!$D$49:$D$60),"")</f>
        <v/>
      </c>
      <c r="K59" s="44" t="str">
        <f>IF(H45="Cadre",NETWORKDAYS(Variables!$B$57,Variables!$C$57,Variables!$D$49:$D$60),"")</f>
        <v/>
      </c>
      <c r="L59" s="44" t="str">
        <f>IF(H45="Cadre",NETWORKDAYS(Variables!$B$58,Variables!$C$58,Variables!$D$49:$D$60),"")</f>
        <v/>
      </c>
      <c r="M59" s="44" t="str">
        <f>IF(H45="Cadre",NETWORKDAYS(Variables!$B$59,Variables!$C$59,Variables!$D$49:$D$60),"")</f>
        <v/>
      </c>
      <c r="N59" s="44" t="str">
        <f>IF(H45="Cadre",NETWORKDAYS(Variables!$B$60,Variables!$C$60,Variables!$D$49:$D$60),"")</f>
        <v/>
      </c>
      <c r="O59" s="44" t="str">
        <f>IF(SUM(C59:N59)=0,"",SUM(C59:N59))</f>
        <v/>
      </c>
    </row>
    <row r="60" spans="1:15" x14ac:dyDescent="0.25">
      <c r="A60" s="44" t="str">
        <f>IF(H45="Cadre","Jours travaillés","")</f>
        <v/>
      </c>
      <c r="B60" s="44"/>
      <c r="C60" s="44" t="str">
        <f t="shared" ref="C60:N60" si="7">IF(C59="","",C59-SUM(C51:C57))</f>
        <v/>
      </c>
      <c r="D60" s="44" t="str">
        <f t="shared" si="7"/>
        <v/>
      </c>
      <c r="E60" s="44" t="str">
        <f t="shared" si="7"/>
        <v/>
      </c>
      <c r="F60" s="44" t="str">
        <f t="shared" si="7"/>
        <v/>
      </c>
      <c r="G60" s="44" t="str">
        <f t="shared" si="7"/>
        <v/>
      </c>
      <c r="H60" s="44" t="str">
        <f t="shared" si="7"/>
        <v/>
      </c>
      <c r="I60" s="44" t="str">
        <f t="shared" si="7"/>
        <v/>
      </c>
      <c r="J60" s="44" t="str">
        <f t="shared" si="7"/>
        <v/>
      </c>
      <c r="K60" s="44" t="str">
        <f t="shared" si="7"/>
        <v/>
      </c>
      <c r="L60" s="44" t="str">
        <f t="shared" si="7"/>
        <v/>
      </c>
      <c r="M60" s="44" t="str">
        <f t="shared" si="7"/>
        <v/>
      </c>
      <c r="N60" s="44" t="str">
        <f t="shared" si="7"/>
        <v/>
      </c>
      <c r="O60" s="44" t="str">
        <f>IF(SUM(C60:N60)=0,"",SUM(C60:N60))</f>
        <v/>
      </c>
    </row>
    <row r="61" spans="1:15" ht="15" customHeight="1" x14ac:dyDescent="0.25">
      <c r="A61" s="45" t="str">
        <f>IF(H45="Cadre","Solde jours restants à travailler","")</f>
        <v/>
      </c>
      <c r="B61" s="44" t="str">
        <f>IF(H45="Cadre",Variables!$C$99-SUM(B51:B57),"")</f>
        <v/>
      </c>
      <c r="C61" s="44" t="str">
        <f t="shared" ref="C61:N61" si="8">IF(ISERROR(B61-C60),"",B61-C60)</f>
        <v/>
      </c>
      <c r="D61" s="44" t="str">
        <f t="shared" si="8"/>
        <v/>
      </c>
      <c r="E61" s="44" t="str">
        <f t="shared" si="8"/>
        <v/>
      </c>
      <c r="F61" s="44" t="str">
        <f t="shared" si="8"/>
        <v/>
      </c>
      <c r="G61" s="44" t="str">
        <f t="shared" si="8"/>
        <v/>
      </c>
      <c r="H61" s="44" t="str">
        <f t="shared" si="8"/>
        <v/>
      </c>
      <c r="I61" s="44" t="str">
        <f t="shared" si="8"/>
        <v/>
      </c>
      <c r="J61" s="44" t="str">
        <f t="shared" si="8"/>
        <v/>
      </c>
      <c r="K61" s="44" t="str">
        <f t="shared" si="8"/>
        <v/>
      </c>
      <c r="L61" s="44" t="str">
        <f t="shared" si="8"/>
        <v/>
      </c>
      <c r="M61" s="44" t="str">
        <f t="shared" si="8"/>
        <v/>
      </c>
      <c r="N61" s="44" t="str">
        <f t="shared" si="8"/>
        <v/>
      </c>
      <c r="O61" s="44" t="str">
        <f>IF(ISERROR(N61),"",N61)</f>
        <v/>
      </c>
    </row>
    <row r="64" spans="1:15" x14ac:dyDescent="0.25">
      <c r="A64" s="18"/>
      <c r="G64" s="7" t="s">
        <v>36</v>
      </c>
      <c r="H64" t="str">
        <f>IFERROR(VLOOKUP(A64,'BDD Salariés'!$1:$1048576,4,FALSE),"")</f>
        <v/>
      </c>
      <c r="J64" s="41" t="s">
        <v>61</v>
      </c>
      <c r="K64" s="42"/>
      <c r="L64" s="19" t="s">
        <v>76</v>
      </c>
      <c r="M64" s="19" t="s">
        <v>77</v>
      </c>
      <c r="N64" s="19" t="s">
        <v>78</v>
      </c>
      <c r="O64" s="19" t="s">
        <v>79</v>
      </c>
    </row>
    <row r="65" spans="1:15" x14ac:dyDescent="0.25">
      <c r="A65" s="10" t="str">
        <f>IFERROR(VLOOKUP(A64,'BDD Salariés'!$1:$1048576,2,FALSE),"")</f>
        <v/>
      </c>
      <c r="G65" s="7" t="s">
        <v>59</v>
      </c>
      <c r="H65" t="str">
        <f>IF(H64="Cadre","Forfait Jours","Mensualisation")</f>
        <v>Mensualisation</v>
      </c>
      <c r="J65" s="41" t="s">
        <v>58</v>
      </c>
      <c r="K65" s="42"/>
      <c r="L65" s="19" t="str">
        <f>IFERROR(VLOOKUP(A64,'BDD Salariés'!$1:$1048576,6,FALSE),"")</f>
        <v/>
      </c>
      <c r="M65" s="19" t="str">
        <f>IFERROR(VLOOKUP(A64,'BDD Salariés'!$1:$1048576,7,FALSE),"")</f>
        <v/>
      </c>
      <c r="N65" s="19" t="str">
        <f>IFERROR(VLOOKUP(A64,'BDD Salariés'!$1:$1048576,8,FALSE),"")</f>
        <v/>
      </c>
      <c r="O65" s="19" t="str">
        <f>IFERROR(VLOOKUP(A64,'BDD Salariés'!$1:$1048576,9,FALSE),"")</f>
        <v/>
      </c>
    </row>
    <row r="66" spans="1:15" x14ac:dyDescent="0.25">
      <c r="A66" s="43" t="s">
        <v>80</v>
      </c>
      <c r="G66" s="7" t="str">
        <f>IF(H64="Cadre","Base forfaitaire en jours","")</f>
        <v/>
      </c>
      <c r="H66" s="10" t="str">
        <f>IF(H64="Cadre","218","")</f>
        <v/>
      </c>
      <c r="J66" s="41" t="s">
        <v>109</v>
      </c>
      <c r="K66" s="42"/>
      <c r="L66" s="19" t="str">
        <f>IFERROR(VLOOKUP(A64,'BDD Salariés'!$1:$1048576,13,FALSE),"")</f>
        <v/>
      </c>
      <c r="M66" s="19" t="str">
        <f>IFERROR(VLOOKUP(A64,'BDD Salariés'!$1:$1048576,14,FALSE),"")</f>
        <v/>
      </c>
      <c r="N66" s="19" t="str">
        <f>IFERROR(VLOOKUP(A64,'BDD Salariés'!$1:$1048576,15,FALSE),"")</f>
        <v/>
      </c>
      <c r="O66" s="19" t="str">
        <f>IFERROR(VLOOKUP(A64,'BDD Salariés'!$1:$1048576,16,FALSE),"")</f>
        <v/>
      </c>
    </row>
    <row r="67" spans="1:15" x14ac:dyDescent="0.25">
      <c r="A67" s="39" t="str">
        <f>IFERROR(VLOOKUP(A64,'BDD Salariés'!$1:$1048576,5,FALSE),"")</f>
        <v/>
      </c>
      <c r="G67" s="7" t="str">
        <f>IF(H64="Cadre","Après déduction reliquat 12/2003","")</f>
        <v/>
      </c>
      <c r="H67" s="10" t="str">
        <f>IF(H64="Cadre",H66-B75,"")</f>
        <v/>
      </c>
      <c r="J67" s="40" t="s">
        <v>110</v>
      </c>
    </row>
    <row r="68" spans="1:15" x14ac:dyDescent="0.25">
      <c r="A68" s="12" t="s">
        <v>57</v>
      </c>
      <c r="B68" t="s">
        <v>49</v>
      </c>
      <c r="C68" t="s">
        <v>81</v>
      </c>
      <c r="D68" t="s">
        <v>82</v>
      </c>
      <c r="E68" t="s">
        <v>83</v>
      </c>
      <c r="F68" t="s">
        <v>84</v>
      </c>
      <c r="G68" t="s">
        <v>50</v>
      </c>
      <c r="H68" t="s">
        <v>86</v>
      </c>
      <c r="I68" s="20" t="s">
        <v>85</v>
      </c>
      <c r="J68" t="s">
        <v>87</v>
      </c>
      <c r="K68" t="s">
        <v>88</v>
      </c>
      <c r="L68" t="s">
        <v>89</v>
      </c>
      <c r="M68" t="s">
        <v>90</v>
      </c>
      <c r="N68" t="s">
        <v>91</v>
      </c>
      <c r="O68" t="s">
        <v>55</v>
      </c>
    </row>
    <row r="69" spans="1:15" x14ac:dyDescent="0.25">
      <c r="A69" t="s">
        <v>16</v>
      </c>
      <c r="B69" t="str">
        <f>IF(SG!$N$5="0","",IF((SG!$N$5*2.08)&gt;24.5,25,ROUNDDOWN(SG!$N$5*2.08,0)))</f>
        <v/>
      </c>
      <c r="O69" t="str">
        <f t="shared" ref="O69:O76" si="9">IF(B69="","",B69-SUM(C69:N69))</f>
        <v/>
      </c>
    </row>
    <row r="70" spans="1:15" x14ac:dyDescent="0.25">
      <c r="A70" t="s">
        <v>15</v>
      </c>
      <c r="B70">
        <f>IF(SG!$L$5="","",IF((SG!$L$5*2.08)&gt;24.5,25,ROUNDDOWN(SG!$L$5*2.08,0)))</f>
        <v>25</v>
      </c>
      <c r="O70">
        <f t="shared" si="9"/>
        <v>25</v>
      </c>
    </row>
    <row r="71" spans="1:15" x14ac:dyDescent="0.25">
      <c r="A71" t="s">
        <v>14</v>
      </c>
      <c r="B71">
        <v>8.5</v>
      </c>
      <c r="D71">
        <v>5</v>
      </c>
      <c r="F71">
        <v>0.5</v>
      </c>
      <c r="G71">
        <v>1.5</v>
      </c>
      <c r="O71">
        <f t="shared" si="9"/>
        <v>1.5</v>
      </c>
    </row>
    <row r="72" spans="1:15" x14ac:dyDescent="0.25">
      <c r="A72" t="s">
        <v>27</v>
      </c>
      <c r="B72" t="str">
        <f>IF(O66="","",IF($B$2&lt;$N$3,"",IF(AND(O64="Cadre",O66&gt;=2,O65&gt;=35),3,IF(AND(H64="Cadre",O66&gt;=1,O65&gt;=30),2,IF(AND(H65="Mensualisation",O66&gt;=20),3,IF(AND(O65="Mensualisation",O66&lt;20,O66&gt;14),2,IF(AND(H65="Mensualisation",O66&gt;9,O66&lt;15),1,"")))))))</f>
        <v/>
      </c>
      <c r="O72" t="str">
        <f t="shared" si="9"/>
        <v/>
      </c>
    </row>
    <row r="73" spans="1:15" x14ac:dyDescent="0.25">
      <c r="A73" t="s">
        <v>26</v>
      </c>
      <c r="B73" t="str">
        <f>IF(N66="","",IF(AND(H64="Cadre",N66&gt;=2,N65&gt;=35),3,IF(AND(H64="Cadre",N66&gt;=1,N65&gt;=30),2,IF(AND(H65="Mensualisation",N66&gt;=20),3,IF(AND(H65="Mensualisation",N66&lt;20,N66&gt;14),2,IF(AND(H65="Mensualisation",N66&gt;9,N66&lt;15),1,""))))))</f>
        <v/>
      </c>
      <c r="O73" t="str">
        <f t="shared" si="9"/>
        <v/>
      </c>
    </row>
    <row r="74" spans="1:15" x14ac:dyDescent="0.25">
      <c r="A74" t="s">
        <v>92</v>
      </c>
      <c r="O74" t="str">
        <f t="shared" si="9"/>
        <v/>
      </c>
    </row>
    <row r="75" spans="1:15" x14ac:dyDescent="0.25">
      <c r="A75" t="s">
        <v>51</v>
      </c>
      <c r="O75" t="str">
        <f t="shared" si="9"/>
        <v/>
      </c>
    </row>
    <row r="76" spans="1:15" x14ac:dyDescent="0.25">
      <c r="A76" t="str">
        <f>IF(H64="Cadre","RTT","")</f>
        <v/>
      </c>
      <c r="B76" t="str">
        <f>IF(H64="Cadre",Variables!$C$89,"")</f>
        <v/>
      </c>
      <c r="O76" t="str">
        <f t="shared" si="9"/>
        <v/>
      </c>
    </row>
    <row r="77" spans="1:15" x14ac:dyDescent="0.25">
      <c r="A77" s="14" t="s">
        <v>108</v>
      </c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3">
        <f>SUBTOTAL(109,O69:O76)</f>
        <v>26.5</v>
      </c>
    </row>
    <row r="78" spans="1:15" x14ac:dyDescent="0.25">
      <c r="A78" s="44" t="str">
        <f>IF(H64="Cadre","Jours ouvrés","")</f>
        <v/>
      </c>
      <c r="B78" s="44" t="str">
        <f>IF(SUM(C78:N78)=0,"",SUM(C78:N78))</f>
        <v/>
      </c>
      <c r="C78" s="44" t="str">
        <f>IF(H64="Cadre",NETWORKDAYS(Variables!$B$49,Variables!$C$49,Variables!$D$49:$D$60),"")</f>
        <v/>
      </c>
      <c r="D78" s="44" t="str">
        <f>IF(H64="Cadre",NETWORKDAYS(Variables!$B$50,Variables!$C$50,Variables!$D$49:$D$60),"")</f>
        <v/>
      </c>
      <c r="E78" s="44" t="str">
        <f>IF(H64="Cadre",NETWORKDAYS(Variables!$B$51,Variables!$C$51,Variables!$D$49:$D$60),"")</f>
        <v/>
      </c>
      <c r="F78" s="44" t="str">
        <f>IF(H64="Cadre",NETWORKDAYS(Variables!$B$52,Variables!$C$52,Variables!$D$49:$D$60),"")</f>
        <v/>
      </c>
      <c r="G78" s="44" t="str">
        <f>IF(H64="Cadre",NETWORKDAYS(Variables!$B$53,Variables!$C$53,Variables!$D$49:$D$60),"")</f>
        <v/>
      </c>
      <c r="H78" s="44" t="str">
        <f>IF(H64="Cadre",NETWORKDAYS(Variables!$B$54,Variables!$C$54,Variables!$D$49:$D$60),"")</f>
        <v/>
      </c>
      <c r="I78" s="44" t="str">
        <f>IF(H64="Cadre",NETWORKDAYS(Variables!$B$55,Variables!$C$55,Variables!$D$49:$D$60),"")</f>
        <v/>
      </c>
      <c r="J78" s="44" t="str">
        <f>IF(H64="Cadre",NETWORKDAYS(Variables!$B$56,Variables!$C$56,Variables!$D$49:$D$60),"")</f>
        <v/>
      </c>
      <c r="K78" s="44" t="str">
        <f>IF(H64="Cadre",NETWORKDAYS(Variables!$B$57,Variables!$C$57,Variables!$D$49:$D$60),"")</f>
        <v/>
      </c>
      <c r="L78" s="44" t="str">
        <f>IF(H64="Cadre",NETWORKDAYS(Variables!$B$58,Variables!$C$58,Variables!$D$49:$D$60),"")</f>
        <v/>
      </c>
      <c r="M78" s="44" t="str">
        <f>IF(H64="Cadre",NETWORKDAYS(Variables!$B$59,Variables!$C$59,Variables!$D$49:$D$60),"")</f>
        <v/>
      </c>
      <c r="N78" s="44" t="str">
        <f>IF(H64="Cadre",NETWORKDAYS(Variables!$B$60,Variables!$C$60,Variables!$D$49:$D$60),"")</f>
        <v/>
      </c>
      <c r="O78" s="44" t="str">
        <f>IF(SUM(C78:N78)=0,"",SUM(C78:N78))</f>
        <v/>
      </c>
    </row>
    <row r="79" spans="1:15" x14ac:dyDescent="0.25">
      <c r="A79" s="44" t="str">
        <f>IF(H64="Cadre","Jours travaillés","")</f>
        <v/>
      </c>
      <c r="B79" s="44"/>
      <c r="C79" s="44" t="str">
        <f t="shared" ref="C79:N79" si="10">IF(C78="","",C78-SUM(C70:C76))</f>
        <v/>
      </c>
      <c r="D79" s="44" t="str">
        <f t="shared" si="10"/>
        <v/>
      </c>
      <c r="E79" s="44" t="str">
        <f t="shared" si="10"/>
        <v/>
      </c>
      <c r="F79" s="44" t="str">
        <f t="shared" si="10"/>
        <v/>
      </c>
      <c r="G79" s="44" t="str">
        <f t="shared" si="10"/>
        <v/>
      </c>
      <c r="H79" s="44" t="str">
        <f t="shared" si="10"/>
        <v/>
      </c>
      <c r="I79" s="44" t="str">
        <f t="shared" si="10"/>
        <v/>
      </c>
      <c r="J79" s="44" t="str">
        <f t="shared" si="10"/>
        <v/>
      </c>
      <c r="K79" s="44" t="str">
        <f t="shared" si="10"/>
        <v/>
      </c>
      <c r="L79" s="44" t="str">
        <f t="shared" si="10"/>
        <v/>
      </c>
      <c r="M79" s="44" t="str">
        <f t="shared" si="10"/>
        <v/>
      </c>
      <c r="N79" s="44" t="str">
        <f t="shared" si="10"/>
        <v/>
      </c>
      <c r="O79" s="44" t="str">
        <f>IF(SUM(C79:N79)=0,"",SUM(C79:N79))</f>
        <v/>
      </c>
    </row>
    <row r="80" spans="1:15" ht="15" customHeight="1" x14ac:dyDescent="0.25">
      <c r="A80" s="45" t="str">
        <f>IF(H64="Cadre","Solde jours restants à travailler","")</f>
        <v/>
      </c>
      <c r="B80" s="44" t="str">
        <f>IF(H64="Cadre",Variables!$C$99-SUM(B70:B76),"")</f>
        <v/>
      </c>
      <c r="C80" s="44" t="str">
        <f t="shared" ref="C80:N80" si="11">IF(ISERROR(B80-C79),"",B80-C79)</f>
        <v/>
      </c>
      <c r="D80" s="44" t="str">
        <f t="shared" si="11"/>
        <v/>
      </c>
      <c r="E80" s="44" t="str">
        <f t="shared" si="11"/>
        <v/>
      </c>
      <c r="F80" s="44" t="str">
        <f t="shared" si="11"/>
        <v/>
      </c>
      <c r="G80" s="44" t="str">
        <f t="shared" si="11"/>
        <v/>
      </c>
      <c r="H80" s="44" t="str">
        <f t="shared" si="11"/>
        <v/>
      </c>
      <c r="I80" s="44" t="str">
        <f t="shared" si="11"/>
        <v/>
      </c>
      <c r="J80" s="44" t="str">
        <f t="shared" si="11"/>
        <v/>
      </c>
      <c r="K80" s="44" t="str">
        <f t="shared" si="11"/>
        <v/>
      </c>
      <c r="L80" s="44" t="str">
        <f t="shared" si="11"/>
        <v/>
      </c>
      <c r="M80" s="44" t="str">
        <f t="shared" si="11"/>
        <v/>
      </c>
      <c r="N80" s="44" t="str">
        <f t="shared" si="11"/>
        <v/>
      </c>
      <c r="O80" s="44" t="str">
        <f>IF(ISERROR(N80),"",N80)</f>
        <v/>
      </c>
    </row>
    <row r="83" spans="1:15" x14ac:dyDescent="0.25">
      <c r="A83" s="18"/>
      <c r="G83" s="7" t="s">
        <v>36</v>
      </c>
      <c r="H83" t="str">
        <f>IFERROR(VLOOKUP(A83,'BDD Salariés'!$1:$1048576,4,FALSE),"")</f>
        <v/>
      </c>
      <c r="J83" s="41" t="s">
        <v>61</v>
      </c>
      <c r="K83" s="42"/>
      <c r="L83" s="19" t="s">
        <v>76</v>
      </c>
      <c r="M83" s="19" t="s">
        <v>77</v>
      </c>
      <c r="N83" s="19" t="s">
        <v>78</v>
      </c>
      <c r="O83" s="19" t="s">
        <v>79</v>
      </c>
    </row>
    <row r="84" spans="1:15" x14ac:dyDescent="0.25">
      <c r="A84" s="10" t="str">
        <f>IFERROR(VLOOKUP(A83,'BDD Salariés'!$1:$1048576,2,FALSE),"")</f>
        <v/>
      </c>
      <c r="G84" s="7" t="s">
        <v>59</v>
      </c>
      <c r="H84" t="str">
        <f>IF(H83="Cadre","Forfait Jours","Mensualisation")</f>
        <v>Mensualisation</v>
      </c>
      <c r="J84" s="41" t="s">
        <v>58</v>
      </c>
      <c r="K84" s="42"/>
      <c r="L84" s="19" t="str">
        <f>IFERROR(VLOOKUP(A83,'BDD Salariés'!$1:$1048576,6,FALSE),"")</f>
        <v/>
      </c>
      <c r="M84" s="19" t="str">
        <f>IFERROR(VLOOKUP(A83,'BDD Salariés'!$1:$1048576,7,FALSE),"")</f>
        <v/>
      </c>
      <c r="N84" s="19" t="str">
        <f>IFERROR(VLOOKUP(A83,'BDD Salariés'!$1:$1048576,8,FALSE),"")</f>
        <v/>
      </c>
      <c r="O84" s="19" t="str">
        <f>IFERROR(VLOOKUP(A83,'BDD Salariés'!$1:$1048576,9,FALSE),"")</f>
        <v/>
      </c>
    </row>
    <row r="85" spans="1:15" x14ac:dyDescent="0.25">
      <c r="A85" s="43" t="s">
        <v>80</v>
      </c>
      <c r="G85" s="7" t="str">
        <f>IF(H83="Cadre","Base forfaitaire en jours","")</f>
        <v/>
      </c>
      <c r="H85" s="10" t="str">
        <f>IF(H83="Cadre","218","")</f>
        <v/>
      </c>
      <c r="J85" s="41" t="s">
        <v>109</v>
      </c>
      <c r="K85" s="42"/>
      <c r="L85" s="19" t="str">
        <f>IFERROR(VLOOKUP(A83,'BDD Salariés'!$1:$1048576,13,FALSE),"")</f>
        <v/>
      </c>
      <c r="M85" s="19" t="str">
        <f>IFERROR(VLOOKUP(A83,'BDD Salariés'!$1:$1048576,14,FALSE),"")</f>
        <v/>
      </c>
      <c r="N85" s="19" t="str">
        <f>IFERROR(VLOOKUP(A83,'BDD Salariés'!$1:$1048576,15,FALSE),"")</f>
        <v/>
      </c>
      <c r="O85" s="19" t="str">
        <f>IFERROR(VLOOKUP(A83,'BDD Salariés'!$1:$1048576,16,FALSE),"")</f>
        <v/>
      </c>
    </row>
    <row r="86" spans="1:15" x14ac:dyDescent="0.25">
      <c r="A86" s="49" t="str">
        <f>IFERROR(VLOOKUP(A83,'BDD Salariés'!$1:$1048576,5,FALSE),"")</f>
        <v/>
      </c>
      <c r="G86" s="7" t="str">
        <f>IF(H83="Cadre","Après déduction reliquat 12/2003","")</f>
        <v/>
      </c>
      <c r="H86" s="10" t="str">
        <f>IF(H83="Cadre",H85-B94,"")</f>
        <v/>
      </c>
      <c r="J86" s="40" t="s">
        <v>110</v>
      </c>
    </row>
    <row r="87" spans="1:15" x14ac:dyDescent="0.25">
      <c r="A87" s="12" t="s">
        <v>57</v>
      </c>
      <c r="B87" t="s">
        <v>49</v>
      </c>
      <c r="C87" t="s">
        <v>81</v>
      </c>
      <c r="D87" t="s">
        <v>82</v>
      </c>
      <c r="E87" t="s">
        <v>83</v>
      </c>
      <c r="F87" t="s">
        <v>84</v>
      </c>
      <c r="G87" t="s">
        <v>50</v>
      </c>
      <c r="H87" t="s">
        <v>86</v>
      </c>
      <c r="I87" s="20" t="s">
        <v>85</v>
      </c>
      <c r="J87" t="s">
        <v>87</v>
      </c>
      <c r="K87" t="s">
        <v>88</v>
      </c>
      <c r="L87" t="s">
        <v>89</v>
      </c>
      <c r="M87" t="s">
        <v>90</v>
      </c>
      <c r="N87" t="s">
        <v>91</v>
      </c>
      <c r="O87" t="s">
        <v>55</v>
      </c>
    </row>
    <row r="88" spans="1:15" x14ac:dyDescent="0.25">
      <c r="A88" t="s">
        <v>16</v>
      </c>
      <c r="B88" t="str">
        <f>IF($N$5="0","",IF(($N$5*2.08)&gt;24.5,25,ROUNDDOWN($N$5*2.08,0)))</f>
        <v/>
      </c>
      <c r="O88" t="str">
        <f>IF(B88="","",B88-SUM(C88:N88))</f>
        <v/>
      </c>
    </row>
    <row r="89" spans="1:15" x14ac:dyDescent="0.25">
      <c r="A89" t="s">
        <v>15</v>
      </c>
      <c r="B89">
        <f>IF($L$5="","",IF(($L$5*2.08)&gt;24.5,25,ROUNDDOWN($L$5*2.08,0)))-18</f>
        <v>7</v>
      </c>
      <c r="G89">
        <v>1</v>
      </c>
      <c r="O89">
        <f t="shared" ref="O89" si="12">IF(B89="","",B89-SUM(C89:N89))</f>
        <v>6</v>
      </c>
    </row>
    <row r="90" spans="1:15" x14ac:dyDescent="0.25">
      <c r="A90" t="s">
        <v>14</v>
      </c>
      <c r="O90" t="str">
        <f>IF(B90="","",B90-SUM(C90:N90))</f>
        <v/>
      </c>
    </row>
    <row r="91" spans="1:15" x14ac:dyDescent="0.25">
      <c r="A91" t="s">
        <v>27</v>
      </c>
      <c r="B91" t="str">
        <f>IF(O85="","",IF($B$2&lt;$N$3,"",IF(AND(O83="Cadre",O85&gt;=2,O84&gt;=35),3,IF(AND(H83="Cadre",O85&gt;=1,O84&gt;=30),2,IF(AND(H84="Mensualisation",O85&gt;=20),3,IF(AND(O84="Mensualisation",O85&lt;20,O85&gt;14),2,IF(AND(H84="Mensualisation",O85&gt;9,O85&lt;15),1,"")))))))</f>
        <v/>
      </c>
      <c r="O91" t="str">
        <f t="shared" ref="O91" si="13">IF(B91="","",B91-SUM(C91:N91))</f>
        <v/>
      </c>
    </row>
    <row r="92" spans="1:15" x14ac:dyDescent="0.25">
      <c r="A92" t="s">
        <v>26</v>
      </c>
      <c r="B92" t="str">
        <f>IF(N85="","",IF(AND(H83="Cadre",N85&gt;=2,N84&gt;=35),3,IF(AND(H83="Cadre",N85&gt;=1,N84&gt;=30),2,IF(AND(H84="Mensualisation",N85&gt;=20),3,IF(AND(H84="Mensualisation",N85&lt;20,N85&gt;14),2,IF(AND(H84="Mensualisation",N85&gt;9,N85&lt;15),1,""))))))</f>
        <v/>
      </c>
      <c r="O92" t="str">
        <f>IF(B92="","",B92-SUM(C92:N92))</f>
        <v/>
      </c>
    </row>
    <row r="93" spans="1:15" x14ac:dyDescent="0.25">
      <c r="A93" t="s">
        <v>92</v>
      </c>
      <c r="O93" t="str">
        <f t="shared" ref="O93:O94" si="14">IF(B93="","",B93-SUM(C93:N93))</f>
        <v/>
      </c>
    </row>
    <row r="94" spans="1:15" x14ac:dyDescent="0.25">
      <c r="A94" t="s">
        <v>51</v>
      </c>
      <c r="O94" t="str">
        <f t="shared" si="14"/>
        <v/>
      </c>
    </row>
    <row r="95" spans="1:15" x14ac:dyDescent="0.25">
      <c r="A95" t="str">
        <f>IF(H83="Cadre","RTT","")</f>
        <v/>
      </c>
      <c r="B95" t="str">
        <f>IF(H83="Cadre",Variables!$C$89,"")</f>
        <v/>
      </c>
      <c r="O95" t="str">
        <f>IF(B95="","",B95-SUM(C95:N95))</f>
        <v/>
      </c>
    </row>
    <row r="96" spans="1:15" x14ac:dyDescent="0.25">
      <c r="A96" s="14" t="s">
        <v>108</v>
      </c>
      <c r="B96" s="14"/>
      <c r="C96" s="14"/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3">
        <f>SUBTOTAL(109,O88:O95)</f>
        <v>6</v>
      </c>
    </row>
    <row r="97" spans="1:15" x14ac:dyDescent="0.25">
      <c r="A97" s="44" t="str">
        <f>IF(H83="Cadre","Jours ouvrés","")</f>
        <v/>
      </c>
      <c r="B97" s="44" t="str">
        <f>IF(SUM(C97:N97)=0,"",SUM(C97:N97))</f>
        <v/>
      </c>
      <c r="C97" s="44" t="str">
        <f>IF(H83="Cadre",NETWORKDAYS(Variables!$B$49,Variables!$C$49,Variables!$D$49:$D$60),"")</f>
        <v/>
      </c>
      <c r="D97" s="44" t="str">
        <f>IF(H83="Cadre",NETWORKDAYS(Variables!$B$50,Variables!$C$50,Variables!$D$49:$D$60),"")</f>
        <v/>
      </c>
      <c r="E97" s="44" t="str">
        <f>IF(H83="Cadre",NETWORKDAYS(Variables!$B$51,Variables!$C$51,Variables!$D$49:$D$60),"")</f>
        <v/>
      </c>
      <c r="F97" s="44" t="str">
        <f>IF(H83="Cadre",NETWORKDAYS(Variables!$B$52,Variables!$C$52,Variables!$D$49:$D$60),"")</f>
        <v/>
      </c>
      <c r="G97" s="44" t="str">
        <f>IF(H83="Cadre",NETWORKDAYS(Variables!$B$53,Variables!$C$53,Variables!$D$49:$D$60),"")</f>
        <v/>
      </c>
      <c r="H97" s="44" t="str">
        <f>IF(H83="Cadre",NETWORKDAYS(Variables!$B$54,Variables!$C$54,Variables!$D$49:$D$60),"")</f>
        <v/>
      </c>
      <c r="I97" s="44" t="str">
        <f>IF(H83="Cadre",NETWORKDAYS(Variables!$B$55,Variables!$C$55,Variables!$D$49:$D$60),"")</f>
        <v/>
      </c>
      <c r="J97" s="44" t="str">
        <f>IF(H83="Cadre",NETWORKDAYS(Variables!$B$56,Variables!$C$56,Variables!$D$49:$D$60),"")</f>
        <v/>
      </c>
      <c r="K97" s="44" t="str">
        <f>IF(H83="Cadre",NETWORKDAYS(Variables!$B$57,Variables!$C$57,Variables!$D$49:$D$60),"")</f>
        <v/>
      </c>
      <c r="L97" s="44" t="str">
        <f>IF(H83="Cadre",NETWORKDAYS(Variables!$B$58,Variables!$C$58,Variables!$D$49:$D$60),"")</f>
        <v/>
      </c>
      <c r="M97" s="44" t="str">
        <f>IF(H83="Cadre",NETWORKDAYS(Variables!$B$59,Variables!$C$59,Variables!$D$49:$D$60),"")</f>
        <v/>
      </c>
      <c r="N97" s="44" t="str">
        <f>IF(H83="Cadre",NETWORKDAYS(Variables!$B$60,Variables!$C$60,Variables!$D$49:$D$60),"")</f>
        <v/>
      </c>
      <c r="O97" s="44" t="str">
        <f>IF(SUM(C97:N97)=0,"",SUM(C97:N97))</f>
        <v/>
      </c>
    </row>
    <row r="98" spans="1:15" x14ac:dyDescent="0.25">
      <c r="A98" s="44" t="str">
        <f>IF(H83="Cadre","Jours travaillés","")</f>
        <v/>
      </c>
      <c r="B98" s="44"/>
      <c r="C98" s="44" t="str">
        <f>IF(C97="","",C97-SUM(C89:C95))</f>
        <v/>
      </c>
      <c r="D98" s="44" t="str">
        <f t="shared" ref="D98:N98" si="15">IF(D97="","",D97-SUM(D89:D95))</f>
        <v/>
      </c>
      <c r="E98" s="44" t="str">
        <f t="shared" si="15"/>
        <v/>
      </c>
      <c r="F98" s="44" t="str">
        <f t="shared" si="15"/>
        <v/>
      </c>
      <c r="G98" s="44" t="str">
        <f t="shared" si="15"/>
        <v/>
      </c>
      <c r="H98" s="44" t="str">
        <f t="shared" si="15"/>
        <v/>
      </c>
      <c r="I98" s="44" t="str">
        <f t="shared" si="15"/>
        <v/>
      </c>
      <c r="J98" s="44" t="str">
        <f t="shared" si="15"/>
        <v/>
      </c>
      <c r="K98" s="44" t="str">
        <f t="shared" si="15"/>
        <v/>
      </c>
      <c r="L98" s="44" t="str">
        <f t="shared" si="15"/>
        <v/>
      </c>
      <c r="M98" s="44" t="str">
        <f t="shared" si="15"/>
        <v/>
      </c>
      <c r="N98" s="44" t="str">
        <f t="shared" si="15"/>
        <v/>
      </c>
      <c r="O98" s="44" t="str">
        <f>IF(SUM(C98:N98)=0,"",SUM(C98:N98))</f>
        <v/>
      </c>
    </row>
    <row r="99" spans="1:15" x14ac:dyDescent="0.25">
      <c r="A99" s="45" t="str">
        <f>IF(H83="Cadre","Solde jours restants à travailler","")</f>
        <v/>
      </c>
      <c r="B99" s="44" t="str">
        <f>IF(H83="Cadre",Variables!$C$99-SUM(B89:B95),"")</f>
        <v/>
      </c>
      <c r="C99" s="44" t="str">
        <f>IF(ISERROR(B99-C98),"",B99-C98)</f>
        <v/>
      </c>
      <c r="D99" s="44" t="str">
        <f>IF(ISERROR(C99-D98),"",C99-D98)</f>
        <v/>
      </c>
      <c r="E99" s="44" t="str">
        <f t="shared" ref="E99:M99" si="16">IF(ISERROR(D99-E98),"",D99-E98)</f>
        <v/>
      </c>
      <c r="F99" s="44" t="str">
        <f t="shared" si="16"/>
        <v/>
      </c>
      <c r="G99" s="44" t="str">
        <f t="shared" si="16"/>
        <v/>
      </c>
      <c r="H99" s="44" t="str">
        <f t="shared" si="16"/>
        <v/>
      </c>
      <c r="I99" s="44" t="str">
        <f t="shared" si="16"/>
        <v/>
      </c>
      <c r="J99" s="44" t="str">
        <f t="shared" si="16"/>
        <v/>
      </c>
      <c r="K99" s="44" t="str">
        <f t="shared" si="16"/>
        <v/>
      </c>
      <c r="L99" s="44" t="str">
        <f t="shared" si="16"/>
        <v/>
      </c>
      <c r="M99" s="44" t="str">
        <f t="shared" si="16"/>
        <v/>
      </c>
      <c r="N99" s="44" t="str">
        <f>IF(ISERROR(M99-N98),"",M99-N98)</f>
        <v/>
      </c>
      <c r="O99" s="44" t="str">
        <f>IF(ISERROR(N99),"",N99)</f>
        <v/>
      </c>
    </row>
    <row r="102" spans="1:15" x14ac:dyDescent="0.25">
      <c r="A102" s="18"/>
      <c r="G102" s="7" t="s">
        <v>36</v>
      </c>
      <c r="H102" t="str">
        <f>IFERROR(VLOOKUP(A102,'BDD Salariés'!$1:$1048576,4,FALSE),"")</f>
        <v/>
      </c>
      <c r="J102" s="41" t="s">
        <v>61</v>
      </c>
      <c r="K102" s="42"/>
      <c r="L102" s="19" t="s">
        <v>76</v>
      </c>
      <c r="M102" s="19" t="s">
        <v>77</v>
      </c>
      <c r="N102" s="19" t="s">
        <v>78</v>
      </c>
      <c r="O102" s="19" t="s">
        <v>79</v>
      </c>
    </row>
    <row r="103" spans="1:15" x14ac:dyDescent="0.25">
      <c r="A103" s="10" t="str">
        <f>IFERROR(VLOOKUP(A102,'BDD Salariés'!$1:$1048576,2,FALSE),"")</f>
        <v/>
      </c>
      <c r="G103" s="7" t="s">
        <v>59</v>
      </c>
      <c r="H103" t="str">
        <f>IF(H102="Cadre","Forfait Jours","Mensualisation")</f>
        <v>Mensualisation</v>
      </c>
      <c r="J103" s="41" t="s">
        <v>58</v>
      </c>
      <c r="K103" s="42"/>
      <c r="L103" s="19" t="str">
        <f>IFERROR(VLOOKUP(A102,'BDD Salariés'!$1:$1048576,6,FALSE),"")</f>
        <v/>
      </c>
      <c r="M103" s="19" t="str">
        <f>IFERROR(VLOOKUP(A102,'BDD Salariés'!$1:$1048576,7,FALSE),"")</f>
        <v/>
      </c>
      <c r="N103" s="19" t="str">
        <f>IFERROR(VLOOKUP(A102,'BDD Salariés'!$1:$1048576,8,FALSE),"")</f>
        <v/>
      </c>
      <c r="O103" s="19" t="str">
        <f>IFERROR(VLOOKUP(A102,'BDD Salariés'!$1:$1048576,9,FALSE),"")</f>
        <v/>
      </c>
    </row>
    <row r="104" spans="1:15" x14ac:dyDescent="0.25">
      <c r="A104" s="43" t="s">
        <v>80</v>
      </c>
      <c r="G104" s="7" t="str">
        <f>IF(H102="Cadre","Base forfaitaire en jours","")</f>
        <v/>
      </c>
      <c r="H104" s="10" t="str">
        <f>IF(H102="Cadre","218","")</f>
        <v/>
      </c>
      <c r="J104" s="41" t="s">
        <v>109</v>
      </c>
      <c r="K104" s="42"/>
      <c r="L104" s="19" t="str">
        <f>IFERROR(VLOOKUP(A102,'BDD Salariés'!$1:$1048576,13,FALSE),"")</f>
        <v/>
      </c>
      <c r="M104" s="19" t="str">
        <f>IFERROR(VLOOKUP(A102,'BDD Salariés'!$1:$1048576,14,FALSE),"")</f>
        <v/>
      </c>
      <c r="N104" s="19" t="str">
        <f>IFERROR(VLOOKUP(A102,'BDD Salariés'!$1:$1048576,15,FALSE),"")</f>
        <v/>
      </c>
      <c r="O104" s="19" t="str">
        <f>IFERROR(VLOOKUP(A102,'BDD Salariés'!$1:$1048576,16,FALSE),"")</f>
        <v/>
      </c>
    </row>
    <row r="105" spans="1:15" x14ac:dyDescent="0.25">
      <c r="A105" s="39" t="str">
        <f>IFERROR(VLOOKUP(A102,'BDD Salariés'!$1:$1048576,5,FALSE),"")</f>
        <v/>
      </c>
      <c r="G105" s="7" t="str">
        <f>IF(H102="Cadre","Après déduction reliquat 12/2003","")</f>
        <v/>
      </c>
      <c r="H105" s="10" t="str">
        <f>IF(H102="Cadre",H104-B113,"")</f>
        <v/>
      </c>
      <c r="J105" s="40" t="s">
        <v>110</v>
      </c>
    </row>
    <row r="106" spans="1:15" x14ac:dyDescent="0.25">
      <c r="A106" s="12" t="s">
        <v>57</v>
      </c>
      <c r="B106" t="s">
        <v>49</v>
      </c>
      <c r="C106" t="s">
        <v>81</v>
      </c>
      <c r="D106" t="s">
        <v>82</v>
      </c>
      <c r="E106" t="s">
        <v>83</v>
      </c>
      <c r="F106" t="s">
        <v>84</v>
      </c>
      <c r="G106" t="s">
        <v>50</v>
      </c>
      <c r="H106" t="s">
        <v>86</v>
      </c>
      <c r="I106" s="20" t="s">
        <v>85</v>
      </c>
      <c r="J106" t="s">
        <v>87</v>
      </c>
      <c r="K106" t="s">
        <v>88</v>
      </c>
      <c r="L106" t="s">
        <v>89</v>
      </c>
      <c r="M106" t="s">
        <v>90</v>
      </c>
      <c r="N106" t="s">
        <v>91</v>
      </c>
      <c r="O106" t="s">
        <v>55</v>
      </c>
    </row>
    <row r="107" spans="1:15" x14ac:dyDescent="0.25">
      <c r="A107" t="s">
        <v>16</v>
      </c>
      <c r="B107" t="str">
        <f>IF(SG!$N$5="0","",IF((SG!$N$5*2.08)&gt;24.5,25,ROUNDDOWN(SG!$N$5*2.08,0)))</f>
        <v/>
      </c>
      <c r="O107" t="str">
        <f t="shared" ref="O107:O114" si="17">IF(B107="","",B107-SUM(C107:N107))</f>
        <v/>
      </c>
    </row>
    <row r="108" spans="1:15" x14ac:dyDescent="0.25">
      <c r="A108" t="s">
        <v>15</v>
      </c>
      <c r="B108">
        <f>IF(SG!$L$5="","",IF((SG!$L$5*2.08)&gt;24.5,25,ROUNDDOWN(SG!$L$5*2.08,0)))</f>
        <v>25</v>
      </c>
      <c r="O108">
        <f t="shared" si="17"/>
        <v>25</v>
      </c>
    </row>
    <row r="109" spans="1:15" x14ac:dyDescent="0.25">
      <c r="A109" t="s">
        <v>14</v>
      </c>
      <c r="B109">
        <f>25+3</f>
        <v>28</v>
      </c>
      <c r="C109">
        <v>1</v>
      </c>
      <c r="D109">
        <v>5</v>
      </c>
      <c r="E109">
        <v>1</v>
      </c>
      <c r="O109">
        <f t="shared" si="17"/>
        <v>21</v>
      </c>
    </row>
    <row r="110" spans="1:15" x14ac:dyDescent="0.25">
      <c r="A110" t="s">
        <v>27</v>
      </c>
      <c r="B110" t="str">
        <f>IF(O104="","",IF($B$2&lt;$N$3,"",IF(AND(O102="Cadre",O104&gt;=2,O103&gt;=35),3,IF(AND(H102="Cadre",O104&gt;=1,O103&gt;=30),2,IF(AND(H103="Mensualisation",O104&gt;=20),3,IF(AND(O103="Mensualisation",O104&lt;20,O104&gt;14),2,IF(AND(H103="Mensualisation",O104&gt;9,O104&lt;15),1,"")))))))</f>
        <v/>
      </c>
      <c r="O110" t="str">
        <f t="shared" si="17"/>
        <v/>
      </c>
    </row>
    <row r="111" spans="1:15" x14ac:dyDescent="0.25">
      <c r="A111" t="s">
        <v>26</v>
      </c>
      <c r="B111" t="str">
        <f>IF(N104="","",IF(AND(H102="Cadre",N104&gt;=2,N103&gt;=35),3,IF(AND(H102="Cadre",N104&gt;=1,N103&gt;=30),2,IF(AND(H103="Mensualisation",N104&gt;=20),3,IF(AND(H103="Mensualisation",N104&lt;20,N104&gt;14),2,IF(AND(H103="Mensualisation",N104&gt;9,N104&lt;15),1,""))))))</f>
        <v/>
      </c>
      <c r="O111" t="str">
        <f t="shared" si="17"/>
        <v/>
      </c>
    </row>
    <row r="112" spans="1:15" x14ac:dyDescent="0.25">
      <c r="A112" t="s">
        <v>92</v>
      </c>
      <c r="O112" t="str">
        <f t="shared" si="17"/>
        <v/>
      </c>
    </row>
    <row r="113" spans="1:15" x14ac:dyDescent="0.25">
      <c r="A113" t="s">
        <v>51</v>
      </c>
      <c r="B113">
        <v>33.5</v>
      </c>
      <c r="O113">
        <f t="shared" si="17"/>
        <v>33.5</v>
      </c>
    </row>
    <row r="114" spans="1:15" x14ac:dyDescent="0.25">
      <c r="A114" t="str">
        <f>IF(H102="Cadre","RTT","")</f>
        <v/>
      </c>
      <c r="B114" t="str">
        <f>IF(H102="Cadre",Variables!$C$89,"")</f>
        <v/>
      </c>
      <c r="C114">
        <v>10</v>
      </c>
      <c r="O114" t="str">
        <f t="shared" si="17"/>
        <v/>
      </c>
    </row>
    <row r="115" spans="1:15" x14ac:dyDescent="0.25">
      <c r="A115" s="14" t="s">
        <v>108</v>
      </c>
      <c r="B115" s="14"/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3">
        <f>SUBTOTAL(109,O107:O114)</f>
        <v>79.5</v>
      </c>
    </row>
    <row r="116" spans="1:15" x14ac:dyDescent="0.25">
      <c r="A116" s="44" t="str">
        <f>IF(H102="Cadre","Jours ouvrés","")</f>
        <v/>
      </c>
      <c r="B116" s="44" t="str">
        <f>IF(SUM(C116:N116)=0,"",SUM(C116:N116))</f>
        <v/>
      </c>
      <c r="C116" s="44" t="str">
        <f>IF(H102="Cadre",NETWORKDAYS(Variables!$B$49,Variables!$C$49,Variables!$D$49:$D$60),"")</f>
        <v/>
      </c>
      <c r="D116" s="44" t="str">
        <f>IF(H102="Cadre",NETWORKDAYS(Variables!$B$50,Variables!$C$50,Variables!$D$49:$D$60),"")</f>
        <v/>
      </c>
      <c r="E116" s="44" t="str">
        <f>IF(H102="Cadre",NETWORKDAYS(Variables!$B$51,Variables!$C$51,Variables!$D$49:$D$60),"")</f>
        <v/>
      </c>
      <c r="F116" s="44" t="str">
        <f>IF(H102="Cadre",NETWORKDAYS(Variables!$B$52,Variables!$C$52,Variables!$D$49:$D$60),"")</f>
        <v/>
      </c>
      <c r="G116" s="44" t="str">
        <f>IF(H102="Cadre",NETWORKDAYS(Variables!$B$53,Variables!$C$53,Variables!$D$49:$D$60),"")</f>
        <v/>
      </c>
      <c r="H116" s="44" t="str">
        <f>IF(H102="Cadre",NETWORKDAYS(Variables!$B$54,Variables!$C$54,Variables!$D$49:$D$60),"")</f>
        <v/>
      </c>
      <c r="I116" s="44" t="str">
        <f>IF(H102="Cadre",NETWORKDAYS(Variables!$B$55,Variables!$C$55,Variables!$D$49:$D$60),"")</f>
        <v/>
      </c>
      <c r="J116" s="44" t="str">
        <f>IF(H102="Cadre",NETWORKDAYS(Variables!$B$56,Variables!$C$56,Variables!$D$49:$D$60),"")</f>
        <v/>
      </c>
      <c r="K116" s="44" t="str">
        <f>IF(H102="Cadre",NETWORKDAYS(Variables!$B$57,Variables!$C$57,Variables!$D$49:$D$60),"")</f>
        <v/>
      </c>
      <c r="L116" s="44" t="str">
        <f>IF(H102="Cadre",NETWORKDAYS(Variables!$B$58,Variables!$C$58,Variables!$D$49:$D$60),"")</f>
        <v/>
      </c>
      <c r="M116" s="44" t="str">
        <f>IF(H102="Cadre",NETWORKDAYS(Variables!$B$59,Variables!$C$59,Variables!$D$49:$D$60),"")</f>
        <v/>
      </c>
      <c r="N116" s="44" t="str">
        <f>IF(H102="Cadre",NETWORKDAYS(Variables!$B$60,Variables!$C$60,Variables!$D$49:$D$60),"")</f>
        <v/>
      </c>
      <c r="O116" s="44" t="str">
        <f>IF(SUM(C116:N116)=0,"",SUM(C116:N116))</f>
        <v/>
      </c>
    </row>
    <row r="117" spans="1:15" x14ac:dyDescent="0.25">
      <c r="A117" s="44" t="str">
        <f>IF(H102="Cadre","Jours travaillés","")</f>
        <v/>
      </c>
      <c r="B117" s="44"/>
      <c r="C117" s="44" t="str">
        <f t="shared" ref="C117:N117" si="18">IF(C116="","",C116-SUM(C108:C114))</f>
        <v/>
      </c>
      <c r="D117" s="44" t="str">
        <f t="shared" si="18"/>
        <v/>
      </c>
      <c r="E117" s="44" t="str">
        <f t="shared" si="18"/>
        <v/>
      </c>
      <c r="F117" s="44" t="str">
        <f t="shared" si="18"/>
        <v/>
      </c>
      <c r="G117" s="44" t="str">
        <f t="shared" si="18"/>
        <v/>
      </c>
      <c r="H117" s="44" t="str">
        <f t="shared" si="18"/>
        <v/>
      </c>
      <c r="I117" s="44" t="str">
        <f t="shared" si="18"/>
        <v/>
      </c>
      <c r="J117" s="44" t="str">
        <f t="shared" si="18"/>
        <v/>
      </c>
      <c r="K117" s="44" t="str">
        <f t="shared" si="18"/>
        <v/>
      </c>
      <c r="L117" s="44" t="str">
        <f t="shared" si="18"/>
        <v/>
      </c>
      <c r="M117" s="44" t="str">
        <f t="shared" si="18"/>
        <v/>
      </c>
      <c r="N117" s="44" t="str">
        <f t="shared" si="18"/>
        <v/>
      </c>
      <c r="O117" s="44" t="str">
        <f>IF(SUM(C117:N117)=0,"",SUM(C117:N117))</f>
        <v/>
      </c>
    </row>
    <row r="118" spans="1:15" ht="15" customHeight="1" x14ac:dyDescent="0.25">
      <c r="A118" s="45" t="str">
        <f>IF(H102="Cadre","Solde jours restants à travailler","")</f>
        <v/>
      </c>
      <c r="B118" s="44" t="str">
        <f>IF(H102="Cadre",Variables!$C$99-SUM(B108:B114),"")</f>
        <v/>
      </c>
      <c r="C118" s="44" t="str">
        <f t="shared" ref="C118:N118" si="19">IF(ISERROR(B118-C117),"",B118-C117)</f>
        <v/>
      </c>
      <c r="D118" s="44" t="str">
        <f t="shared" si="19"/>
        <v/>
      </c>
      <c r="E118" s="44" t="str">
        <f t="shared" si="19"/>
        <v/>
      </c>
      <c r="F118" s="44" t="str">
        <f t="shared" si="19"/>
        <v/>
      </c>
      <c r="G118" s="44" t="str">
        <f t="shared" si="19"/>
        <v/>
      </c>
      <c r="H118" s="44" t="str">
        <f t="shared" si="19"/>
        <v/>
      </c>
      <c r="I118" s="44" t="str">
        <f t="shared" si="19"/>
        <v/>
      </c>
      <c r="J118" s="44" t="str">
        <f t="shared" si="19"/>
        <v/>
      </c>
      <c r="K118" s="44" t="str">
        <f t="shared" si="19"/>
        <v/>
      </c>
      <c r="L118" s="44" t="str">
        <f t="shared" si="19"/>
        <v/>
      </c>
      <c r="M118" s="44" t="str">
        <f t="shared" si="19"/>
        <v/>
      </c>
      <c r="N118" s="44" t="str">
        <f t="shared" si="19"/>
        <v/>
      </c>
      <c r="O118" s="44" t="str">
        <f>IF(ISERROR(N118),"",N118)</f>
        <v/>
      </c>
    </row>
    <row r="121" spans="1:15" x14ac:dyDescent="0.25">
      <c r="A121" s="18"/>
      <c r="G121" s="7" t="s">
        <v>36</v>
      </c>
      <c r="H121" t="str">
        <f>IFERROR(VLOOKUP(A121,'BDD Salariés'!$1:$1048576,4,FALSE),"")</f>
        <v/>
      </c>
      <c r="J121" s="41" t="s">
        <v>61</v>
      </c>
      <c r="K121" s="42"/>
      <c r="L121" s="19" t="s">
        <v>76</v>
      </c>
      <c r="M121" s="19" t="s">
        <v>77</v>
      </c>
      <c r="N121" s="19" t="s">
        <v>78</v>
      </c>
      <c r="O121" s="19" t="s">
        <v>79</v>
      </c>
    </row>
    <row r="122" spans="1:15" x14ac:dyDescent="0.25">
      <c r="A122" s="10" t="str">
        <f>IFERROR(VLOOKUP(A121,'BDD Salariés'!$1:$1048576,2,FALSE),"")</f>
        <v/>
      </c>
      <c r="G122" s="7" t="s">
        <v>59</v>
      </c>
      <c r="H122" t="str">
        <f>IF(H121="Cadre","Forfait Jours","Mensualisation")</f>
        <v>Mensualisation</v>
      </c>
      <c r="J122" s="41" t="s">
        <v>58</v>
      </c>
      <c r="K122" s="42"/>
      <c r="L122" s="19" t="str">
        <f>IFERROR(VLOOKUP(A121,'BDD Salariés'!$1:$1048576,6,FALSE),"")</f>
        <v/>
      </c>
      <c r="M122" s="19" t="str">
        <f>IFERROR(VLOOKUP(A121,'BDD Salariés'!$1:$1048576,7,FALSE),"")</f>
        <v/>
      </c>
      <c r="N122" s="19" t="str">
        <f>IFERROR(VLOOKUP(A121,'BDD Salariés'!$1:$1048576,8,FALSE),"")</f>
        <v/>
      </c>
      <c r="O122" s="19" t="str">
        <f>IFERROR(VLOOKUP(A121,'BDD Salariés'!$1:$1048576,9,FALSE),"")</f>
        <v/>
      </c>
    </row>
    <row r="123" spans="1:15" x14ac:dyDescent="0.25">
      <c r="A123" s="43" t="s">
        <v>80</v>
      </c>
      <c r="G123" s="7" t="str">
        <f>IF(H121="Cadre","Base forfaitaire en jours","")</f>
        <v/>
      </c>
      <c r="H123" s="10" t="str">
        <f>IF(H121="Cadre","218","")</f>
        <v/>
      </c>
      <c r="J123" s="41" t="s">
        <v>109</v>
      </c>
      <c r="K123" s="42"/>
      <c r="L123" s="19" t="str">
        <f>IFERROR(VLOOKUP(A121,'BDD Salariés'!$1:$1048576,13,FALSE),"")</f>
        <v/>
      </c>
      <c r="M123" s="19" t="str">
        <f>IFERROR(VLOOKUP(A121,'BDD Salariés'!$1:$1048576,14,FALSE),"")</f>
        <v/>
      </c>
      <c r="N123" s="19" t="str">
        <f>IFERROR(VLOOKUP(A121,'BDD Salariés'!$1:$1048576,15,FALSE),"")</f>
        <v/>
      </c>
      <c r="O123" s="19" t="str">
        <f>IFERROR(VLOOKUP(A121,'BDD Salariés'!$1:$1048576,16,FALSE),"")</f>
        <v/>
      </c>
    </row>
    <row r="124" spans="1:15" x14ac:dyDescent="0.25">
      <c r="A124" s="49" t="str">
        <f>IFERROR(VLOOKUP(A121,'BDD Salariés'!$1:$1048576,5,FALSE),"")</f>
        <v/>
      </c>
      <c r="G124" s="7" t="str">
        <f>IF(H121="Cadre","Après déduction reliquat 12/2003","")</f>
        <v/>
      </c>
      <c r="H124" s="10" t="str">
        <f>IF(H121="Cadre",H123-B132,"")</f>
        <v/>
      </c>
      <c r="J124" s="40" t="s">
        <v>110</v>
      </c>
    </row>
    <row r="125" spans="1:15" x14ac:dyDescent="0.25">
      <c r="A125" s="12" t="s">
        <v>57</v>
      </c>
      <c r="B125" t="s">
        <v>49</v>
      </c>
      <c r="C125" t="s">
        <v>81</v>
      </c>
      <c r="D125" t="s">
        <v>82</v>
      </c>
      <c r="E125" t="s">
        <v>83</v>
      </c>
      <c r="F125" t="s">
        <v>84</v>
      </c>
      <c r="G125" t="s">
        <v>50</v>
      </c>
      <c r="H125" t="s">
        <v>86</v>
      </c>
      <c r="I125" s="20" t="s">
        <v>85</v>
      </c>
      <c r="J125" t="s">
        <v>87</v>
      </c>
      <c r="K125" t="s">
        <v>88</v>
      </c>
      <c r="L125" t="s">
        <v>89</v>
      </c>
      <c r="M125" t="s">
        <v>90</v>
      </c>
      <c r="N125" t="s">
        <v>91</v>
      </c>
      <c r="O125" t="s">
        <v>55</v>
      </c>
    </row>
    <row r="126" spans="1:15" x14ac:dyDescent="0.25">
      <c r="A126" t="s">
        <v>16</v>
      </c>
      <c r="B126" t="str">
        <f>IF($N$5="0","",IF(($N$5*2.08)&gt;24.5,25,ROUNDDOWN($N$5*2.08,0)))</f>
        <v/>
      </c>
      <c r="O126" t="str">
        <f>IF(B126="","",B126-SUM(C126:N126))</f>
        <v/>
      </c>
    </row>
    <row r="127" spans="1:15" x14ac:dyDescent="0.25">
      <c r="A127" t="s">
        <v>15</v>
      </c>
      <c r="B127">
        <f>IF($L$5="","",IF(($L$5*2.08)&gt;24.5,25,ROUNDDOWN($L$5*2.08,0)))-22.5</f>
        <v>2.5</v>
      </c>
      <c r="O127">
        <f t="shared" ref="O127" si="20">IF(B127="","",B127-SUM(C127:N127))</f>
        <v>2.5</v>
      </c>
    </row>
    <row r="128" spans="1:15" x14ac:dyDescent="0.25">
      <c r="A128" t="s">
        <v>14</v>
      </c>
      <c r="O128" t="str">
        <f>IF(B128="","",B128-SUM(C128:N128))</f>
        <v/>
      </c>
    </row>
    <row r="129" spans="1:15" x14ac:dyDescent="0.25">
      <c r="A129" t="s">
        <v>27</v>
      </c>
      <c r="B129" t="str">
        <f>IF(O123="","",IF($B$2&lt;$N$3,"",IF(AND(O121="Cadre",O123&gt;=2,O122&gt;=35),3,IF(AND(H121="Cadre",O123&gt;=1,O122&gt;=30),2,IF(AND(H122="Mensualisation",O123&gt;=20),3,IF(AND(O122="Mensualisation",O123&lt;20,O123&gt;14),2,IF(AND(H122="Mensualisation",O123&gt;9,O123&lt;15),1,"")))))))</f>
        <v/>
      </c>
      <c r="O129" t="str">
        <f t="shared" ref="O129" si="21">IF(B129="","",B129-SUM(C129:N129))</f>
        <v/>
      </c>
    </row>
    <row r="130" spans="1:15" x14ac:dyDescent="0.25">
      <c r="A130" t="s">
        <v>26</v>
      </c>
      <c r="B130" t="str">
        <f>IF(N123="","",IF(AND(H121="Cadre",N123&gt;=2,N122&gt;=35),3,IF(AND(H121="Cadre",N123&gt;=1,N122&gt;=30),2,IF(AND(H122="Mensualisation",N123&gt;=20),3,IF(AND(H122="Mensualisation",N123&lt;20,N123&gt;14),2,IF(AND(H122="Mensualisation",N123&gt;9,N123&lt;15),1,""))))))</f>
        <v/>
      </c>
      <c r="O130" t="str">
        <f>IF(B130="","",B130-SUM(C130:N130))</f>
        <v/>
      </c>
    </row>
    <row r="131" spans="1:15" x14ac:dyDescent="0.25">
      <c r="A131" t="s">
        <v>92</v>
      </c>
      <c r="O131" t="str">
        <f t="shared" ref="O131:O132" si="22">IF(B131="","",B131-SUM(C131:N131))</f>
        <v/>
      </c>
    </row>
    <row r="132" spans="1:15" x14ac:dyDescent="0.25">
      <c r="A132" t="s">
        <v>51</v>
      </c>
      <c r="O132" t="str">
        <f t="shared" si="22"/>
        <v/>
      </c>
    </row>
    <row r="133" spans="1:15" x14ac:dyDescent="0.25">
      <c r="A133" t="str">
        <f>IF(H121="Cadre","RTT","")</f>
        <v/>
      </c>
      <c r="B133" t="str">
        <f>IF(H121="Cadre",Variables!$C$89,"")</f>
        <v/>
      </c>
      <c r="O133" t="str">
        <f>IF(B133="","",B133-SUM(C133:N133))</f>
        <v/>
      </c>
    </row>
    <row r="134" spans="1:15" x14ac:dyDescent="0.25">
      <c r="A134" s="14" t="s">
        <v>108</v>
      </c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3">
        <f>SUBTOTAL(109,O126:O133)</f>
        <v>2.5</v>
      </c>
    </row>
    <row r="135" spans="1:15" x14ac:dyDescent="0.25">
      <c r="A135" s="44" t="str">
        <f>IF(H121="Cadre","Jours ouvrés","")</f>
        <v/>
      </c>
      <c r="B135" s="44" t="str">
        <f>IF(SUM(C135:N135)=0,"",SUM(C135:N135))</f>
        <v/>
      </c>
      <c r="C135" s="44" t="str">
        <f>IF(H121="Cadre",NETWORKDAYS(Variables!$B$49,Variables!$C$49,Variables!$D$49:$D$60),"")</f>
        <v/>
      </c>
      <c r="D135" s="44" t="str">
        <f>IF(H121="Cadre",NETWORKDAYS(Variables!$B$50,Variables!$C$50,Variables!$D$49:$D$60),"")</f>
        <v/>
      </c>
      <c r="E135" s="44" t="str">
        <f>IF(H121="Cadre",NETWORKDAYS(Variables!$B$51,Variables!$C$51,Variables!$D$49:$D$60),"")</f>
        <v/>
      </c>
      <c r="F135" s="44" t="str">
        <f>IF(H121="Cadre",NETWORKDAYS(Variables!$B$52,Variables!$C$52,Variables!$D$49:$D$60),"")</f>
        <v/>
      </c>
      <c r="G135" s="44" t="str">
        <f>IF(H121="Cadre",NETWORKDAYS(Variables!$B$53,Variables!$C$53,Variables!$D$49:$D$60),"")</f>
        <v/>
      </c>
      <c r="H135" s="44" t="str">
        <f>IF(H121="Cadre",NETWORKDAYS(Variables!$B$54,Variables!$C$54,Variables!$D$49:$D$60),"")</f>
        <v/>
      </c>
      <c r="I135" s="44" t="str">
        <f>IF(H121="Cadre",NETWORKDAYS(Variables!$B$55,Variables!$C$55,Variables!$D$49:$D$60),"")</f>
        <v/>
      </c>
      <c r="J135" s="44" t="str">
        <f>IF(H121="Cadre",NETWORKDAYS(Variables!$B$56,Variables!$C$56,Variables!$D$49:$D$60),"")</f>
        <v/>
      </c>
      <c r="K135" s="44" t="str">
        <f>IF(H121="Cadre",NETWORKDAYS(Variables!$B$57,Variables!$C$57,Variables!$D$49:$D$60),"")</f>
        <v/>
      </c>
      <c r="L135" s="44" t="str">
        <f>IF(H121="Cadre",NETWORKDAYS(Variables!$B$58,Variables!$C$58,Variables!$D$49:$D$60),"")</f>
        <v/>
      </c>
      <c r="M135" s="44" t="str">
        <f>IF(H121="Cadre",NETWORKDAYS(Variables!$B$59,Variables!$C$59,Variables!$D$49:$D$60),"")</f>
        <v/>
      </c>
      <c r="N135" s="44" t="str">
        <f>IF(H121="Cadre",NETWORKDAYS(Variables!$B$60,Variables!$C$60,Variables!$D$49:$D$60),"")</f>
        <v/>
      </c>
      <c r="O135" s="44" t="str">
        <f>IF(SUM(C135:N135)=0,"",SUM(C135:N135))</f>
        <v/>
      </c>
    </row>
    <row r="136" spans="1:15" x14ac:dyDescent="0.25">
      <c r="A136" s="44" t="str">
        <f>IF(H121="Cadre","Jours travaillés","")</f>
        <v/>
      </c>
      <c r="B136" s="44"/>
      <c r="C136" s="44" t="str">
        <f>IF(C135="","",C135-SUM(C127:C133))</f>
        <v/>
      </c>
      <c r="D136" s="44" t="str">
        <f t="shared" ref="D136:N136" si="23">IF(D135="","",D135-SUM(D127:D133))</f>
        <v/>
      </c>
      <c r="E136" s="44" t="str">
        <f t="shared" si="23"/>
        <v/>
      </c>
      <c r="F136" s="44" t="str">
        <f t="shared" si="23"/>
        <v/>
      </c>
      <c r="G136" s="44" t="str">
        <f t="shared" si="23"/>
        <v/>
      </c>
      <c r="H136" s="44" t="str">
        <f t="shared" si="23"/>
        <v/>
      </c>
      <c r="I136" s="44" t="str">
        <f t="shared" si="23"/>
        <v/>
      </c>
      <c r="J136" s="44" t="str">
        <f t="shared" si="23"/>
        <v/>
      </c>
      <c r="K136" s="44" t="str">
        <f t="shared" si="23"/>
        <v/>
      </c>
      <c r="L136" s="44" t="str">
        <f t="shared" si="23"/>
        <v/>
      </c>
      <c r="M136" s="44" t="str">
        <f t="shared" si="23"/>
        <v/>
      </c>
      <c r="N136" s="44" t="str">
        <f t="shared" si="23"/>
        <v/>
      </c>
      <c r="O136" s="44" t="str">
        <f>IF(SUM(C136:N136)=0,"",SUM(C136:N136))</f>
        <v/>
      </c>
    </row>
    <row r="137" spans="1:15" x14ac:dyDescent="0.25">
      <c r="A137" s="45" t="str">
        <f>IF(H121="Cadre","Solde jours restants à travailler","")</f>
        <v/>
      </c>
      <c r="B137" s="44" t="str">
        <f>IF(H121="Cadre",Variables!$C$99-SUM(B127:B133),"")</f>
        <v/>
      </c>
      <c r="C137" s="44" t="str">
        <f>IF(ISERROR(B137-C136),"",B137-C136)</f>
        <v/>
      </c>
      <c r="D137" s="44" t="str">
        <f>IF(ISERROR(C137-D136),"",C137-D136)</f>
        <v/>
      </c>
      <c r="E137" s="44" t="str">
        <f t="shared" ref="E137:M137" si="24">IF(ISERROR(D137-E136),"",D137-E136)</f>
        <v/>
      </c>
      <c r="F137" s="44" t="str">
        <f t="shared" si="24"/>
        <v/>
      </c>
      <c r="G137" s="44" t="str">
        <f t="shared" si="24"/>
        <v/>
      </c>
      <c r="H137" s="44" t="str">
        <f t="shared" si="24"/>
        <v/>
      </c>
      <c r="I137" s="44" t="str">
        <f t="shared" si="24"/>
        <v/>
      </c>
      <c r="J137" s="44" t="str">
        <f t="shared" si="24"/>
        <v/>
      </c>
      <c r="K137" s="44" t="str">
        <f t="shared" si="24"/>
        <v/>
      </c>
      <c r="L137" s="44" t="str">
        <f t="shared" si="24"/>
        <v/>
      </c>
      <c r="M137" s="44" t="str">
        <f t="shared" si="24"/>
        <v/>
      </c>
      <c r="N137" s="44" t="str">
        <f>IF(ISERROR(M137-N136),"",M137-N136)</f>
        <v/>
      </c>
      <c r="O137" s="44" t="str">
        <f>IF(ISERROR(N137),"",N137)</f>
        <v/>
      </c>
    </row>
    <row r="140" spans="1:15" x14ac:dyDescent="0.25">
      <c r="A140" s="18"/>
      <c r="G140" s="7" t="s">
        <v>36</v>
      </c>
      <c r="H140" t="str">
        <f>IFERROR(VLOOKUP(A140,'BDD Salariés'!$1:$1048576,4,FALSE),"")</f>
        <v/>
      </c>
      <c r="J140" s="41" t="s">
        <v>61</v>
      </c>
      <c r="K140" s="42"/>
      <c r="L140" s="19" t="s">
        <v>76</v>
      </c>
      <c r="M140" s="19" t="s">
        <v>77</v>
      </c>
      <c r="N140" s="19" t="s">
        <v>78</v>
      </c>
      <c r="O140" s="19" t="s">
        <v>79</v>
      </c>
    </row>
    <row r="141" spans="1:15" x14ac:dyDescent="0.25">
      <c r="A141" s="10" t="str">
        <f>IFERROR(VLOOKUP(A140,'BDD Salariés'!$1:$1048576,2,FALSE),"")</f>
        <v/>
      </c>
      <c r="G141" s="7" t="s">
        <v>59</v>
      </c>
      <c r="H141" t="str">
        <f>IF(H140="Cadre","Forfait Jours","Mensualisation")</f>
        <v>Mensualisation</v>
      </c>
      <c r="J141" s="41" t="s">
        <v>58</v>
      </c>
      <c r="K141" s="42"/>
      <c r="L141" s="19" t="str">
        <f>IFERROR(VLOOKUP(A140,'BDD Salariés'!$1:$1048576,6,FALSE),"")</f>
        <v/>
      </c>
      <c r="M141" s="19" t="str">
        <f>IFERROR(VLOOKUP(A140,'BDD Salariés'!$1:$1048576,7,FALSE),"")</f>
        <v/>
      </c>
      <c r="N141" s="19" t="str">
        <f>IFERROR(VLOOKUP(A140,'BDD Salariés'!$1:$1048576,8,FALSE),"")</f>
        <v/>
      </c>
      <c r="O141" s="19" t="str">
        <f>IFERROR(VLOOKUP(A140,'BDD Salariés'!$1:$1048576,9,FALSE),"")</f>
        <v/>
      </c>
    </row>
    <row r="142" spans="1:15" x14ac:dyDescent="0.25">
      <c r="A142" s="43" t="s">
        <v>80</v>
      </c>
      <c r="G142" s="7" t="str">
        <f>IF(H140="Cadre","Base forfaitaire en jours","")</f>
        <v/>
      </c>
      <c r="H142" s="10" t="str">
        <f>IF(H140="Cadre","218","")</f>
        <v/>
      </c>
      <c r="J142" s="41" t="s">
        <v>109</v>
      </c>
      <c r="K142" s="42"/>
      <c r="L142" s="19" t="str">
        <f>IFERROR(VLOOKUP(A140,'BDD Salariés'!$1:$1048576,13,FALSE),"")</f>
        <v/>
      </c>
      <c r="M142" s="19" t="str">
        <f>IFERROR(VLOOKUP(A140,'BDD Salariés'!$1:$1048576,14,FALSE),"")</f>
        <v/>
      </c>
      <c r="N142" s="19" t="str">
        <f>IFERROR(VLOOKUP(A140,'BDD Salariés'!$1:$1048576,15,FALSE),"")</f>
        <v/>
      </c>
      <c r="O142" s="19" t="str">
        <f>IFERROR(VLOOKUP(A140,'BDD Salariés'!$1:$1048576,16,FALSE),"")</f>
        <v/>
      </c>
    </row>
    <row r="143" spans="1:15" x14ac:dyDescent="0.25">
      <c r="A143" s="39" t="str">
        <f>IFERROR(VLOOKUP(A140,'BDD Salariés'!$1:$1048576,5,FALSE),"")</f>
        <v/>
      </c>
      <c r="G143" s="7" t="str">
        <f>IF(H140="Cadre","Après déduction reliquat 12/2003","")</f>
        <v/>
      </c>
      <c r="H143" s="10" t="str">
        <f>IF(H140="Cadre",H142-B151,"")</f>
        <v/>
      </c>
      <c r="J143" s="40" t="s">
        <v>110</v>
      </c>
    </row>
    <row r="144" spans="1:15" x14ac:dyDescent="0.25">
      <c r="A144" s="12" t="s">
        <v>57</v>
      </c>
      <c r="B144" t="s">
        <v>49</v>
      </c>
      <c r="C144" t="s">
        <v>81</v>
      </c>
      <c r="D144" t="s">
        <v>82</v>
      </c>
      <c r="E144" t="s">
        <v>83</v>
      </c>
      <c r="F144" t="s">
        <v>84</v>
      </c>
      <c r="G144" t="s">
        <v>50</v>
      </c>
      <c r="H144" t="s">
        <v>86</v>
      </c>
      <c r="I144" s="20" t="s">
        <v>85</v>
      </c>
      <c r="J144" t="s">
        <v>87</v>
      </c>
      <c r="K144" t="s">
        <v>88</v>
      </c>
      <c r="L144" t="s">
        <v>89</v>
      </c>
      <c r="M144" t="s">
        <v>90</v>
      </c>
      <c r="N144" t="s">
        <v>91</v>
      </c>
      <c r="O144" t="s">
        <v>55</v>
      </c>
    </row>
    <row r="145" spans="1:15" x14ac:dyDescent="0.25">
      <c r="A145" t="s">
        <v>16</v>
      </c>
      <c r="B145" t="str">
        <f>IF(SG!$N$5="0","",IF((SG!$N$5*2.08)&gt;24.5,25,ROUNDDOWN(SG!$N$5*2.08,0)))</f>
        <v/>
      </c>
      <c r="O145" t="str">
        <f t="shared" ref="O145:O152" si="25">IF(B145="","",B145-SUM(C145:N145))</f>
        <v/>
      </c>
    </row>
    <row r="146" spans="1:15" x14ac:dyDescent="0.25">
      <c r="A146" t="s">
        <v>15</v>
      </c>
      <c r="B146">
        <f>IF(SG!$L$5="","",IF((SG!$L$5*2.08)&gt;24.5,25,ROUNDDOWN(SG!$L$5*2.08,0)))</f>
        <v>25</v>
      </c>
      <c r="D146">
        <v>0.5</v>
      </c>
      <c r="O146">
        <f t="shared" si="25"/>
        <v>24.5</v>
      </c>
    </row>
    <row r="147" spans="1:15" x14ac:dyDescent="0.25">
      <c r="A147" t="s">
        <v>14</v>
      </c>
      <c r="B147">
        <f>8</f>
        <v>8</v>
      </c>
      <c r="D147">
        <v>8</v>
      </c>
      <c r="O147">
        <f t="shared" si="25"/>
        <v>0</v>
      </c>
    </row>
    <row r="148" spans="1:15" x14ac:dyDescent="0.25">
      <c r="A148" t="s">
        <v>27</v>
      </c>
      <c r="B148" t="str">
        <f>IF(O142="","",IF($B$2&lt;$N$3,"",IF(AND(O140="Cadre",O142&gt;=2,O141&gt;=35),3,IF(AND(H140="Cadre",O142&gt;=1,O141&gt;=30),2,IF(AND(H141="Mensualisation",O142&gt;=20),3,IF(AND(O141="Mensualisation",O142&lt;20,O142&gt;14),2,IF(AND(H141="Mensualisation",O142&gt;9,O142&lt;15),1,"")))))))</f>
        <v/>
      </c>
      <c r="O148" t="str">
        <f t="shared" si="25"/>
        <v/>
      </c>
    </row>
    <row r="149" spans="1:15" x14ac:dyDescent="0.25">
      <c r="A149" t="s">
        <v>26</v>
      </c>
      <c r="B149" t="str">
        <f>IF(N142="","",IF(AND(H140="Cadre",N142&gt;=2,N141&gt;=35),3,IF(AND(H140="Cadre",N142&gt;=1,N141&gt;=30),2,IF(AND(H141="Mensualisation",N142&gt;=20),3,IF(AND(H141="Mensualisation",N142&lt;20,N142&gt;14),2,IF(AND(H141="Mensualisation",N142&gt;9,N142&lt;15),1,""))))))</f>
        <v/>
      </c>
      <c r="O149" t="str">
        <f t="shared" si="25"/>
        <v/>
      </c>
    </row>
    <row r="150" spans="1:15" x14ac:dyDescent="0.25">
      <c r="A150" t="s">
        <v>92</v>
      </c>
      <c r="B150">
        <v>5</v>
      </c>
      <c r="E150">
        <v>0.5</v>
      </c>
      <c r="F150">
        <v>1</v>
      </c>
      <c r="G150">
        <v>1</v>
      </c>
      <c r="O150">
        <f t="shared" si="25"/>
        <v>2.5</v>
      </c>
    </row>
    <row r="151" spans="1:15" x14ac:dyDescent="0.25">
      <c r="A151" t="s">
        <v>51</v>
      </c>
      <c r="O151" t="str">
        <f t="shared" si="25"/>
        <v/>
      </c>
    </row>
    <row r="152" spans="1:15" x14ac:dyDescent="0.25">
      <c r="A152" t="str">
        <f>IF(H140="Cadre","RTT","")</f>
        <v/>
      </c>
      <c r="B152" t="str">
        <f>IF(H140="Cadre",Variables!$C$89,"")</f>
        <v/>
      </c>
      <c r="O152" t="str">
        <f t="shared" si="25"/>
        <v/>
      </c>
    </row>
    <row r="153" spans="1:15" x14ac:dyDescent="0.25">
      <c r="A153" s="14" t="s">
        <v>108</v>
      </c>
      <c r="B153" s="14"/>
      <c r="C153" s="14"/>
      <c r="D153" s="14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3">
        <f>SUBTOTAL(109,O145:O152)</f>
        <v>27</v>
      </c>
    </row>
    <row r="154" spans="1:15" x14ac:dyDescent="0.25">
      <c r="A154" s="44" t="str">
        <f>IF(H140="Cadre","Jours ouvrés","")</f>
        <v/>
      </c>
      <c r="B154" s="44" t="str">
        <f>IF(SUM(C154:N154)=0,"",SUM(C154:N154))</f>
        <v/>
      </c>
      <c r="C154" s="44" t="str">
        <f>IF(H140="Cadre",NETWORKDAYS(Variables!$B$49,Variables!$C$49,Variables!$D$49:$D$60),"")</f>
        <v/>
      </c>
      <c r="D154" s="44" t="str">
        <f>IF(H140="Cadre",NETWORKDAYS(Variables!$B$50,Variables!$C$50,Variables!$D$49:$D$60),"")</f>
        <v/>
      </c>
      <c r="E154" s="44" t="str">
        <f>IF(H140="Cadre",NETWORKDAYS(Variables!$B$51,Variables!$C$51,Variables!$D$49:$D$60),"")</f>
        <v/>
      </c>
      <c r="F154" s="44" t="str">
        <f>IF(H140="Cadre",NETWORKDAYS(Variables!$B$52,Variables!$C$52,Variables!$D$49:$D$60),"")</f>
        <v/>
      </c>
      <c r="G154" s="44" t="str">
        <f>IF(H140="Cadre",NETWORKDAYS(Variables!$B$53,Variables!$C$53,Variables!$D$49:$D$60),"")</f>
        <v/>
      </c>
      <c r="H154" s="44" t="str">
        <f>IF(H140="Cadre",NETWORKDAYS(Variables!$B$54,Variables!$C$54,Variables!$D$49:$D$60),"")</f>
        <v/>
      </c>
      <c r="I154" s="44" t="str">
        <f>IF(H140="Cadre",NETWORKDAYS(Variables!$B$55,Variables!$C$55,Variables!$D$49:$D$60),"")</f>
        <v/>
      </c>
      <c r="J154" s="44" t="str">
        <f>IF(H140="Cadre",NETWORKDAYS(Variables!$B$56,Variables!$C$56,Variables!$D$49:$D$60),"")</f>
        <v/>
      </c>
      <c r="K154" s="44" t="str">
        <f>IF(H140="Cadre",NETWORKDAYS(Variables!$B$57,Variables!$C$57,Variables!$D$49:$D$60),"")</f>
        <v/>
      </c>
      <c r="L154" s="44" t="str">
        <f>IF(H140="Cadre",NETWORKDAYS(Variables!$B$58,Variables!$C$58,Variables!$D$49:$D$60),"")</f>
        <v/>
      </c>
      <c r="M154" s="44" t="str">
        <f>IF(H140="Cadre",NETWORKDAYS(Variables!$B$59,Variables!$C$59,Variables!$D$49:$D$60),"")</f>
        <v/>
      </c>
      <c r="N154" s="44" t="str">
        <f>IF(H140="Cadre",NETWORKDAYS(Variables!$B$60,Variables!$C$60,Variables!$D$49:$D$60),"")</f>
        <v/>
      </c>
      <c r="O154" s="44" t="str">
        <f>IF(SUM(C154:N154)=0,"",SUM(C154:N154))</f>
        <v/>
      </c>
    </row>
    <row r="155" spans="1:15" x14ac:dyDescent="0.25">
      <c r="A155" s="44" t="str">
        <f>IF(H140="Cadre","Jours travaillés","")</f>
        <v/>
      </c>
      <c r="B155" s="44"/>
      <c r="C155" s="44" t="str">
        <f t="shared" ref="C155:N155" si="26">IF(C154="","",C154-SUM(C146:C152))</f>
        <v/>
      </c>
      <c r="D155" s="44" t="str">
        <f t="shared" si="26"/>
        <v/>
      </c>
      <c r="E155" s="44" t="str">
        <f t="shared" si="26"/>
        <v/>
      </c>
      <c r="F155" s="44" t="str">
        <f t="shared" si="26"/>
        <v/>
      </c>
      <c r="G155" s="44" t="str">
        <f t="shared" si="26"/>
        <v/>
      </c>
      <c r="H155" s="44" t="str">
        <f t="shared" si="26"/>
        <v/>
      </c>
      <c r="I155" s="44" t="str">
        <f t="shared" si="26"/>
        <v/>
      </c>
      <c r="J155" s="44" t="str">
        <f t="shared" si="26"/>
        <v/>
      </c>
      <c r="K155" s="44" t="str">
        <f t="shared" si="26"/>
        <v/>
      </c>
      <c r="L155" s="44" t="str">
        <f t="shared" si="26"/>
        <v/>
      </c>
      <c r="M155" s="44" t="str">
        <f t="shared" si="26"/>
        <v/>
      </c>
      <c r="N155" s="44" t="str">
        <f t="shared" si="26"/>
        <v/>
      </c>
      <c r="O155" s="44" t="str">
        <f>IF(SUM(C155:N155)=0,"",SUM(C155:N155))</f>
        <v/>
      </c>
    </row>
    <row r="156" spans="1:15" ht="15" customHeight="1" x14ac:dyDescent="0.25">
      <c r="A156" s="45" t="str">
        <f>IF(H140="Cadre","Solde jours restants à travailler","")</f>
        <v/>
      </c>
      <c r="B156" s="44" t="str">
        <f>IF(H140="Cadre",Variables!$C$99-SUM(B146:B152),"")</f>
        <v/>
      </c>
      <c r="C156" s="44" t="str">
        <f t="shared" ref="C156:N156" si="27">IF(ISERROR(B156-C155),"",B156-C155)</f>
        <v/>
      </c>
      <c r="D156" s="44" t="str">
        <f t="shared" si="27"/>
        <v/>
      </c>
      <c r="E156" s="44" t="str">
        <f t="shared" si="27"/>
        <v/>
      </c>
      <c r="F156" s="44" t="str">
        <f t="shared" si="27"/>
        <v/>
      </c>
      <c r="G156" s="44" t="str">
        <f t="shared" si="27"/>
        <v/>
      </c>
      <c r="H156" s="44" t="str">
        <f t="shared" si="27"/>
        <v/>
      </c>
      <c r="I156" s="44" t="str">
        <f t="shared" si="27"/>
        <v/>
      </c>
      <c r="J156" s="44" t="str">
        <f t="shared" si="27"/>
        <v/>
      </c>
      <c r="K156" s="44" t="str">
        <f t="shared" si="27"/>
        <v/>
      </c>
      <c r="L156" s="44" t="str">
        <f t="shared" si="27"/>
        <v/>
      </c>
      <c r="M156" s="44" t="str">
        <f t="shared" si="27"/>
        <v/>
      </c>
      <c r="N156" s="44" t="str">
        <f t="shared" si="27"/>
        <v/>
      </c>
      <c r="O156" s="44" t="str">
        <f>IF(ISERROR(N156),"",N156)</f>
        <v/>
      </c>
    </row>
    <row r="159" spans="1:15" x14ac:dyDescent="0.25">
      <c r="A159" s="18"/>
      <c r="G159" s="7" t="s">
        <v>36</v>
      </c>
      <c r="H159" t="str">
        <f>IFERROR(VLOOKUP(A159,'BDD Salariés'!$1:$1048576,4,FALSE),"")</f>
        <v/>
      </c>
      <c r="J159" s="41" t="s">
        <v>61</v>
      </c>
      <c r="K159" s="42"/>
      <c r="L159" s="19" t="s">
        <v>76</v>
      </c>
      <c r="M159" s="19" t="s">
        <v>77</v>
      </c>
      <c r="N159" s="19" t="s">
        <v>78</v>
      </c>
      <c r="O159" s="19" t="s">
        <v>79</v>
      </c>
    </row>
    <row r="160" spans="1:15" x14ac:dyDescent="0.25">
      <c r="A160" s="10" t="str">
        <f>IFERROR(VLOOKUP(A159,'BDD Salariés'!$1:$1048576,2,FALSE),"")</f>
        <v/>
      </c>
      <c r="G160" s="7" t="s">
        <v>59</v>
      </c>
      <c r="H160" t="str">
        <f>IF(H159="Cadre","Forfait Jours","Mensualisation")</f>
        <v>Mensualisation</v>
      </c>
      <c r="J160" s="41" t="s">
        <v>58</v>
      </c>
      <c r="K160" s="42"/>
      <c r="L160" s="19" t="str">
        <f>IFERROR(VLOOKUP(A159,'BDD Salariés'!$1:$1048576,6,FALSE),"")</f>
        <v/>
      </c>
      <c r="M160" s="19" t="str">
        <f>IFERROR(VLOOKUP(A159,'BDD Salariés'!$1:$1048576,7,FALSE),"")</f>
        <v/>
      </c>
      <c r="N160" s="19" t="str">
        <f>IFERROR(VLOOKUP(A159,'BDD Salariés'!$1:$1048576,8,FALSE),"")</f>
        <v/>
      </c>
      <c r="O160" s="19" t="str">
        <f>IFERROR(VLOOKUP(A159,'BDD Salariés'!$1:$1048576,9,FALSE),"")</f>
        <v/>
      </c>
    </row>
    <row r="161" spans="1:15" x14ac:dyDescent="0.25">
      <c r="A161" s="43" t="s">
        <v>80</v>
      </c>
      <c r="G161" s="7" t="str">
        <f>IF(H159="Cadre","Base forfaitaire en jours","")</f>
        <v/>
      </c>
      <c r="H161" s="10" t="str">
        <f>IF(H159="Cadre","218","")</f>
        <v/>
      </c>
      <c r="J161" s="41" t="s">
        <v>109</v>
      </c>
      <c r="K161" s="42"/>
      <c r="L161" s="19" t="str">
        <f>IFERROR(VLOOKUP(A159,'BDD Salariés'!$1:$1048576,13,FALSE),"")</f>
        <v/>
      </c>
      <c r="M161" s="19" t="str">
        <f>IFERROR(VLOOKUP(A159,'BDD Salariés'!$1:$1048576,14,FALSE),"")</f>
        <v/>
      </c>
      <c r="N161" s="19" t="str">
        <f>IFERROR(VLOOKUP(A159,'BDD Salariés'!$1:$1048576,15,FALSE),"")</f>
        <v/>
      </c>
      <c r="O161" s="19" t="str">
        <f>IFERROR(VLOOKUP(A159,'BDD Salariés'!$1:$1048576,16,FALSE),"")</f>
        <v/>
      </c>
    </row>
    <row r="162" spans="1:15" x14ac:dyDescent="0.25">
      <c r="A162" s="39" t="str">
        <f>IFERROR(VLOOKUP(A159,'BDD Salariés'!$1:$1048576,5,FALSE),"")</f>
        <v/>
      </c>
      <c r="G162" s="7" t="str">
        <f>IF(H159="Cadre","Après déduction reliquat 12/2003","")</f>
        <v/>
      </c>
      <c r="H162" s="10" t="str">
        <f>IF(H159="Cadre",H161-B170,"")</f>
        <v/>
      </c>
      <c r="J162" s="40" t="s">
        <v>110</v>
      </c>
    </row>
    <row r="163" spans="1:15" x14ac:dyDescent="0.25">
      <c r="A163" s="12" t="s">
        <v>57</v>
      </c>
      <c r="B163" t="s">
        <v>49</v>
      </c>
      <c r="C163" t="s">
        <v>81</v>
      </c>
      <c r="D163" t="s">
        <v>82</v>
      </c>
      <c r="E163" t="s">
        <v>83</v>
      </c>
      <c r="F163" t="s">
        <v>84</v>
      </c>
      <c r="G163" t="s">
        <v>50</v>
      </c>
      <c r="H163" t="s">
        <v>86</v>
      </c>
      <c r="I163" s="20" t="s">
        <v>85</v>
      </c>
      <c r="J163" t="s">
        <v>87</v>
      </c>
      <c r="K163" t="s">
        <v>88</v>
      </c>
      <c r="L163" t="s">
        <v>89</v>
      </c>
      <c r="M163" t="s">
        <v>90</v>
      </c>
      <c r="N163" t="s">
        <v>91</v>
      </c>
      <c r="O163" t="s">
        <v>55</v>
      </c>
    </row>
    <row r="164" spans="1:15" x14ac:dyDescent="0.25">
      <c r="A164" t="s">
        <v>16</v>
      </c>
      <c r="B164" t="str">
        <f>IF(SG!$N$5="0","",IF((SG!$N$5*2.08)&gt;24.5,25,ROUNDDOWN(SG!$N$5*2.08,0)))</f>
        <v/>
      </c>
      <c r="O164" t="str">
        <f t="shared" ref="O164:O171" si="28">IF(B164="","",B164-SUM(C164:N164))</f>
        <v/>
      </c>
    </row>
    <row r="165" spans="1:15" x14ac:dyDescent="0.25">
      <c r="A165" t="s">
        <v>15</v>
      </c>
      <c r="B165">
        <f>IF(SG!$L$5="","",IF((SG!$L$5*2.08)&gt;24.5,25,ROUNDDOWN(SG!$L$5*2.08,0)))</f>
        <v>25</v>
      </c>
      <c r="F165">
        <v>0.5</v>
      </c>
      <c r="G165">
        <v>0.5</v>
      </c>
      <c r="O165">
        <f t="shared" si="28"/>
        <v>24</v>
      </c>
    </row>
    <row r="166" spans="1:15" x14ac:dyDescent="0.25">
      <c r="A166" t="s">
        <v>14</v>
      </c>
      <c r="B166">
        <v>1</v>
      </c>
      <c r="C166">
        <v>1</v>
      </c>
      <c r="O166">
        <f t="shared" si="28"/>
        <v>0</v>
      </c>
    </row>
    <row r="167" spans="1:15" x14ac:dyDescent="0.25">
      <c r="A167" t="s">
        <v>27</v>
      </c>
      <c r="B167" t="str">
        <f>IF(O161="","",IF($B$2&lt;$N$3,"",IF(AND(O159="Cadre",O161&gt;=2,O160&gt;=35),3,IF(AND(H159="Cadre",O161&gt;=1,O160&gt;=30),2,IF(AND(H160="Mensualisation",O161&gt;=20),3,IF(AND(O160="Mensualisation",O161&lt;20,O161&gt;14),2,IF(AND(H160="Mensualisation",O161&gt;9,O161&lt;15),1,"")))))))</f>
        <v/>
      </c>
      <c r="O167" t="str">
        <f t="shared" si="28"/>
        <v/>
      </c>
    </row>
    <row r="168" spans="1:15" x14ac:dyDescent="0.25">
      <c r="A168" t="s">
        <v>26</v>
      </c>
      <c r="B168" t="str">
        <f>IF(N161="","",IF(AND(H159="Cadre",N161&gt;=2,N160&gt;=35),3,IF(AND(H159="Cadre",N161&gt;=1,N160&gt;=30),2,IF(AND(H160="Mensualisation",N161&gt;=20),3,IF(AND(H160="Mensualisation",N161&lt;20,N161&gt;14),2,IF(AND(H160="Mensualisation",N161&gt;9,N161&lt;15),1,""))))))</f>
        <v/>
      </c>
      <c r="O168" t="str">
        <f t="shared" si="28"/>
        <v/>
      </c>
    </row>
    <row r="169" spans="1:15" x14ac:dyDescent="0.25">
      <c r="A169" t="s">
        <v>92</v>
      </c>
      <c r="O169" t="str">
        <f t="shared" si="28"/>
        <v/>
      </c>
    </row>
    <row r="170" spans="1:15" x14ac:dyDescent="0.25">
      <c r="A170" t="s">
        <v>51</v>
      </c>
      <c r="O170" t="str">
        <f t="shared" si="28"/>
        <v/>
      </c>
    </row>
    <row r="171" spans="1:15" x14ac:dyDescent="0.25">
      <c r="A171" t="str">
        <f>IF(H159="Cadre","RTT","")</f>
        <v/>
      </c>
      <c r="B171" t="str">
        <f>IF(H159="Cadre",Variables!$C$89,"")</f>
        <v/>
      </c>
      <c r="O171" t="str">
        <f t="shared" si="28"/>
        <v/>
      </c>
    </row>
    <row r="172" spans="1:15" x14ac:dyDescent="0.25">
      <c r="A172" s="14" t="s">
        <v>108</v>
      </c>
      <c r="B172" s="14"/>
      <c r="C172" s="14"/>
      <c r="D172" s="14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3">
        <f>SUBTOTAL(109,O164:O171)</f>
        <v>24</v>
      </c>
    </row>
    <row r="173" spans="1:15" x14ac:dyDescent="0.25">
      <c r="A173" s="44" t="str">
        <f>IF(H159="Cadre","Jours ouvrés","")</f>
        <v/>
      </c>
      <c r="B173" s="44" t="str">
        <f>IF(SUM(C173:N173)=0,"",SUM(C173:N173))</f>
        <v/>
      </c>
      <c r="C173" s="44" t="str">
        <f>IF(H159="Cadre",NETWORKDAYS(Variables!$B$49,Variables!$C$49,Variables!$D$49:$D$60),"")</f>
        <v/>
      </c>
      <c r="D173" s="44" t="str">
        <f>IF(H159="Cadre",NETWORKDAYS(Variables!$B$50,Variables!$C$50,Variables!$D$49:$D$60),"")</f>
        <v/>
      </c>
      <c r="E173" s="44" t="str">
        <f>IF(H159="Cadre",NETWORKDAYS(Variables!$B$51,Variables!$C$51,Variables!$D$49:$D$60),"")</f>
        <v/>
      </c>
      <c r="F173" s="44" t="str">
        <f>IF(H159="Cadre",NETWORKDAYS(Variables!$B$52,Variables!$C$52,Variables!$D$49:$D$60),"")</f>
        <v/>
      </c>
      <c r="G173" s="44" t="str">
        <f>IF(H159="Cadre",NETWORKDAYS(Variables!$B$53,Variables!$C$53,Variables!$D$49:$D$60),"")</f>
        <v/>
      </c>
      <c r="H173" s="44" t="str">
        <f>IF(H159="Cadre",NETWORKDAYS(Variables!$B$54,Variables!$C$54,Variables!$D$49:$D$60),"")</f>
        <v/>
      </c>
      <c r="I173" s="44" t="str">
        <f>IF(H159="Cadre",NETWORKDAYS(Variables!$B$55,Variables!$C$55,Variables!$D$49:$D$60),"")</f>
        <v/>
      </c>
      <c r="J173" s="44" t="str">
        <f>IF(H159="Cadre",NETWORKDAYS(Variables!$B$56,Variables!$C$56,Variables!$D$49:$D$60),"")</f>
        <v/>
      </c>
      <c r="K173" s="44" t="str">
        <f>IF(H159="Cadre",NETWORKDAYS(Variables!$B$57,Variables!$C$57,Variables!$D$49:$D$60),"")</f>
        <v/>
      </c>
      <c r="L173" s="44" t="str">
        <f>IF(H159="Cadre",NETWORKDAYS(Variables!$B$58,Variables!$C$58,Variables!$D$49:$D$60),"")</f>
        <v/>
      </c>
      <c r="M173" s="44" t="str">
        <f>IF(H159="Cadre",NETWORKDAYS(Variables!$B$59,Variables!$C$59,Variables!$D$49:$D$60),"")</f>
        <v/>
      </c>
      <c r="N173" s="44" t="str">
        <f>IF(H159="Cadre",NETWORKDAYS(Variables!$B$60,Variables!$C$60,Variables!$D$49:$D$60),"")</f>
        <v/>
      </c>
      <c r="O173" s="44" t="str">
        <f>IF(SUM(C173:N173)=0,"",SUM(C173:N173))</f>
        <v/>
      </c>
    </row>
    <row r="174" spans="1:15" x14ac:dyDescent="0.25">
      <c r="A174" s="44" t="str">
        <f>IF(H159="Cadre","Jours travaillés","")</f>
        <v/>
      </c>
      <c r="B174" s="44"/>
      <c r="C174" s="44" t="str">
        <f t="shared" ref="C174:N174" si="29">IF(C173="","",C173-SUM(C165:C171))</f>
        <v/>
      </c>
      <c r="D174" s="44" t="str">
        <f t="shared" si="29"/>
        <v/>
      </c>
      <c r="E174" s="44" t="str">
        <f t="shared" si="29"/>
        <v/>
      </c>
      <c r="F174" s="44" t="str">
        <f t="shared" si="29"/>
        <v/>
      </c>
      <c r="G174" s="44" t="str">
        <f t="shared" si="29"/>
        <v/>
      </c>
      <c r="H174" s="44" t="str">
        <f t="shared" si="29"/>
        <v/>
      </c>
      <c r="I174" s="44" t="str">
        <f t="shared" si="29"/>
        <v/>
      </c>
      <c r="J174" s="44" t="str">
        <f t="shared" si="29"/>
        <v/>
      </c>
      <c r="K174" s="44" t="str">
        <f t="shared" si="29"/>
        <v/>
      </c>
      <c r="L174" s="44" t="str">
        <f t="shared" si="29"/>
        <v/>
      </c>
      <c r="M174" s="44" t="str">
        <f t="shared" si="29"/>
        <v/>
      </c>
      <c r="N174" s="44" t="str">
        <f t="shared" si="29"/>
        <v/>
      </c>
      <c r="O174" s="44" t="str">
        <f>IF(SUM(C174:N174)=0,"",SUM(C174:N174))</f>
        <v/>
      </c>
    </row>
    <row r="175" spans="1:15" ht="15" customHeight="1" x14ac:dyDescent="0.25">
      <c r="A175" s="45" t="str">
        <f>IF(H159="Cadre","Solde jours restants à travailler","")</f>
        <v/>
      </c>
      <c r="B175" s="44" t="str">
        <f>IF(H159="Cadre",Variables!$C$99-SUM(B165:B171),"")</f>
        <v/>
      </c>
      <c r="C175" s="44" t="str">
        <f t="shared" ref="C175:N175" si="30">IF(ISERROR(B175-C174),"",B175-C174)</f>
        <v/>
      </c>
      <c r="D175" s="44" t="str">
        <f t="shared" si="30"/>
        <v/>
      </c>
      <c r="E175" s="44" t="str">
        <f t="shared" si="30"/>
        <v/>
      </c>
      <c r="F175" s="44" t="str">
        <f t="shared" si="30"/>
        <v/>
      </c>
      <c r="G175" s="44" t="str">
        <f t="shared" si="30"/>
        <v/>
      </c>
      <c r="H175" s="44" t="str">
        <f t="shared" si="30"/>
        <v/>
      </c>
      <c r="I175" s="44" t="str">
        <f t="shared" si="30"/>
        <v/>
      </c>
      <c r="J175" s="44" t="str">
        <f t="shared" si="30"/>
        <v/>
      </c>
      <c r="K175" s="44" t="str">
        <f t="shared" si="30"/>
        <v/>
      </c>
      <c r="L175" s="44" t="str">
        <f t="shared" si="30"/>
        <v/>
      </c>
      <c r="M175" s="44" t="str">
        <f t="shared" si="30"/>
        <v/>
      </c>
      <c r="N175" s="44" t="str">
        <f t="shared" si="30"/>
        <v/>
      </c>
      <c r="O175" s="44" t="str">
        <f>IF(ISERROR(N175),"",N175)</f>
        <v/>
      </c>
    </row>
  </sheetData>
  <mergeCells count="14">
    <mergeCell ref="B2:C2"/>
    <mergeCell ref="J1:L1"/>
    <mergeCell ref="N5:O5"/>
    <mergeCell ref="J4:K4"/>
    <mergeCell ref="J5:K5"/>
    <mergeCell ref="L3:M3"/>
    <mergeCell ref="L4:M4"/>
    <mergeCell ref="L5:M5"/>
    <mergeCell ref="J3:K3"/>
    <mergeCell ref="J2:K2"/>
    <mergeCell ref="L2:M2"/>
    <mergeCell ref="N2:O2"/>
    <mergeCell ref="N3:O3"/>
    <mergeCell ref="N4:O4"/>
  </mergeCells>
  <printOptions horizontalCentered="1"/>
  <pageMargins left="0.51181102362204722" right="0.51181102362204722" top="0.51181102362204722" bottom="0.39370078740157483" header="0.31496062992125984" footer="0.31496062992125984"/>
  <pageSetup paperSize="9" scale="65" fitToHeight="3" orientation="portrait" r:id="rId1"/>
  <headerFooter>
    <oddHeader>&amp;L&amp;"-,Gras"&amp;14ÉTAT DES CONGÉS DU SERVICE :&amp;R&amp;"-,Italique"&amp;8Impression le &amp;D</oddHeader>
  </headerFooter>
  <rowBreaks count="1" manualBreakCount="1">
    <brk id="63" max="16383" man="1"/>
  </rowBreaks>
  <legacyDrawing r:id="rId2"/>
  <tableParts count="9"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>
          <x14:formula1>
            <xm:f>Variables!$B$26:$B$45</xm:f>
          </x14:formula1>
          <xm:sqref>A1</xm:sqref>
        </x14:dataValidation>
        <x14:dataValidation type="list" allowBlank="1" showInputMessage="1">
          <x14:formula1>
            <xm:f>Variables!$B$8:$B$24</xm:f>
          </x14:formula1>
          <xm:sqref>A12:A14 A31:A33 A50:A52 A69:A71 A107:A109 A145:A147 A164:A166 A88:A90 A126:A128</xm:sqref>
        </x14:dataValidation>
        <x14:dataValidation type="list" allowBlank="1" showInputMessage="1">
          <x14:formula1>
            <xm:f>Variables!$B$10:$B$24</xm:f>
          </x14:formula1>
          <xm:sqref>J2:O2</xm:sqref>
        </x14:dataValidation>
        <x14:dataValidation type="list" allowBlank="1" showInputMessage="1">
          <x14:formula1>
            <xm:f>Variables!$C$8:$C$24</xm:f>
          </x14:formula1>
          <xm:sqref>A15:A16 A34:A35 A53:A54 A72:A73 A110:A111 A148:A149 A167:A168 A91:A92 A129:A130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O42"/>
  <sheetViews>
    <sheetView tabSelected="1" zoomScaleNormal="100" workbookViewId="0">
      <selection activeCell="B45" sqref="B45"/>
    </sheetView>
  </sheetViews>
  <sheetFormatPr baseColWidth="10" defaultRowHeight="15" x14ac:dyDescent="0.25"/>
  <cols>
    <col min="1" max="1" width="23.42578125" customWidth="1"/>
    <col min="2" max="2" width="9" customWidth="1"/>
    <col min="3" max="15" width="8.28515625" customWidth="1"/>
  </cols>
  <sheetData>
    <row r="1" spans="1:15" ht="18.75" x14ac:dyDescent="0.3">
      <c r="A1" s="1" t="s">
        <v>4</v>
      </c>
      <c r="I1" s="7"/>
      <c r="J1" s="53" t="s">
        <v>56</v>
      </c>
      <c r="K1" s="53"/>
      <c r="L1" s="53"/>
    </row>
    <row r="2" spans="1:15" ht="15" customHeight="1" x14ac:dyDescent="0.25">
      <c r="A2" s="5" t="s">
        <v>12</v>
      </c>
      <c r="B2" s="57">
        <f>SG!B2</f>
        <v>42155</v>
      </c>
      <c r="C2" s="57"/>
      <c r="I2" s="7"/>
      <c r="J2" s="56" t="s">
        <v>14</v>
      </c>
      <c r="K2" s="56"/>
      <c r="L2" s="56" t="s">
        <v>15</v>
      </c>
      <c r="M2" s="56"/>
      <c r="N2" s="56" t="s">
        <v>16</v>
      </c>
      <c r="O2" s="56"/>
    </row>
    <row r="3" spans="1:15" x14ac:dyDescent="0.25">
      <c r="I3" s="7" t="s">
        <v>48</v>
      </c>
      <c r="J3" s="55">
        <f>(IFERROR(VLOOKUP(J2,Variables!B8:E24,3),""))</f>
        <v>41426</v>
      </c>
      <c r="K3" s="55"/>
      <c r="L3" s="55">
        <f>(IFERROR(VLOOKUP(L2,Variables!B8:E24,3),""))</f>
        <v>41791</v>
      </c>
      <c r="M3" s="55"/>
      <c r="N3" s="55">
        <f>(IFERROR(VLOOKUP(N2,Variables!B8:E24,3),""))</f>
        <v>42156</v>
      </c>
      <c r="O3" s="55"/>
    </row>
    <row r="4" spans="1:15" x14ac:dyDescent="0.25">
      <c r="I4" s="7" t="s">
        <v>47</v>
      </c>
      <c r="J4" s="55">
        <f>(IFERROR(VLOOKUP(J2,Variables!B8:E24,4),""))</f>
        <v>41790</v>
      </c>
      <c r="K4" s="55"/>
      <c r="L4" s="55">
        <f>(IFERROR(VLOOKUP(L2,Variables!B8:E24,4),""))</f>
        <v>42155</v>
      </c>
      <c r="M4" s="55"/>
      <c r="N4" s="55">
        <f>(IFERROR(VLOOKUP(N2,Variables!B8:E24,4),""))</f>
        <v>42521</v>
      </c>
      <c r="O4" s="55"/>
    </row>
    <row r="5" spans="1:15" x14ac:dyDescent="0.25">
      <c r="I5" s="7" t="s">
        <v>54</v>
      </c>
      <c r="J5" s="54">
        <f>IF(B2&gt;J4,12,(IFERROR(ROUNDUP(MONTH($B$2-J3),1),"")))</f>
        <v>12</v>
      </c>
      <c r="K5" s="54"/>
      <c r="L5" s="54">
        <f>IF(B2&gt;L4,12,(IFERROR(ROUNDUP(MONTH($B$2-L3),1),"")))</f>
        <v>12</v>
      </c>
      <c r="M5" s="54"/>
      <c r="N5" s="54" t="str">
        <f>IF(B2&gt;N4,12,(IFERROR(ROUNDUP(MONTH($B$2-N3),1),"0")))</f>
        <v>0</v>
      </c>
      <c r="O5" s="54"/>
    </row>
    <row r="6" spans="1:15" x14ac:dyDescent="0.25">
      <c r="I6" s="7"/>
      <c r="J6" s="47"/>
      <c r="K6" s="47"/>
      <c r="L6" s="47"/>
      <c r="M6" s="47"/>
      <c r="N6" s="47"/>
      <c r="O6" s="47"/>
    </row>
    <row r="7" spans="1:15" x14ac:dyDescent="0.25">
      <c r="A7" s="18" t="s">
        <v>113</v>
      </c>
      <c r="G7" s="7" t="s">
        <v>36</v>
      </c>
      <c r="H7" t="str">
        <f>IFERROR(VLOOKUP(A7,'BDD Salariés'!$1:$1048576,4,FALSE),"")</f>
        <v xml:space="preserve"> Cadre </v>
      </c>
      <c r="J7" s="41" t="s">
        <v>61</v>
      </c>
      <c r="K7" s="42"/>
      <c r="L7" s="19" t="s">
        <v>76</v>
      </c>
      <c r="M7" s="19" t="s">
        <v>77</v>
      </c>
      <c r="N7" s="19" t="s">
        <v>78</v>
      </c>
      <c r="O7" s="19" t="s">
        <v>79</v>
      </c>
    </row>
    <row r="8" spans="1:15" x14ac:dyDescent="0.25">
      <c r="A8" s="10" t="str">
        <f>IFERROR(VLOOKUP(A7,'BDD Salariés'!$1:$1048576,2,FALSE),"")</f>
        <v>Al</v>
      </c>
      <c r="G8" s="7" t="s">
        <v>59</v>
      </c>
      <c r="H8" t="str">
        <f>IF(H7="Cadre","Forfait Jours","Mensualisation")</f>
        <v>Mensualisation</v>
      </c>
      <c r="J8" s="41" t="s">
        <v>58</v>
      </c>
      <c r="K8" s="42"/>
      <c r="L8" s="19">
        <f>IFERROR(VLOOKUP(A7,'BDD Salariés'!$1:$1048576,6,FALSE),"")</f>
        <v>57</v>
      </c>
      <c r="M8" s="19">
        <f>IFERROR(VLOOKUP(A7,'BDD Salariés'!$1:$1048576,7,FALSE),"")</f>
        <v>58</v>
      </c>
      <c r="N8" s="19">
        <f>IFERROR(VLOOKUP(A7,'BDD Salariés'!$1:$1048576,8,FALSE),"")</f>
        <v>59</v>
      </c>
      <c r="O8" s="19">
        <f>IFERROR(VLOOKUP(A7,'BDD Salariés'!$1:$1048576,9,FALSE),"")</f>
        <v>60</v>
      </c>
    </row>
    <row r="9" spans="1:15" x14ac:dyDescent="0.25">
      <c r="A9" s="43" t="s">
        <v>80</v>
      </c>
      <c r="G9" s="7" t="str">
        <f>IF(H7="Cadre","Base forfaitaire en jours","")</f>
        <v/>
      </c>
      <c r="H9" s="10" t="str">
        <f>IF(H7="Cadre","218","")</f>
        <v/>
      </c>
      <c r="J9" s="41" t="s">
        <v>109</v>
      </c>
      <c r="K9" s="42"/>
      <c r="L9" s="19">
        <f>IFERROR(VLOOKUP(A7,'BDD Salariés'!$1:$1048576,13,FALSE),"")</f>
        <v>24</v>
      </c>
      <c r="M9" s="19">
        <f>IFERROR(VLOOKUP(A7,'BDD Salariés'!$1:$1048576,14,FALSE),"")</f>
        <v>25</v>
      </c>
      <c r="N9" s="19">
        <f>IFERROR(VLOOKUP(A7,'BDD Salariés'!$1:$1048576,15,FALSE),"")</f>
        <v>26</v>
      </c>
      <c r="O9" s="19">
        <f>IFERROR(VLOOKUP(A7,'BDD Salariés'!$1:$1048576,16,FALSE),"")</f>
        <v>27</v>
      </c>
    </row>
    <row r="10" spans="1:15" x14ac:dyDescent="0.25">
      <c r="A10" s="39" t="str">
        <f>IFERROR(VLOOKUP(A7,'BDD Salariés'!$1:$1048576,5,FALSE),"")</f>
        <v>18/04/1988</v>
      </c>
      <c r="G10" s="7" t="str">
        <f>IF(H7="Cadre","Après déduction reliquat 12/2003","")</f>
        <v/>
      </c>
      <c r="H10" s="10" t="str">
        <f>IF(H7="Cadre",H9-B18,"")</f>
        <v/>
      </c>
      <c r="J10" s="40" t="s">
        <v>110</v>
      </c>
    </row>
    <row r="11" spans="1:15" x14ac:dyDescent="0.25">
      <c r="A11" s="12" t="s">
        <v>57</v>
      </c>
      <c r="B11" t="s">
        <v>49</v>
      </c>
      <c r="C11" t="s">
        <v>81</v>
      </c>
      <c r="D11" t="s">
        <v>82</v>
      </c>
      <c r="E11" t="s">
        <v>83</v>
      </c>
      <c r="F11" t="s">
        <v>84</v>
      </c>
      <c r="G11" t="s">
        <v>50</v>
      </c>
      <c r="H11" t="s">
        <v>86</v>
      </c>
      <c r="I11" s="20" t="s">
        <v>85</v>
      </c>
      <c r="J11" t="s">
        <v>87</v>
      </c>
      <c r="K11" t="s">
        <v>88</v>
      </c>
      <c r="L11" t="s">
        <v>89</v>
      </c>
      <c r="M11" t="s">
        <v>90</v>
      </c>
      <c r="N11" t="s">
        <v>91</v>
      </c>
      <c r="O11" t="s">
        <v>55</v>
      </c>
    </row>
    <row r="12" spans="1:15" x14ac:dyDescent="0.25">
      <c r="A12" t="s">
        <v>16</v>
      </c>
      <c r="B12" t="str">
        <f>IF($N$5="0","",IF(($N$5*2.08)&gt;24.5,25,ROUNDDOWN($N$5*2.08,0)))</f>
        <v/>
      </c>
      <c r="O12" t="str">
        <f t="shared" ref="O12:O19" si="0">IF(B12="","",B12-SUM(C12:N12))</f>
        <v/>
      </c>
    </row>
    <row r="13" spans="1:15" x14ac:dyDescent="0.25">
      <c r="A13" t="s">
        <v>15</v>
      </c>
      <c r="B13">
        <f>IF($L$5="","",IF(($L$5*2.08)&gt;24.5,25,ROUNDDOWN($L$5*2.08,0)))</f>
        <v>25</v>
      </c>
      <c r="O13">
        <f t="shared" si="0"/>
        <v>25</v>
      </c>
    </row>
    <row r="14" spans="1:15" x14ac:dyDescent="0.25">
      <c r="A14" t="s">
        <v>14</v>
      </c>
      <c r="B14">
        <v>21</v>
      </c>
      <c r="O14">
        <f t="shared" si="0"/>
        <v>21</v>
      </c>
    </row>
    <row r="15" spans="1:15" x14ac:dyDescent="0.25">
      <c r="A15" t="s">
        <v>27</v>
      </c>
      <c r="B15" t="str">
        <f>IF(O9="","",IF($B$2&lt;$N$3,"",IF(AND(H7="Cadre",O9&gt;=2,O8&gt;=35),3,IF(AND(H7="Cadre",O9&gt;=1,O8&gt;=30),2,IF(AND(H8="Mensualisation",O9&gt;=20),3,IF(AND(O8="Mensualisation",O9&lt;20,O9&gt;14),2,IF(AND(H8="Mensualisation",O9&gt;9,O9&lt;15),1,"")))))))</f>
        <v/>
      </c>
      <c r="O15" t="str">
        <f t="shared" si="0"/>
        <v/>
      </c>
    </row>
    <row r="16" spans="1:15" x14ac:dyDescent="0.25">
      <c r="A16" t="s">
        <v>26</v>
      </c>
      <c r="B16">
        <f>IF(N9="","",IF(AND(H7="Cadre",N9&gt;=2,N8&gt;=35),3,IF(AND(H7="Cadre",N9&gt;=1,N8&gt;=30),2,IF(AND(H8="Mensualisation",N9&gt;=20),3,IF(AND(H8="Mensualisation",N9&lt;20,N9&gt;14),2,IF(AND(H8="Mensualisation",N9&gt;9,N9&lt;15),1,""))))))</f>
        <v>3</v>
      </c>
      <c r="O16">
        <f t="shared" si="0"/>
        <v>3</v>
      </c>
    </row>
    <row r="17" spans="1:15" x14ac:dyDescent="0.25">
      <c r="A17" t="s">
        <v>92</v>
      </c>
      <c r="O17" t="str">
        <f t="shared" si="0"/>
        <v/>
      </c>
    </row>
    <row r="18" spans="1:15" x14ac:dyDescent="0.25">
      <c r="A18" t="s">
        <v>51</v>
      </c>
      <c r="O18" t="str">
        <f t="shared" si="0"/>
        <v/>
      </c>
    </row>
    <row r="19" spans="1:15" x14ac:dyDescent="0.25">
      <c r="A19" t="str">
        <f>IF(H7="Cadre","RTT","")</f>
        <v/>
      </c>
      <c r="B19" t="str">
        <f>IF(H7="Cadre",Variables!$C$89,"")</f>
        <v/>
      </c>
      <c r="O19" t="str">
        <f t="shared" si="0"/>
        <v/>
      </c>
    </row>
    <row r="20" spans="1:15" x14ac:dyDescent="0.25">
      <c r="A20" s="14" t="s">
        <v>108</v>
      </c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3">
        <f>SUBTOTAL(109,O12:O19)</f>
        <v>49</v>
      </c>
    </row>
    <row r="21" spans="1:15" x14ac:dyDescent="0.25">
      <c r="A21" s="44" t="str">
        <f>IF(H7="Cadre","Jours ouvrés","")</f>
        <v/>
      </c>
      <c r="B21" s="44" t="str">
        <f>IF(SUM(C21:N21)=0,"",SUM(C21:N21))</f>
        <v/>
      </c>
      <c r="C21" s="44" t="str">
        <f>IF(H7="Cadre",NETWORKDAYS(Variables!$B$49,Variables!$C$49,Variables!$D$49:$D$60),"")</f>
        <v/>
      </c>
      <c r="D21" s="44" t="str">
        <f>IF(H7="Cadre",NETWORKDAYS(Variables!$B$50,Variables!$C$50,Variables!$D$49:$D$60),"")</f>
        <v/>
      </c>
      <c r="E21" s="44" t="str">
        <f>IF(H7="Cadre",NETWORKDAYS(Variables!$B$51,Variables!$C$51,Variables!$D$49:$D$60),"")</f>
        <v/>
      </c>
      <c r="F21" s="44" t="str">
        <f>IF(H7="Cadre",NETWORKDAYS(Variables!$B$52,Variables!$C$52,Variables!$D$49:$D$60),"")</f>
        <v/>
      </c>
      <c r="G21" s="44" t="str">
        <f>IF(H7="Cadre",NETWORKDAYS(Variables!$B$53,Variables!$C$53,Variables!$D$49:$D$60),"")</f>
        <v/>
      </c>
      <c r="H21" s="44" t="str">
        <f>IF(H7="Cadre",NETWORKDAYS(Variables!$B$54,Variables!$C$54,Variables!$D$49:$D$60),"")</f>
        <v/>
      </c>
      <c r="I21" s="44" t="str">
        <f>IF(H7="Cadre",NETWORKDAYS(Variables!$B$55,Variables!$C$55,Variables!$D$49:$D$60),"")</f>
        <v/>
      </c>
      <c r="J21" s="44" t="str">
        <f>IF(H7="Cadre",NETWORKDAYS(Variables!$B$56,Variables!$C$56,Variables!$D$49:$D$60),"")</f>
        <v/>
      </c>
      <c r="K21" s="44" t="str">
        <f>IF(H7="Cadre",NETWORKDAYS(Variables!$B$57,Variables!$C$57,Variables!$D$49:$D$60),"")</f>
        <v/>
      </c>
      <c r="L21" s="44" t="str">
        <f>IF(H7="Cadre",NETWORKDAYS(Variables!$B$58,Variables!$C$58,Variables!$D$49:$D$60),"")</f>
        <v/>
      </c>
      <c r="M21" s="44" t="str">
        <f>IF(H7="Cadre",NETWORKDAYS(Variables!$B$59,Variables!$C$59,Variables!$D$49:$D$60),"")</f>
        <v/>
      </c>
      <c r="N21" s="44" t="str">
        <f>IF(H7="Cadre",NETWORKDAYS(Variables!$B$60,Variables!$C$60,Variables!$D$49:$D$60),"")</f>
        <v/>
      </c>
      <c r="O21" s="44" t="str">
        <f>IF(SUM(C21:N21)=0,"",SUM(C21:N21))</f>
        <v/>
      </c>
    </row>
    <row r="22" spans="1:15" x14ac:dyDescent="0.25">
      <c r="A22" s="44" t="str">
        <f>IF(H7="Cadre","Jours travaillés","")</f>
        <v/>
      </c>
      <c r="B22" s="44"/>
      <c r="C22" s="44" t="str">
        <f t="shared" ref="C22:N22" si="1">IF(C21="","",C21-SUM(C13:C19))</f>
        <v/>
      </c>
      <c r="D22" s="44" t="str">
        <f t="shared" si="1"/>
        <v/>
      </c>
      <c r="E22" s="44" t="str">
        <f t="shared" si="1"/>
        <v/>
      </c>
      <c r="F22" s="44" t="str">
        <f t="shared" si="1"/>
        <v/>
      </c>
      <c r="G22" s="44" t="str">
        <f t="shared" si="1"/>
        <v/>
      </c>
      <c r="H22" s="44" t="str">
        <f t="shared" si="1"/>
        <v/>
      </c>
      <c r="I22" s="44" t="str">
        <f t="shared" si="1"/>
        <v/>
      </c>
      <c r="J22" s="44" t="str">
        <f t="shared" si="1"/>
        <v/>
      </c>
      <c r="K22" s="44" t="str">
        <f t="shared" si="1"/>
        <v/>
      </c>
      <c r="L22" s="44" t="str">
        <f t="shared" si="1"/>
        <v/>
      </c>
      <c r="M22" s="44" t="str">
        <f t="shared" si="1"/>
        <v/>
      </c>
      <c r="N22" s="44" t="str">
        <f t="shared" si="1"/>
        <v/>
      </c>
      <c r="O22" s="44" t="str">
        <f>IF(SUM(C22:N22)=0,"",SUM(C22:N22))</f>
        <v/>
      </c>
    </row>
    <row r="23" spans="1:15" ht="15" customHeight="1" x14ac:dyDescent="0.25">
      <c r="A23" s="45" t="str">
        <f>IF(H7="Cadre","Solde jours restants à travailler","")</f>
        <v/>
      </c>
      <c r="B23" s="44" t="str">
        <f>IF(H7="Cadre",Variables!$C$99-SUM(B13:B19),"")</f>
        <v/>
      </c>
      <c r="C23" s="44" t="str">
        <f t="shared" ref="C23:N23" si="2">IF(ISERROR(B23-C22),"",B23-C22)</f>
        <v/>
      </c>
      <c r="D23" s="44" t="str">
        <f t="shared" si="2"/>
        <v/>
      </c>
      <c r="E23" s="44" t="str">
        <f t="shared" si="2"/>
        <v/>
      </c>
      <c r="F23" s="44" t="str">
        <f t="shared" si="2"/>
        <v/>
      </c>
      <c r="G23" s="44" t="str">
        <f t="shared" si="2"/>
        <v/>
      </c>
      <c r="H23" s="44" t="str">
        <f t="shared" si="2"/>
        <v/>
      </c>
      <c r="I23" s="44" t="str">
        <f t="shared" si="2"/>
        <v/>
      </c>
      <c r="J23" s="44" t="str">
        <f t="shared" si="2"/>
        <v/>
      </c>
      <c r="K23" s="44" t="str">
        <f t="shared" si="2"/>
        <v/>
      </c>
      <c r="L23" s="44" t="str">
        <f t="shared" si="2"/>
        <v/>
      </c>
      <c r="M23" s="44" t="str">
        <f t="shared" si="2"/>
        <v/>
      </c>
      <c r="N23" s="44" t="str">
        <f t="shared" si="2"/>
        <v/>
      </c>
      <c r="O23" s="44" t="str">
        <f>IF(ISERROR(N23),"",N23)</f>
        <v/>
      </c>
    </row>
    <row r="26" spans="1:15" x14ac:dyDescent="0.25">
      <c r="A26" s="18" t="s">
        <v>115</v>
      </c>
      <c r="G26" s="7" t="s">
        <v>36</v>
      </c>
      <c r="H26" t="str">
        <f>IFERROR(VLOOKUP(A26,'BDD Salariés'!$1:$1048576,4,FALSE),"")</f>
        <v>Technicien</v>
      </c>
      <c r="J26" s="41" t="s">
        <v>61</v>
      </c>
      <c r="K26" s="42"/>
      <c r="L26" s="19" t="s">
        <v>76</v>
      </c>
      <c r="M26" s="19" t="s">
        <v>77</v>
      </c>
      <c r="N26" s="19" t="s">
        <v>78</v>
      </c>
      <c r="O26" s="19" t="s">
        <v>79</v>
      </c>
    </row>
    <row r="27" spans="1:15" x14ac:dyDescent="0.25">
      <c r="A27" s="10" t="str">
        <f>IFERROR(VLOOKUP(A26,'BDD Salariés'!$1:$1048576,2,FALSE),"")</f>
        <v>Fred</v>
      </c>
      <c r="G27" s="7" t="s">
        <v>59</v>
      </c>
      <c r="H27" t="str">
        <f>IF(H26="Cadre","Forfait Jours","Mensualisation")</f>
        <v>Mensualisation</v>
      </c>
      <c r="J27" s="41" t="s">
        <v>58</v>
      </c>
      <c r="K27" s="42"/>
      <c r="L27" s="19">
        <f>IFERROR(VLOOKUP(A26,'BDD Salariés'!$1:$1048576,6,FALSE),"")</f>
        <v>52</v>
      </c>
      <c r="M27" s="19">
        <f>IFERROR(VLOOKUP(A26,'BDD Salariés'!$1:$1048576,7,FALSE),"")</f>
        <v>53</v>
      </c>
      <c r="N27" s="19">
        <f>IFERROR(VLOOKUP(A26,'BDD Salariés'!$1:$1048576,8,FALSE),"")</f>
        <v>54</v>
      </c>
      <c r="O27" s="19">
        <f>IFERROR(VLOOKUP(A26,'BDD Salariés'!$1:$1048576,9,FALSE),"")</f>
        <v>55</v>
      </c>
    </row>
    <row r="28" spans="1:15" x14ac:dyDescent="0.25">
      <c r="A28" s="43" t="s">
        <v>80</v>
      </c>
      <c r="G28" s="7" t="str">
        <f>IF(H26="Cadre","Base forfaitaire en jours","")</f>
        <v/>
      </c>
      <c r="H28" s="10" t="str">
        <f>IF(H26="Cadre","218","")</f>
        <v/>
      </c>
      <c r="J28" s="41" t="s">
        <v>109</v>
      </c>
      <c r="K28" s="42"/>
      <c r="L28" s="19">
        <f>IFERROR(VLOOKUP(A26,'BDD Salariés'!$1:$1048576,13,FALSE),"")</f>
        <v>15</v>
      </c>
      <c r="M28" s="19">
        <f>IFERROR(VLOOKUP(A26,'BDD Salariés'!$1:$1048576,14,FALSE),"")</f>
        <v>16</v>
      </c>
      <c r="N28" s="19">
        <f>IFERROR(VLOOKUP(A26,'BDD Salariés'!$1:$1048576,15,FALSE),"")</f>
        <v>17</v>
      </c>
      <c r="O28" s="19">
        <f>IFERROR(VLOOKUP(A26,'BDD Salariés'!$1:$1048576,16,FALSE),"")</f>
        <v>18</v>
      </c>
    </row>
    <row r="29" spans="1:15" x14ac:dyDescent="0.25">
      <c r="A29" s="39" t="str">
        <f>IFERROR(VLOOKUP(A26,'BDD Salariés'!$1:$1048576,5,FALSE),"")</f>
        <v>14/04/1997</v>
      </c>
      <c r="G29" s="7" t="str">
        <f>IF(H26="Cadre","Après déduction reliquat 12/2003","")</f>
        <v/>
      </c>
      <c r="H29" s="10" t="str">
        <f>IF(H26="Cadre",H28-B37,"")</f>
        <v/>
      </c>
      <c r="J29" s="40" t="s">
        <v>110</v>
      </c>
    </row>
    <row r="30" spans="1:15" x14ac:dyDescent="0.25">
      <c r="A30" s="12" t="s">
        <v>57</v>
      </c>
      <c r="B30" t="s">
        <v>49</v>
      </c>
      <c r="C30" t="s">
        <v>81</v>
      </c>
      <c r="D30" t="s">
        <v>82</v>
      </c>
      <c r="E30" t="s">
        <v>83</v>
      </c>
      <c r="F30" t="s">
        <v>84</v>
      </c>
      <c r="G30" t="s">
        <v>50</v>
      </c>
      <c r="H30" t="s">
        <v>86</v>
      </c>
      <c r="I30" s="20" t="s">
        <v>85</v>
      </c>
      <c r="J30" t="s">
        <v>87</v>
      </c>
      <c r="K30" t="s">
        <v>88</v>
      </c>
      <c r="L30" t="s">
        <v>89</v>
      </c>
      <c r="M30" t="s">
        <v>90</v>
      </c>
      <c r="N30" t="s">
        <v>91</v>
      </c>
      <c r="O30" t="s">
        <v>55</v>
      </c>
    </row>
    <row r="31" spans="1:15" x14ac:dyDescent="0.25">
      <c r="A31" t="s">
        <v>16</v>
      </c>
      <c r="B31" t="str">
        <f>IF($N$5="0","",IF(($N$5*2.08)&gt;24.5,25,ROUNDDOWN($N$5*2.08,0)))</f>
        <v/>
      </c>
      <c r="O31" t="str">
        <f t="shared" ref="O31:O38" si="3">IF(B31="","",B31-SUM(C31:N31))</f>
        <v/>
      </c>
    </row>
    <row r="32" spans="1:15" x14ac:dyDescent="0.25">
      <c r="A32" t="s">
        <v>15</v>
      </c>
      <c r="B32">
        <f>IF($L$5="","",IF(($L$5*2.08)&gt;24.5,25,ROUNDDOWN($L$5*2.08,0)))</f>
        <v>25</v>
      </c>
      <c r="G32">
        <v>2</v>
      </c>
      <c r="O32">
        <f t="shared" si="3"/>
        <v>23</v>
      </c>
    </row>
    <row r="33" spans="1:15" x14ac:dyDescent="0.25">
      <c r="A33" t="s">
        <v>14</v>
      </c>
      <c r="B33">
        <v>5.5</v>
      </c>
      <c r="C33">
        <v>1</v>
      </c>
      <c r="G33">
        <v>4.5</v>
      </c>
      <c r="O33">
        <f t="shared" si="3"/>
        <v>0</v>
      </c>
    </row>
    <row r="34" spans="1:15" x14ac:dyDescent="0.25">
      <c r="A34" t="s">
        <v>27</v>
      </c>
      <c r="B34" t="str">
        <f>IF(O28="","",IF($B$2&lt;$N$3,"",IF(AND(H26="Cadre",O28&gt;=2,O27&gt;=35),3,IF(AND(H26="Cadre",O28&gt;=1,O27&gt;=30),2,IF(AND(H27="Mensualisation",O28&gt;=20),3,IF(AND(O27="Mensualisation",O28&lt;20,O28&gt;14),2,IF(AND(H27="Mensualisation",O28&gt;9,O28&lt;15),1,"")))))))</f>
        <v/>
      </c>
      <c r="O34" t="str">
        <f t="shared" si="3"/>
        <v/>
      </c>
    </row>
    <row r="35" spans="1:15" x14ac:dyDescent="0.25">
      <c r="A35" t="s">
        <v>26</v>
      </c>
      <c r="B35">
        <f>IF(N28="","",IF(AND(H26="Cadre",N28&gt;=2,N27&gt;=35),3,IF(AND(H26="Cadre",N28&gt;=1,N27&gt;=30),2,IF(AND(H27="Mensualisation",N28&gt;=20),3,IF(AND(H27="Mensualisation",N28&lt;20,N28&gt;14),2,IF(AND(H27="Mensualisation",N28&gt;9,N28&lt;15),1,""))))))</f>
        <v>2</v>
      </c>
      <c r="O35">
        <f t="shared" si="3"/>
        <v>2</v>
      </c>
    </row>
    <row r="36" spans="1:15" x14ac:dyDescent="0.25">
      <c r="A36" t="s">
        <v>92</v>
      </c>
      <c r="B36">
        <v>2.5</v>
      </c>
      <c r="G36">
        <v>2.5</v>
      </c>
      <c r="O36">
        <f t="shared" si="3"/>
        <v>0</v>
      </c>
    </row>
    <row r="37" spans="1:15" x14ac:dyDescent="0.25">
      <c r="A37" t="s">
        <v>51</v>
      </c>
      <c r="O37" t="str">
        <f t="shared" si="3"/>
        <v/>
      </c>
    </row>
    <row r="38" spans="1:15" x14ac:dyDescent="0.25">
      <c r="A38" t="str">
        <f>IF(H26="Cadre","RTT","")</f>
        <v/>
      </c>
      <c r="B38" t="str">
        <f>IF(H26="Cadre",Variables!$C$89,"")</f>
        <v/>
      </c>
      <c r="O38" t="str">
        <f t="shared" si="3"/>
        <v/>
      </c>
    </row>
    <row r="39" spans="1:15" x14ac:dyDescent="0.25">
      <c r="A39" s="14" t="s">
        <v>108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3">
        <f>SUBTOTAL(109,O31:O38)</f>
        <v>25</v>
      </c>
    </row>
    <row r="40" spans="1:15" x14ac:dyDescent="0.25">
      <c r="A40" s="44" t="str">
        <f>IF(H26="Cadre","Jours ouvrés","")</f>
        <v/>
      </c>
      <c r="B40" s="44" t="str">
        <f>IF(SUM(C40:N40)=0,"",SUM(C40:N40))</f>
        <v/>
      </c>
      <c r="C40" s="44" t="str">
        <f>IF(H26="Cadre",NETWORKDAYS(Variables!$B$49,Variables!$C$49,Variables!$D$49:$D$60),"")</f>
        <v/>
      </c>
      <c r="D40" s="44" t="str">
        <f>IF(H26="Cadre",NETWORKDAYS(Variables!$B$50,Variables!$C$50,Variables!$D$49:$D$60),"")</f>
        <v/>
      </c>
      <c r="E40" s="44" t="str">
        <f>IF(H26="Cadre",NETWORKDAYS(Variables!$B$51,Variables!$C$51,Variables!$D$49:$D$60),"")</f>
        <v/>
      </c>
      <c r="F40" s="44" t="str">
        <f>IF(H26="Cadre",NETWORKDAYS(Variables!$B$52,Variables!$C$52,Variables!$D$49:$D$60),"")</f>
        <v/>
      </c>
      <c r="G40" s="44" t="str">
        <f>IF(H26="Cadre",NETWORKDAYS(Variables!$B$53,Variables!$C$53,Variables!$D$49:$D$60),"")</f>
        <v/>
      </c>
      <c r="H40" s="44" t="str">
        <f>IF(H26="Cadre",NETWORKDAYS(Variables!$B$54,Variables!$C$54,Variables!$D$49:$D$60),"")</f>
        <v/>
      </c>
      <c r="I40" s="44" t="str">
        <f>IF(H26="Cadre",NETWORKDAYS(Variables!$B$55,Variables!$C$55,Variables!$D$49:$D$60),"")</f>
        <v/>
      </c>
      <c r="J40" s="44" t="str">
        <f>IF(H26="Cadre",NETWORKDAYS(Variables!$B$56,Variables!$C$56,Variables!$D$49:$D$60),"")</f>
        <v/>
      </c>
      <c r="K40" s="44" t="str">
        <f>IF(H26="Cadre",NETWORKDAYS(Variables!$B$57,Variables!$C$57,Variables!$D$49:$D$60),"")</f>
        <v/>
      </c>
      <c r="L40" s="44" t="str">
        <f>IF(H26="Cadre",NETWORKDAYS(Variables!$B$58,Variables!$C$58,Variables!$D$49:$D$60),"")</f>
        <v/>
      </c>
      <c r="M40" s="44" t="str">
        <f>IF(H26="Cadre",NETWORKDAYS(Variables!$B$59,Variables!$C$59,Variables!$D$49:$D$60),"")</f>
        <v/>
      </c>
      <c r="N40" s="44" t="str">
        <f>IF(H26="Cadre",NETWORKDAYS(Variables!$B$60,Variables!$C$60,Variables!$D$49:$D$60),"")</f>
        <v/>
      </c>
      <c r="O40" s="44" t="str">
        <f>IF(SUM(C40:N40)=0,"",SUM(C40:N40))</f>
        <v/>
      </c>
    </row>
    <row r="41" spans="1:15" x14ac:dyDescent="0.25">
      <c r="A41" s="44" t="str">
        <f>IF(H26="Cadre","Jours travaillés","")</f>
        <v/>
      </c>
      <c r="B41" s="44"/>
      <c r="C41" s="44" t="str">
        <f t="shared" ref="C41:N41" si="4">IF(C40="","",C40-SUM(C32:C38))</f>
        <v/>
      </c>
      <c r="D41" s="44" t="str">
        <f t="shared" si="4"/>
        <v/>
      </c>
      <c r="E41" s="44" t="str">
        <f t="shared" si="4"/>
        <v/>
      </c>
      <c r="F41" s="44" t="str">
        <f t="shared" si="4"/>
        <v/>
      </c>
      <c r="G41" s="44" t="str">
        <f t="shared" si="4"/>
        <v/>
      </c>
      <c r="H41" s="44" t="str">
        <f t="shared" si="4"/>
        <v/>
      </c>
      <c r="I41" s="44" t="str">
        <f t="shared" si="4"/>
        <v/>
      </c>
      <c r="J41" s="44" t="str">
        <f t="shared" si="4"/>
        <v/>
      </c>
      <c r="K41" s="44" t="str">
        <f t="shared" si="4"/>
        <v/>
      </c>
      <c r="L41" s="44" t="str">
        <f t="shared" si="4"/>
        <v/>
      </c>
      <c r="M41" s="44" t="str">
        <f t="shared" si="4"/>
        <v/>
      </c>
      <c r="N41" s="44" t="str">
        <f t="shared" si="4"/>
        <v/>
      </c>
      <c r="O41" s="44" t="str">
        <f>IF(SUM(C41:N41)=0,"",SUM(C41:N41))</f>
        <v/>
      </c>
    </row>
    <row r="42" spans="1:15" ht="15" customHeight="1" x14ac:dyDescent="0.25">
      <c r="A42" s="45" t="str">
        <f>IF(H26="Cadre","Solde jours restants à travailler","")</f>
        <v/>
      </c>
      <c r="B42" s="44" t="str">
        <f>IF(H26="Cadre",Variables!$C$99-SUM(B32:B38),"")</f>
        <v/>
      </c>
      <c r="C42" s="44" t="str">
        <f t="shared" ref="C42:N42" si="5">IF(ISERROR(B42-C41),"",B42-C41)</f>
        <v/>
      </c>
      <c r="D42" s="44" t="str">
        <f t="shared" si="5"/>
        <v/>
      </c>
      <c r="E42" s="44" t="str">
        <f t="shared" si="5"/>
        <v/>
      </c>
      <c r="F42" s="44" t="str">
        <f t="shared" si="5"/>
        <v/>
      </c>
      <c r="G42" s="44" t="str">
        <f t="shared" si="5"/>
        <v/>
      </c>
      <c r="H42" s="44" t="str">
        <f t="shared" si="5"/>
        <v/>
      </c>
      <c r="I42" s="44" t="str">
        <f t="shared" si="5"/>
        <v/>
      </c>
      <c r="J42" s="44" t="str">
        <f t="shared" si="5"/>
        <v/>
      </c>
      <c r="K42" s="44" t="str">
        <f t="shared" si="5"/>
        <v/>
      </c>
      <c r="L42" s="44" t="str">
        <f t="shared" si="5"/>
        <v/>
      </c>
      <c r="M42" s="44" t="str">
        <f t="shared" si="5"/>
        <v/>
      </c>
      <c r="N42" s="44" t="str">
        <f t="shared" si="5"/>
        <v/>
      </c>
      <c r="O42" s="44" t="str">
        <f>IF(ISERROR(N42),"",N42)</f>
        <v/>
      </c>
    </row>
  </sheetData>
  <mergeCells count="14">
    <mergeCell ref="J3:K3"/>
    <mergeCell ref="L3:M3"/>
    <mergeCell ref="N3:O3"/>
    <mergeCell ref="J1:L1"/>
    <mergeCell ref="B2:C2"/>
    <mergeCell ref="J2:K2"/>
    <mergeCell ref="L2:M2"/>
    <mergeCell ref="N2:O2"/>
    <mergeCell ref="J4:K4"/>
    <mergeCell ref="L4:M4"/>
    <mergeCell ref="N4:O4"/>
    <mergeCell ref="J5:K5"/>
    <mergeCell ref="L5:M5"/>
    <mergeCell ref="N5:O5"/>
  </mergeCells>
  <printOptions horizontalCentered="1"/>
  <pageMargins left="0.51181102362204722" right="0.51181102362204722" top="0.51181102362204722" bottom="0.39370078740157483" header="0.31496062992125984" footer="0.31496062992125984"/>
  <pageSetup paperSize="9" scale="65" fitToHeight="50" orientation="portrait" r:id="rId1"/>
  <headerFooter>
    <oddHeader>&amp;L&amp;"-,Gras"&amp;14ÉTAT DES CONGÉS DU SERVICE :&amp;R&amp;"-,Italique"&amp;8Impression le &amp;D</oddHeader>
  </headerFooter>
  <legacy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>
          <x14:formula1>
            <xm:f>Variables!$C$8:$C$24</xm:f>
          </x14:formula1>
          <xm:sqref>A15:A16 A34:A35</xm:sqref>
        </x14:dataValidation>
        <x14:dataValidation type="list" allowBlank="1" showInputMessage="1">
          <x14:formula1>
            <xm:f>Variables!$B$10:$B$24</xm:f>
          </x14:formula1>
          <xm:sqref>J2:O2</xm:sqref>
        </x14:dataValidation>
        <x14:dataValidation type="list" allowBlank="1" showInputMessage="1">
          <x14:formula1>
            <xm:f>Variables!$B$8:$B$24</xm:f>
          </x14:formula1>
          <xm:sqref>A12:A14 A31:A33</xm:sqref>
        </x14:dataValidation>
        <x14:dataValidation type="list" allowBlank="1" showInputMessage="1">
          <x14:formula1>
            <xm:f>Variables!$B$26:$B$45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O27"/>
  <sheetViews>
    <sheetView zoomScale="85" zoomScaleNormal="85" workbookViewId="0">
      <selection activeCell="P35" sqref="P35"/>
    </sheetView>
  </sheetViews>
  <sheetFormatPr baseColWidth="10" defaultRowHeight="15" x14ac:dyDescent="0.25"/>
  <cols>
    <col min="1" max="1" width="23.42578125" customWidth="1"/>
    <col min="2" max="2" width="9" customWidth="1"/>
    <col min="3" max="15" width="8.28515625" customWidth="1"/>
  </cols>
  <sheetData>
    <row r="1" spans="1:15" ht="18.75" x14ac:dyDescent="0.3">
      <c r="A1" s="1" t="s">
        <v>1</v>
      </c>
      <c r="B1" s="5" t="s">
        <v>12</v>
      </c>
      <c r="C1" s="52">
        <v>42004</v>
      </c>
      <c r="D1" s="52"/>
      <c r="I1" s="7"/>
      <c r="J1" s="53" t="s">
        <v>56</v>
      </c>
      <c r="K1" s="53"/>
      <c r="L1" s="53"/>
    </row>
    <row r="2" spans="1:15" x14ac:dyDescent="0.25">
      <c r="I2" s="7"/>
      <c r="J2" s="56" t="s">
        <v>14</v>
      </c>
      <c r="K2" s="56"/>
      <c r="L2" s="56" t="s">
        <v>15</v>
      </c>
      <c r="M2" s="56"/>
      <c r="N2" s="56" t="s">
        <v>16</v>
      </c>
      <c r="O2" s="56"/>
    </row>
    <row r="3" spans="1:15" x14ac:dyDescent="0.25">
      <c r="I3" s="7" t="s">
        <v>48</v>
      </c>
      <c r="J3" s="55">
        <f>(IFERROR(VLOOKUP(J2,Variables!B8:E24,3),""))</f>
        <v>41426</v>
      </c>
      <c r="K3" s="55"/>
      <c r="L3" s="55">
        <f>(IFERROR(VLOOKUP(L2,Variables!B8:E24,3),""))</f>
        <v>41791</v>
      </c>
      <c r="M3" s="55"/>
      <c r="N3" s="55">
        <f>(IFERROR(VLOOKUP(N2,Variables!B8:E24,3),""))</f>
        <v>42156</v>
      </c>
      <c r="O3" s="55"/>
    </row>
    <row r="4" spans="1:15" ht="15" customHeight="1" x14ac:dyDescent="0.25">
      <c r="I4" s="7" t="s">
        <v>47</v>
      </c>
      <c r="J4" s="55">
        <f>(IFERROR(VLOOKUP(J2,Variables!B8:E24,4),""))</f>
        <v>41790</v>
      </c>
      <c r="K4" s="55"/>
      <c r="L4" s="55">
        <f>(IFERROR(VLOOKUP(L2,Variables!B8:E24,4),""))</f>
        <v>42155</v>
      </c>
      <c r="M4" s="55"/>
      <c r="N4" s="55">
        <f>(IFERROR(VLOOKUP(N2,Variables!B8:E24,4),""))</f>
        <v>42521</v>
      </c>
      <c r="O4" s="55"/>
    </row>
    <row r="5" spans="1:15" x14ac:dyDescent="0.25">
      <c r="I5" s="7" t="s">
        <v>54</v>
      </c>
      <c r="J5" s="54">
        <f>IF(C1&gt;J4,12,(IFERROR(ROUNDUP(MONTH($C$1-J3),1),"")))</f>
        <v>12</v>
      </c>
      <c r="K5" s="54"/>
      <c r="L5" s="54">
        <f>IF(C1&gt;L4,12,(IFERROR(ROUNDUP(MONTH($C$1-L3),1),"")))</f>
        <v>7</v>
      </c>
      <c r="M5" s="54"/>
      <c r="N5" s="54" t="str">
        <f>IF(C1&gt;N4,12,(IFERROR(ROUNDUP(MONTH($C$1-N3),1),"0")))</f>
        <v>0</v>
      </c>
      <c r="O5" s="54"/>
    </row>
    <row r="7" spans="1:15" x14ac:dyDescent="0.25">
      <c r="A7" s="37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</row>
    <row r="8" spans="1:15" x14ac:dyDescent="0.25">
      <c r="A8" s="18"/>
      <c r="G8" s="7" t="s">
        <v>36</v>
      </c>
      <c r="H8" t="str">
        <f>IFERROR(VLOOKUP(A8,'BDD Salariés'!$1:$1048576,4,FALSE),"")</f>
        <v/>
      </c>
      <c r="J8" s="41" t="s">
        <v>61</v>
      </c>
      <c r="K8" s="42"/>
      <c r="L8" s="19" t="s">
        <v>76</v>
      </c>
      <c r="M8" s="19" t="s">
        <v>77</v>
      </c>
      <c r="N8" s="19" t="s">
        <v>78</v>
      </c>
      <c r="O8" s="19" t="s">
        <v>79</v>
      </c>
    </row>
    <row r="9" spans="1:15" x14ac:dyDescent="0.25">
      <c r="A9" s="10" t="str">
        <f>IFERROR(VLOOKUP(A8,'BDD Salariés'!$1:$1048576,2,FALSE),"")</f>
        <v/>
      </c>
      <c r="G9" s="7" t="s">
        <v>59</v>
      </c>
      <c r="H9" t="str">
        <f>IF(H8="Cadre","Forfait Jours","Mensualisation")</f>
        <v>Mensualisation</v>
      </c>
      <c r="J9" s="41" t="s">
        <v>58</v>
      </c>
      <c r="K9" s="42"/>
      <c r="L9" s="19" t="str">
        <f>IFERROR(VLOOKUP(A8,'BDD Salariés'!$1:$1048576,6,FALSE),"")</f>
        <v/>
      </c>
      <c r="M9" s="19" t="str">
        <f>IFERROR(VLOOKUP(A8,'BDD Salariés'!$1:$1048576,7,FALSE),"")</f>
        <v/>
      </c>
      <c r="N9" s="19" t="str">
        <f>IFERROR(VLOOKUP(A8,'BDD Salariés'!$1:$1048576,8,FALSE),"")</f>
        <v/>
      </c>
      <c r="O9" s="19" t="str">
        <f>IFERROR(VLOOKUP(A8,'BDD Salariés'!$1:$1048576,9,FALSE),"")</f>
        <v/>
      </c>
    </row>
    <row r="10" spans="1:15" x14ac:dyDescent="0.25">
      <c r="A10" s="43" t="s">
        <v>80</v>
      </c>
      <c r="G10" s="7" t="str">
        <f>IF(H8="Cadre","Base forfaitaire en jours","")</f>
        <v/>
      </c>
      <c r="H10" s="10" t="str">
        <f>IF(H8="Cadre","218","")</f>
        <v/>
      </c>
      <c r="J10" s="41" t="s">
        <v>109</v>
      </c>
      <c r="K10" s="42"/>
      <c r="L10" s="19" t="str">
        <f>IFERROR(VLOOKUP(A8,'BDD Salariés'!$1:$1048576,13,FALSE),"")</f>
        <v/>
      </c>
      <c r="M10" s="19" t="str">
        <f>IFERROR(VLOOKUP(A8,'BDD Salariés'!$1:$1048576,14,FALSE),"")</f>
        <v/>
      </c>
      <c r="N10" s="19" t="str">
        <f>IFERROR(VLOOKUP(A8,'BDD Salariés'!$1:$1048576,15,FALSE),"")</f>
        <v/>
      </c>
      <c r="O10" s="19" t="str">
        <f>IFERROR(VLOOKUP(A8,'BDD Salariés'!$1:$1048576,16,FALSE),"")</f>
        <v/>
      </c>
    </row>
    <row r="11" spans="1:15" x14ac:dyDescent="0.25">
      <c r="A11" s="49" t="str">
        <f>IFERROR(VLOOKUP(A8,'BDD Salariés'!$1:$1048576,5,FALSE),"")</f>
        <v/>
      </c>
      <c r="G11" s="7" t="str">
        <f>IF(H8="Cadre","Après déduction reliquat 12/2003","")</f>
        <v/>
      </c>
      <c r="H11" s="10" t="str">
        <f>IF(H8="Cadre",H10-B19,"")</f>
        <v/>
      </c>
      <c r="J11" s="40" t="s">
        <v>110</v>
      </c>
    </row>
    <row r="12" spans="1:15" x14ac:dyDescent="0.25">
      <c r="A12" s="12" t="s">
        <v>57</v>
      </c>
      <c r="B12" t="s">
        <v>49</v>
      </c>
      <c r="C12" t="s">
        <v>81</v>
      </c>
      <c r="D12" t="s">
        <v>82</v>
      </c>
      <c r="E12" t="s">
        <v>83</v>
      </c>
      <c r="F12" t="s">
        <v>84</v>
      </c>
      <c r="G12" t="s">
        <v>50</v>
      </c>
      <c r="H12" t="s">
        <v>86</v>
      </c>
      <c r="I12" s="20" t="s">
        <v>85</v>
      </c>
      <c r="J12" t="s">
        <v>87</v>
      </c>
      <c r="K12" t="s">
        <v>88</v>
      </c>
      <c r="L12" t="s">
        <v>89</v>
      </c>
      <c r="M12" t="s">
        <v>90</v>
      </c>
      <c r="N12" t="s">
        <v>91</v>
      </c>
      <c r="O12" t="s">
        <v>55</v>
      </c>
    </row>
    <row r="13" spans="1:15" x14ac:dyDescent="0.25">
      <c r="A13" t="s">
        <v>16</v>
      </c>
      <c r="B13" t="str">
        <f>IF($N$5="0","",IF(($N$5*2.08)&gt;24.5,25,ROUNDDOWN($N$5*2.08,0)))</f>
        <v/>
      </c>
      <c r="O13" t="str">
        <f>IF(B13="","",B13-SUM(C13:N13))</f>
        <v/>
      </c>
    </row>
    <row r="14" spans="1:15" x14ac:dyDescent="0.25">
      <c r="A14" t="s">
        <v>15</v>
      </c>
      <c r="B14">
        <f>IF($L$5="","",IF(($L$5*2.08)&gt;24.5,25,ROUNDDOWN($L$5*2.08,0)))</f>
        <v>14</v>
      </c>
      <c r="O14">
        <f t="shared" ref="O14" si="0">IF(B14="","",B14-SUM(C14:N14))</f>
        <v>14</v>
      </c>
    </row>
    <row r="15" spans="1:15" x14ac:dyDescent="0.25">
      <c r="A15" t="s">
        <v>14</v>
      </c>
      <c r="O15" t="str">
        <f>IF(B15="","",B15-SUM(C15:N15))</f>
        <v/>
      </c>
    </row>
    <row r="16" spans="1:15" x14ac:dyDescent="0.25">
      <c r="A16" t="s">
        <v>27</v>
      </c>
      <c r="B16" t="str">
        <f>IF(O10="","",IF($B$2&lt;$N$3,"",IF(AND(O8="Cadre",O10&gt;=2,O9&gt;=35),3,IF(AND(H8="Cadre",O10&gt;=1,O9&gt;=30),2,IF(AND(H9="Mensualisation",O10&gt;=20),3,IF(AND(O9="Mensualisation",O10&lt;20,O10&gt;14),2,IF(AND(H9="Mensualisation",O10&gt;9,O10&lt;15),1,"")))))))</f>
        <v/>
      </c>
      <c r="O16" t="str">
        <f t="shared" ref="O16" si="1">IF(B16="","",B16-SUM(C16:N16))</f>
        <v/>
      </c>
    </row>
    <row r="17" spans="1:15" x14ac:dyDescent="0.25">
      <c r="A17" t="s">
        <v>26</v>
      </c>
      <c r="B17" t="str">
        <f>IF(N10="","",IF(AND(H8="Cadre",N10&gt;=2,N9&gt;=35),3,IF(AND(H8="Cadre",N10&gt;=1,N9&gt;=30),2,IF(AND(H9="Mensualisation",N10&gt;=20),3,IF(AND(H9="Mensualisation",N10&lt;20,N10&gt;14),2,IF(AND(H9="Mensualisation",N10&gt;9,N10&lt;15),1,""))))))</f>
        <v/>
      </c>
      <c r="O17" t="str">
        <f>IF(B17="","",B17-SUM(C17:N17))</f>
        <v/>
      </c>
    </row>
    <row r="18" spans="1:15" x14ac:dyDescent="0.25">
      <c r="A18" t="s">
        <v>92</v>
      </c>
      <c r="O18" t="str">
        <f t="shared" ref="O18:O19" si="2">IF(B18="","",B18-SUM(C18:N18))</f>
        <v/>
      </c>
    </row>
    <row r="19" spans="1:15" x14ac:dyDescent="0.25">
      <c r="A19" t="s">
        <v>51</v>
      </c>
      <c r="O19" t="str">
        <f t="shared" si="2"/>
        <v/>
      </c>
    </row>
    <row r="20" spans="1:15" x14ac:dyDescent="0.25">
      <c r="A20" t="str">
        <f>IF(H8="Cadre","RTT","")</f>
        <v/>
      </c>
      <c r="B20" t="str">
        <f>IF(H8="Cadre",Variables!$C$89,"")</f>
        <v/>
      </c>
      <c r="O20" t="str">
        <f>IF(B20="","",B20-SUM(C20:N20))</f>
        <v/>
      </c>
    </row>
    <row r="21" spans="1:15" x14ac:dyDescent="0.25">
      <c r="A21" s="14" t="s">
        <v>108</v>
      </c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3">
        <f>SUBTOTAL(109,O13:O20)</f>
        <v>14</v>
      </c>
    </row>
    <row r="22" spans="1:15" x14ac:dyDescent="0.25">
      <c r="A22" s="44" t="str">
        <f>IF(H8="Cadre","Jours ouvrés","")</f>
        <v/>
      </c>
      <c r="B22" s="44" t="str">
        <f>IF(SUM(C22:N22)=0,"",SUM(C22:N22))</f>
        <v/>
      </c>
      <c r="C22" s="44" t="str">
        <f>IF(H8="Cadre",NETWORKDAYS(Variables!$B$49,Variables!$C$49,Variables!$D$49:$D$60),"")</f>
        <v/>
      </c>
      <c r="D22" s="44" t="str">
        <f>IF(H8="Cadre",NETWORKDAYS(Variables!$B$50,Variables!$C$50,Variables!$D$49:$D$60),"")</f>
        <v/>
      </c>
      <c r="E22" s="44" t="str">
        <f>IF(H8="Cadre",NETWORKDAYS(Variables!$B$51,Variables!$C$51,Variables!$D$49:$D$60),"")</f>
        <v/>
      </c>
      <c r="F22" s="44" t="str">
        <f>IF(H8="Cadre",NETWORKDAYS(Variables!$B$52,Variables!$C$52,Variables!$D$49:$D$60),"")</f>
        <v/>
      </c>
      <c r="G22" s="44" t="str">
        <f>IF(H8="Cadre",NETWORKDAYS(Variables!$B$53,Variables!$C$53,Variables!$D$49:$D$60),"")</f>
        <v/>
      </c>
      <c r="H22" s="44" t="str">
        <f>IF(H8="Cadre",NETWORKDAYS(Variables!$B$54,Variables!$C$54,Variables!$D$49:$D$60),"")</f>
        <v/>
      </c>
      <c r="I22" s="44" t="str">
        <f>IF(H8="Cadre",NETWORKDAYS(Variables!$B$55,Variables!$C$55,Variables!$D$49:$D$60),"")</f>
        <v/>
      </c>
      <c r="J22" s="44" t="str">
        <f>IF(H8="Cadre",NETWORKDAYS(Variables!$B$56,Variables!$C$56,Variables!$D$49:$D$60),"")</f>
        <v/>
      </c>
      <c r="K22" s="44" t="str">
        <f>IF(H8="Cadre",NETWORKDAYS(Variables!$B$57,Variables!$C$57,Variables!$D$49:$D$60),"")</f>
        <v/>
      </c>
      <c r="L22" s="44" t="str">
        <f>IF(H8="Cadre",NETWORKDAYS(Variables!$B$58,Variables!$C$58,Variables!$D$49:$D$60),"")</f>
        <v/>
      </c>
      <c r="M22" s="44" t="str">
        <f>IF(H8="Cadre",NETWORKDAYS(Variables!$B$59,Variables!$C$59,Variables!$D$49:$D$60),"")</f>
        <v/>
      </c>
      <c r="N22" s="44" t="str">
        <f>IF(H8="Cadre",NETWORKDAYS(Variables!$B$60,Variables!$C$60,Variables!$D$49:$D$60),"")</f>
        <v/>
      </c>
      <c r="O22" s="44" t="str">
        <f>IF(SUM(C22:N22)=0,"",SUM(C22:N22))</f>
        <v/>
      </c>
    </row>
    <row r="23" spans="1:15" x14ac:dyDescent="0.25">
      <c r="A23" s="44" t="str">
        <f>IF(H8="Cadre","Jours travaillés","")</f>
        <v/>
      </c>
      <c r="B23" s="44"/>
      <c r="C23" s="44" t="str">
        <f>IF(C22="","",C22-SUM(C14:C20))</f>
        <v/>
      </c>
      <c r="D23" s="44" t="str">
        <f t="shared" ref="D23:N23" si="3">IF(D22="","",D22-SUM(D14:D20))</f>
        <v/>
      </c>
      <c r="E23" s="44" t="str">
        <f t="shared" si="3"/>
        <v/>
      </c>
      <c r="F23" s="44" t="str">
        <f t="shared" si="3"/>
        <v/>
      </c>
      <c r="G23" s="44" t="str">
        <f t="shared" si="3"/>
        <v/>
      </c>
      <c r="H23" s="44" t="str">
        <f t="shared" si="3"/>
        <v/>
      </c>
      <c r="I23" s="44" t="str">
        <f t="shared" si="3"/>
        <v/>
      </c>
      <c r="J23" s="44" t="str">
        <f t="shared" si="3"/>
        <v/>
      </c>
      <c r="K23" s="44" t="str">
        <f t="shared" si="3"/>
        <v/>
      </c>
      <c r="L23" s="44" t="str">
        <f t="shared" si="3"/>
        <v/>
      </c>
      <c r="M23" s="44" t="str">
        <f t="shared" si="3"/>
        <v/>
      </c>
      <c r="N23" s="44" t="str">
        <f t="shared" si="3"/>
        <v/>
      </c>
      <c r="O23" s="44" t="str">
        <f>IF(SUM(C23:N23)=0,"",SUM(C23:N23))</f>
        <v/>
      </c>
    </row>
    <row r="24" spans="1:15" x14ac:dyDescent="0.25">
      <c r="A24" s="45" t="str">
        <f>IF(H8="Cadre","Solde jours restants à travailler","")</f>
        <v/>
      </c>
      <c r="B24" s="44" t="str">
        <f>IF(H8="Cadre",Variables!$C$99-SUM(B14:B20),"")</f>
        <v/>
      </c>
      <c r="C24" s="44" t="str">
        <f>IF(ISERROR(B24-C23),"",B24-C23)</f>
        <v/>
      </c>
      <c r="D24" s="44" t="str">
        <f>IF(ISERROR(C24-D23),"",C24-D23)</f>
        <v/>
      </c>
      <c r="E24" s="44" t="str">
        <f t="shared" ref="E24:M24" si="4">IF(ISERROR(D24-E23),"",D24-E23)</f>
        <v/>
      </c>
      <c r="F24" s="44" t="str">
        <f t="shared" si="4"/>
        <v/>
      </c>
      <c r="G24" s="44" t="str">
        <f t="shared" si="4"/>
        <v/>
      </c>
      <c r="H24" s="44" t="str">
        <f t="shared" si="4"/>
        <v/>
      </c>
      <c r="I24" s="44" t="str">
        <f t="shared" si="4"/>
        <v/>
      </c>
      <c r="J24" s="44" t="str">
        <f t="shared" si="4"/>
        <v/>
      </c>
      <c r="K24" s="44" t="str">
        <f t="shared" si="4"/>
        <v/>
      </c>
      <c r="L24" s="44" t="str">
        <f t="shared" si="4"/>
        <v/>
      </c>
      <c r="M24" s="44" t="str">
        <f t="shared" si="4"/>
        <v/>
      </c>
      <c r="N24" s="44" t="str">
        <f>IF(ISERROR(M24-N23),"",M24-N23)</f>
        <v/>
      </c>
      <c r="O24" s="44" t="str">
        <f>IF(ISERROR(N24),"",N24)</f>
        <v/>
      </c>
    </row>
    <row r="27" spans="1:15" x14ac:dyDescent="0.25">
      <c r="A27" s="46"/>
      <c r="B27" s="46"/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</row>
  </sheetData>
  <mergeCells count="14">
    <mergeCell ref="N4:O4"/>
    <mergeCell ref="J5:K5"/>
    <mergeCell ref="L5:M5"/>
    <mergeCell ref="N5:O5"/>
    <mergeCell ref="C1:D1"/>
    <mergeCell ref="J1:L1"/>
    <mergeCell ref="J2:K2"/>
    <mergeCell ref="L2:M2"/>
    <mergeCell ref="N2:O2"/>
    <mergeCell ref="J3:K3"/>
    <mergeCell ref="L3:M3"/>
    <mergeCell ref="N3:O3"/>
    <mergeCell ref="J4:K4"/>
    <mergeCell ref="L4:M4"/>
  </mergeCells>
  <dataValidations count="1">
    <dataValidation type="list" allowBlank="1" showInputMessage="1" sqref="N2 J2">
      <formula1>#REF!</formula1>
    </dataValidation>
  </dataValidations>
  <printOptions horizontalCentered="1"/>
  <pageMargins left="0.70866141732283472" right="0.70866141732283472" top="0.55118110236220474" bottom="0.55118110236220474" header="0.31496062992125984" footer="0.31496062992125984"/>
  <pageSetup paperSize="9" scale="62" fitToHeight="2" orientation="portrait" r:id="rId1"/>
  <headerFooter>
    <oddHeader>&amp;L&amp;"-,Gras"&amp;14ÉTAT DES CONGÉS DU SERVICE :</oddHeader>
    <oddFooter>&amp;R&amp;"-,Italique"&amp;8Impression le &amp;D</oddFooter>
  </headerFooter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Variables!$B$8:$B$24</xm:f>
          </x14:formula1>
          <xm:sqref>L2 A13:A15</xm:sqref>
        </x14:dataValidation>
        <x14:dataValidation type="list" allowBlank="1" showInputMessage="1">
          <x14:formula1>
            <xm:f>Variables!$B$26:$B$45</xm:f>
          </x14:formula1>
          <xm:sqref>A1</xm:sqref>
        </x14:dataValidation>
        <x14:dataValidation type="list" allowBlank="1" showInputMessage="1">
          <x14:formula1>
            <xm:f>Variables!$C$8:$C$24</xm:f>
          </x14:formula1>
          <xm:sqref>A16:A17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7"/>
  <sheetViews>
    <sheetView workbookViewId="0">
      <pane ySplit="1" topLeftCell="A20" activePane="bottomLeft" state="frozen"/>
      <selection activeCell="A8" sqref="A8:O45"/>
      <selection pane="bottomLeft" activeCell="Y11" sqref="Y11"/>
    </sheetView>
  </sheetViews>
  <sheetFormatPr baseColWidth="10" defaultRowHeight="15" outlineLevelCol="1" x14ac:dyDescent="0.25"/>
  <cols>
    <col min="2" max="2" width="15" customWidth="1"/>
    <col min="3" max="3" width="11" style="2" customWidth="1"/>
    <col min="4" max="4" width="12.42578125" customWidth="1"/>
    <col min="5" max="5" width="10.85546875" style="2" customWidth="1"/>
    <col min="6" max="6" width="9" style="2" customWidth="1"/>
    <col min="7" max="7" width="9" style="2" hidden="1" customWidth="1" outlineLevel="1"/>
    <col min="8" max="12" width="9" style="5" hidden="1" customWidth="1" outlineLevel="1"/>
    <col min="13" max="13" width="11.42578125" style="5" customWidth="1" collapsed="1"/>
    <col min="14" max="15" width="11.42578125" style="5" hidden="1" customWidth="1" outlineLevel="1"/>
    <col min="16" max="19" width="11.42578125" hidden="1" customWidth="1" outlineLevel="1"/>
    <col min="20" max="20" width="11.42578125" collapsed="1"/>
  </cols>
  <sheetData>
    <row r="1" spans="1:19" s="4" customFormat="1" ht="41.25" customHeight="1" x14ac:dyDescent="0.25">
      <c r="A1" s="16" t="s">
        <v>32</v>
      </c>
      <c r="B1" s="16" t="s">
        <v>33</v>
      </c>
      <c r="C1" s="17" t="s">
        <v>42</v>
      </c>
      <c r="D1" s="16" t="s">
        <v>40</v>
      </c>
      <c r="E1" s="17" t="s">
        <v>41</v>
      </c>
      <c r="F1" s="16" t="s">
        <v>74</v>
      </c>
      <c r="G1" s="16" t="s">
        <v>75</v>
      </c>
      <c r="H1" s="16" t="s">
        <v>62</v>
      </c>
      <c r="I1" s="16" t="s">
        <v>63</v>
      </c>
      <c r="J1" s="16" t="s">
        <v>64</v>
      </c>
      <c r="K1" s="16" t="s">
        <v>65</v>
      </c>
      <c r="L1" s="16" t="s">
        <v>66</v>
      </c>
      <c r="M1" s="16" t="s">
        <v>72</v>
      </c>
      <c r="N1" s="16" t="s">
        <v>73</v>
      </c>
      <c r="O1" s="16" t="s">
        <v>67</v>
      </c>
      <c r="P1" s="16" t="s">
        <v>68</v>
      </c>
      <c r="Q1" s="16" t="s">
        <v>69</v>
      </c>
      <c r="R1" s="16" t="s">
        <v>70</v>
      </c>
      <c r="S1" s="16" t="s">
        <v>71</v>
      </c>
    </row>
    <row r="2" spans="1:19" x14ac:dyDescent="0.25">
      <c r="A2" s="3"/>
      <c r="B2" s="3"/>
      <c r="D2" s="3"/>
      <c r="F2" s="6"/>
      <c r="G2" s="6"/>
      <c r="H2" s="6"/>
      <c r="I2" s="6"/>
      <c r="J2" s="6"/>
      <c r="K2" s="6"/>
      <c r="L2" s="6"/>
      <c r="M2" s="6"/>
      <c r="N2" s="6"/>
      <c r="O2" s="6"/>
      <c r="P2" s="15"/>
      <c r="Q2" s="15"/>
      <c r="R2" s="15"/>
      <c r="S2" s="15"/>
    </row>
    <row r="3" spans="1:19" x14ac:dyDescent="0.25">
      <c r="A3" s="3"/>
      <c r="B3" s="3"/>
      <c r="D3" s="3"/>
      <c r="F3" s="6"/>
      <c r="G3" s="6"/>
      <c r="H3" s="6"/>
      <c r="I3" s="6"/>
      <c r="J3" s="6"/>
      <c r="K3" s="6"/>
      <c r="L3" s="6"/>
      <c r="M3" s="6"/>
      <c r="N3" s="6"/>
      <c r="O3" s="6"/>
      <c r="P3" s="15"/>
      <c r="Q3" s="15"/>
      <c r="R3" s="15"/>
      <c r="S3" s="15"/>
    </row>
    <row r="4" spans="1:19" x14ac:dyDescent="0.25">
      <c r="A4" s="3"/>
      <c r="B4" s="3"/>
      <c r="D4" s="3"/>
      <c r="F4" s="6"/>
      <c r="G4" s="6"/>
      <c r="H4" s="6"/>
      <c r="I4" s="6"/>
      <c r="J4" s="6"/>
      <c r="K4" s="6"/>
      <c r="L4" s="6"/>
      <c r="M4" s="6"/>
      <c r="N4" s="6"/>
      <c r="O4" s="6"/>
      <c r="P4" s="15"/>
      <c r="Q4" s="15"/>
      <c r="R4" s="15"/>
      <c r="S4" s="15"/>
    </row>
    <row r="5" spans="1:19" x14ac:dyDescent="0.25">
      <c r="A5" s="3"/>
      <c r="B5" s="3"/>
      <c r="D5" s="3"/>
      <c r="F5" s="6"/>
      <c r="G5" s="6"/>
      <c r="H5" s="6"/>
      <c r="I5" s="6"/>
      <c r="J5" s="6"/>
      <c r="K5" s="6"/>
      <c r="L5" s="6"/>
      <c r="M5" s="6"/>
      <c r="N5" s="6"/>
      <c r="O5" s="6"/>
      <c r="P5" s="15"/>
      <c r="Q5" s="15"/>
      <c r="R5" s="15"/>
      <c r="S5" s="15"/>
    </row>
    <row r="6" spans="1:19" x14ac:dyDescent="0.25">
      <c r="A6" s="3"/>
      <c r="B6" s="3"/>
      <c r="D6" s="3"/>
      <c r="F6" s="6"/>
      <c r="G6" s="6"/>
      <c r="H6" s="6"/>
      <c r="I6" s="6"/>
      <c r="J6" s="6"/>
      <c r="K6" s="6"/>
      <c r="L6" s="6"/>
      <c r="M6" s="6"/>
      <c r="N6" s="6"/>
      <c r="O6" s="6"/>
      <c r="P6" s="15"/>
      <c r="Q6" s="15"/>
      <c r="R6" s="15"/>
      <c r="S6" s="15"/>
    </row>
    <row r="7" spans="1:19" x14ac:dyDescent="0.25">
      <c r="A7" s="3"/>
      <c r="B7" s="3"/>
      <c r="D7" s="3"/>
      <c r="F7" s="6"/>
      <c r="G7" s="6"/>
      <c r="H7" s="6"/>
      <c r="I7" s="6"/>
      <c r="J7" s="6"/>
      <c r="K7" s="6"/>
      <c r="L7" s="6"/>
      <c r="M7" s="6"/>
      <c r="N7" s="6"/>
      <c r="O7" s="6"/>
      <c r="P7" s="15"/>
      <c r="Q7" s="15"/>
      <c r="R7" s="15"/>
      <c r="S7" s="15"/>
    </row>
    <row r="8" spans="1:19" x14ac:dyDescent="0.25">
      <c r="A8" s="3"/>
      <c r="B8" s="3"/>
      <c r="D8" s="3"/>
      <c r="F8" s="6"/>
      <c r="G8" s="6"/>
      <c r="H8" s="6"/>
      <c r="I8" s="6"/>
      <c r="J8" s="6"/>
      <c r="K8" s="6"/>
      <c r="L8" s="6"/>
      <c r="M8" s="6"/>
      <c r="N8" s="6"/>
      <c r="O8" s="6"/>
      <c r="P8" s="15"/>
      <c r="Q8" s="15"/>
      <c r="R8" s="15"/>
      <c r="S8" s="15"/>
    </row>
    <row r="9" spans="1:19" x14ac:dyDescent="0.25">
      <c r="A9" s="3"/>
      <c r="B9" s="3"/>
      <c r="D9" s="3"/>
      <c r="F9" s="6"/>
      <c r="G9" s="6"/>
      <c r="H9" s="6"/>
      <c r="I9" s="6"/>
      <c r="J9" s="6"/>
      <c r="K9" s="6"/>
      <c r="L9" s="6"/>
      <c r="M9" s="6"/>
      <c r="N9" s="6"/>
      <c r="O9" s="6"/>
      <c r="P9" s="15"/>
      <c r="Q9" s="15"/>
      <c r="R9" s="15"/>
      <c r="S9" s="15"/>
    </row>
    <row r="10" spans="1:19" x14ac:dyDescent="0.25">
      <c r="A10" s="3"/>
      <c r="B10" s="3"/>
      <c r="D10" s="3"/>
      <c r="F10" s="6"/>
      <c r="G10" s="6"/>
      <c r="H10" s="6"/>
      <c r="I10" s="6"/>
      <c r="J10" s="6"/>
      <c r="K10" s="6"/>
      <c r="L10" s="6"/>
      <c r="M10" s="6"/>
      <c r="N10" s="6"/>
      <c r="O10" s="6"/>
      <c r="P10" s="15"/>
      <c r="Q10" s="15"/>
      <c r="R10" s="15"/>
      <c r="S10" s="15"/>
    </row>
    <row r="11" spans="1:19" x14ac:dyDescent="0.25">
      <c r="A11" s="3"/>
      <c r="B11" s="3"/>
      <c r="D11" s="3"/>
      <c r="F11" s="6"/>
      <c r="G11" s="6"/>
      <c r="H11" s="6"/>
      <c r="I11" s="6"/>
      <c r="J11" s="6"/>
      <c r="K11" s="6"/>
      <c r="L11" s="6"/>
      <c r="M11" s="6"/>
      <c r="N11" s="6"/>
      <c r="O11" s="6"/>
      <c r="P11" s="15"/>
      <c r="Q11" s="15"/>
      <c r="R11" s="15"/>
      <c r="S11" s="15"/>
    </row>
    <row r="12" spans="1:19" x14ac:dyDescent="0.25">
      <c r="A12" s="3"/>
      <c r="B12" s="3"/>
      <c r="D12" s="3"/>
      <c r="F12" s="6"/>
      <c r="G12" s="6"/>
      <c r="H12" s="6"/>
      <c r="I12" s="6"/>
      <c r="J12" s="6"/>
      <c r="K12" s="6"/>
      <c r="L12" s="6"/>
      <c r="M12" s="6"/>
      <c r="N12" s="6"/>
      <c r="O12" s="6"/>
      <c r="P12" s="15"/>
      <c r="Q12" s="15"/>
      <c r="R12" s="15"/>
      <c r="S12" s="15"/>
    </row>
    <row r="13" spans="1:19" x14ac:dyDescent="0.25">
      <c r="A13" s="3"/>
      <c r="B13" s="3"/>
      <c r="D13" s="3"/>
      <c r="F13" s="6"/>
      <c r="G13" s="6"/>
      <c r="H13" s="6"/>
      <c r="I13" s="6"/>
      <c r="J13" s="6"/>
      <c r="K13" s="6"/>
      <c r="L13" s="6"/>
      <c r="M13" s="6"/>
      <c r="N13" s="6"/>
      <c r="O13" s="6"/>
      <c r="P13" s="15"/>
      <c r="Q13" s="15"/>
      <c r="R13" s="15"/>
      <c r="S13" s="15"/>
    </row>
    <row r="14" spans="1:19" x14ac:dyDescent="0.25">
      <c r="A14" s="3"/>
      <c r="B14" s="3"/>
      <c r="D14" s="3"/>
      <c r="F14" s="6"/>
      <c r="G14" s="6"/>
      <c r="H14" s="6"/>
      <c r="I14" s="6"/>
      <c r="J14" s="6"/>
      <c r="K14" s="6"/>
      <c r="L14" s="6"/>
      <c r="M14" s="6"/>
      <c r="N14" s="6"/>
      <c r="O14" s="6"/>
      <c r="P14" s="15"/>
      <c r="Q14" s="15"/>
      <c r="R14" s="15"/>
      <c r="S14" s="15"/>
    </row>
    <row r="15" spans="1:19" x14ac:dyDescent="0.25">
      <c r="A15" s="3"/>
      <c r="B15" s="3"/>
      <c r="D15" s="3"/>
      <c r="F15" s="6"/>
      <c r="G15" s="6"/>
      <c r="H15" s="6"/>
      <c r="I15" s="6"/>
      <c r="J15" s="6"/>
      <c r="K15" s="6"/>
      <c r="L15" s="6"/>
      <c r="M15" s="6"/>
      <c r="N15" s="6"/>
      <c r="O15" s="6"/>
      <c r="P15" s="15"/>
      <c r="Q15" s="15"/>
      <c r="R15" s="15"/>
      <c r="S15" s="15"/>
    </row>
    <row r="16" spans="1:19" x14ac:dyDescent="0.25">
      <c r="A16" s="3"/>
      <c r="B16" s="3"/>
      <c r="D16" s="3"/>
      <c r="F16" s="6"/>
      <c r="G16" s="6"/>
      <c r="H16" s="6"/>
      <c r="I16" s="6"/>
      <c r="J16" s="6"/>
      <c r="K16" s="6"/>
      <c r="L16" s="6"/>
      <c r="M16" s="6"/>
      <c r="N16" s="6"/>
      <c r="O16" s="6"/>
      <c r="P16" s="15"/>
      <c r="Q16" s="15"/>
      <c r="R16" s="15"/>
      <c r="S16" s="15"/>
    </row>
    <row r="17" spans="1:19" x14ac:dyDescent="0.25">
      <c r="A17" s="3"/>
      <c r="B17" s="3"/>
      <c r="D17" s="3"/>
      <c r="F17" s="6"/>
      <c r="G17" s="6"/>
      <c r="H17" s="6"/>
      <c r="I17" s="6"/>
      <c r="J17" s="6"/>
      <c r="K17" s="6"/>
      <c r="L17" s="6"/>
      <c r="M17" s="6"/>
      <c r="N17" s="6"/>
      <c r="O17" s="6"/>
      <c r="P17" s="15"/>
      <c r="Q17" s="15"/>
      <c r="R17" s="15"/>
      <c r="S17" s="15"/>
    </row>
    <row r="18" spans="1:19" x14ac:dyDescent="0.25">
      <c r="A18" s="3"/>
      <c r="B18" s="3"/>
      <c r="D18" s="3"/>
      <c r="F18" s="6"/>
      <c r="G18" s="6"/>
      <c r="H18" s="6"/>
      <c r="I18" s="6"/>
      <c r="J18" s="6"/>
      <c r="K18" s="6"/>
      <c r="L18" s="6"/>
      <c r="M18" s="6"/>
      <c r="N18" s="6"/>
      <c r="O18" s="6"/>
      <c r="P18" s="15"/>
      <c r="Q18" s="15"/>
      <c r="R18" s="15"/>
      <c r="S18" s="15"/>
    </row>
    <row r="19" spans="1:19" x14ac:dyDescent="0.25">
      <c r="A19" s="3"/>
      <c r="B19" s="3"/>
      <c r="D19" s="3"/>
      <c r="F19" s="6"/>
      <c r="G19" s="6"/>
      <c r="H19" s="6"/>
      <c r="I19" s="6"/>
      <c r="J19" s="6"/>
      <c r="K19" s="6"/>
      <c r="L19" s="6"/>
      <c r="M19" s="6"/>
      <c r="N19" s="6"/>
      <c r="O19" s="6"/>
      <c r="P19" s="15"/>
      <c r="Q19" s="15"/>
      <c r="R19" s="15"/>
      <c r="S19" s="15"/>
    </row>
    <row r="20" spans="1:19" x14ac:dyDescent="0.25">
      <c r="A20" s="3"/>
      <c r="B20" s="3"/>
      <c r="D20" s="3"/>
      <c r="F20" s="6"/>
      <c r="G20" s="6"/>
      <c r="H20" s="6"/>
      <c r="I20" s="6"/>
      <c r="J20" s="6"/>
      <c r="K20" s="6"/>
      <c r="L20" s="6"/>
      <c r="M20" s="6"/>
      <c r="N20" s="6"/>
      <c r="O20" s="6"/>
      <c r="P20" s="15"/>
      <c r="Q20" s="15"/>
      <c r="R20" s="15"/>
      <c r="S20" s="15"/>
    </row>
    <row r="21" spans="1:19" x14ac:dyDescent="0.25">
      <c r="A21" s="3"/>
      <c r="B21" s="3"/>
      <c r="D21" s="3"/>
      <c r="F21" s="6"/>
      <c r="G21" s="6"/>
      <c r="H21" s="6"/>
      <c r="I21" s="6"/>
      <c r="J21" s="6"/>
      <c r="K21" s="6"/>
      <c r="L21" s="6"/>
      <c r="M21" s="6"/>
      <c r="N21" s="6"/>
      <c r="O21" s="6"/>
      <c r="P21" s="15"/>
      <c r="Q21" s="15"/>
      <c r="R21" s="15"/>
      <c r="S21" s="15"/>
    </row>
    <row r="22" spans="1:19" x14ac:dyDescent="0.25">
      <c r="A22" s="3"/>
      <c r="B22" s="3"/>
      <c r="D22" s="3"/>
      <c r="F22" s="6"/>
      <c r="G22" s="6"/>
      <c r="H22" s="6"/>
      <c r="I22" s="6"/>
      <c r="J22" s="6"/>
      <c r="K22" s="6"/>
      <c r="L22" s="6"/>
      <c r="M22" s="6"/>
      <c r="N22" s="6"/>
      <c r="O22" s="6"/>
      <c r="P22" s="15"/>
      <c r="Q22" s="15"/>
      <c r="R22" s="15"/>
      <c r="S22" s="15"/>
    </row>
    <row r="23" spans="1:19" x14ac:dyDescent="0.25">
      <c r="A23" s="3"/>
      <c r="B23" s="3"/>
      <c r="D23" s="3"/>
      <c r="F23" s="6"/>
      <c r="G23" s="6"/>
      <c r="H23" s="6"/>
      <c r="I23" s="6"/>
      <c r="J23" s="6"/>
      <c r="K23" s="6"/>
      <c r="L23" s="6"/>
      <c r="M23" s="6"/>
      <c r="N23" s="6"/>
      <c r="O23" s="6"/>
      <c r="P23" s="15"/>
      <c r="Q23" s="15"/>
      <c r="R23" s="15"/>
      <c r="S23" s="15"/>
    </row>
    <row r="24" spans="1:19" x14ac:dyDescent="0.25">
      <c r="A24" s="3"/>
      <c r="B24" s="3"/>
      <c r="D24" s="3"/>
      <c r="F24" s="6"/>
      <c r="G24" s="6"/>
      <c r="H24" s="6"/>
      <c r="I24" s="6"/>
      <c r="J24" s="6"/>
      <c r="K24" s="6"/>
      <c r="L24" s="6"/>
      <c r="M24" s="6"/>
      <c r="N24" s="6"/>
      <c r="O24" s="6"/>
      <c r="P24" s="15"/>
      <c r="Q24" s="15"/>
      <c r="R24" s="15"/>
      <c r="S24" s="15"/>
    </row>
    <row r="25" spans="1:19" x14ac:dyDescent="0.25">
      <c r="A25" s="3"/>
      <c r="B25" s="3"/>
      <c r="D25" s="3"/>
      <c r="F25" s="6"/>
      <c r="G25" s="6"/>
      <c r="H25" s="6"/>
      <c r="I25" s="6"/>
      <c r="J25" s="6"/>
      <c r="K25" s="6"/>
      <c r="L25" s="6"/>
      <c r="M25" s="6"/>
      <c r="N25" s="6"/>
      <c r="O25" s="6"/>
      <c r="P25" s="15"/>
      <c r="Q25" s="15"/>
      <c r="R25" s="15"/>
      <c r="S25" s="15"/>
    </row>
    <row r="26" spans="1:19" x14ac:dyDescent="0.25">
      <c r="A26" s="3"/>
      <c r="B26" s="3"/>
      <c r="D26" s="3"/>
      <c r="F26" s="6"/>
      <c r="G26" s="6"/>
      <c r="H26" s="6"/>
      <c r="I26" s="6"/>
      <c r="J26" s="6"/>
      <c r="K26" s="6"/>
      <c r="L26" s="6"/>
      <c r="M26" s="6"/>
      <c r="N26" s="6"/>
      <c r="O26" s="6"/>
      <c r="P26" s="15"/>
      <c r="Q26" s="15"/>
      <c r="R26" s="15"/>
      <c r="S26" s="15"/>
    </row>
    <row r="27" spans="1:19" x14ac:dyDescent="0.25">
      <c r="A27" s="3"/>
      <c r="B27" s="3"/>
      <c r="D27" s="3"/>
      <c r="F27" s="6"/>
      <c r="G27" s="6"/>
      <c r="H27" s="6"/>
      <c r="I27" s="6"/>
      <c r="J27" s="6"/>
      <c r="K27" s="6"/>
      <c r="L27" s="6"/>
      <c r="M27" s="6"/>
      <c r="N27" s="6"/>
      <c r="O27" s="6"/>
      <c r="P27" s="15"/>
      <c r="Q27" s="15"/>
      <c r="R27" s="15"/>
      <c r="S27" s="15"/>
    </row>
    <row r="28" spans="1:19" x14ac:dyDescent="0.25">
      <c r="A28" s="3"/>
      <c r="B28" s="3"/>
      <c r="D28" s="3"/>
      <c r="F28" s="6"/>
      <c r="G28" s="6"/>
      <c r="H28" s="6"/>
      <c r="I28" s="6"/>
      <c r="J28" s="6"/>
      <c r="K28" s="6"/>
      <c r="L28" s="6"/>
      <c r="M28" s="6"/>
      <c r="N28" s="6"/>
      <c r="O28" s="6"/>
      <c r="P28" s="15"/>
      <c r="Q28" s="15"/>
      <c r="R28" s="15"/>
      <c r="S28" s="15"/>
    </row>
    <row r="29" spans="1:19" x14ac:dyDescent="0.25">
      <c r="A29" s="3"/>
      <c r="B29" s="3"/>
      <c r="D29" s="3"/>
      <c r="F29" s="6"/>
      <c r="G29" s="6"/>
      <c r="H29" s="6"/>
      <c r="I29" s="6"/>
      <c r="J29" s="6"/>
      <c r="K29" s="6"/>
      <c r="L29" s="6"/>
      <c r="M29" s="6"/>
      <c r="N29" s="6"/>
      <c r="O29" s="6"/>
      <c r="P29" s="15"/>
      <c r="Q29" s="15"/>
      <c r="R29" s="15"/>
      <c r="S29" s="15"/>
    </row>
    <row r="30" spans="1:19" x14ac:dyDescent="0.25">
      <c r="A30" s="3"/>
      <c r="B30" s="3"/>
      <c r="D30" s="3"/>
      <c r="F30" s="6"/>
      <c r="G30" s="6"/>
      <c r="H30" s="6"/>
      <c r="I30" s="6"/>
      <c r="J30" s="6"/>
      <c r="K30" s="6"/>
      <c r="L30" s="6"/>
      <c r="M30" s="6"/>
      <c r="N30" s="6"/>
      <c r="O30" s="6"/>
      <c r="P30" s="15"/>
      <c r="Q30" s="15"/>
      <c r="R30" s="15"/>
      <c r="S30" s="15"/>
    </row>
    <row r="31" spans="1:19" x14ac:dyDescent="0.25">
      <c r="A31" s="3" t="s">
        <v>113</v>
      </c>
      <c r="B31" s="3" t="s">
        <v>112</v>
      </c>
      <c r="C31" s="2" t="s">
        <v>34</v>
      </c>
      <c r="D31" s="3" t="s">
        <v>111</v>
      </c>
      <c r="E31" s="2" t="s">
        <v>38</v>
      </c>
      <c r="F31" s="6">
        <f>DATEDIF(C31,Variables!$D$9,"y")</f>
        <v>57</v>
      </c>
      <c r="G31" s="6">
        <f>DATEDIF(C31,Variables!$D$10,"y")</f>
        <v>58</v>
      </c>
      <c r="H31" s="6">
        <f>DATEDIF(C31,Variables!$D$11,"y")</f>
        <v>59</v>
      </c>
      <c r="I31" s="6">
        <f>DATEDIF(C31,Variables!$D$12,"y")</f>
        <v>60</v>
      </c>
      <c r="J31" s="6">
        <f>DATEDIF(C31,Variables!$D$13,"y")</f>
        <v>61</v>
      </c>
      <c r="K31" s="6">
        <f>DATEDIF(C31,Variables!$D$14,"y")</f>
        <v>62</v>
      </c>
      <c r="L31" s="6">
        <f>DATEDIF(C31,Variables!$D$15,"y")</f>
        <v>63</v>
      </c>
      <c r="M31" s="6">
        <f>IFERROR(DATEDIF(E31,Variables!$D$9,"y"),0)</f>
        <v>24</v>
      </c>
      <c r="N31" s="6">
        <f>IFERROR(DATEDIF(E31,Variables!$D$10,"y"),0)</f>
        <v>25</v>
      </c>
      <c r="O31" s="6">
        <f>IFERROR(DATEDIF(E31,Variables!$D$11,"y"),0)</f>
        <v>26</v>
      </c>
      <c r="P31" s="15">
        <f>IFERROR(DATEDIF(E31,Variables!$D$12,"y"),0)</f>
        <v>27</v>
      </c>
      <c r="Q31" s="15">
        <f>IFERROR(DATEDIF(E31,Variables!$D$13,"y"),0)</f>
        <v>28</v>
      </c>
      <c r="R31" s="15">
        <f>IFERROR(DATEDIF(E31,Variables!$D$14,"y"),0)</f>
        <v>29</v>
      </c>
      <c r="S31" s="15">
        <f>IFERROR(DATEDIF(E31,Variables!$D$15,"y"),0)</f>
        <v>30</v>
      </c>
    </row>
    <row r="32" spans="1:19" x14ac:dyDescent="0.25">
      <c r="A32" s="3" t="s">
        <v>115</v>
      </c>
      <c r="B32" s="3" t="s">
        <v>114</v>
      </c>
      <c r="C32" s="2" t="s">
        <v>35</v>
      </c>
      <c r="D32" s="3" t="s">
        <v>37</v>
      </c>
      <c r="E32" s="2" t="s">
        <v>39</v>
      </c>
      <c r="F32" s="6">
        <f>DATEDIF(C32,Variables!$D$9,"y")</f>
        <v>52</v>
      </c>
      <c r="G32" s="6">
        <f>DATEDIF(C32,Variables!$D$10,"y")</f>
        <v>53</v>
      </c>
      <c r="H32" s="6">
        <f>DATEDIF(C32,Variables!$D$11,"y")</f>
        <v>54</v>
      </c>
      <c r="I32" s="6">
        <f>DATEDIF(C32,Variables!$D$12,"y")</f>
        <v>55</v>
      </c>
      <c r="J32" s="6">
        <f>DATEDIF(C32,Variables!$D$13,"y")</f>
        <v>56</v>
      </c>
      <c r="K32" s="6">
        <f>DATEDIF(C32,Variables!$D$14,"y")</f>
        <v>57</v>
      </c>
      <c r="L32" s="6">
        <f>DATEDIF(C32,Variables!$D$15,"y")</f>
        <v>58</v>
      </c>
      <c r="M32" s="6">
        <f>IFERROR(DATEDIF(E32,Variables!$D$9,"y"),0)</f>
        <v>15</v>
      </c>
      <c r="N32" s="6">
        <f>IFERROR(DATEDIF(E32,Variables!$D$10,"y"),0)</f>
        <v>16</v>
      </c>
      <c r="O32" s="6">
        <f>IFERROR(DATEDIF(E32,Variables!$D$11,"y"),0)</f>
        <v>17</v>
      </c>
      <c r="P32" s="15">
        <f>IFERROR(DATEDIF(E32,Variables!$D$12,"y"),0)</f>
        <v>18</v>
      </c>
      <c r="Q32" s="15">
        <f>IFERROR(DATEDIF(E32,Variables!$D$13,"y"),0)</f>
        <v>19</v>
      </c>
      <c r="R32" s="15">
        <f>IFERROR(DATEDIF(E32,Variables!$D$14,"y"),0)</f>
        <v>20</v>
      </c>
      <c r="S32" s="15">
        <f>IFERROR(DATEDIF(E32,Variables!$D$15,"y"),0)</f>
        <v>21</v>
      </c>
    </row>
    <row r="33" spans="1:19" x14ac:dyDescent="0.25">
      <c r="A33" s="3"/>
      <c r="B33" s="3"/>
      <c r="D33" s="3"/>
      <c r="F33" s="6"/>
      <c r="G33" s="6"/>
      <c r="H33" s="6"/>
      <c r="I33" s="6"/>
      <c r="J33" s="6"/>
      <c r="K33" s="6"/>
      <c r="L33" s="6"/>
      <c r="M33" s="6"/>
      <c r="N33" s="6">
        <f>IFERROR(DATEDIF(E33,Variables!$D$10,"y"),0)</f>
        <v>113</v>
      </c>
      <c r="O33" s="6">
        <f>IFERROR(DATEDIF(E33,Variables!$D$11,"y"),0)</f>
        <v>114</v>
      </c>
      <c r="P33" s="15">
        <f>IFERROR(DATEDIF(E33,Variables!$D$12,"y"),0)</f>
        <v>115</v>
      </c>
      <c r="Q33" s="15">
        <f>IFERROR(DATEDIF(E33,Variables!$D$13,"y"),0)</f>
        <v>116</v>
      </c>
      <c r="R33" s="15">
        <f>IFERROR(DATEDIF(E33,Variables!$D$14,"y"),0)</f>
        <v>117</v>
      </c>
      <c r="S33" s="15">
        <f>IFERROR(DATEDIF(E33,Variables!$D$15,"y"),0)</f>
        <v>118</v>
      </c>
    </row>
    <row r="34" spans="1:19" x14ac:dyDescent="0.25">
      <c r="A34" s="3"/>
      <c r="B34" s="3"/>
      <c r="D34" s="3"/>
      <c r="F34" s="6"/>
      <c r="G34" s="6"/>
      <c r="H34" s="6"/>
      <c r="I34" s="6"/>
      <c r="J34" s="6"/>
      <c r="K34" s="6"/>
      <c r="L34" s="6"/>
      <c r="M34" s="6"/>
      <c r="N34" s="6">
        <f>IFERROR(DATEDIF(E34,Variables!$D$10,"y"),0)</f>
        <v>113</v>
      </c>
      <c r="O34" s="6">
        <f>IFERROR(DATEDIF(E34,Variables!$D$11,"y"),0)</f>
        <v>114</v>
      </c>
      <c r="P34" s="15">
        <f>IFERROR(DATEDIF(E34,Variables!$D$12,"y"),0)</f>
        <v>115</v>
      </c>
      <c r="Q34" s="15">
        <f>IFERROR(DATEDIF(E34,Variables!$D$13,"y"),0)</f>
        <v>116</v>
      </c>
      <c r="R34" s="15">
        <f>IFERROR(DATEDIF(E34,Variables!$D$14,"y"),0)</f>
        <v>117</v>
      </c>
      <c r="S34" s="15">
        <f>IFERROR(DATEDIF(E34,Variables!$D$15,"y"),0)</f>
        <v>118</v>
      </c>
    </row>
    <row r="35" spans="1:19" x14ac:dyDescent="0.25">
      <c r="A35" s="3"/>
      <c r="B35" s="3"/>
      <c r="D35" s="3"/>
      <c r="F35" s="6"/>
      <c r="G35" s="6"/>
      <c r="H35" s="6"/>
      <c r="I35" s="6"/>
      <c r="J35" s="6"/>
      <c r="K35" s="6"/>
      <c r="L35" s="6"/>
      <c r="M35" s="6"/>
      <c r="N35" s="6">
        <f>IFERROR(DATEDIF(E35,Variables!$D$10,"y"),0)</f>
        <v>113</v>
      </c>
      <c r="O35" s="6">
        <f>IFERROR(DATEDIF(E35,Variables!$D$11,"y"),0)</f>
        <v>114</v>
      </c>
      <c r="P35" s="15">
        <f>IFERROR(DATEDIF(E35,Variables!$D$12,"y"),0)</f>
        <v>115</v>
      </c>
      <c r="Q35" s="15">
        <f>IFERROR(DATEDIF(E35,Variables!$D$13,"y"),0)</f>
        <v>116</v>
      </c>
      <c r="R35" s="15">
        <f>IFERROR(DATEDIF(E35,Variables!$D$14,"y"),0)</f>
        <v>117</v>
      </c>
      <c r="S35" s="15">
        <f>IFERROR(DATEDIF(E35,Variables!$D$15,"y"),0)</f>
        <v>118</v>
      </c>
    </row>
    <row r="36" spans="1:19" x14ac:dyDescent="0.25">
      <c r="A36" s="3"/>
      <c r="B36" s="3"/>
      <c r="D36" s="3"/>
      <c r="F36" s="6"/>
      <c r="G36" s="6"/>
      <c r="H36" s="6"/>
      <c r="I36" s="6"/>
      <c r="J36" s="6"/>
      <c r="K36" s="6"/>
      <c r="L36" s="6"/>
      <c r="M36" s="6"/>
      <c r="N36" s="6">
        <f>IFERROR(DATEDIF(E36,Variables!$D$10,"y"),0)</f>
        <v>113</v>
      </c>
      <c r="O36" s="6">
        <f>IFERROR(DATEDIF(E36,Variables!$D$11,"y"),0)</f>
        <v>114</v>
      </c>
      <c r="P36" s="15">
        <f>IFERROR(DATEDIF(E36,Variables!$D$12,"y"),0)</f>
        <v>115</v>
      </c>
      <c r="Q36" s="15">
        <f>IFERROR(DATEDIF(E36,Variables!$D$13,"y"),0)</f>
        <v>116</v>
      </c>
      <c r="R36" s="15">
        <f>IFERROR(DATEDIF(E36,Variables!$D$14,"y"),0)</f>
        <v>117</v>
      </c>
      <c r="S36" s="15">
        <f>IFERROR(DATEDIF(E36,Variables!$D$15,"y"),0)</f>
        <v>118</v>
      </c>
    </row>
    <row r="37" spans="1:19" x14ac:dyDescent="0.25">
      <c r="A37" s="3"/>
      <c r="B37" s="3"/>
      <c r="D37" s="3"/>
      <c r="F37" s="6"/>
      <c r="G37" s="6"/>
      <c r="H37" s="6"/>
      <c r="I37" s="6"/>
      <c r="J37" s="6"/>
      <c r="K37" s="6"/>
      <c r="L37" s="6"/>
      <c r="M37" s="6"/>
      <c r="N37" s="6">
        <f>IFERROR(DATEDIF(E37,Variables!$D$10,"y"),0)</f>
        <v>113</v>
      </c>
      <c r="O37" s="6">
        <f>IFERROR(DATEDIF(E37,Variables!$D$11,"y"),0)</f>
        <v>114</v>
      </c>
      <c r="P37" s="15">
        <f>IFERROR(DATEDIF(E37,Variables!$D$12,"y"),0)</f>
        <v>115</v>
      </c>
      <c r="Q37" s="15">
        <f>IFERROR(DATEDIF(E37,Variables!$D$13,"y"),0)</f>
        <v>116</v>
      </c>
      <c r="R37" s="15">
        <f>IFERROR(DATEDIF(E37,Variables!$D$14,"y"),0)</f>
        <v>117</v>
      </c>
      <c r="S37" s="15">
        <f>IFERROR(DATEDIF(E37,Variables!$D$15,"y"),0)</f>
        <v>118</v>
      </c>
    </row>
    <row r="38" spans="1:19" x14ac:dyDescent="0.25">
      <c r="A38" s="3"/>
      <c r="B38" s="3"/>
      <c r="D38" s="3"/>
      <c r="F38" s="6"/>
      <c r="G38" s="6"/>
      <c r="H38" s="6"/>
      <c r="I38" s="6"/>
      <c r="J38" s="6"/>
      <c r="K38" s="6"/>
      <c r="L38" s="6"/>
      <c r="M38" s="6"/>
      <c r="N38" s="6">
        <f>IFERROR(DATEDIF(E38,Variables!$D$10,"y"),0)</f>
        <v>113</v>
      </c>
      <c r="O38" s="6">
        <f>IFERROR(DATEDIF(E38,Variables!$D$11,"y"),0)</f>
        <v>114</v>
      </c>
      <c r="P38" s="15">
        <f>IFERROR(DATEDIF(E38,Variables!$D$12,"y"),0)</f>
        <v>115</v>
      </c>
      <c r="Q38" s="15">
        <f>IFERROR(DATEDIF(E38,Variables!$D$13,"y"),0)</f>
        <v>116</v>
      </c>
      <c r="R38" s="15">
        <f>IFERROR(DATEDIF(E38,Variables!$D$14,"y"),0)</f>
        <v>117</v>
      </c>
      <c r="S38" s="15">
        <f>IFERROR(DATEDIF(E38,Variables!$D$15,"y"),0)</f>
        <v>118</v>
      </c>
    </row>
    <row r="39" spans="1:19" x14ac:dyDescent="0.25">
      <c r="A39" s="3"/>
      <c r="B39" s="3"/>
      <c r="D39" s="3"/>
      <c r="F39" s="6"/>
      <c r="G39" s="6"/>
      <c r="H39" s="6"/>
      <c r="I39" s="6"/>
      <c r="J39" s="6"/>
      <c r="K39" s="6"/>
      <c r="L39" s="6"/>
      <c r="M39" s="6"/>
      <c r="N39" s="6">
        <f>IFERROR(DATEDIF(E39,Variables!$D$10,"y"),0)</f>
        <v>113</v>
      </c>
      <c r="O39" s="6">
        <f>IFERROR(DATEDIF(E39,Variables!$D$11,"y"),0)</f>
        <v>114</v>
      </c>
      <c r="P39" s="15">
        <f>IFERROR(DATEDIF(E39,Variables!$D$12,"y"),0)</f>
        <v>115</v>
      </c>
      <c r="Q39" s="15">
        <f>IFERROR(DATEDIF(E39,Variables!$D$13,"y"),0)</f>
        <v>116</v>
      </c>
      <c r="R39" s="15">
        <f>IFERROR(DATEDIF(E39,Variables!$D$14,"y"),0)</f>
        <v>117</v>
      </c>
      <c r="S39" s="15">
        <f>IFERROR(DATEDIF(E39,Variables!$D$15,"y"),0)</f>
        <v>118</v>
      </c>
    </row>
    <row r="40" spans="1:19" x14ac:dyDescent="0.25">
      <c r="A40" s="3"/>
      <c r="B40" s="3"/>
      <c r="D40" s="3"/>
      <c r="F40" s="6"/>
      <c r="G40" s="6"/>
      <c r="H40" s="6"/>
      <c r="I40" s="6"/>
      <c r="J40" s="6"/>
      <c r="K40" s="6"/>
      <c r="L40" s="6"/>
      <c r="M40" s="6"/>
      <c r="N40" s="6">
        <f>IFERROR(DATEDIF(E40,Variables!$D$10,"y"),0)</f>
        <v>113</v>
      </c>
      <c r="O40" s="6">
        <f>IFERROR(DATEDIF(E40,Variables!$D$11,"y"),0)</f>
        <v>114</v>
      </c>
      <c r="P40" s="15">
        <f>IFERROR(DATEDIF(E40,Variables!$D$12,"y"),0)</f>
        <v>115</v>
      </c>
      <c r="Q40" s="15">
        <f>IFERROR(DATEDIF(E40,Variables!$D$13,"y"),0)</f>
        <v>116</v>
      </c>
      <c r="R40" s="15">
        <f>IFERROR(DATEDIF(E40,Variables!$D$14,"y"),0)</f>
        <v>117</v>
      </c>
      <c r="S40" s="15">
        <f>IFERROR(DATEDIF(E40,Variables!$D$15,"y"),0)</f>
        <v>118</v>
      </c>
    </row>
    <row r="41" spans="1:19" x14ac:dyDescent="0.25">
      <c r="A41" s="3"/>
      <c r="B41" s="3"/>
      <c r="D41" s="3"/>
      <c r="F41" s="6"/>
      <c r="G41" s="6"/>
      <c r="H41" s="6"/>
      <c r="I41" s="6"/>
      <c r="J41" s="6"/>
      <c r="K41" s="6"/>
      <c r="L41" s="6"/>
      <c r="M41" s="6"/>
      <c r="N41" s="6">
        <f>IFERROR(DATEDIF(E41,Variables!$D$10,"y"),0)</f>
        <v>113</v>
      </c>
      <c r="O41" s="6">
        <f>IFERROR(DATEDIF(E41,Variables!$D$11,"y"),0)</f>
        <v>114</v>
      </c>
      <c r="P41" s="15">
        <f>IFERROR(DATEDIF(E41,Variables!$D$12,"y"),0)</f>
        <v>115</v>
      </c>
      <c r="Q41" s="15">
        <f>IFERROR(DATEDIF(E41,Variables!$D$13,"y"),0)</f>
        <v>116</v>
      </c>
      <c r="R41" s="15">
        <f>IFERROR(DATEDIF(E41,Variables!$D$14,"y"),0)</f>
        <v>117</v>
      </c>
      <c r="S41" s="15">
        <f>IFERROR(DATEDIF(E41,Variables!$D$15,"y"),0)</f>
        <v>118</v>
      </c>
    </row>
    <row r="42" spans="1:19" x14ac:dyDescent="0.25">
      <c r="A42" s="3"/>
      <c r="B42" s="3"/>
      <c r="D42" s="3"/>
      <c r="F42" s="6"/>
      <c r="G42" s="6"/>
      <c r="H42" s="6"/>
      <c r="I42" s="6"/>
      <c r="J42" s="6"/>
      <c r="K42" s="6"/>
      <c r="L42" s="6"/>
      <c r="M42" s="6"/>
      <c r="N42" s="6">
        <f>IFERROR(DATEDIF(E42,Variables!$D$10,"y"),0)</f>
        <v>113</v>
      </c>
      <c r="O42" s="6">
        <f>IFERROR(DATEDIF(E42,Variables!$D$11,"y"),0)</f>
        <v>114</v>
      </c>
      <c r="P42" s="15">
        <f>IFERROR(DATEDIF(E42,Variables!$D$12,"y"),0)</f>
        <v>115</v>
      </c>
      <c r="Q42" s="15">
        <f>IFERROR(DATEDIF(E42,Variables!$D$13,"y"),0)</f>
        <v>116</v>
      </c>
      <c r="R42" s="15">
        <f>IFERROR(DATEDIF(E42,Variables!$D$14,"y"),0)</f>
        <v>117</v>
      </c>
      <c r="S42" s="15">
        <f>IFERROR(DATEDIF(E42,Variables!$D$15,"y"),0)</f>
        <v>118</v>
      </c>
    </row>
    <row r="43" spans="1:19" x14ac:dyDescent="0.25">
      <c r="A43" s="3"/>
      <c r="B43" s="3"/>
      <c r="D43" s="3"/>
      <c r="F43" s="6"/>
      <c r="G43" s="6"/>
      <c r="H43" s="6"/>
      <c r="I43" s="6"/>
      <c r="J43" s="6"/>
      <c r="K43" s="6"/>
      <c r="L43" s="6"/>
      <c r="M43" s="6"/>
      <c r="N43" s="6">
        <f>IFERROR(DATEDIF(E43,Variables!$D$10,"y"),0)</f>
        <v>113</v>
      </c>
      <c r="O43" s="6">
        <f>IFERROR(DATEDIF(E43,Variables!$D$11,"y"),0)</f>
        <v>114</v>
      </c>
      <c r="P43" s="15">
        <f>IFERROR(DATEDIF(E43,Variables!$D$12,"y"),0)</f>
        <v>115</v>
      </c>
      <c r="Q43" s="15">
        <f>IFERROR(DATEDIF(E43,Variables!$D$13,"y"),0)</f>
        <v>116</v>
      </c>
      <c r="R43" s="15">
        <f>IFERROR(DATEDIF(E43,Variables!$D$14,"y"),0)</f>
        <v>117</v>
      </c>
      <c r="S43" s="15">
        <f>IFERROR(DATEDIF(E43,Variables!$D$15,"y"),0)</f>
        <v>118</v>
      </c>
    </row>
    <row r="44" spans="1:19" x14ac:dyDescent="0.25">
      <c r="A44" s="3"/>
      <c r="B44" s="3"/>
      <c r="D44" s="3"/>
      <c r="F44" s="6"/>
      <c r="G44" s="6"/>
      <c r="H44" s="6"/>
      <c r="I44" s="6"/>
      <c r="J44" s="6"/>
      <c r="K44" s="6"/>
      <c r="L44" s="6"/>
      <c r="M44" s="6"/>
      <c r="N44" s="6">
        <f>IFERROR(DATEDIF(E44,Variables!$D$10,"y"),0)</f>
        <v>113</v>
      </c>
      <c r="O44" s="6">
        <f>IFERROR(DATEDIF(E44,Variables!$D$11,"y"),0)</f>
        <v>114</v>
      </c>
      <c r="P44" s="15">
        <f>IFERROR(DATEDIF(E44,Variables!$D$12,"y"),0)</f>
        <v>115</v>
      </c>
      <c r="Q44" s="15">
        <f>IFERROR(DATEDIF(E44,Variables!$D$13,"y"),0)</f>
        <v>116</v>
      </c>
      <c r="R44" s="15">
        <f>IFERROR(DATEDIF(E44,Variables!$D$14,"y"),0)</f>
        <v>117</v>
      </c>
      <c r="S44" s="15">
        <f>IFERROR(DATEDIF(E44,Variables!$D$15,"y"),0)</f>
        <v>118</v>
      </c>
    </row>
    <row r="45" spans="1:19" x14ac:dyDescent="0.25">
      <c r="A45" s="3"/>
      <c r="B45" s="3"/>
      <c r="D45" s="3"/>
      <c r="F45" s="6"/>
      <c r="G45" s="6"/>
      <c r="H45" s="6"/>
      <c r="I45" s="6"/>
      <c r="J45" s="6"/>
      <c r="K45" s="6"/>
      <c r="L45" s="6"/>
      <c r="M45" s="6"/>
      <c r="N45" s="6">
        <f>IFERROR(DATEDIF(E45,Variables!$D$10,"y"),0)</f>
        <v>113</v>
      </c>
      <c r="O45" s="6">
        <f>IFERROR(DATEDIF(E45,Variables!$D$11,"y"),0)</f>
        <v>114</v>
      </c>
      <c r="P45" s="15">
        <f>IFERROR(DATEDIF(E45,Variables!$D$12,"y"),0)</f>
        <v>115</v>
      </c>
      <c r="Q45" s="15">
        <f>IFERROR(DATEDIF(E45,Variables!$D$13,"y"),0)</f>
        <v>116</v>
      </c>
      <c r="R45" s="15">
        <f>IFERROR(DATEDIF(E45,Variables!$D$14,"y"),0)</f>
        <v>117</v>
      </c>
      <c r="S45" s="15">
        <f>IFERROR(DATEDIF(E45,Variables!$D$15,"y"),0)</f>
        <v>118</v>
      </c>
    </row>
    <row r="46" spans="1:19" x14ac:dyDescent="0.25">
      <c r="A46" s="3"/>
      <c r="B46" s="3"/>
      <c r="D46" s="3"/>
      <c r="F46" s="6"/>
      <c r="G46" s="6"/>
      <c r="H46" s="6"/>
      <c r="I46" s="6"/>
      <c r="J46" s="6"/>
      <c r="K46" s="6"/>
      <c r="L46" s="6"/>
      <c r="M46" s="6"/>
      <c r="N46" s="6">
        <f>IFERROR(DATEDIF(E46,Variables!$D$10,"y"),0)</f>
        <v>113</v>
      </c>
      <c r="O46" s="6">
        <f>IFERROR(DATEDIF(E46,Variables!$D$11,"y"),0)</f>
        <v>114</v>
      </c>
      <c r="P46" s="15">
        <f>IFERROR(DATEDIF(E46,Variables!$D$12,"y"),0)</f>
        <v>115</v>
      </c>
      <c r="Q46" s="15">
        <f>IFERROR(DATEDIF(E46,Variables!$D$13,"y"),0)</f>
        <v>116</v>
      </c>
      <c r="R46" s="15">
        <f>IFERROR(DATEDIF(E46,Variables!$D$14,"y"),0)</f>
        <v>117</v>
      </c>
      <c r="S46" s="15">
        <f>IFERROR(DATEDIF(E46,Variables!$D$15,"y"),0)</f>
        <v>118</v>
      </c>
    </row>
    <row r="47" spans="1:19" x14ac:dyDescent="0.25">
      <c r="A47" s="3"/>
      <c r="B47" s="3"/>
      <c r="D47" s="3"/>
      <c r="F47" s="6"/>
      <c r="G47" s="6"/>
      <c r="H47" s="6"/>
      <c r="I47" s="6"/>
      <c r="J47" s="6"/>
      <c r="K47" s="6"/>
      <c r="L47" s="6"/>
      <c r="M47" s="6"/>
      <c r="N47" s="6">
        <f>IFERROR(DATEDIF(E47,Variables!$D$10,"y"),0)</f>
        <v>113</v>
      </c>
      <c r="O47" s="6">
        <f>IFERROR(DATEDIF(E47,Variables!$D$11,"y"),0)</f>
        <v>114</v>
      </c>
      <c r="P47" s="15">
        <f>IFERROR(DATEDIF(E47,Variables!$D$12,"y"),0)</f>
        <v>115</v>
      </c>
      <c r="Q47" s="15">
        <f>IFERROR(DATEDIF(E47,Variables!$D$13,"y"),0)</f>
        <v>116</v>
      </c>
      <c r="R47" s="15">
        <f>IFERROR(DATEDIF(E47,Variables!$D$14,"y"),0)</f>
        <v>117</v>
      </c>
      <c r="S47" s="15">
        <f>IFERROR(DATEDIF(E47,Variables!$D$15,"y"),0)</f>
        <v>118</v>
      </c>
    </row>
    <row r="48" spans="1:19" x14ac:dyDescent="0.25">
      <c r="A48" s="3"/>
      <c r="B48" s="3"/>
      <c r="D48" s="3"/>
      <c r="F48" s="6"/>
      <c r="G48" s="6"/>
      <c r="H48" s="6"/>
      <c r="I48" s="6"/>
      <c r="J48" s="6"/>
      <c r="K48" s="6"/>
      <c r="L48" s="6"/>
      <c r="M48" s="6"/>
      <c r="N48" s="6">
        <f>IFERROR(DATEDIF(E48,Variables!$D$10,"y"),0)</f>
        <v>113</v>
      </c>
      <c r="O48" s="6">
        <f>IFERROR(DATEDIF(E48,Variables!$D$11,"y"),0)</f>
        <v>114</v>
      </c>
      <c r="P48" s="15">
        <f>IFERROR(DATEDIF(E48,Variables!$D$12,"y"),0)</f>
        <v>115</v>
      </c>
      <c r="Q48" s="15">
        <f>IFERROR(DATEDIF(E48,Variables!$D$13,"y"),0)</f>
        <v>116</v>
      </c>
      <c r="R48" s="15">
        <f>IFERROR(DATEDIF(E48,Variables!$D$14,"y"),0)</f>
        <v>117</v>
      </c>
      <c r="S48" s="15">
        <f>IFERROR(DATEDIF(E48,Variables!$D$15,"y"),0)</f>
        <v>118</v>
      </c>
    </row>
    <row r="49" spans="1:19" x14ac:dyDescent="0.25">
      <c r="A49" s="3"/>
      <c r="B49" s="3"/>
      <c r="D49" s="3"/>
      <c r="F49" s="6"/>
      <c r="G49" s="6"/>
      <c r="H49" s="6"/>
      <c r="I49" s="6"/>
      <c r="J49" s="6"/>
      <c r="K49" s="6"/>
      <c r="L49" s="6"/>
      <c r="M49" s="6"/>
      <c r="N49" s="6">
        <f>IFERROR(DATEDIF(E49,Variables!$D$10,"y"),0)</f>
        <v>113</v>
      </c>
      <c r="O49" s="6">
        <f>IFERROR(DATEDIF(E49,Variables!$D$11,"y"),0)</f>
        <v>114</v>
      </c>
      <c r="P49" s="15">
        <f>IFERROR(DATEDIF(E49,Variables!$D$12,"y"),0)</f>
        <v>115</v>
      </c>
      <c r="Q49" s="15">
        <f>IFERROR(DATEDIF(E49,Variables!$D$13,"y"),0)</f>
        <v>116</v>
      </c>
      <c r="R49" s="15">
        <f>IFERROR(DATEDIF(E49,Variables!$D$14,"y"),0)</f>
        <v>117</v>
      </c>
      <c r="S49" s="15">
        <f>IFERROR(DATEDIF(E49,Variables!$D$15,"y"),0)</f>
        <v>118</v>
      </c>
    </row>
    <row r="50" spans="1:19" x14ac:dyDescent="0.25">
      <c r="A50" s="3"/>
      <c r="B50" s="3"/>
      <c r="D50" s="3"/>
      <c r="F50" s="6"/>
      <c r="G50" s="6"/>
      <c r="H50" s="6"/>
      <c r="I50" s="6"/>
      <c r="J50" s="6"/>
      <c r="K50" s="6"/>
      <c r="L50" s="6"/>
      <c r="M50" s="6"/>
      <c r="N50" s="6">
        <f>IFERROR(DATEDIF(E50,Variables!$D$10,"y"),0)</f>
        <v>113</v>
      </c>
      <c r="O50" s="6">
        <f>IFERROR(DATEDIF(E50,Variables!$D$11,"y"),0)</f>
        <v>114</v>
      </c>
      <c r="P50" s="15">
        <f>IFERROR(DATEDIF(E50,Variables!$D$12,"y"),0)</f>
        <v>115</v>
      </c>
      <c r="Q50" s="15">
        <f>IFERROR(DATEDIF(E50,Variables!$D$13,"y"),0)</f>
        <v>116</v>
      </c>
      <c r="R50" s="15">
        <f>IFERROR(DATEDIF(E50,Variables!$D$14,"y"),0)</f>
        <v>117</v>
      </c>
      <c r="S50" s="15">
        <f>IFERROR(DATEDIF(E50,Variables!$D$15,"y"),0)</f>
        <v>118</v>
      </c>
    </row>
    <row r="51" spans="1:19" x14ac:dyDescent="0.25">
      <c r="A51" s="3"/>
      <c r="B51" s="3"/>
      <c r="D51" s="3"/>
      <c r="F51" s="6"/>
      <c r="G51" s="6"/>
      <c r="H51" s="6"/>
      <c r="I51" s="6"/>
      <c r="J51" s="6"/>
      <c r="K51" s="6"/>
      <c r="L51" s="6"/>
      <c r="M51" s="6"/>
      <c r="N51" s="6">
        <f>IFERROR(DATEDIF(E51,Variables!$D$10,"y"),0)</f>
        <v>113</v>
      </c>
      <c r="O51" s="6">
        <f>IFERROR(DATEDIF(E51,Variables!$D$11,"y"),0)</f>
        <v>114</v>
      </c>
      <c r="P51" s="15">
        <f>IFERROR(DATEDIF(E51,Variables!$D$12,"y"),0)</f>
        <v>115</v>
      </c>
      <c r="Q51" s="15">
        <f>IFERROR(DATEDIF(E51,Variables!$D$13,"y"),0)</f>
        <v>116</v>
      </c>
      <c r="R51" s="15">
        <f>IFERROR(DATEDIF(E51,Variables!$D$14,"y"),0)</f>
        <v>117</v>
      </c>
      <c r="S51" s="15">
        <f>IFERROR(DATEDIF(E51,Variables!$D$15,"y"),0)</f>
        <v>118</v>
      </c>
    </row>
    <row r="52" spans="1:19" x14ac:dyDescent="0.25">
      <c r="A52" s="3"/>
      <c r="B52" s="3"/>
      <c r="D52" s="3"/>
      <c r="F52" s="6"/>
      <c r="G52" s="6"/>
      <c r="H52" s="6"/>
      <c r="I52" s="6"/>
      <c r="J52" s="6"/>
      <c r="K52" s="6"/>
      <c r="L52" s="6"/>
      <c r="M52" s="6"/>
      <c r="N52" s="6">
        <f>IFERROR(DATEDIF(E52,Variables!$D$10,"y"),0)</f>
        <v>113</v>
      </c>
      <c r="O52" s="6">
        <f>IFERROR(DATEDIF(E52,Variables!$D$11,"y"),0)</f>
        <v>114</v>
      </c>
      <c r="P52" s="15">
        <f>IFERROR(DATEDIF(E52,Variables!$D$12,"y"),0)</f>
        <v>115</v>
      </c>
      <c r="Q52" s="15">
        <f>IFERROR(DATEDIF(E52,Variables!$D$13,"y"),0)</f>
        <v>116</v>
      </c>
      <c r="R52" s="15">
        <f>IFERROR(DATEDIF(E52,Variables!$D$14,"y"),0)</f>
        <v>117</v>
      </c>
      <c r="S52" s="15">
        <f>IFERROR(DATEDIF(E52,Variables!$D$15,"y"),0)</f>
        <v>118</v>
      </c>
    </row>
    <row r="53" spans="1:19" x14ac:dyDescent="0.25">
      <c r="A53" s="3"/>
      <c r="B53" s="3"/>
      <c r="D53" s="3"/>
      <c r="F53" s="6"/>
      <c r="G53" s="6"/>
      <c r="H53" s="6"/>
      <c r="I53" s="6"/>
      <c r="J53" s="6"/>
      <c r="K53" s="6"/>
      <c r="L53" s="6"/>
      <c r="M53" s="6"/>
      <c r="N53" s="6">
        <f>IFERROR(DATEDIF(E53,Variables!$D$10,"y"),0)</f>
        <v>113</v>
      </c>
      <c r="O53" s="6">
        <f>IFERROR(DATEDIF(E53,Variables!$D$11,"y"),0)</f>
        <v>114</v>
      </c>
      <c r="P53" s="15">
        <f>IFERROR(DATEDIF(E53,Variables!$D$12,"y"),0)</f>
        <v>115</v>
      </c>
      <c r="Q53" s="15">
        <f>IFERROR(DATEDIF(E53,Variables!$D$13,"y"),0)</f>
        <v>116</v>
      </c>
      <c r="R53" s="15">
        <f>IFERROR(DATEDIF(E53,Variables!$D$14,"y"),0)</f>
        <v>117</v>
      </c>
      <c r="S53" s="15">
        <f>IFERROR(DATEDIF(E53,Variables!$D$15,"y"),0)</f>
        <v>118</v>
      </c>
    </row>
    <row r="54" spans="1:19" x14ac:dyDescent="0.25">
      <c r="A54" s="3"/>
      <c r="B54" s="3"/>
      <c r="D54" s="3"/>
      <c r="F54" s="6"/>
      <c r="G54" s="6"/>
      <c r="H54" s="6"/>
      <c r="I54" s="6"/>
      <c r="J54" s="6"/>
      <c r="K54" s="6"/>
      <c r="L54" s="6"/>
      <c r="M54" s="6"/>
      <c r="N54" s="6">
        <f>IFERROR(DATEDIF(E54,Variables!$D$10,"y"),0)</f>
        <v>113</v>
      </c>
      <c r="O54" s="6">
        <f>IFERROR(DATEDIF(E54,Variables!$D$11,"y"),0)</f>
        <v>114</v>
      </c>
      <c r="P54" s="15">
        <f>IFERROR(DATEDIF(E54,Variables!$D$12,"y"),0)</f>
        <v>115</v>
      </c>
      <c r="Q54" s="15">
        <f>IFERROR(DATEDIF(E54,Variables!$D$13,"y"),0)</f>
        <v>116</v>
      </c>
      <c r="R54" s="15">
        <f>IFERROR(DATEDIF(E54,Variables!$D$14,"y"),0)</f>
        <v>117</v>
      </c>
      <c r="S54" s="15">
        <f>IFERROR(DATEDIF(E54,Variables!$D$15,"y"),0)</f>
        <v>118</v>
      </c>
    </row>
    <row r="55" spans="1:19" x14ac:dyDescent="0.25">
      <c r="A55" s="3"/>
      <c r="B55" s="3"/>
      <c r="D55" s="3"/>
      <c r="F55" s="6"/>
      <c r="G55" s="6"/>
      <c r="H55" s="6"/>
      <c r="I55" s="6"/>
      <c r="J55" s="6"/>
      <c r="K55" s="6"/>
      <c r="L55" s="6"/>
      <c r="M55" s="6"/>
      <c r="N55" s="6">
        <f>IFERROR(DATEDIF(E55,Variables!$D$10,"y"),0)</f>
        <v>113</v>
      </c>
      <c r="O55" s="6">
        <f>IFERROR(DATEDIF(E55,Variables!$D$11,"y"),0)</f>
        <v>114</v>
      </c>
      <c r="P55" s="15">
        <f>IFERROR(DATEDIF(E55,Variables!$D$12,"y"),0)</f>
        <v>115</v>
      </c>
      <c r="Q55" s="15">
        <f>IFERROR(DATEDIF(E55,Variables!$D$13,"y"),0)</f>
        <v>116</v>
      </c>
      <c r="R55" s="15">
        <f>IFERROR(DATEDIF(E55,Variables!$D$14,"y"),0)</f>
        <v>117</v>
      </c>
      <c r="S55" s="15">
        <f>IFERROR(DATEDIF(E55,Variables!$D$15,"y"),0)</f>
        <v>118</v>
      </c>
    </row>
    <row r="56" spans="1:19" x14ac:dyDescent="0.25">
      <c r="A56" s="3"/>
      <c r="B56" s="3"/>
      <c r="D56" s="3"/>
      <c r="F56" s="6"/>
      <c r="G56" s="6"/>
      <c r="H56" s="6"/>
      <c r="I56" s="6"/>
      <c r="J56" s="6"/>
      <c r="K56" s="6"/>
      <c r="L56" s="6"/>
      <c r="M56" s="6"/>
      <c r="N56" s="6">
        <f>IFERROR(DATEDIF(E56,Variables!$D$10,"y"),0)</f>
        <v>113</v>
      </c>
      <c r="O56" s="6">
        <f>IFERROR(DATEDIF(E56,Variables!$D$11,"y"),0)</f>
        <v>114</v>
      </c>
      <c r="P56" s="15">
        <f>IFERROR(DATEDIF(E56,Variables!$D$12,"y"),0)</f>
        <v>115</v>
      </c>
      <c r="Q56" s="15">
        <f>IFERROR(DATEDIF(E56,Variables!$D$13,"y"),0)</f>
        <v>116</v>
      </c>
      <c r="R56" s="15">
        <f>IFERROR(DATEDIF(E56,Variables!$D$14,"y"),0)</f>
        <v>117</v>
      </c>
      <c r="S56" s="15">
        <f>IFERROR(DATEDIF(E56,Variables!$D$15,"y"),0)</f>
        <v>118</v>
      </c>
    </row>
    <row r="57" spans="1:19" x14ac:dyDescent="0.25">
      <c r="A57" s="3"/>
      <c r="B57" s="3"/>
      <c r="D57" s="3"/>
      <c r="F57" s="6"/>
      <c r="G57" s="6"/>
      <c r="H57" s="6"/>
      <c r="I57" s="6"/>
      <c r="J57" s="6"/>
      <c r="K57" s="6"/>
      <c r="L57" s="6"/>
      <c r="M57" s="6"/>
      <c r="N57" s="6">
        <f>IFERROR(DATEDIF(E57,Variables!$D$10,"y"),0)</f>
        <v>113</v>
      </c>
      <c r="O57" s="6">
        <f>IFERROR(DATEDIF(E57,Variables!$D$11,"y"),0)</f>
        <v>114</v>
      </c>
      <c r="P57" s="15">
        <f>IFERROR(DATEDIF(E57,Variables!$D$12,"y"),0)</f>
        <v>115</v>
      </c>
      <c r="Q57" s="15">
        <f>IFERROR(DATEDIF(E57,Variables!$D$13,"y"),0)</f>
        <v>116</v>
      </c>
      <c r="R57" s="15">
        <f>IFERROR(DATEDIF(E57,Variables!$D$14,"y"),0)</f>
        <v>117</v>
      </c>
      <c r="S57" s="15">
        <f>IFERROR(DATEDIF(E57,Variables!$D$15,"y"),0)</f>
        <v>118</v>
      </c>
    </row>
    <row r="58" spans="1:19" x14ac:dyDescent="0.25">
      <c r="A58" s="3"/>
      <c r="B58" s="3"/>
      <c r="D58" s="3"/>
      <c r="F58" s="6"/>
      <c r="G58" s="6"/>
      <c r="H58" s="6"/>
      <c r="I58" s="6"/>
      <c r="J58" s="6"/>
      <c r="K58" s="6"/>
      <c r="L58" s="6"/>
      <c r="M58" s="6"/>
      <c r="N58" s="6">
        <f>IFERROR(DATEDIF(E58,Variables!$D$10,"y"),0)</f>
        <v>113</v>
      </c>
      <c r="O58" s="6">
        <f>IFERROR(DATEDIF(E58,Variables!$D$11,"y"),0)</f>
        <v>114</v>
      </c>
      <c r="P58" s="15">
        <f>IFERROR(DATEDIF(E58,Variables!$D$12,"y"),0)</f>
        <v>115</v>
      </c>
      <c r="Q58" s="15">
        <f>IFERROR(DATEDIF(E58,Variables!$D$13,"y"),0)</f>
        <v>116</v>
      </c>
      <c r="R58" s="15">
        <f>IFERROR(DATEDIF(E58,Variables!$D$14,"y"),0)</f>
        <v>117</v>
      </c>
      <c r="S58" s="15">
        <f>IFERROR(DATEDIF(E58,Variables!$D$15,"y"),0)</f>
        <v>118</v>
      </c>
    </row>
    <row r="59" spans="1:19" x14ac:dyDescent="0.25">
      <c r="A59" s="3"/>
      <c r="B59" s="3"/>
      <c r="D59" s="3"/>
      <c r="F59" s="6"/>
      <c r="G59" s="6"/>
      <c r="H59" s="6"/>
      <c r="I59" s="6"/>
      <c r="J59" s="6"/>
      <c r="K59" s="6"/>
      <c r="L59" s="6"/>
      <c r="M59" s="6"/>
      <c r="N59" s="6">
        <f>IFERROR(DATEDIF(E59,Variables!$D$10,"y"),0)</f>
        <v>113</v>
      </c>
      <c r="O59" s="6">
        <f>IFERROR(DATEDIF(E59,Variables!$D$11,"y"),0)</f>
        <v>114</v>
      </c>
      <c r="P59" s="15">
        <f>IFERROR(DATEDIF(E59,Variables!$D$12,"y"),0)</f>
        <v>115</v>
      </c>
      <c r="Q59" s="15">
        <f>IFERROR(DATEDIF(E59,Variables!$D$13,"y"),0)</f>
        <v>116</v>
      </c>
      <c r="R59" s="15">
        <f>IFERROR(DATEDIF(E59,Variables!$D$14,"y"),0)</f>
        <v>117</v>
      </c>
      <c r="S59" s="15">
        <f>IFERROR(DATEDIF(E59,Variables!$D$15,"y"),0)</f>
        <v>118</v>
      </c>
    </row>
    <row r="60" spans="1:19" x14ac:dyDescent="0.25">
      <c r="A60" s="3"/>
      <c r="B60" s="3"/>
      <c r="D60" s="3"/>
      <c r="F60" s="6"/>
      <c r="G60" s="6"/>
      <c r="H60" s="6"/>
      <c r="I60" s="6"/>
      <c r="J60" s="6"/>
      <c r="K60" s="6"/>
      <c r="L60" s="6"/>
      <c r="M60" s="6"/>
      <c r="N60" s="6">
        <f>IFERROR(DATEDIF(E60,Variables!$D$10,"y"),0)</f>
        <v>113</v>
      </c>
      <c r="O60" s="6">
        <f>IFERROR(DATEDIF(E60,Variables!$D$11,"y"),0)</f>
        <v>114</v>
      </c>
      <c r="P60" s="15">
        <f>IFERROR(DATEDIF(E60,Variables!$D$12,"y"),0)</f>
        <v>115</v>
      </c>
      <c r="Q60" s="15">
        <f>IFERROR(DATEDIF(E60,Variables!$D$13,"y"),0)</f>
        <v>116</v>
      </c>
      <c r="R60" s="15">
        <f>IFERROR(DATEDIF(E60,Variables!$D$14,"y"),0)</f>
        <v>117</v>
      </c>
      <c r="S60" s="15">
        <f>IFERROR(DATEDIF(E60,Variables!$D$15,"y"),0)</f>
        <v>118</v>
      </c>
    </row>
    <row r="61" spans="1:19" x14ac:dyDescent="0.25">
      <c r="A61" s="3"/>
      <c r="B61" s="3"/>
      <c r="D61" s="3"/>
      <c r="F61" s="6"/>
      <c r="G61" s="6"/>
      <c r="H61" s="6"/>
      <c r="I61" s="6"/>
      <c r="J61" s="6"/>
      <c r="K61" s="6"/>
      <c r="L61" s="6"/>
      <c r="M61" s="6"/>
      <c r="N61" s="6">
        <f>IFERROR(DATEDIF(E61,Variables!$D$10,"y"),0)</f>
        <v>113</v>
      </c>
      <c r="O61" s="6">
        <f>IFERROR(DATEDIF(E61,Variables!$D$11,"y"),0)</f>
        <v>114</v>
      </c>
      <c r="P61" s="15">
        <f>IFERROR(DATEDIF(E61,Variables!$D$12,"y"),0)</f>
        <v>115</v>
      </c>
      <c r="Q61" s="15">
        <f>IFERROR(DATEDIF(E61,Variables!$D$13,"y"),0)</f>
        <v>116</v>
      </c>
      <c r="R61" s="15">
        <f>IFERROR(DATEDIF(E61,Variables!$D$14,"y"),0)</f>
        <v>117</v>
      </c>
      <c r="S61" s="15">
        <f>IFERROR(DATEDIF(E61,Variables!$D$15,"y"),0)</f>
        <v>118</v>
      </c>
    </row>
    <row r="62" spans="1:19" x14ac:dyDescent="0.25">
      <c r="A62" s="3"/>
      <c r="B62" s="3"/>
      <c r="D62" s="3"/>
      <c r="F62" s="6"/>
      <c r="G62" s="6"/>
      <c r="H62" s="6"/>
      <c r="I62" s="6"/>
      <c r="J62" s="6"/>
      <c r="K62" s="6"/>
      <c r="L62" s="6"/>
      <c r="M62" s="6"/>
      <c r="N62" s="6">
        <f>IFERROR(DATEDIF(E62,Variables!$D$10,"y"),0)</f>
        <v>113</v>
      </c>
      <c r="O62" s="6">
        <f>IFERROR(DATEDIF(E62,Variables!$D$11,"y"),0)</f>
        <v>114</v>
      </c>
      <c r="P62" s="15">
        <f>IFERROR(DATEDIF(E62,Variables!$D$12,"y"),0)</f>
        <v>115</v>
      </c>
      <c r="Q62" s="15">
        <f>IFERROR(DATEDIF(E62,Variables!$D$13,"y"),0)</f>
        <v>116</v>
      </c>
      <c r="R62" s="15">
        <f>IFERROR(DATEDIF(E62,Variables!$D$14,"y"),0)</f>
        <v>117</v>
      </c>
      <c r="S62" s="15">
        <f>IFERROR(DATEDIF(E62,Variables!$D$15,"y"),0)</f>
        <v>118</v>
      </c>
    </row>
    <row r="63" spans="1:19" x14ac:dyDescent="0.25">
      <c r="A63" s="3"/>
      <c r="B63" s="3"/>
      <c r="D63" s="3"/>
      <c r="F63" s="6"/>
      <c r="G63" s="6"/>
      <c r="H63" s="6"/>
      <c r="I63" s="6"/>
      <c r="J63" s="6"/>
      <c r="K63" s="6"/>
      <c r="L63" s="6"/>
      <c r="M63" s="6"/>
      <c r="N63" s="6">
        <f>IFERROR(DATEDIF(E63,Variables!$D$10,"y"),0)</f>
        <v>113</v>
      </c>
      <c r="O63" s="6">
        <f>IFERROR(DATEDIF(E63,Variables!$D$11,"y"),0)</f>
        <v>114</v>
      </c>
      <c r="P63" s="15">
        <f>IFERROR(DATEDIF(E63,Variables!$D$12,"y"),0)</f>
        <v>115</v>
      </c>
      <c r="Q63" s="15">
        <f>IFERROR(DATEDIF(E63,Variables!$D$13,"y"),0)</f>
        <v>116</v>
      </c>
      <c r="R63" s="15">
        <f>IFERROR(DATEDIF(E63,Variables!$D$14,"y"),0)</f>
        <v>117</v>
      </c>
      <c r="S63" s="15">
        <f>IFERROR(DATEDIF(E63,Variables!$D$15,"y"),0)</f>
        <v>118</v>
      </c>
    </row>
    <row r="64" spans="1:19" x14ac:dyDescent="0.25">
      <c r="A64" s="3"/>
      <c r="B64" s="3"/>
      <c r="D64" s="3"/>
      <c r="F64" s="6"/>
      <c r="G64" s="6"/>
      <c r="H64" s="6"/>
      <c r="I64" s="6"/>
      <c r="J64" s="6"/>
      <c r="K64" s="6"/>
      <c r="L64" s="6"/>
      <c r="M64" s="6"/>
      <c r="N64" s="6">
        <f>IFERROR(DATEDIF(E64,Variables!$D$10,"y"),0)</f>
        <v>113</v>
      </c>
      <c r="O64" s="6">
        <f>IFERROR(DATEDIF(E64,Variables!$D$11,"y"),0)</f>
        <v>114</v>
      </c>
      <c r="P64" s="15">
        <f>IFERROR(DATEDIF(E64,Variables!$D$12,"y"),0)</f>
        <v>115</v>
      </c>
      <c r="Q64" s="15">
        <f>IFERROR(DATEDIF(E64,Variables!$D$13,"y"),0)</f>
        <v>116</v>
      </c>
      <c r="R64" s="15">
        <f>IFERROR(DATEDIF(E64,Variables!$D$14,"y"),0)</f>
        <v>117</v>
      </c>
      <c r="S64" s="15">
        <f>IFERROR(DATEDIF(E64,Variables!$D$15,"y"),0)</f>
        <v>118</v>
      </c>
    </row>
    <row r="65" spans="1:19" x14ac:dyDescent="0.25">
      <c r="A65" s="3"/>
      <c r="B65" s="3"/>
      <c r="D65" s="3"/>
      <c r="F65" s="6"/>
      <c r="G65" s="6"/>
      <c r="H65" s="6"/>
      <c r="I65" s="6"/>
      <c r="J65" s="6"/>
      <c r="K65" s="6"/>
      <c r="L65" s="6"/>
      <c r="M65" s="6"/>
      <c r="N65" s="6">
        <f>IFERROR(DATEDIF(E65,Variables!$D$10,"y"),0)</f>
        <v>113</v>
      </c>
      <c r="O65" s="6">
        <f>IFERROR(DATEDIF(E65,Variables!$D$11,"y"),0)</f>
        <v>114</v>
      </c>
      <c r="P65" s="15">
        <f>IFERROR(DATEDIF(E65,Variables!$D$12,"y"),0)</f>
        <v>115</v>
      </c>
      <c r="Q65" s="15">
        <f>IFERROR(DATEDIF(E65,Variables!$D$13,"y"),0)</f>
        <v>116</v>
      </c>
      <c r="R65" s="15">
        <f>IFERROR(DATEDIF(E65,Variables!$D$14,"y"),0)</f>
        <v>117</v>
      </c>
      <c r="S65" s="15">
        <f>IFERROR(DATEDIF(E65,Variables!$D$15,"y"),0)</f>
        <v>118</v>
      </c>
    </row>
    <row r="66" spans="1:19" x14ac:dyDescent="0.25">
      <c r="A66" s="3"/>
      <c r="B66" s="3"/>
      <c r="D66" s="3"/>
      <c r="F66" s="6"/>
      <c r="G66" s="6"/>
      <c r="H66" s="6"/>
      <c r="I66" s="6"/>
      <c r="J66" s="6"/>
      <c r="K66" s="6"/>
      <c r="L66" s="6"/>
      <c r="M66" s="6"/>
      <c r="N66" s="6">
        <f>IFERROR(DATEDIF(E66,Variables!$D$10,"y"),0)</f>
        <v>113</v>
      </c>
      <c r="O66" s="6">
        <f>IFERROR(DATEDIF(E66,Variables!$D$11,"y"),0)</f>
        <v>114</v>
      </c>
      <c r="P66" s="15">
        <f>IFERROR(DATEDIF(E66,Variables!$D$12,"y"),0)</f>
        <v>115</v>
      </c>
      <c r="Q66" s="15">
        <f>IFERROR(DATEDIF(E66,Variables!$D$13,"y"),0)</f>
        <v>116</v>
      </c>
      <c r="R66" s="15">
        <f>IFERROR(DATEDIF(E66,Variables!$D$14,"y"),0)</f>
        <v>117</v>
      </c>
      <c r="S66" s="15">
        <f>IFERROR(DATEDIF(E66,Variables!$D$15,"y"),0)</f>
        <v>118</v>
      </c>
    </row>
    <row r="67" spans="1:19" x14ac:dyDescent="0.25">
      <c r="A67" s="3"/>
      <c r="B67" s="3"/>
      <c r="D67" s="3"/>
      <c r="F67" s="6"/>
      <c r="G67" s="6"/>
      <c r="H67" s="6"/>
      <c r="I67" s="6"/>
      <c r="J67" s="6"/>
      <c r="K67" s="6"/>
      <c r="L67" s="6"/>
      <c r="M67" s="6"/>
      <c r="N67" s="6">
        <f>IFERROR(DATEDIF(E67,Variables!$D$10,"y"),0)</f>
        <v>113</v>
      </c>
      <c r="O67" s="6">
        <f>IFERROR(DATEDIF(E67,Variables!$D$11,"y"),0)</f>
        <v>114</v>
      </c>
      <c r="P67" s="15">
        <f>IFERROR(DATEDIF(E67,Variables!$D$12,"y"),0)</f>
        <v>115</v>
      </c>
      <c r="Q67" s="15">
        <f>IFERROR(DATEDIF(E67,Variables!$D$13,"y"),0)</f>
        <v>116</v>
      </c>
      <c r="R67" s="15">
        <f>IFERROR(DATEDIF(E67,Variables!$D$14,"y"),0)</f>
        <v>117</v>
      </c>
      <c r="S67" s="15">
        <f>IFERROR(DATEDIF(E67,Variables!$D$15,"y"),0)</f>
        <v>118</v>
      </c>
    </row>
    <row r="68" spans="1:19" x14ac:dyDescent="0.25">
      <c r="A68" s="3"/>
      <c r="B68" s="3"/>
      <c r="D68" s="3"/>
      <c r="F68" s="6"/>
      <c r="G68" s="6"/>
      <c r="H68" s="6"/>
      <c r="I68" s="6"/>
      <c r="J68" s="6"/>
      <c r="K68" s="6"/>
      <c r="L68" s="6"/>
      <c r="M68" s="6"/>
      <c r="N68" s="6">
        <f>IFERROR(DATEDIF(E68,Variables!$D$10,"y"),0)</f>
        <v>113</v>
      </c>
      <c r="O68" s="6">
        <f>IFERROR(DATEDIF(E68,Variables!$D$11,"y"),0)</f>
        <v>114</v>
      </c>
      <c r="P68" s="15">
        <f>IFERROR(DATEDIF(E68,Variables!$D$12,"y"),0)</f>
        <v>115</v>
      </c>
      <c r="Q68" s="15">
        <f>IFERROR(DATEDIF(E68,Variables!$D$13,"y"),0)</f>
        <v>116</v>
      </c>
      <c r="R68" s="15">
        <f>IFERROR(DATEDIF(E68,Variables!$D$14,"y"),0)</f>
        <v>117</v>
      </c>
      <c r="S68" s="15">
        <f>IFERROR(DATEDIF(E68,Variables!$D$15,"y"),0)</f>
        <v>118</v>
      </c>
    </row>
    <row r="69" spans="1:19" x14ac:dyDescent="0.25">
      <c r="A69" s="3"/>
      <c r="B69" s="3"/>
      <c r="D69" s="3"/>
      <c r="F69" s="6"/>
      <c r="G69" s="6"/>
      <c r="H69" s="6"/>
      <c r="I69" s="6"/>
      <c r="J69" s="6"/>
      <c r="K69" s="6"/>
      <c r="L69" s="6"/>
      <c r="M69" s="6"/>
      <c r="N69" s="6">
        <f>IFERROR(DATEDIF(E69,Variables!$D$10,"y"),0)</f>
        <v>113</v>
      </c>
      <c r="O69" s="6">
        <f>IFERROR(DATEDIF(E69,Variables!$D$11,"y"),0)</f>
        <v>114</v>
      </c>
      <c r="P69" s="15">
        <f>IFERROR(DATEDIF(E69,Variables!$D$12,"y"),0)</f>
        <v>115</v>
      </c>
      <c r="Q69" s="15">
        <f>IFERROR(DATEDIF(E69,Variables!$D$13,"y"),0)</f>
        <v>116</v>
      </c>
      <c r="R69" s="15">
        <f>IFERROR(DATEDIF(E69,Variables!$D$14,"y"),0)</f>
        <v>117</v>
      </c>
      <c r="S69" s="15">
        <f>IFERROR(DATEDIF(E69,Variables!$D$15,"y"),0)</f>
        <v>118</v>
      </c>
    </row>
    <row r="70" spans="1:19" x14ac:dyDescent="0.25">
      <c r="A70" s="3"/>
      <c r="B70" s="3"/>
      <c r="D70" s="3"/>
      <c r="F70" s="6"/>
      <c r="G70" s="6"/>
      <c r="H70" s="6"/>
      <c r="I70" s="6"/>
      <c r="J70" s="6"/>
      <c r="K70" s="6"/>
      <c r="L70" s="6"/>
      <c r="M70" s="6"/>
      <c r="N70" s="6">
        <f>IFERROR(DATEDIF(E70,Variables!$D$10,"y"),0)</f>
        <v>113</v>
      </c>
      <c r="O70" s="6">
        <f>IFERROR(DATEDIF(E70,Variables!$D$11,"y"),0)</f>
        <v>114</v>
      </c>
      <c r="P70" s="15">
        <f>IFERROR(DATEDIF(E70,Variables!$D$12,"y"),0)</f>
        <v>115</v>
      </c>
      <c r="Q70" s="15">
        <f>IFERROR(DATEDIF(E70,Variables!$D$13,"y"),0)</f>
        <v>116</v>
      </c>
      <c r="R70" s="15">
        <f>IFERROR(DATEDIF(E70,Variables!$D$14,"y"),0)</f>
        <v>117</v>
      </c>
      <c r="S70" s="15">
        <f>IFERROR(DATEDIF(E70,Variables!$D$15,"y"),0)</f>
        <v>118</v>
      </c>
    </row>
    <row r="71" spans="1:19" x14ac:dyDescent="0.25">
      <c r="A71" s="3"/>
      <c r="B71" s="3"/>
      <c r="D71" s="3"/>
      <c r="F71" s="6"/>
      <c r="G71" s="6"/>
      <c r="H71" s="6"/>
      <c r="I71" s="6"/>
      <c r="J71" s="6"/>
      <c r="K71" s="6"/>
      <c r="L71" s="6"/>
      <c r="M71" s="6"/>
      <c r="N71" s="6">
        <f>IFERROR(DATEDIF(E71,Variables!$D$10,"y"),0)</f>
        <v>113</v>
      </c>
      <c r="O71" s="6">
        <f>IFERROR(DATEDIF(E71,Variables!$D$11,"y"),0)</f>
        <v>114</v>
      </c>
      <c r="P71" s="15">
        <f>IFERROR(DATEDIF(E71,Variables!$D$12,"y"),0)</f>
        <v>115</v>
      </c>
      <c r="Q71" s="15">
        <f>IFERROR(DATEDIF(E71,Variables!$D$13,"y"),0)</f>
        <v>116</v>
      </c>
      <c r="R71" s="15">
        <f>IFERROR(DATEDIF(E71,Variables!$D$14,"y"),0)</f>
        <v>117</v>
      </c>
      <c r="S71" s="15">
        <f>IFERROR(DATEDIF(E71,Variables!$D$15,"y"),0)</f>
        <v>118</v>
      </c>
    </row>
    <row r="72" spans="1:19" x14ac:dyDescent="0.25">
      <c r="A72" s="3"/>
      <c r="B72" s="3"/>
      <c r="D72" s="3"/>
      <c r="F72" s="6"/>
      <c r="G72" s="6"/>
      <c r="H72" s="6"/>
      <c r="I72" s="6"/>
      <c r="J72" s="6"/>
      <c r="K72" s="6"/>
      <c r="L72" s="6"/>
      <c r="M72" s="6"/>
      <c r="N72" s="6">
        <f>IFERROR(DATEDIF(E72,Variables!$D$10,"y"),0)</f>
        <v>113</v>
      </c>
      <c r="O72" s="6">
        <f>IFERROR(DATEDIF(E72,Variables!$D$11,"y"),0)</f>
        <v>114</v>
      </c>
      <c r="P72" s="15">
        <f>IFERROR(DATEDIF(E72,Variables!$D$12,"y"),0)</f>
        <v>115</v>
      </c>
      <c r="Q72" s="15">
        <f>IFERROR(DATEDIF(E72,Variables!$D$13,"y"),0)</f>
        <v>116</v>
      </c>
      <c r="R72" s="15">
        <f>IFERROR(DATEDIF(E72,Variables!$D$14,"y"),0)</f>
        <v>117</v>
      </c>
      <c r="S72" s="15">
        <f>IFERROR(DATEDIF(E72,Variables!$D$15,"y"),0)</f>
        <v>118</v>
      </c>
    </row>
    <row r="73" spans="1:19" x14ac:dyDescent="0.25">
      <c r="A73" s="3"/>
      <c r="B73" s="3"/>
      <c r="D73" s="3"/>
      <c r="F73" s="6"/>
      <c r="G73" s="6"/>
      <c r="H73" s="6"/>
      <c r="I73" s="6"/>
      <c r="J73" s="6"/>
      <c r="K73" s="6"/>
      <c r="L73" s="6"/>
      <c r="M73" s="6"/>
      <c r="N73" s="6">
        <f>IFERROR(DATEDIF(E73,Variables!$D$10,"y"),0)</f>
        <v>113</v>
      </c>
      <c r="O73" s="6">
        <f>IFERROR(DATEDIF(E73,Variables!$D$11,"y"),0)</f>
        <v>114</v>
      </c>
      <c r="P73" s="15">
        <f>IFERROR(DATEDIF(E73,Variables!$D$12,"y"),0)</f>
        <v>115</v>
      </c>
      <c r="Q73" s="15">
        <f>IFERROR(DATEDIF(E73,Variables!$D$13,"y"),0)</f>
        <v>116</v>
      </c>
      <c r="R73" s="15">
        <f>IFERROR(DATEDIF(E73,Variables!$D$14,"y"),0)</f>
        <v>117</v>
      </c>
      <c r="S73" s="15">
        <f>IFERROR(DATEDIF(E73,Variables!$D$15,"y"),0)</f>
        <v>118</v>
      </c>
    </row>
    <row r="74" spans="1:19" x14ac:dyDescent="0.25">
      <c r="A74" s="3"/>
      <c r="B74" s="3"/>
      <c r="D74" s="3"/>
      <c r="F74" s="6"/>
      <c r="G74" s="6"/>
      <c r="H74" s="6"/>
      <c r="I74" s="6"/>
      <c r="J74" s="6"/>
      <c r="K74" s="6"/>
      <c r="L74" s="6"/>
      <c r="M74" s="6"/>
      <c r="N74" s="6">
        <f>IFERROR(DATEDIF(E74,Variables!$D$10,"y"),0)</f>
        <v>113</v>
      </c>
      <c r="O74" s="6">
        <f>IFERROR(DATEDIF(E74,Variables!$D$11,"y"),0)</f>
        <v>114</v>
      </c>
      <c r="P74" s="15">
        <f>IFERROR(DATEDIF(E74,Variables!$D$12,"y"),0)</f>
        <v>115</v>
      </c>
      <c r="Q74" s="15">
        <f>IFERROR(DATEDIF(E74,Variables!$D$13,"y"),0)</f>
        <v>116</v>
      </c>
      <c r="R74" s="15">
        <f>IFERROR(DATEDIF(E74,Variables!$D$14,"y"),0)</f>
        <v>117</v>
      </c>
      <c r="S74" s="15">
        <f>IFERROR(DATEDIF(E74,Variables!$D$15,"y"),0)</f>
        <v>118</v>
      </c>
    </row>
    <row r="75" spans="1:19" x14ac:dyDescent="0.25">
      <c r="A75" s="3"/>
      <c r="B75" s="3"/>
      <c r="D75" s="3"/>
      <c r="F75" s="6"/>
      <c r="G75" s="6"/>
      <c r="H75" s="6"/>
      <c r="I75" s="6"/>
      <c r="J75" s="6"/>
      <c r="K75" s="6"/>
      <c r="L75" s="6"/>
      <c r="M75" s="6"/>
      <c r="N75" s="6">
        <f>IFERROR(DATEDIF(E75,Variables!$D$10,"y"),0)</f>
        <v>113</v>
      </c>
      <c r="O75" s="6">
        <f>IFERROR(DATEDIF(E75,Variables!$D$11,"y"),0)</f>
        <v>114</v>
      </c>
      <c r="P75" s="15">
        <f>IFERROR(DATEDIF(E75,Variables!$D$12,"y"),0)</f>
        <v>115</v>
      </c>
      <c r="Q75" s="15">
        <f>IFERROR(DATEDIF(E75,Variables!$D$13,"y"),0)</f>
        <v>116</v>
      </c>
      <c r="R75" s="15">
        <f>IFERROR(DATEDIF(E75,Variables!$D$14,"y"),0)</f>
        <v>117</v>
      </c>
      <c r="S75" s="15">
        <f>IFERROR(DATEDIF(E75,Variables!$D$15,"y"),0)</f>
        <v>118</v>
      </c>
    </row>
    <row r="76" spans="1:19" x14ac:dyDescent="0.25">
      <c r="A76" s="3"/>
      <c r="B76" s="3"/>
      <c r="D76" s="3"/>
      <c r="F76" s="6"/>
      <c r="G76" s="6"/>
      <c r="H76" s="6"/>
      <c r="I76" s="6"/>
      <c r="J76" s="6"/>
      <c r="K76" s="6"/>
      <c r="L76" s="6"/>
      <c r="M76" s="6"/>
      <c r="N76" s="6">
        <f>IFERROR(DATEDIF(E76,Variables!$D$10,"y"),0)</f>
        <v>113</v>
      </c>
      <c r="O76" s="6">
        <f>IFERROR(DATEDIF(E76,Variables!$D$11,"y"),0)</f>
        <v>114</v>
      </c>
      <c r="P76" s="15">
        <f>IFERROR(DATEDIF(E76,Variables!$D$12,"y"),0)</f>
        <v>115</v>
      </c>
      <c r="Q76" s="15">
        <f>IFERROR(DATEDIF(E76,Variables!$D$13,"y"),0)</f>
        <v>116</v>
      </c>
      <c r="R76" s="15">
        <f>IFERROR(DATEDIF(E76,Variables!$D$14,"y"),0)</f>
        <v>117</v>
      </c>
      <c r="S76" s="15">
        <f>IFERROR(DATEDIF(E76,Variables!$D$15,"y"),0)</f>
        <v>118</v>
      </c>
    </row>
    <row r="77" spans="1:19" x14ac:dyDescent="0.25">
      <c r="A77" s="3"/>
      <c r="B77" s="3"/>
      <c r="D77" s="3"/>
      <c r="F77" s="6"/>
      <c r="G77" s="6"/>
      <c r="H77" s="6"/>
      <c r="I77" s="6"/>
      <c r="J77" s="6"/>
      <c r="K77" s="6"/>
      <c r="L77" s="6"/>
      <c r="M77" s="6"/>
      <c r="N77" s="6">
        <f>IFERROR(DATEDIF(E77,Variables!$D$10,"y"),0)</f>
        <v>113</v>
      </c>
      <c r="O77" s="6">
        <f>IFERROR(DATEDIF(E77,Variables!$D$11,"y"),0)</f>
        <v>114</v>
      </c>
      <c r="P77" s="15">
        <f>IFERROR(DATEDIF(E77,Variables!$D$12,"y"),0)</f>
        <v>115</v>
      </c>
      <c r="Q77" s="15">
        <f>IFERROR(DATEDIF(E77,Variables!$D$13,"y"),0)</f>
        <v>116</v>
      </c>
      <c r="R77" s="15">
        <f>IFERROR(DATEDIF(E77,Variables!$D$14,"y"),0)</f>
        <v>117</v>
      </c>
      <c r="S77" s="15">
        <f>IFERROR(DATEDIF(E77,Variables!$D$15,"y"),0)</f>
        <v>118</v>
      </c>
    </row>
    <row r="78" spans="1:19" x14ac:dyDescent="0.25">
      <c r="A78" s="3"/>
      <c r="B78" s="3"/>
      <c r="D78" s="3"/>
      <c r="F78" s="6"/>
      <c r="G78" s="6"/>
      <c r="H78" s="6"/>
      <c r="I78" s="6"/>
      <c r="J78" s="6"/>
      <c r="K78" s="6"/>
      <c r="L78" s="6"/>
      <c r="M78" s="6"/>
      <c r="N78" s="6">
        <f>IFERROR(DATEDIF(E78,Variables!$D$10,"y"),0)</f>
        <v>113</v>
      </c>
      <c r="O78" s="6">
        <f>IFERROR(DATEDIF(E78,Variables!$D$11,"y"),0)</f>
        <v>114</v>
      </c>
      <c r="P78" s="15">
        <f>IFERROR(DATEDIF(E78,Variables!$D$12,"y"),0)</f>
        <v>115</v>
      </c>
      <c r="Q78" s="15">
        <f>IFERROR(DATEDIF(E78,Variables!$D$13,"y"),0)</f>
        <v>116</v>
      </c>
      <c r="R78" s="15">
        <f>IFERROR(DATEDIF(E78,Variables!$D$14,"y"),0)</f>
        <v>117</v>
      </c>
      <c r="S78" s="15">
        <f>IFERROR(DATEDIF(E78,Variables!$D$15,"y"),0)</f>
        <v>118</v>
      </c>
    </row>
    <row r="79" spans="1:19" x14ac:dyDescent="0.25">
      <c r="A79" s="3"/>
      <c r="B79" s="3"/>
      <c r="D79" s="3"/>
      <c r="F79" s="6"/>
      <c r="G79" s="6"/>
      <c r="H79" s="6"/>
      <c r="I79" s="6"/>
      <c r="J79" s="6"/>
      <c r="K79" s="6"/>
      <c r="L79" s="6"/>
      <c r="M79" s="6"/>
      <c r="N79" s="6">
        <f>IFERROR(DATEDIF(E79,Variables!$D$10,"y"),0)</f>
        <v>113</v>
      </c>
      <c r="O79" s="6">
        <f>IFERROR(DATEDIF(E79,Variables!$D$11,"y"),0)</f>
        <v>114</v>
      </c>
      <c r="P79" s="15">
        <f>IFERROR(DATEDIF(E79,Variables!$D$12,"y"),0)</f>
        <v>115</v>
      </c>
      <c r="Q79" s="15">
        <f>IFERROR(DATEDIF(E79,Variables!$D$13,"y"),0)</f>
        <v>116</v>
      </c>
      <c r="R79" s="15">
        <f>IFERROR(DATEDIF(E79,Variables!$D$14,"y"),0)</f>
        <v>117</v>
      </c>
      <c r="S79" s="15">
        <f>IFERROR(DATEDIF(E79,Variables!$D$15,"y"),0)</f>
        <v>118</v>
      </c>
    </row>
    <row r="80" spans="1:19" x14ac:dyDescent="0.25">
      <c r="A80" s="3"/>
      <c r="B80" s="3"/>
      <c r="D80" s="3"/>
      <c r="F80" s="6"/>
      <c r="G80" s="6"/>
      <c r="H80" s="6"/>
      <c r="I80" s="6"/>
      <c r="J80" s="6"/>
      <c r="K80" s="6"/>
      <c r="L80" s="6"/>
      <c r="M80" s="6"/>
      <c r="N80" s="6">
        <f>IFERROR(DATEDIF(E80,Variables!$D$10,"y"),0)</f>
        <v>113</v>
      </c>
      <c r="O80" s="6">
        <f>IFERROR(DATEDIF(E80,Variables!$D$11,"y"),0)</f>
        <v>114</v>
      </c>
      <c r="P80" s="15">
        <f>IFERROR(DATEDIF(E80,Variables!$D$12,"y"),0)</f>
        <v>115</v>
      </c>
      <c r="Q80" s="15">
        <f>IFERROR(DATEDIF(E80,Variables!$D$13,"y"),0)</f>
        <v>116</v>
      </c>
      <c r="R80" s="15">
        <f>IFERROR(DATEDIF(E80,Variables!$D$14,"y"),0)</f>
        <v>117</v>
      </c>
      <c r="S80" s="15">
        <f>IFERROR(DATEDIF(E80,Variables!$D$15,"y"),0)</f>
        <v>118</v>
      </c>
    </row>
    <row r="81" spans="1:19" x14ac:dyDescent="0.25">
      <c r="A81" s="3"/>
      <c r="B81" s="3"/>
      <c r="D81" s="3"/>
      <c r="F81" s="15"/>
      <c r="G81" s="48"/>
      <c r="H81" s="15"/>
      <c r="I81" s="15"/>
      <c r="J81" s="15"/>
      <c r="K81" s="15"/>
      <c r="L81" s="15"/>
      <c r="M81" s="15"/>
      <c r="N81" s="15">
        <f>IFERROR(DATEDIF(E81,Variables!$D$10,"y"),0)</f>
        <v>113</v>
      </c>
      <c r="O81" s="15">
        <f>IFERROR(DATEDIF(E81,Variables!$D$11,"y"),0)</f>
        <v>114</v>
      </c>
      <c r="P81" s="15">
        <f>IFERROR(DATEDIF(E81,Variables!$D$12,"y"),0)</f>
        <v>115</v>
      </c>
      <c r="Q81" s="15">
        <f>IFERROR(DATEDIF(E81,Variables!$D$13,"y"),0)</f>
        <v>116</v>
      </c>
      <c r="R81" s="15">
        <f>IFERROR(DATEDIF(E81,Variables!$D$14,"y"),0)</f>
        <v>117</v>
      </c>
      <c r="S81" s="15">
        <f>IFERROR(DATEDIF(E81,Variables!$D$15,"y"),0)</f>
        <v>118</v>
      </c>
    </row>
    <row r="82" spans="1:19" x14ac:dyDescent="0.25">
      <c r="A82" s="3"/>
      <c r="B82" s="3"/>
      <c r="D82" s="3"/>
      <c r="F82" s="15"/>
      <c r="G82" s="48"/>
      <c r="H82" s="15"/>
      <c r="I82" s="15"/>
      <c r="J82" s="15"/>
      <c r="K82" s="15"/>
      <c r="L82" s="15"/>
      <c r="M82" s="15"/>
      <c r="N82" s="15">
        <f>IFERROR(DATEDIF(E82,Variables!$D$10,"y"),0)</f>
        <v>113</v>
      </c>
      <c r="O82" s="15">
        <f>IFERROR(DATEDIF(E82,Variables!$D$11,"y"),0)</f>
        <v>114</v>
      </c>
      <c r="P82" s="15">
        <f>IFERROR(DATEDIF(E82,Variables!$D$12,"y"),0)</f>
        <v>115</v>
      </c>
      <c r="Q82" s="15">
        <f>IFERROR(DATEDIF(E82,Variables!$D$13,"y"),0)</f>
        <v>116</v>
      </c>
      <c r="R82" s="15">
        <f>IFERROR(DATEDIF(E82,Variables!$D$14,"y"),0)</f>
        <v>117</v>
      </c>
      <c r="S82" s="15">
        <f>IFERROR(DATEDIF(E82,Variables!$D$15,"y"),0)</f>
        <v>118</v>
      </c>
    </row>
    <row r="83" spans="1:19" x14ac:dyDescent="0.25">
      <c r="A83" s="3"/>
      <c r="B83" s="3"/>
      <c r="C83" s="51"/>
      <c r="D83" s="3"/>
      <c r="F83" s="15"/>
      <c r="G83" s="48"/>
      <c r="H83" s="15"/>
      <c r="I83" s="15"/>
      <c r="J83" s="15"/>
      <c r="K83" s="15"/>
      <c r="L83" s="15"/>
      <c r="M83" s="15"/>
      <c r="N83" s="15">
        <f>IFERROR(DATEDIF(E83,Variables!$D$10,"y"),0)</f>
        <v>113</v>
      </c>
      <c r="O83" s="15">
        <f>IFERROR(DATEDIF(E83,Variables!$D$11,"y"),0)</f>
        <v>114</v>
      </c>
      <c r="P83" s="15">
        <f>IFERROR(DATEDIF(E83,Variables!$D$12,"y"),0)</f>
        <v>115</v>
      </c>
      <c r="Q83" s="15">
        <f>IFERROR(DATEDIF(E83,Variables!$D$13,"y"),0)</f>
        <v>116</v>
      </c>
      <c r="R83" s="15">
        <f>IFERROR(DATEDIF(E83,Variables!$D$14,"y"),0)</f>
        <v>117</v>
      </c>
      <c r="S83" s="15">
        <f>IFERROR(DATEDIF(E83,Variables!$D$15,"y"),0)</f>
        <v>118</v>
      </c>
    </row>
    <row r="84" spans="1:19" x14ac:dyDescent="0.25">
      <c r="A84" s="3"/>
      <c r="B84" s="3"/>
      <c r="D84" s="3"/>
      <c r="F84" s="15"/>
      <c r="G84" s="48"/>
      <c r="H84" s="15"/>
      <c r="I84" s="15"/>
      <c r="J84" s="15"/>
      <c r="K84" s="15"/>
      <c r="L84" s="15"/>
      <c r="M84" s="15"/>
      <c r="N84" s="15">
        <f>IFERROR(DATEDIF(E84,Variables!$D$10,"y"),0)</f>
        <v>113</v>
      </c>
      <c r="O84" s="15">
        <f>IFERROR(DATEDIF(E84,Variables!$D$11,"y"),0)</f>
        <v>114</v>
      </c>
      <c r="P84" s="15">
        <f>IFERROR(DATEDIF(E84,Variables!$D$12,"y"),0)</f>
        <v>115</v>
      </c>
      <c r="Q84" s="15">
        <f>IFERROR(DATEDIF(E84,Variables!$D$13,"y"),0)</f>
        <v>116</v>
      </c>
      <c r="R84" s="15">
        <f>IFERROR(DATEDIF(E84,Variables!$D$14,"y"),0)</f>
        <v>117</v>
      </c>
      <c r="S84" s="15">
        <f>IFERROR(DATEDIF(E84,Variables!$D$15,"y"),0)</f>
        <v>118</v>
      </c>
    </row>
    <row r="85" spans="1:19" x14ac:dyDescent="0.25">
      <c r="A85" s="3"/>
      <c r="B85" s="3"/>
      <c r="D85" s="3"/>
      <c r="F85" s="15"/>
      <c r="G85" s="48"/>
      <c r="H85" s="15"/>
      <c r="I85" s="15"/>
      <c r="J85" s="15"/>
      <c r="K85" s="15"/>
      <c r="L85" s="15"/>
      <c r="M85" s="15"/>
      <c r="N85" s="15">
        <f>IFERROR(DATEDIF(E85,Variables!$D$10,"y"),0)</f>
        <v>113</v>
      </c>
      <c r="O85" s="15">
        <f>IFERROR(DATEDIF(E85,Variables!$D$11,"y"),0)</f>
        <v>114</v>
      </c>
      <c r="P85" s="15">
        <f>IFERROR(DATEDIF(E85,Variables!$D$12,"y"),0)</f>
        <v>115</v>
      </c>
      <c r="Q85" s="15">
        <f>IFERROR(DATEDIF(E85,Variables!$D$13,"y"),0)</f>
        <v>116</v>
      </c>
      <c r="R85" s="15">
        <f>IFERROR(DATEDIF(E85,Variables!$D$14,"y"),0)</f>
        <v>117</v>
      </c>
      <c r="S85" s="15">
        <f>IFERROR(DATEDIF(E85,Variables!$D$15,"y"),0)</f>
        <v>118</v>
      </c>
    </row>
    <row r="86" spans="1:19" x14ac:dyDescent="0.25">
      <c r="A86" s="3"/>
      <c r="B86" s="3"/>
      <c r="D86" s="3"/>
      <c r="F86" s="15"/>
      <c r="G86" s="48"/>
      <c r="H86" s="15"/>
      <c r="I86" s="15"/>
      <c r="J86" s="15"/>
      <c r="K86" s="15"/>
      <c r="L86" s="15"/>
      <c r="M86" s="15"/>
      <c r="N86" s="15">
        <f>IFERROR(DATEDIF(E86,Variables!$D$10,"y"),0)</f>
        <v>113</v>
      </c>
      <c r="O86" s="15">
        <f>IFERROR(DATEDIF(E86,Variables!$D$11,"y"),0)</f>
        <v>114</v>
      </c>
      <c r="P86" s="15">
        <f>IFERROR(DATEDIF(E86,Variables!$D$12,"y"),0)</f>
        <v>115</v>
      </c>
      <c r="Q86" s="15">
        <f>IFERROR(DATEDIF(E86,Variables!$D$13,"y"),0)</f>
        <v>116</v>
      </c>
      <c r="R86" s="15">
        <f>IFERROR(DATEDIF(E86,Variables!$D$14,"y"),0)</f>
        <v>117</v>
      </c>
      <c r="S86" s="15">
        <f>IFERROR(DATEDIF(E86,Variables!$D$15,"y"),0)</f>
        <v>118</v>
      </c>
    </row>
    <row r="87" spans="1:19" x14ac:dyDescent="0.25">
      <c r="A87" s="3"/>
      <c r="B87" s="3"/>
      <c r="D87" s="3"/>
      <c r="F87" s="15"/>
      <c r="G87" s="48"/>
      <c r="H87" s="15"/>
      <c r="I87" s="15"/>
      <c r="J87" s="15"/>
      <c r="K87" s="15"/>
      <c r="L87" s="15"/>
      <c r="M87" s="15"/>
      <c r="N87" s="15">
        <f>IFERROR(DATEDIF(E87,Variables!$D$10,"y"),0)</f>
        <v>113</v>
      </c>
      <c r="O87" s="15">
        <f>IFERROR(DATEDIF(E87,Variables!$D$11,"y"),0)</f>
        <v>114</v>
      </c>
      <c r="P87" s="15">
        <f>IFERROR(DATEDIF(E87,Variables!$D$12,"y"),0)</f>
        <v>115</v>
      </c>
      <c r="Q87" s="15">
        <f>IFERROR(DATEDIF(E87,Variables!$D$13,"y"),0)</f>
        <v>116</v>
      </c>
      <c r="R87" s="15">
        <f>IFERROR(DATEDIF(E87,Variables!$D$14,"y"),0)</f>
        <v>117</v>
      </c>
      <c r="S87" s="15">
        <f>IFERROR(DATEDIF(E87,Variables!$D$15,"y"),0)</f>
        <v>118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9"/>
  <sheetViews>
    <sheetView workbookViewId="0">
      <selection activeCell="A8" sqref="A8:O45"/>
    </sheetView>
  </sheetViews>
  <sheetFormatPr baseColWidth="10" defaultRowHeight="15" x14ac:dyDescent="0.25"/>
  <cols>
    <col min="1" max="1" width="13.85546875" customWidth="1"/>
    <col min="2" max="5" width="26.140625" customWidth="1"/>
  </cols>
  <sheetData>
    <row r="1" spans="1:5" x14ac:dyDescent="0.25">
      <c r="A1" t="s">
        <v>52</v>
      </c>
      <c r="B1" s="2">
        <f ca="1">EOMONTH(B2,0)</f>
        <v>42185</v>
      </c>
    </row>
    <row r="2" spans="1:5" x14ac:dyDescent="0.25">
      <c r="A2" t="s">
        <v>53</v>
      </c>
      <c r="B2" s="2">
        <f ca="1">TODAY()</f>
        <v>42179</v>
      </c>
    </row>
    <row r="3" spans="1:5" ht="30" x14ac:dyDescent="0.25">
      <c r="A3" s="4" t="s">
        <v>60</v>
      </c>
      <c r="B3" s="11">
        <v>42156</v>
      </c>
    </row>
    <row r="4" spans="1:5" ht="45" x14ac:dyDescent="0.25">
      <c r="A4" s="4" t="s">
        <v>107</v>
      </c>
      <c r="B4">
        <v>218</v>
      </c>
    </row>
    <row r="8" spans="1:5" ht="15" customHeight="1" x14ac:dyDescent="0.25">
      <c r="A8" s="63" t="s">
        <v>21</v>
      </c>
      <c r="B8" s="8" t="s">
        <v>22</v>
      </c>
      <c r="C8" s="8" t="s">
        <v>23</v>
      </c>
      <c r="D8" s="9">
        <v>40695</v>
      </c>
      <c r="E8" s="9">
        <v>41060</v>
      </c>
    </row>
    <row r="9" spans="1:5" x14ac:dyDescent="0.25">
      <c r="A9" s="64"/>
      <c r="B9" s="8" t="s">
        <v>13</v>
      </c>
      <c r="C9" s="8" t="s">
        <v>24</v>
      </c>
      <c r="D9" s="9">
        <v>41061</v>
      </c>
      <c r="E9" s="9">
        <v>41425</v>
      </c>
    </row>
    <row r="10" spans="1:5" x14ac:dyDescent="0.25">
      <c r="A10" s="64"/>
      <c r="B10" s="8" t="s">
        <v>14</v>
      </c>
      <c r="C10" s="8" t="s">
        <v>25</v>
      </c>
      <c r="D10" s="9">
        <v>41426</v>
      </c>
      <c r="E10" s="9">
        <v>41790</v>
      </c>
    </row>
    <row r="11" spans="1:5" x14ac:dyDescent="0.25">
      <c r="A11" s="64"/>
      <c r="B11" s="8" t="s">
        <v>15</v>
      </c>
      <c r="C11" s="8" t="s">
        <v>26</v>
      </c>
      <c r="D11" s="9">
        <v>41791</v>
      </c>
      <c r="E11" s="9">
        <v>42155</v>
      </c>
    </row>
    <row r="12" spans="1:5" x14ac:dyDescent="0.25">
      <c r="A12" s="64"/>
      <c r="B12" s="8" t="s">
        <v>16</v>
      </c>
      <c r="C12" s="8" t="s">
        <v>27</v>
      </c>
      <c r="D12" s="9">
        <v>42156</v>
      </c>
      <c r="E12" s="9">
        <v>42521</v>
      </c>
    </row>
    <row r="13" spans="1:5" x14ac:dyDescent="0.25">
      <c r="A13" s="64"/>
      <c r="B13" s="8" t="s">
        <v>17</v>
      </c>
      <c r="C13" s="8" t="s">
        <v>28</v>
      </c>
      <c r="D13" s="9">
        <v>42522</v>
      </c>
      <c r="E13" s="9">
        <v>42886</v>
      </c>
    </row>
    <row r="14" spans="1:5" x14ac:dyDescent="0.25">
      <c r="A14" s="64"/>
      <c r="B14" s="8" t="s">
        <v>18</v>
      </c>
      <c r="C14" s="8" t="s">
        <v>29</v>
      </c>
      <c r="D14" s="9">
        <v>42887</v>
      </c>
      <c r="E14" s="9">
        <v>43251</v>
      </c>
    </row>
    <row r="15" spans="1:5" x14ac:dyDescent="0.25">
      <c r="A15" s="64"/>
      <c r="B15" s="8" t="s">
        <v>19</v>
      </c>
      <c r="C15" s="8" t="s">
        <v>30</v>
      </c>
      <c r="D15" s="9">
        <v>43252</v>
      </c>
      <c r="E15" s="9">
        <v>43616</v>
      </c>
    </row>
    <row r="16" spans="1:5" x14ac:dyDescent="0.25">
      <c r="A16" s="64"/>
      <c r="B16" s="8" t="s">
        <v>20</v>
      </c>
      <c r="C16" s="8" t="s">
        <v>31</v>
      </c>
      <c r="D16" s="9">
        <v>43617</v>
      </c>
      <c r="E16" s="9">
        <v>43982</v>
      </c>
    </row>
    <row r="17" spans="1:5" x14ac:dyDescent="0.25">
      <c r="A17" s="64"/>
      <c r="B17" s="8" t="s">
        <v>45</v>
      </c>
      <c r="C17" s="8" t="s">
        <v>43</v>
      </c>
      <c r="D17" s="9">
        <v>43983</v>
      </c>
      <c r="E17" s="9">
        <v>44347</v>
      </c>
    </row>
    <row r="18" spans="1:5" x14ac:dyDescent="0.25">
      <c r="A18" s="64"/>
      <c r="B18" s="8" t="s">
        <v>46</v>
      </c>
      <c r="C18" s="8" t="s">
        <v>44</v>
      </c>
      <c r="D18" s="9">
        <v>44348</v>
      </c>
      <c r="E18" s="9">
        <v>44712</v>
      </c>
    </row>
    <row r="19" spans="1:5" x14ac:dyDescent="0.25">
      <c r="A19" s="64"/>
      <c r="B19" s="8"/>
      <c r="C19" s="8"/>
      <c r="D19" s="9"/>
      <c r="E19" s="9"/>
    </row>
    <row r="20" spans="1:5" x14ac:dyDescent="0.25">
      <c r="A20" s="64"/>
      <c r="B20" s="8"/>
      <c r="C20" s="8"/>
      <c r="D20" s="9"/>
      <c r="E20" s="9"/>
    </row>
    <row r="21" spans="1:5" x14ac:dyDescent="0.25">
      <c r="A21" s="64"/>
      <c r="B21" s="8"/>
      <c r="C21" s="8"/>
      <c r="D21" s="9"/>
      <c r="E21" s="9"/>
    </row>
    <row r="22" spans="1:5" x14ac:dyDescent="0.25">
      <c r="A22" s="64"/>
      <c r="B22" s="8"/>
      <c r="C22" s="8"/>
      <c r="D22" s="9"/>
      <c r="E22" s="9"/>
    </row>
    <row r="23" spans="1:5" x14ac:dyDescent="0.25">
      <c r="A23" s="64"/>
      <c r="B23" s="8"/>
      <c r="C23" s="8"/>
      <c r="D23" s="9"/>
      <c r="E23" s="9"/>
    </row>
    <row r="24" spans="1:5" x14ac:dyDescent="0.25">
      <c r="A24" s="64"/>
      <c r="B24" s="8"/>
      <c r="C24" s="8"/>
      <c r="D24" s="9"/>
      <c r="E24" s="9"/>
    </row>
    <row r="26" spans="1:5" x14ac:dyDescent="0.25">
      <c r="A26" s="60" t="s">
        <v>0</v>
      </c>
      <c r="B26" s="8" t="s">
        <v>11</v>
      </c>
    </row>
    <row r="27" spans="1:5" x14ac:dyDescent="0.25">
      <c r="A27" s="61"/>
      <c r="B27" s="8" t="s">
        <v>2</v>
      </c>
    </row>
    <row r="28" spans="1:5" x14ac:dyDescent="0.25">
      <c r="A28" s="61"/>
      <c r="B28" s="8" t="s">
        <v>5</v>
      </c>
    </row>
    <row r="29" spans="1:5" x14ac:dyDescent="0.25">
      <c r="A29" s="61"/>
      <c r="B29" s="8" t="s">
        <v>9</v>
      </c>
    </row>
    <row r="30" spans="1:5" x14ac:dyDescent="0.25">
      <c r="A30" s="61"/>
      <c r="B30" s="8" t="s">
        <v>1</v>
      </c>
    </row>
    <row r="31" spans="1:5" x14ac:dyDescent="0.25">
      <c r="A31" s="61"/>
      <c r="B31" s="8" t="s">
        <v>6</v>
      </c>
    </row>
    <row r="32" spans="1:5" x14ac:dyDescent="0.25">
      <c r="A32" s="61"/>
      <c r="B32" s="8" t="s">
        <v>4</v>
      </c>
    </row>
    <row r="33" spans="1:4" x14ac:dyDescent="0.25">
      <c r="A33" s="61"/>
      <c r="B33" s="8" t="s">
        <v>7</v>
      </c>
    </row>
    <row r="34" spans="1:4" x14ac:dyDescent="0.25">
      <c r="A34" s="61"/>
      <c r="B34" s="8" t="s">
        <v>10</v>
      </c>
    </row>
    <row r="35" spans="1:4" x14ac:dyDescent="0.25">
      <c r="A35" s="61"/>
      <c r="B35" s="8" t="s">
        <v>3</v>
      </c>
    </row>
    <row r="36" spans="1:4" x14ac:dyDescent="0.25">
      <c r="A36" s="61"/>
      <c r="B36" s="8" t="s">
        <v>8</v>
      </c>
    </row>
    <row r="37" spans="1:4" x14ac:dyDescent="0.25">
      <c r="A37" s="61"/>
      <c r="B37" s="8"/>
    </row>
    <row r="38" spans="1:4" x14ac:dyDescent="0.25">
      <c r="A38" s="61"/>
      <c r="B38" s="8"/>
    </row>
    <row r="39" spans="1:4" x14ac:dyDescent="0.25">
      <c r="A39" s="61"/>
      <c r="B39" s="8"/>
    </row>
    <row r="40" spans="1:4" x14ac:dyDescent="0.25">
      <c r="A40" s="61"/>
      <c r="B40" s="8"/>
    </row>
    <row r="41" spans="1:4" x14ac:dyDescent="0.25">
      <c r="A41" s="61"/>
      <c r="B41" s="8"/>
    </row>
    <row r="42" spans="1:4" x14ac:dyDescent="0.25">
      <c r="A42" s="61"/>
      <c r="B42" s="8"/>
    </row>
    <row r="43" spans="1:4" x14ac:dyDescent="0.25">
      <c r="A43" s="61"/>
      <c r="B43" s="8"/>
    </row>
    <row r="44" spans="1:4" x14ac:dyDescent="0.25">
      <c r="A44" s="61"/>
      <c r="B44" s="8"/>
    </row>
    <row r="45" spans="1:4" x14ac:dyDescent="0.25">
      <c r="A45" s="62"/>
      <c r="B45" s="8"/>
    </row>
    <row r="48" spans="1:4" x14ac:dyDescent="0.25">
      <c r="A48" t="s">
        <v>93</v>
      </c>
      <c r="B48" s="65">
        <v>2015</v>
      </c>
      <c r="C48" s="65"/>
      <c r="D48" s="22" t="s">
        <v>94</v>
      </c>
    </row>
    <row r="49" spans="2:4" x14ac:dyDescent="0.25">
      <c r="B49" s="21">
        <v>42005</v>
      </c>
      <c r="C49" s="21">
        <v>42035</v>
      </c>
      <c r="D49" s="21">
        <v>42005</v>
      </c>
    </row>
    <row r="50" spans="2:4" x14ac:dyDescent="0.25">
      <c r="B50" s="21">
        <v>42036</v>
      </c>
      <c r="C50" s="21">
        <v>42063</v>
      </c>
      <c r="D50" s="21">
        <v>42100</v>
      </c>
    </row>
    <row r="51" spans="2:4" x14ac:dyDescent="0.25">
      <c r="B51" s="21">
        <v>42064</v>
      </c>
      <c r="C51" s="21">
        <v>42094</v>
      </c>
      <c r="D51" s="21">
        <v>42125</v>
      </c>
    </row>
    <row r="52" spans="2:4" x14ac:dyDescent="0.25">
      <c r="B52" s="21">
        <v>42095</v>
      </c>
      <c r="C52" s="21">
        <v>42124</v>
      </c>
      <c r="D52" s="21">
        <v>42132</v>
      </c>
    </row>
    <row r="53" spans="2:4" x14ac:dyDescent="0.25">
      <c r="B53" s="21">
        <v>42125</v>
      </c>
      <c r="C53" s="21">
        <v>42155</v>
      </c>
      <c r="D53" s="21">
        <v>42138</v>
      </c>
    </row>
    <row r="54" spans="2:4" x14ac:dyDescent="0.25">
      <c r="B54" s="21">
        <v>42156</v>
      </c>
      <c r="C54" s="21">
        <v>42185</v>
      </c>
      <c r="D54" s="21">
        <v>42149</v>
      </c>
    </row>
    <row r="55" spans="2:4" x14ac:dyDescent="0.25">
      <c r="B55" s="21">
        <v>42186</v>
      </c>
      <c r="C55" s="21">
        <v>42216</v>
      </c>
      <c r="D55" s="21">
        <v>42199</v>
      </c>
    </row>
    <row r="56" spans="2:4" x14ac:dyDescent="0.25">
      <c r="B56" s="21">
        <v>42217</v>
      </c>
      <c r="C56" s="21">
        <v>42247</v>
      </c>
      <c r="D56" s="21">
        <v>42319</v>
      </c>
    </row>
    <row r="57" spans="2:4" x14ac:dyDescent="0.25">
      <c r="B57" s="21">
        <v>42248</v>
      </c>
      <c r="C57" s="21">
        <v>42277</v>
      </c>
      <c r="D57" s="21">
        <v>42363</v>
      </c>
    </row>
    <row r="58" spans="2:4" x14ac:dyDescent="0.25">
      <c r="B58" s="21">
        <v>42278</v>
      </c>
      <c r="C58" s="21">
        <v>42308</v>
      </c>
      <c r="D58" s="21"/>
    </row>
    <row r="59" spans="2:4" x14ac:dyDescent="0.25">
      <c r="B59" s="21">
        <v>42309</v>
      </c>
      <c r="C59" s="21">
        <v>42338</v>
      </c>
      <c r="D59" s="21"/>
    </row>
    <row r="60" spans="2:4" x14ac:dyDescent="0.25">
      <c r="B60" s="21">
        <v>42339</v>
      </c>
      <c r="C60" s="21">
        <v>42369</v>
      </c>
      <c r="D60" s="21"/>
    </row>
    <row r="62" spans="2:4" x14ac:dyDescent="0.25">
      <c r="B62" s="65">
        <v>2016</v>
      </c>
      <c r="C62" s="65"/>
    </row>
    <row r="63" spans="2:4" x14ac:dyDescent="0.25">
      <c r="B63" s="21">
        <v>42370</v>
      </c>
      <c r="C63" s="21">
        <v>42400</v>
      </c>
    </row>
    <row r="64" spans="2:4" x14ac:dyDescent="0.25">
      <c r="B64" s="21">
        <v>42401</v>
      </c>
      <c r="C64" s="21">
        <v>42429</v>
      </c>
    </row>
    <row r="65" spans="2:3" x14ac:dyDescent="0.25">
      <c r="B65" s="21">
        <v>42430</v>
      </c>
      <c r="C65" s="21">
        <v>42460</v>
      </c>
    </row>
    <row r="66" spans="2:3" x14ac:dyDescent="0.25">
      <c r="B66" s="21">
        <v>42461</v>
      </c>
      <c r="C66" s="21">
        <v>42490</v>
      </c>
    </row>
    <row r="67" spans="2:3" x14ac:dyDescent="0.25">
      <c r="B67" s="21">
        <v>42491</v>
      </c>
      <c r="C67" s="21">
        <v>42521</v>
      </c>
    </row>
    <row r="68" spans="2:3" x14ac:dyDescent="0.25">
      <c r="B68" s="21">
        <v>42522</v>
      </c>
      <c r="C68" s="21">
        <v>42551</v>
      </c>
    </row>
    <row r="69" spans="2:3" x14ac:dyDescent="0.25">
      <c r="B69" s="21">
        <v>42552</v>
      </c>
      <c r="C69" s="21">
        <v>42582</v>
      </c>
    </row>
    <row r="70" spans="2:3" x14ac:dyDescent="0.25">
      <c r="B70" s="21">
        <v>42583</v>
      </c>
      <c r="C70" s="21">
        <v>42613</v>
      </c>
    </row>
    <row r="71" spans="2:3" x14ac:dyDescent="0.25">
      <c r="B71" s="21">
        <v>42614</v>
      </c>
      <c r="C71" s="21">
        <v>42643</v>
      </c>
    </row>
    <row r="72" spans="2:3" x14ac:dyDescent="0.25">
      <c r="B72" s="21">
        <v>42644</v>
      </c>
      <c r="C72" s="21">
        <v>42674</v>
      </c>
    </row>
    <row r="73" spans="2:3" x14ac:dyDescent="0.25">
      <c r="B73" s="21">
        <v>42675</v>
      </c>
      <c r="C73" s="21">
        <v>42704</v>
      </c>
    </row>
    <row r="74" spans="2:3" x14ac:dyDescent="0.25">
      <c r="B74" s="21">
        <v>42705</v>
      </c>
      <c r="C74" s="21">
        <v>42735</v>
      </c>
    </row>
    <row r="77" spans="2:3" ht="15.75" x14ac:dyDescent="0.25">
      <c r="B77" s="23" t="s">
        <v>95</v>
      </c>
      <c r="C77" s="23"/>
    </row>
    <row r="78" spans="2:3" ht="16.5" thickBot="1" x14ac:dyDescent="0.3">
      <c r="B78" s="24"/>
      <c r="C78" s="24"/>
    </row>
    <row r="79" spans="2:3" ht="15.75" x14ac:dyDescent="0.25">
      <c r="B79" s="58" t="s">
        <v>96</v>
      </c>
      <c r="C79" s="25" t="s">
        <v>97</v>
      </c>
    </row>
    <row r="80" spans="2:3" ht="16.5" thickBot="1" x14ac:dyDescent="0.3">
      <c r="B80" s="59"/>
      <c r="C80" s="26" t="s">
        <v>98</v>
      </c>
    </row>
    <row r="81" spans="2:3" ht="15.75" x14ac:dyDescent="0.25">
      <c r="B81" s="27" t="s">
        <v>99</v>
      </c>
      <c r="C81" s="28">
        <v>365</v>
      </c>
    </row>
    <row r="82" spans="2:3" ht="15.75" x14ac:dyDescent="0.25">
      <c r="B82" s="29" t="s">
        <v>100</v>
      </c>
      <c r="C82" s="30">
        <v>-52</v>
      </c>
    </row>
    <row r="83" spans="2:3" ht="15.75" x14ac:dyDescent="0.25">
      <c r="B83" s="29" t="s">
        <v>101</v>
      </c>
      <c r="C83" s="30">
        <v>-52</v>
      </c>
    </row>
    <row r="84" spans="2:3" ht="15.75" x14ac:dyDescent="0.25">
      <c r="B84" s="29" t="s">
        <v>102</v>
      </c>
      <c r="C84" s="30">
        <v>-9</v>
      </c>
    </row>
    <row r="85" spans="2:3" ht="15.75" x14ac:dyDescent="0.25">
      <c r="B85" s="29" t="s">
        <v>103</v>
      </c>
      <c r="C85" s="30">
        <v>-25</v>
      </c>
    </row>
    <row r="86" spans="2:3" ht="16.5" thickBot="1" x14ac:dyDescent="0.3">
      <c r="B86" s="29" t="s">
        <v>104</v>
      </c>
      <c r="C86" s="30">
        <v>1</v>
      </c>
    </row>
    <row r="87" spans="2:3" ht="16.5" thickBot="1" x14ac:dyDescent="0.3">
      <c r="B87" s="31" t="s">
        <v>55</v>
      </c>
      <c r="C87" s="32">
        <f>SUM(C81:C86)</f>
        <v>228</v>
      </c>
    </row>
    <row r="88" spans="2:3" ht="106.5" thickBot="1" x14ac:dyDescent="0.3">
      <c r="B88" s="33" t="s">
        <v>105</v>
      </c>
      <c r="C88" s="34">
        <v>218</v>
      </c>
    </row>
    <row r="89" spans="2:3" ht="16.5" thickBot="1" x14ac:dyDescent="0.3">
      <c r="B89" s="35" t="s">
        <v>106</v>
      </c>
      <c r="C89" s="36">
        <f>SUM(C87)-C88</f>
        <v>10</v>
      </c>
    </row>
    <row r="90" spans="2:3" ht="15.75" thickBot="1" x14ac:dyDescent="0.3"/>
    <row r="91" spans="2:3" ht="15.75" x14ac:dyDescent="0.25">
      <c r="B91" s="58" t="s">
        <v>96</v>
      </c>
      <c r="C91" s="25" t="s">
        <v>97</v>
      </c>
    </row>
    <row r="92" spans="2:3" ht="16.5" thickBot="1" x14ac:dyDescent="0.3">
      <c r="B92" s="59"/>
      <c r="C92" s="26" t="s">
        <v>98</v>
      </c>
    </row>
    <row r="93" spans="2:3" ht="15.75" x14ac:dyDescent="0.25">
      <c r="B93" s="27" t="s">
        <v>99</v>
      </c>
      <c r="C93" s="28">
        <v>365</v>
      </c>
    </row>
    <row r="94" spans="2:3" ht="15.75" x14ac:dyDescent="0.25">
      <c r="B94" s="29" t="s">
        <v>100</v>
      </c>
      <c r="C94" s="30">
        <v>-52</v>
      </c>
    </row>
    <row r="95" spans="2:3" ht="15.75" x14ac:dyDescent="0.25">
      <c r="B95" s="29" t="s">
        <v>101</v>
      </c>
      <c r="C95" s="30">
        <v>-52</v>
      </c>
    </row>
    <row r="96" spans="2:3" ht="15.75" x14ac:dyDescent="0.25">
      <c r="B96" s="29" t="s">
        <v>102</v>
      </c>
      <c r="C96" s="30">
        <v>-9</v>
      </c>
    </row>
    <row r="97" spans="2:3" ht="15.75" x14ac:dyDescent="0.25">
      <c r="B97" s="29"/>
      <c r="C97" s="30"/>
    </row>
    <row r="98" spans="2:3" ht="16.5" thickBot="1" x14ac:dyDescent="0.3">
      <c r="B98" s="29"/>
      <c r="C98" s="30"/>
    </row>
    <row r="99" spans="2:3" ht="16.5" thickBot="1" x14ac:dyDescent="0.3">
      <c r="B99" s="31" t="s">
        <v>55</v>
      </c>
      <c r="C99" s="32">
        <f>SUM(C93:C98)</f>
        <v>252</v>
      </c>
    </row>
  </sheetData>
  <sortState ref="B33:B43">
    <sortCondition ref="B33"/>
  </sortState>
  <mergeCells count="6">
    <mergeCell ref="B91:B92"/>
    <mergeCell ref="A26:A45"/>
    <mergeCell ref="A8:A24"/>
    <mergeCell ref="B48:C48"/>
    <mergeCell ref="B62:C62"/>
    <mergeCell ref="B79:B8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SG</vt:lpstr>
      <vt:lpstr>SAV</vt:lpstr>
      <vt:lpstr>Matrice</vt:lpstr>
      <vt:lpstr>BDD Salariés</vt:lpstr>
      <vt:lpstr>Variables</vt:lpstr>
      <vt:lpstr>Matrice!Impression_des_titres</vt:lpstr>
      <vt:lpstr>SAV!Impression_des_titres</vt:lpstr>
      <vt:lpstr>SG!Impression_des_titres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 BORDE</dc:creator>
  <cp:lastModifiedBy>Sophie PIEMONTOY</cp:lastModifiedBy>
  <cp:lastPrinted>2015-06-24T15:17:21Z</cp:lastPrinted>
  <dcterms:created xsi:type="dcterms:W3CDTF">2014-12-30T09:02:48Z</dcterms:created>
  <dcterms:modified xsi:type="dcterms:W3CDTF">2015-06-24T16:15:22Z</dcterms:modified>
</cp:coreProperties>
</file>