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1315" windowHeight="9780" activeTab="1"/>
  </bookViews>
  <sheets>
    <sheet name="Base de données" sheetId="1" r:id="rId1"/>
    <sheet name="Stats Groupées" sheetId="2" r:id="rId2"/>
    <sheet name="Stats Individuelles" sheetId="3" r:id="rId3"/>
  </sheets>
  <definedNames>
    <definedName name="_xlnm._FilterDatabase" localSheetId="0" hidden="1">'Base de données'!$A$1:$AI$464</definedName>
    <definedName name="_xlnm.Print_Area" localSheetId="0">'Base de données'!$A$1:$G$464</definedName>
  </definedNames>
  <calcPr calcId="125725"/>
</workbook>
</file>

<file path=xl/calcChain.xml><?xml version="1.0" encoding="utf-8"?>
<calcChain xmlns="http://schemas.openxmlformats.org/spreadsheetml/2006/main">
  <c r="B2" i="2"/>
  <c r="H2" s="1"/>
  <c r="B3" i="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G61" i="1"/>
  <c r="G233"/>
  <c r="G374"/>
  <c r="G375"/>
  <c r="G376"/>
  <c r="G432"/>
  <c r="G116" i="3"/>
  <c r="G127"/>
  <c r="G130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G111"/>
  <c r="E111"/>
  <c r="C111"/>
  <c r="B111"/>
  <c r="U89"/>
  <c r="U100"/>
  <c r="U103"/>
  <c r="S85"/>
  <c r="S86"/>
  <c r="S87"/>
  <c r="S88"/>
  <c r="S89"/>
  <c r="S90"/>
  <c r="S91"/>
  <c r="S92"/>
  <c r="S93"/>
  <c r="S94"/>
  <c r="S95"/>
  <c r="S96"/>
  <c r="S97"/>
  <c r="S98"/>
  <c r="S99"/>
  <c r="S100"/>
  <c r="S101"/>
  <c r="S102"/>
  <c r="S103"/>
  <c r="S104"/>
  <c r="S105"/>
  <c r="S106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U84"/>
  <c r="S84"/>
  <c r="Q84"/>
  <c r="P84"/>
  <c r="N89"/>
  <c r="N100"/>
  <c r="N103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N84"/>
  <c r="L84"/>
  <c r="J84"/>
  <c r="I84"/>
  <c r="B85"/>
  <c r="C85"/>
  <c r="B86"/>
  <c r="C86"/>
  <c r="B87"/>
  <c r="C87"/>
  <c r="B88"/>
  <c r="C88"/>
  <c r="B89"/>
  <c r="C89"/>
  <c r="B90"/>
  <c r="C90"/>
  <c r="B91"/>
  <c r="C91"/>
  <c r="B92"/>
  <c r="C92"/>
  <c r="B93"/>
  <c r="C93"/>
  <c r="B94"/>
  <c r="C94"/>
  <c r="B95"/>
  <c r="C95"/>
  <c r="B96"/>
  <c r="C96"/>
  <c r="B97"/>
  <c r="C97"/>
  <c r="B98"/>
  <c r="C98"/>
  <c r="B99"/>
  <c r="C99"/>
  <c r="B100"/>
  <c r="C100"/>
  <c r="B101"/>
  <c r="C101"/>
  <c r="B102"/>
  <c r="C102"/>
  <c r="B103"/>
  <c r="C103"/>
  <c r="B104"/>
  <c r="C104"/>
  <c r="B105"/>
  <c r="C105"/>
  <c r="B106"/>
  <c r="C106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G89"/>
  <c r="G100"/>
  <c r="G103"/>
  <c r="G84"/>
  <c r="E84"/>
  <c r="C84"/>
  <c r="B84"/>
  <c r="U62"/>
  <c r="U73"/>
  <c r="U76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U57"/>
  <c r="S57"/>
  <c r="Q57"/>
  <c r="P57"/>
  <c r="N62"/>
  <c r="N73"/>
  <c r="N76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N57"/>
  <c r="L57"/>
  <c r="J57"/>
  <c r="I57"/>
  <c r="G62"/>
  <c r="G73"/>
  <c r="G76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G57"/>
  <c r="C57"/>
  <c r="E57"/>
  <c r="B57"/>
  <c r="U35"/>
  <c r="U46"/>
  <c r="U49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U30"/>
  <c r="S30"/>
  <c r="Q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30"/>
  <c r="G35"/>
  <c r="G46"/>
  <c r="G49"/>
  <c r="B48"/>
  <c r="D48" s="1"/>
  <c r="C48"/>
  <c r="E48"/>
  <c r="I48"/>
  <c r="J48"/>
  <c r="L48"/>
  <c r="N35"/>
  <c r="N46"/>
  <c r="N49"/>
  <c r="L31"/>
  <c r="L32"/>
  <c r="L33"/>
  <c r="L34"/>
  <c r="L35"/>
  <c r="L36"/>
  <c r="L37"/>
  <c r="L38"/>
  <c r="L39"/>
  <c r="L40"/>
  <c r="L41"/>
  <c r="L42"/>
  <c r="L43"/>
  <c r="L44"/>
  <c r="L45"/>
  <c r="L46"/>
  <c r="L47"/>
  <c r="L49"/>
  <c r="L50"/>
  <c r="L51"/>
  <c r="N30"/>
  <c r="G30"/>
  <c r="L30"/>
  <c r="J31"/>
  <c r="J32"/>
  <c r="J33"/>
  <c r="J34"/>
  <c r="J35"/>
  <c r="J36"/>
  <c r="J37"/>
  <c r="J38"/>
  <c r="J39"/>
  <c r="J40"/>
  <c r="J41"/>
  <c r="J42"/>
  <c r="J43"/>
  <c r="J44"/>
  <c r="J45"/>
  <c r="J46"/>
  <c r="J47"/>
  <c r="J49"/>
  <c r="J50"/>
  <c r="J51"/>
  <c r="J52"/>
  <c r="J30"/>
  <c r="I31"/>
  <c r="I32"/>
  <c r="I33"/>
  <c r="I34"/>
  <c r="I35"/>
  <c r="I36"/>
  <c r="I37"/>
  <c r="I38"/>
  <c r="I39"/>
  <c r="I40"/>
  <c r="I41"/>
  <c r="I42"/>
  <c r="I43"/>
  <c r="I44"/>
  <c r="I45"/>
  <c r="I46"/>
  <c r="I47"/>
  <c r="I49"/>
  <c r="O49" s="1"/>
  <c r="I50"/>
  <c r="I51"/>
  <c r="K51" s="1"/>
  <c r="I52"/>
  <c r="I30"/>
  <c r="M30" s="1"/>
  <c r="E31"/>
  <c r="E32"/>
  <c r="E33"/>
  <c r="E34"/>
  <c r="E35"/>
  <c r="E36"/>
  <c r="E37"/>
  <c r="E38"/>
  <c r="E39"/>
  <c r="E40"/>
  <c r="E41"/>
  <c r="E42"/>
  <c r="E43"/>
  <c r="E44"/>
  <c r="E45"/>
  <c r="E46"/>
  <c r="E47"/>
  <c r="E49"/>
  <c r="E50"/>
  <c r="E51"/>
  <c r="E52"/>
  <c r="E30"/>
  <c r="C31"/>
  <c r="C32"/>
  <c r="C33"/>
  <c r="C34"/>
  <c r="C35"/>
  <c r="C36"/>
  <c r="C37"/>
  <c r="C38"/>
  <c r="C39"/>
  <c r="C40"/>
  <c r="C41"/>
  <c r="C42"/>
  <c r="C43"/>
  <c r="C44"/>
  <c r="C45"/>
  <c r="C46"/>
  <c r="C47"/>
  <c r="C49"/>
  <c r="C50"/>
  <c r="C51"/>
  <c r="C52"/>
  <c r="C30"/>
  <c r="B31"/>
  <c r="B32"/>
  <c r="D32" s="1"/>
  <c r="B33"/>
  <c r="B34"/>
  <c r="F34" s="1"/>
  <c r="B35"/>
  <c r="B36"/>
  <c r="D36" s="1"/>
  <c r="B37"/>
  <c r="B38"/>
  <c r="F38" s="1"/>
  <c r="B39"/>
  <c r="B40"/>
  <c r="D40" s="1"/>
  <c r="B41"/>
  <c r="B42"/>
  <c r="F42" s="1"/>
  <c r="B43"/>
  <c r="B44"/>
  <c r="D44" s="1"/>
  <c r="B45"/>
  <c r="B46"/>
  <c r="F46" s="1"/>
  <c r="B47"/>
  <c r="B49"/>
  <c r="B50"/>
  <c r="F50" s="1"/>
  <c r="B51"/>
  <c r="B52"/>
  <c r="D52" s="1"/>
  <c r="B30"/>
  <c r="F30" s="1"/>
  <c r="P21"/>
  <c r="V21" s="1"/>
  <c r="Q21"/>
  <c r="S21"/>
  <c r="I21"/>
  <c r="J21"/>
  <c r="L21"/>
  <c r="E21"/>
  <c r="C21"/>
  <c r="F21"/>
  <c r="G2" i="1"/>
  <c r="G3"/>
  <c r="G4"/>
  <c r="G5"/>
  <c r="U101" i="3" s="1"/>
  <c r="G6" i="1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U93" i="3" s="1"/>
  <c r="G26" i="1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C133" i="3"/>
  <c r="L52"/>
  <c r="U8"/>
  <c r="U12"/>
  <c r="U18"/>
  <c r="U19"/>
  <c r="U20"/>
  <c r="U22"/>
  <c r="U3"/>
  <c r="S4"/>
  <c r="S5"/>
  <c r="S6"/>
  <c r="S7"/>
  <c r="S8"/>
  <c r="S9"/>
  <c r="S10"/>
  <c r="S11"/>
  <c r="S12"/>
  <c r="S13"/>
  <c r="S14"/>
  <c r="S15"/>
  <c r="S16"/>
  <c r="S17"/>
  <c r="S18"/>
  <c r="S19"/>
  <c r="S20"/>
  <c r="S22"/>
  <c r="S23"/>
  <c r="S24"/>
  <c r="S25"/>
  <c r="S3"/>
  <c r="Q4"/>
  <c r="Q5"/>
  <c r="Q6"/>
  <c r="Q7"/>
  <c r="Q8"/>
  <c r="Q9"/>
  <c r="Q10"/>
  <c r="Q11"/>
  <c r="Q12"/>
  <c r="Q13"/>
  <c r="Q14"/>
  <c r="Q15"/>
  <c r="Q16"/>
  <c r="Q17"/>
  <c r="Q18"/>
  <c r="Q19"/>
  <c r="Q20"/>
  <c r="Q22"/>
  <c r="Q23"/>
  <c r="Q24"/>
  <c r="Q25"/>
  <c r="Q3"/>
  <c r="P4"/>
  <c r="P5"/>
  <c r="P6"/>
  <c r="P7"/>
  <c r="P8"/>
  <c r="V8" s="1"/>
  <c r="P9"/>
  <c r="V9" s="1"/>
  <c r="P10"/>
  <c r="P11"/>
  <c r="P12"/>
  <c r="V12" s="1"/>
  <c r="P13"/>
  <c r="V13" s="1"/>
  <c r="P14"/>
  <c r="P15"/>
  <c r="P16"/>
  <c r="P17"/>
  <c r="P18"/>
  <c r="V18" s="1"/>
  <c r="P19"/>
  <c r="V19" s="1"/>
  <c r="P20"/>
  <c r="V20" s="1"/>
  <c r="P22"/>
  <c r="V22" s="1"/>
  <c r="P23"/>
  <c r="P24"/>
  <c r="V24" s="1"/>
  <c r="P25"/>
  <c r="P3"/>
  <c r="T3" s="1"/>
  <c r="N8"/>
  <c r="N12"/>
  <c r="N18"/>
  <c r="N19"/>
  <c r="N20"/>
  <c r="N22"/>
  <c r="N3"/>
  <c r="L4"/>
  <c r="L5"/>
  <c r="L6"/>
  <c r="L7"/>
  <c r="L8"/>
  <c r="L9"/>
  <c r="L10"/>
  <c r="L11"/>
  <c r="L12"/>
  <c r="L13"/>
  <c r="L14"/>
  <c r="L15"/>
  <c r="L16"/>
  <c r="L17"/>
  <c r="L18"/>
  <c r="L19"/>
  <c r="L20"/>
  <c r="L22"/>
  <c r="L23"/>
  <c r="L24"/>
  <c r="L25"/>
  <c r="L3"/>
  <c r="J4"/>
  <c r="J5"/>
  <c r="J6"/>
  <c r="J7"/>
  <c r="J8"/>
  <c r="J9"/>
  <c r="J10"/>
  <c r="J11"/>
  <c r="J12"/>
  <c r="J13"/>
  <c r="J14"/>
  <c r="J15"/>
  <c r="J16"/>
  <c r="J17"/>
  <c r="J18"/>
  <c r="J19"/>
  <c r="J20"/>
  <c r="J22"/>
  <c r="J23"/>
  <c r="J24"/>
  <c r="J25"/>
  <c r="J3"/>
  <c r="I25"/>
  <c r="I4"/>
  <c r="I5"/>
  <c r="I6"/>
  <c r="I7"/>
  <c r="O7" s="1"/>
  <c r="I8"/>
  <c r="O8" s="1"/>
  <c r="I9"/>
  <c r="O9" s="1"/>
  <c r="I10"/>
  <c r="I11"/>
  <c r="I12"/>
  <c r="O12" s="1"/>
  <c r="I13"/>
  <c r="O13" s="1"/>
  <c r="I14"/>
  <c r="I15"/>
  <c r="O15" s="1"/>
  <c r="I16"/>
  <c r="I17"/>
  <c r="I18"/>
  <c r="O18" s="1"/>
  <c r="I19"/>
  <c r="O19" s="1"/>
  <c r="I20"/>
  <c r="O20" s="1"/>
  <c r="I22"/>
  <c r="O22" s="1"/>
  <c r="I23"/>
  <c r="I24"/>
  <c r="O24" s="1"/>
  <c r="I3"/>
  <c r="O3" s="1"/>
  <c r="U99" l="1"/>
  <c r="D47"/>
  <c r="F47"/>
  <c r="H47"/>
  <c r="D45"/>
  <c r="F45"/>
  <c r="H45"/>
  <c r="D43"/>
  <c r="F43"/>
  <c r="D41"/>
  <c r="F41"/>
  <c r="D39"/>
  <c r="F39"/>
  <c r="H39"/>
  <c r="D37"/>
  <c r="F37"/>
  <c r="D35"/>
  <c r="F35"/>
  <c r="H35"/>
  <c r="D33"/>
  <c r="F33"/>
  <c r="D31"/>
  <c r="F31"/>
  <c r="M52"/>
  <c r="K52"/>
  <c r="M50"/>
  <c r="K50"/>
  <c r="O47"/>
  <c r="M47"/>
  <c r="O45"/>
  <c r="M45"/>
  <c r="M43"/>
  <c r="O41"/>
  <c r="M41"/>
  <c r="O39"/>
  <c r="M39"/>
  <c r="M37"/>
  <c r="O35"/>
  <c r="M35"/>
  <c r="M33"/>
  <c r="M31"/>
  <c r="M48"/>
  <c r="K48"/>
  <c r="T30"/>
  <c r="V30"/>
  <c r="R30"/>
  <c r="V51"/>
  <c r="T51"/>
  <c r="R51"/>
  <c r="V49"/>
  <c r="T49"/>
  <c r="R49"/>
  <c r="V47"/>
  <c r="T47"/>
  <c r="R47"/>
  <c r="V45"/>
  <c r="T45"/>
  <c r="R45"/>
  <c r="T43"/>
  <c r="R43"/>
  <c r="T41"/>
  <c r="R41"/>
  <c r="V39"/>
  <c r="T39"/>
  <c r="R39"/>
  <c r="T37"/>
  <c r="R37"/>
  <c r="V35"/>
  <c r="T35"/>
  <c r="R35"/>
  <c r="T33"/>
  <c r="R33"/>
  <c r="T31"/>
  <c r="R31"/>
  <c r="H57"/>
  <c r="D57"/>
  <c r="F57"/>
  <c r="F79"/>
  <c r="D79"/>
  <c r="F77"/>
  <c r="D77"/>
  <c r="F75"/>
  <c r="H75"/>
  <c r="D75"/>
  <c r="H73"/>
  <c r="D73"/>
  <c r="F73"/>
  <c r="F71"/>
  <c r="H71"/>
  <c r="D71"/>
  <c r="D69"/>
  <c r="F69"/>
  <c r="F67"/>
  <c r="H67"/>
  <c r="D67"/>
  <c r="D65"/>
  <c r="F65"/>
  <c r="F63"/>
  <c r="H63"/>
  <c r="D63"/>
  <c r="D61"/>
  <c r="F61"/>
  <c r="F59"/>
  <c r="D59"/>
  <c r="M57"/>
  <c r="K57"/>
  <c r="O57"/>
  <c r="M79"/>
  <c r="K79"/>
  <c r="M77"/>
  <c r="K77"/>
  <c r="O75"/>
  <c r="M75"/>
  <c r="K75"/>
  <c r="O73"/>
  <c r="M73"/>
  <c r="K73"/>
  <c r="M71"/>
  <c r="K71"/>
  <c r="M69"/>
  <c r="K69"/>
  <c r="M67"/>
  <c r="K67"/>
  <c r="O65"/>
  <c r="M65"/>
  <c r="K65"/>
  <c r="O63"/>
  <c r="M63"/>
  <c r="K63"/>
  <c r="O61"/>
  <c r="M61"/>
  <c r="K61"/>
  <c r="M59"/>
  <c r="K59"/>
  <c r="V57"/>
  <c r="R57"/>
  <c r="T57"/>
  <c r="R79"/>
  <c r="T79"/>
  <c r="T77"/>
  <c r="R77"/>
  <c r="R75"/>
  <c r="T75"/>
  <c r="T73"/>
  <c r="V73"/>
  <c r="R73"/>
  <c r="R71"/>
  <c r="T71"/>
  <c r="T69"/>
  <c r="V69"/>
  <c r="R69"/>
  <c r="V67"/>
  <c r="R67"/>
  <c r="T67"/>
  <c r="T65"/>
  <c r="R65"/>
  <c r="V63"/>
  <c r="R63"/>
  <c r="T63"/>
  <c r="T61"/>
  <c r="R61"/>
  <c r="R59"/>
  <c r="T59"/>
  <c r="F84"/>
  <c r="H84"/>
  <c r="D84"/>
  <c r="O84"/>
  <c r="K84"/>
  <c r="M84"/>
  <c r="M106"/>
  <c r="K106"/>
  <c r="K104"/>
  <c r="M104"/>
  <c r="M102"/>
  <c r="K102"/>
  <c r="O100"/>
  <c r="K100"/>
  <c r="M100"/>
  <c r="M98"/>
  <c r="K98"/>
  <c r="O96"/>
  <c r="K96"/>
  <c r="M96"/>
  <c r="M94"/>
  <c r="O94"/>
  <c r="K94"/>
  <c r="O92"/>
  <c r="K92"/>
  <c r="M92"/>
  <c r="M90"/>
  <c r="O90"/>
  <c r="K90"/>
  <c r="O88"/>
  <c r="K88"/>
  <c r="M88"/>
  <c r="M86"/>
  <c r="K86"/>
  <c r="T84"/>
  <c r="R84"/>
  <c r="V84"/>
  <c r="V106"/>
  <c r="T106"/>
  <c r="R106"/>
  <c r="V104"/>
  <c r="T104"/>
  <c r="R104"/>
  <c r="V102"/>
  <c r="T102"/>
  <c r="R102"/>
  <c r="V100"/>
  <c r="T100"/>
  <c r="R100"/>
  <c r="V98"/>
  <c r="T98"/>
  <c r="R98"/>
  <c r="V96"/>
  <c r="T96"/>
  <c r="R96"/>
  <c r="V94"/>
  <c r="T94"/>
  <c r="R94"/>
  <c r="V92"/>
  <c r="T92"/>
  <c r="R92"/>
  <c r="V90"/>
  <c r="T90"/>
  <c r="R90"/>
  <c r="V88"/>
  <c r="T88"/>
  <c r="R88"/>
  <c r="V86"/>
  <c r="T86"/>
  <c r="R86"/>
  <c r="H111"/>
  <c r="D111"/>
  <c r="F111"/>
  <c r="D133"/>
  <c r="F133"/>
  <c r="F131"/>
  <c r="D131"/>
  <c r="D129"/>
  <c r="F129"/>
  <c r="F127"/>
  <c r="D127"/>
  <c r="H127"/>
  <c r="D125"/>
  <c r="F125"/>
  <c r="F123"/>
  <c r="D123"/>
  <c r="D121"/>
  <c r="F121"/>
  <c r="F119"/>
  <c r="D119"/>
  <c r="D117"/>
  <c r="F117"/>
  <c r="F115"/>
  <c r="D115"/>
  <c r="D113"/>
  <c r="F113"/>
  <c r="N47"/>
  <c r="N45"/>
  <c r="N39"/>
  <c r="N74"/>
  <c r="N72"/>
  <c r="N66"/>
  <c r="G128"/>
  <c r="H128" s="1"/>
  <c r="G126"/>
  <c r="G120"/>
  <c r="H120" s="1"/>
  <c r="D21"/>
  <c r="K3"/>
  <c r="K25"/>
  <c r="K23"/>
  <c r="K21"/>
  <c r="K19"/>
  <c r="K17"/>
  <c r="K15"/>
  <c r="K13"/>
  <c r="K11"/>
  <c r="K9"/>
  <c r="K7"/>
  <c r="K5"/>
  <c r="M25"/>
  <c r="M23"/>
  <c r="M21"/>
  <c r="M19"/>
  <c r="M17"/>
  <c r="M15"/>
  <c r="M13"/>
  <c r="M11"/>
  <c r="M9"/>
  <c r="M7"/>
  <c r="M5"/>
  <c r="R3"/>
  <c r="V3"/>
  <c r="R24"/>
  <c r="R22"/>
  <c r="R20"/>
  <c r="R18"/>
  <c r="R16"/>
  <c r="R14"/>
  <c r="R12"/>
  <c r="R10"/>
  <c r="R8"/>
  <c r="R6"/>
  <c r="R4"/>
  <c r="T24"/>
  <c r="T22"/>
  <c r="T20"/>
  <c r="T18"/>
  <c r="T16"/>
  <c r="T14"/>
  <c r="T12"/>
  <c r="T10"/>
  <c r="T8"/>
  <c r="T6"/>
  <c r="T4"/>
  <c r="H46"/>
  <c r="F52"/>
  <c r="F48"/>
  <c r="F44"/>
  <c r="F40"/>
  <c r="F36"/>
  <c r="F32"/>
  <c r="D50"/>
  <c r="D46"/>
  <c r="D42"/>
  <c r="D38"/>
  <c r="D34"/>
  <c r="K30"/>
  <c r="K47"/>
  <c r="K43"/>
  <c r="K39"/>
  <c r="K35"/>
  <c r="K31"/>
  <c r="M49"/>
  <c r="H30"/>
  <c r="D30"/>
  <c r="D51"/>
  <c r="F51"/>
  <c r="D49"/>
  <c r="F49"/>
  <c r="H49"/>
  <c r="O46"/>
  <c r="M46"/>
  <c r="K46"/>
  <c r="O44"/>
  <c r="M44"/>
  <c r="K44"/>
  <c r="O42"/>
  <c r="M42"/>
  <c r="K42"/>
  <c r="O40"/>
  <c r="M40"/>
  <c r="K40"/>
  <c r="O38"/>
  <c r="M38"/>
  <c r="K38"/>
  <c r="O36"/>
  <c r="M36"/>
  <c r="K36"/>
  <c r="M34"/>
  <c r="K34"/>
  <c r="M32"/>
  <c r="K32"/>
  <c r="T52"/>
  <c r="R52"/>
  <c r="T50"/>
  <c r="R50"/>
  <c r="V48"/>
  <c r="T48"/>
  <c r="R48"/>
  <c r="V46"/>
  <c r="T46"/>
  <c r="R46"/>
  <c r="V44"/>
  <c r="T44"/>
  <c r="R44"/>
  <c r="T42"/>
  <c r="R42"/>
  <c r="V40"/>
  <c r="T40"/>
  <c r="R40"/>
  <c r="T38"/>
  <c r="R38"/>
  <c r="V36"/>
  <c r="T36"/>
  <c r="R36"/>
  <c r="T34"/>
  <c r="R34"/>
  <c r="T32"/>
  <c r="R32"/>
  <c r="H78"/>
  <c r="F78"/>
  <c r="D78"/>
  <c r="H76"/>
  <c r="F76"/>
  <c r="D76"/>
  <c r="H74"/>
  <c r="F74"/>
  <c r="D74"/>
  <c r="H72"/>
  <c r="F72"/>
  <c r="D72"/>
  <c r="F70"/>
  <c r="D70"/>
  <c r="F68"/>
  <c r="D68"/>
  <c r="H66"/>
  <c r="F66"/>
  <c r="D66"/>
  <c r="F64"/>
  <c r="D64"/>
  <c r="H62"/>
  <c r="F62"/>
  <c r="D62"/>
  <c r="H60"/>
  <c r="F60"/>
  <c r="D60"/>
  <c r="F58"/>
  <c r="D58"/>
  <c r="K78"/>
  <c r="M78"/>
  <c r="M76"/>
  <c r="O76"/>
  <c r="K76"/>
  <c r="O74"/>
  <c r="K74"/>
  <c r="M74"/>
  <c r="M72"/>
  <c r="O72"/>
  <c r="K72"/>
  <c r="K70"/>
  <c r="M70"/>
  <c r="M68"/>
  <c r="K68"/>
  <c r="O66"/>
  <c r="K66"/>
  <c r="M66"/>
  <c r="M64"/>
  <c r="K64"/>
  <c r="O62"/>
  <c r="K62"/>
  <c r="M62"/>
  <c r="M60"/>
  <c r="K60"/>
  <c r="K58"/>
  <c r="M58"/>
  <c r="T78"/>
  <c r="R78"/>
  <c r="V76"/>
  <c r="T76"/>
  <c r="R76"/>
  <c r="V74"/>
  <c r="T74"/>
  <c r="R74"/>
  <c r="V72"/>
  <c r="T72"/>
  <c r="R72"/>
  <c r="T70"/>
  <c r="R70"/>
  <c r="T68"/>
  <c r="R68"/>
  <c r="V66"/>
  <c r="T66"/>
  <c r="R66"/>
  <c r="T64"/>
  <c r="R64"/>
  <c r="V62"/>
  <c r="T62"/>
  <c r="R62"/>
  <c r="T60"/>
  <c r="R60"/>
  <c r="T58"/>
  <c r="R58"/>
  <c r="F106"/>
  <c r="D106"/>
  <c r="F105"/>
  <c r="H105"/>
  <c r="D105"/>
  <c r="F104"/>
  <c r="D104"/>
  <c r="H103"/>
  <c r="D103"/>
  <c r="F103"/>
  <c r="H102"/>
  <c r="F102"/>
  <c r="D102"/>
  <c r="F101"/>
  <c r="H101"/>
  <c r="D101"/>
  <c r="H100"/>
  <c r="F100"/>
  <c r="D100"/>
  <c r="H99"/>
  <c r="D99"/>
  <c r="F99"/>
  <c r="F98"/>
  <c r="D98"/>
  <c r="F97"/>
  <c r="D97"/>
  <c r="H96"/>
  <c r="F96"/>
  <c r="D96"/>
  <c r="D95"/>
  <c r="F95"/>
  <c r="F94"/>
  <c r="D94"/>
  <c r="F93"/>
  <c r="H93"/>
  <c r="D93"/>
  <c r="F92"/>
  <c r="D92"/>
  <c r="D91"/>
  <c r="F91"/>
  <c r="H90"/>
  <c r="F90"/>
  <c r="D90"/>
  <c r="F89"/>
  <c r="H89"/>
  <c r="D89"/>
  <c r="H88"/>
  <c r="F88"/>
  <c r="D88"/>
  <c r="D87"/>
  <c r="F87"/>
  <c r="F86"/>
  <c r="D86"/>
  <c r="F85"/>
  <c r="D85"/>
  <c r="O105"/>
  <c r="M105"/>
  <c r="K105"/>
  <c r="O103"/>
  <c r="M103"/>
  <c r="K103"/>
  <c r="M101"/>
  <c r="K101"/>
  <c r="M99"/>
  <c r="K99"/>
  <c r="M97"/>
  <c r="K97"/>
  <c r="M95"/>
  <c r="K95"/>
  <c r="M93"/>
  <c r="K93"/>
  <c r="O91"/>
  <c r="M91"/>
  <c r="K91"/>
  <c r="O89"/>
  <c r="M89"/>
  <c r="K89"/>
  <c r="O87"/>
  <c r="M87"/>
  <c r="K87"/>
  <c r="M85"/>
  <c r="K85"/>
  <c r="V105"/>
  <c r="R105"/>
  <c r="T105"/>
  <c r="T103"/>
  <c r="V103"/>
  <c r="R103"/>
  <c r="V101"/>
  <c r="R101"/>
  <c r="T101"/>
  <c r="T99"/>
  <c r="V99"/>
  <c r="R99"/>
  <c r="V97"/>
  <c r="R97"/>
  <c r="T97"/>
  <c r="T95"/>
  <c r="V95"/>
  <c r="R95"/>
  <c r="V93"/>
  <c r="R93"/>
  <c r="T93"/>
  <c r="T91"/>
  <c r="V91"/>
  <c r="R91"/>
  <c r="V89"/>
  <c r="R89"/>
  <c r="T89"/>
  <c r="T87"/>
  <c r="V87"/>
  <c r="R87"/>
  <c r="V85"/>
  <c r="R85"/>
  <c r="T85"/>
  <c r="D132"/>
  <c r="F132"/>
  <c r="D130"/>
  <c r="F130"/>
  <c r="H130"/>
  <c r="D128"/>
  <c r="F128"/>
  <c r="D126"/>
  <c r="F126"/>
  <c r="H126"/>
  <c r="D124"/>
  <c r="F124"/>
  <c r="D122"/>
  <c r="F122"/>
  <c r="D120"/>
  <c r="F120"/>
  <c r="D118"/>
  <c r="F118"/>
  <c r="D116"/>
  <c r="F116"/>
  <c r="H116"/>
  <c r="D114"/>
  <c r="F114"/>
  <c r="D112"/>
  <c r="F112"/>
  <c r="G47"/>
  <c r="G45"/>
  <c r="G39"/>
  <c r="U47"/>
  <c r="U45"/>
  <c r="U39"/>
  <c r="G74"/>
  <c r="G72"/>
  <c r="G66"/>
  <c r="U74"/>
  <c r="U72"/>
  <c r="U66"/>
  <c r="G101"/>
  <c r="G99"/>
  <c r="G93"/>
  <c r="N101"/>
  <c r="O101" s="1"/>
  <c r="N99"/>
  <c r="O99" s="1"/>
  <c r="N93"/>
  <c r="O93" s="1"/>
  <c r="M3"/>
  <c r="K24"/>
  <c r="K22"/>
  <c r="K20"/>
  <c r="K18"/>
  <c r="K16"/>
  <c r="K14"/>
  <c r="K12"/>
  <c r="K10"/>
  <c r="K8"/>
  <c r="K6"/>
  <c r="K4"/>
  <c r="M24"/>
  <c r="M22"/>
  <c r="M20"/>
  <c r="M18"/>
  <c r="M16"/>
  <c r="M14"/>
  <c r="M12"/>
  <c r="M10"/>
  <c r="M8"/>
  <c r="M6"/>
  <c r="M4"/>
  <c r="R25"/>
  <c r="R23"/>
  <c r="R21"/>
  <c r="R19"/>
  <c r="R17"/>
  <c r="R15"/>
  <c r="R13"/>
  <c r="R11"/>
  <c r="R9"/>
  <c r="R7"/>
  <c r="R5"/>
  <c r="T25"/>
  <c r="T23"/>
  <c r="T21"/>
  <c r="T19"/>
  <c r="T17"/>
  <c r="T15"/>
  <c r="T13"/>
  <c r="T11"/>
  <c r="T9"/>
  <c r="T7"/>
  <c r="T5"/>
  <c r="H48"/>
  <c r="H40"/>
  <c r="H36"/>
  <c r="O30"/>
  <c r="K49"/>
  <c r="K45"/>
  <c r="K41"/>
  <c r="K37"/>
  <c r="K33"/>
  <c r="M51"/>
  <c r="L26"/>
  <c r="E134"/>
  <c r="S107"/>
  <c r="L107"/>
  <c r="E107"/>
  <c r="S80"/>
  <c r="L80"/>
  <c r="E80"/>
  <c r="S53"/>
  <c r="L53"/>
  <c r="E53"/>
  <c r="S26"/>
  <c r="E4"/>
  <c r="E5"/>
  <c r="E6"/>
  <c r="E7"/>
  <c r="E8"/>
  <c r="E9"/>
  <c r="E10"/>
  <c r="E11"/>
  <c r="E12"/>
  <c r="E13"/>
  <c r="E14"/>
  <c r="E15"/>
  <c r="E16"/>
  <c r="E17"/>
  <c r="E18"/>
  <c r="E19"/>
  <c r="E20"/>
  <c r="E22"/>
  <c r="E23"/>
  <c r="E24"/>
  <c r="E25"/>
  <c r="E3"/>
  <c r="C4"/>
  <c r="C5"/>
  <c r="C6"/>
  <c r="C7"/>
  <c r="C8"/>
  <c r="C9"/>
  <c r="C10"/>
  <c r="C11"/>
  <c r="C12"/>
  <c r="C13"/>
  <c r="C14"/>
  <c r="C15"/>
  <c r="C16"/>
  <c r="C17"/>
  <c r="C18"/>
  <c r="C19"/>
  <c r="C20"/>
  <c r="C22"/>
  <c r="C23"/>
  <c r="C24"/>
  <c r="C25"/>
  <c r="C3"/>
  <c r="G8"/>
  <c r="G12"/>
  <c r="G18"/>
  <c r="G19"/>
  <c r="G20"/>
  <c r="G22"/>
  <c r="G3"/>
  <c r="C134"/>
  <c r="B134"/>
  <c r="C107"/>
  <c r="B107"/>
  <c r="J107"/>
  <c r="I107"/>
  <c r="Q107"/>
  <c r="P107"/>
  <c r="Q80"/>
  <c r="P80"/>
  <c r="J80"/>
  <c r="I80"/>
  <c r="C80"/>
  <c r="B80"/>
  <c r="C53"/>
  <c r="B53"/>
  <c r="J53"/>
  <c r="I53"/>
  <c r="Q53"/>
  <c r="P53"/>
  <c r="Q26"/>
  <c r="P26"/>
  <c r="J26"/>
  <c r="I26"/>
  <c r="F134" l="1"/>
  <c r="D3"/>
  <c r="F3"/>
  <c r="H3"/>
  <c r="H24"/>
  <c r="F24"/>
  <c r="D24"/>
  <c r="F22"/>
  <c r="D22"/>
  <c r="H22"/>
  <c r="H19"/>
  <c r="F19"/>
  <c r="D19"/>
  <c r="F17"/>
  <c r="D17"/>
  <c r="F15"/>
  <c r="D15"/>
  <c r="H13"/>
  <c r="F13"/>
  <c r="D13"/>
  <c r="F11"/>
  <c r="D11"/>
  <c r="F9"/>
  <c r="D9"/>
  <c r="F7"/>
  <c r="D7"/>
  <c r="F5"/>
  <c r="D5"/>
  <c r="F25"/>
  <c r="D25"/>
  <c r="F23"/>
  <c r="D23"/>
  <c r="H20"/>
  <c r="F20"/>
  <c r="D20"/>
  <c r="F18"/>
  <c r="D18"/>
  <c r="H18"/>
  <c r="F16"/>
  <c r="D16"/>
  <c r="F14"/>
  <c r="D14"/>
  <c r="H12"/>
  <c r="F12"/>
  <c r="D12"/>
  <c r="F10"/>
  <c r="D10"/>
  <c r="H8"/>
  <c r="F8"/>
  <c r="D8"/>
  <c r="F6"/>
  <c r="D6"/>
  <c r="F4"/>
  <c r="D4"/>
  <c r="K26"/>
  <c r="M26"/>
  <c r="D134"/>
  <c r="R107"/>
  <c r="T107"/>
  <c r="K107"/>
  <c r="M107"/>
  <c r="F107"/>
  <c r="D107"/>
  <c r="R80"/>
  <c r="T80"/>
  <c r="K80"/>
  <c r="M80"/>
  <c r="F80"/>
  <c r="D80"/>
  <c r="T53"/>
  <c r="R53"/>
  <c r="K53"/>
  <c r="M53"/>
  <c r="D53"/>
  <c r="F53"/>
  <c r="R26"/>
  <c r="T26"/>
  <c r="E26"/>
  <c r="C26"/>
  <c r="E13" i="2"/>
  <c r="E12"/>
  <c r="E11"/>
  <c r="E10"/>
  <c r="E9"/>
  <c r="E8"/>
  <c r="E7"/>
  <c r="E6"/>
  <c r="E5"/>
  <c r="E4"/>
  <c r="E3"/>
  <c r="E2"/>
  <c r="B13"/>
  <c r="B12"/>
  <c r="B11"/>
  <c r="B10"/>
  <c r="B9"/>
  <c r="B8"/>
  <c r="B7"/>
  <c r="B6"/>
  <c r="B5"/>
  <c r="B4"/>
  <c r="B3"/>
  <c r="C13"/>
  <c r="C12"/>
  <c r="C11"/>
  <c r="C10"/>
  <c r="C9"/>
  <c r="C8"/>
  <c r="C7"/>
  <c r="C6"/>
  <c r="C5"/>
  <c r="C4"/>
  <c r="C3"/>
  <c r="C2"/>
  <c r="G60" i="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B26" i="3"/>
  <c r="G239" i="1"/>
  <c r="G165"/>
  <c r="G166"/>
  <c r="G170"/>
  <c r="G171"/>
  <c r="G174"/>
  <c r="G176"/>
  <c r="G177"/>
  <c r="G179"/>
  <c r="G178"/>
  <c r="G182"/>
  <c r="G183"/>
  <c r="G186"/>
  <c r="G187"/>
  <c r="G167"/>
  <c r="G168"/>
  <c r="G190"/>
  <c r="G175"/>
  <c r="G191"/>
  <c r="G164"/>
  <c r="G199"/>
  <c r="G200"/>
  <c r="G201"/>
  <c r="G203"/>
  <c r="G172"/>
  <c r="G173"/>
  <c r="G192"/>
  <c r="G202"/>
  <c r="G189"/>
  <c r="G207"/>
  <c r="G184"/>
  <c r="G214"/>
  <c r="G193"/>
  <c r="G209"/>
  <c r="G194"/>
  <c r="G215"/>
  <c r="G216"/>
  <c r="G217"/>
  <c r="G195"/>
  <c r="G196"/>
  <c r="G197"/>
  <c r="G180"/>
  <c r="G198"/>
  <c r="G222"/>
  <c r="G169"/>
  <c r="G224"/>
  <c r="G225"/>
  <c r="G226"/>
  <c r="G227"/>
  <c r="G185"/>
  <c r="G208"/>
  <c r="G188"/>
  <c r="G206"/>
  <c r="G223"/>
  <c r="G210"/>
  <c r="G211"/>
  <c r="G218"/>
  <c r="G219"/>
  <c r="G220"/>
  <c r="G221"/>
  <c r="G204"/>
  <c r="G205"/>
  <c r="G238"/>
  <c r="G253"/>
  <c r="G212"/>
  <c r="G255"/>
  <c r="G256"/>
  <c r="G181"/>
  <c r="G248"/>
  <c r="G235"/>
  <c r="G236"/>
  <c r="G237"/>
  <c r="G251"/>
  <c r="G264"/>
  <c r="G265"/>
  <c r="G240"/>
  <c r="G241"/>
  <c r="G242"/>
  <c r="G243"/>
  <c r="G271"/>
  <c r="G244"/>
  <c r="G272"/>
  <c r="G245"/>
  <c r="G273"/>
  <c r="G274"/>
  <c r="G254"/>
  <c r="G246"/>
  <c r="G276"/>
  <c r="G277"/>
  <c r="G249"/>
  <c r="G279"/>
  <c r="G280"/>
  <c r="G228"/>
  <c r="G284"/>
  <c r="G213"/>
  <c r="G285"/>
  <c r="G252"/>
  <c r="G250"/>
  <c r="G288"/>
  <c r="G260"/>
  <c r="G289"/>
  <c r="G278"/>
  <c r="G290"/>
  <c r="G266"/>
  <c r="G267"/>
  <c r="G258"/>
  <c r="G294"/>
  <c r="G259"/>
  <c r="G268"/>
  <c r="G296"/>
  <c r="G281"/>
  <c r="G297"/>
  <c r="G269"/>
  <c r="G298"/>
  <c r="G299"/>
  <c r="G300"/>
  <c r="G301"/>
  <c r="G275"/>
  <c r="G286"/>
  <c r="G302"/>
  <c r="G303"/>
  <c r="G291"/>
  <c r="G261"/>
  <c r="G292"/>
  <c r="G295"/>
  <c r="G287"/>
  <c r="G293"/>
  <c r="G309"/>
  <c r="G308"/>
  <c r="G311"/>
  <c r="G312"/>
  <c r="G313"/>
  <c r="G304"/>
  <c r="G314"/>
  <c r="G315"/>
  <c r="G317"/>
  <c r="G282"/>
  <c r="G318"/>
  <c r="G322"/>
  <c r="G283"/>
  <c r="G257"/>
  <c r="G305"/>
  <c r="G330"/>
  <c r="G306"/>
  <c r="G307"/>
  <c r="G324"/>
  <c r="G325"/>
  <c r="G335"/>
  <c r="G336"/>
  <c r="G337"/>
  <c r="G319"/>
  <c r="G326"/>
  <c r="G331"/>
  <c r="G332"/>
  <c r="G333"/>
  <c r="G350"/>
  <c r="G229"/>
  <c r="G344"/>
  <c r="G351"/>
  <c r="G334"/>
  <c r="G320"/>
  <c r="G353"/>
  <c r="G338"/>
  <c r="G345"/>
  <c r="G310"/>
  <c r="G321"/>
  <c r="G354"/>
  <c r="G355"/>
  <c r="G356"/>
  <c r="G369"/>
  <c r="G357"/>
  <c r="G262"/>
  <c r="G372"/>
  <c r="G358"/>
  <c r="G340"/>
  <c r="G377"/>
  <c r="G378"/>
  <c r="G379"/>
  <c r="G380"/>
  <c r="G370"/>
  <c r="G385"/>
  <c r="G346"/>
  <c r="G230"/>
  <c r="G387"/>
  <c r="G339"/>
  <c r="G390"/>
  <c r="G398"/>
  <c r="G399"/>
  <c r="G359"/>
  <c r="G401"/>
  <c r="G402"/>
  <c r="G360"/>
  <c r="G361"/>
  <c r="G341"/>
  <c r="G362"/>
  <c r="G391"/>
  <c r="G363"/>
  <c r="G404"/>
  <c r="G364"/>
  <c r="G365"/>
  <c r="G366"/>
  <c r="G392"/>
  <c r="G393"/>
  <c r="G394"/>
  <c r="G395"/>
  <c r="G396"/>
  <c r="G231"/>
  <c r="G234"/>
  <c r="G397"/>
  <c r="G373"/>
  <c r="G412"/>
  <c r="G413"/>
  <c r="G367"/>
  <c r="G414"/>
  <c r="G381"/>
  <c r="G424"/>
  <c r="G430"/>
  <c r="G431"/>
  <c r="G352"/>
  <c r="G316"/>
  <c r="G383"/>
  <c r="G371"/>
  <c r="G327"/>
  <c r="G382"/>
  <c r="G347"/>
  <c r="G433"/>
  <c r="G434"/>
  <c r="G425"/>
  <c r="G386"/>
  <c r="G384"/>
  <c r="G247"/>
  <c r="G438"/>
  <c r="G323"/>
  <c r="G426"/>
  <c r="G405"/>
  <c r="G447"/>
  <c r="G439"/>
  <c r="G448"/>
  <c r="G440"/>
  <c r="G415"/>
  <c r="G416"/>
  <c r="G417"/>
  <c r="G418"/>
  <c r="G419"/>
  <c r="G420"/>
  <c r="G406"/>
  <c r="G454"/>
  <c r="G427"/>
  <c r="G368"/>
  <c r="G456"/>
  <c r="G457"/>
  <c r="G421"/>
  <c r="G388"/>
  <c r="G428"/>
  <c r="G459"/>
  <c r="G422"/>
  <c r="G328"/>
  <c r="G429"/>
  <c r="G263"/>
  <c r="G348"/>
  <c r="G449"/>
  <c r="G450"/>
  <c r="G460"/>
  <c r="G461"/>
  <c r="G462"/>
  <c r="G441"/>
  <c r="G455"/>
  <c r="G464"/>
  <c r="G349"/>
  <c r="G423"/>
  <c r="G442"/>
  <c r="G407"/>
  <c r="G451"/>
  <c r="G232"/>
  <c r="G435"/>
  <c r="G410"/>
  <c r="G452"/>
  <c r="G453"/>
  <c r="G443"/>
  <c r="G342"/>
  <c r="G270"/>
  <c r="G436"/>
  <c r="G343"/>
  <c r="G403"/>
  <c r="G408"/>
  <c r="G389"/>
  <c r="G437"/>
  <c r="G445"/>
  <c r="G446"/>
  <c r="G411"/>
  <c r="G444"/>
  <c r="G463"/>
  <c r="G409"/>
  <c r="G400"/>
  <c r="G458"/>
  <c r="G329"/>
  <c r="G117" i="3" l="1"/>
  <c r="H117" s="1"/>
  <c r="N63"/>
  <c r="N36"/>
  <c r="U90"/>
  <c r="N90"/>
  <c r="G90"/>
  <c r="U63"/>
  <c r="G63"/>
  <c r="U36"/>
  <c r="G36"/>
  <c r="G123"/>
  <c r="H123" s="1"/>
  <c r="N69"/>
  <c r="O69" s="1"/>
  <c r="N42"/>
  <c r="U96"/>
  <c r="N96"/>
  <c r="G96"/>
  <c r="U69"/>
  <c r="G69"/>
  <c r="H69" s="1"/>
  <c r="U42"/>
  <c r="V42" s="1"/>
  <c r="G42"/>
  <c r="H42" s="1"/>
  <c r="G121"/>
  <c r="H121" s="1"/>
  <c r="G40"/>
  <c r="G67"/>
  <c r="G94"/>
  <c r="H94" s="1"/>
  <c r="U94"/>
  <c r="N67"/>
  <c r="O67" s="1"/>
  <c r="U40"/>
  <c r="U67"/>
  <c r="N94"/>
  <c r="N40"/>
  <c r="G115"/>
  <c r="H115" s="1"/>
  <c r="N61"/>
  <c r="N34"/>
  <c r="O34" s="1"/>
  <c r="U88"/>
  <c r="N88"/>
  <c r="G88"/>
  <c r="U61"/>
  <c r="V61" s="1"/>
  <c r="G61"/>
  <c r="H61" s="1"/>
  <c r="U34"/>
  <c r="V34" s="1"/>
  <c r="G34"/>
  <c r="H34" s="1"/>
  <c r="U87"/>
  <c r="N33"/>
  <c r="O33" s="1"/>
  <c r="U60"/>
  <c r="V60" s="1"/>
  <c r="G87"/>
  <c r="H87" s="1"/>
  <c r="N87"/>
  <c r="N60"/>
  <c r="O60" s="1"/>
  <c r="G114"/>
  <c r="H114" s="1"/>
  <c r="G33"/>
  <c r="H33" s="1"/>
  <c r="U33"/>
  <c r="V33" s="1"/>
  <c r="G60"/>
  <c r="U105"/>
  <c r="N105"/>
  <c r="G105"/>
  <c r="U78"/>
  <c r="V78" s="1"/>
  <c r="G78"/>
  <c r="U51"/>
  <c r="G51"/>
  <c r="H51" s="1"/>
  <c r="N51"/>
  <c r="O51" s="1"/>
  <c r="G132"/>
  <c r="H132" s="1"/>
  <c r="N78"/>
  <c r="O78" s="1"/>
  <c r="N68"/>
  <c r="O68" s="1"/>
  <c r="G122"/>
  <c r="H122" s="1"/>
  <c r="G41"/>
  <c r="H41" s="1"/>
  <c r="U41"/>
  <c r="V41" s="1"/>
  <c r="G68"/>
  <c r="H68" s="1"/>
  <c r="U95"/>
  <c r="N41"/>
  <c r="U68"/>
  <c r="V68" s="1"/>
  <c r="G95"/>
  <c r="H95" s="1"/>
  <c r="N95"/>
  <c r="O95" s="1"/>
  <c r="N64"/>
  <c r="O64" s="1"/>
  <c r="G118"/>
  <c r="H118" s="1"/>
  <c r="G37"/>
  <c r="H37" s="1"/>
  <c r="U37"/>
  <c r="V37" s="1"/>
  <c r="G64"/>
  <c r="H64" s="1"/>
  <c r="U91"/>
  <c r="N37"/>
  <c r="O37" s="1"/>
  <c r="U64"/>
  <c r="V64" s="1"/>
  <c r="G91"/>
  <c r="H91" s="1"/>
  <c r="N91"/>
  <c r="U50"/>
  <c r="V50" s="1"/>
  <c r="U77"/>
  <c r="V77" s="1"/>
  <c r="N104"/>
  <c r="O104" s="1"/>
  <c r="G131"/>
  <c r="H131" s="1"/>
  <c r="N50"/>
  <c r="O50" s="1"/>
  <c r="G50"/>
  <c r="H50" s="1"/>
  <c r="G77"/>
  <c r="H77" s="1"/>
  <c r="G104"/>
  <c r="H104" s="1"/>
  <c r="U104"/>
  <c r="N77"/>
  <c r="O77" s="1"/>
  <c r="G129"/>
  <c r="H129" s="1"/>
  <c r="G48"/>
  <c r="G75"/>
  <c r="G102"/>
  <c r="U102"/>
  <c r="U21"/>
  <c r="N48"/>
  <c r="O48" s="1"/>
  <c r="N75"/>
  <c r="G21"/>
  <c r="H21" s="1"/>
  <c r="U48"/>
  <c r="U75"/>
  <c r="V75" s="1"/>
  <c r="N102"/>
  <c r="O102" s="1"/>
  <c r="N21"/>
  <c r="O21" s="1"/>
  <c r="U38"/>
  <c r="V38" s="1"/>
  <c r="U65"/>
  <c r="V65" s="1"/>
  <c r="N92"/>
  <c r="N38"/>
  <c r="G119"/>
  <c r="H119" s="1"/>
  <c r="G38"/>
  <c r="H38" s="1"/>
  <c r="G65"/>
  <c r="H65" s="1"/>
  <c r="G92"/>
  <c r="H92" s="1"/>
  <c r="U92"/>
  <c r="N65"/>
  <c r="N52"/>
  <c r="O52" s="1"/>
  <c r="G52"/>
  <c r="H52" s="1"/>
  <c r="G79"/>
  <c r="H79" s="1"/>
  <c r="G106"/>
  <c r="H106" s="1"/>
  <c r="U106"/>
  <c r="G133"/>
  <c r="H133" s="1"/>
  <c r="U52"/>
  <c r="V52" s="1"/>
  <c r="U79"/>
  <c r="V79" s="1"/>
  <c r="N106"/>
  <c r="O106" s="1"/>
  <c r="N79"/>
  <c r="O79" s="1"/>
  <c r="U97"/>
  <c r="N43"/>
  <c r="O43" s="1"/>
  <c r="U70"/>
  <c r="V70" s="1"/>
  <c r="G97"/>
  <c r="H97" s="1"/>
  <c r="N97"/>
  <c r="O97" s="1"/>
  <c r="N70"/>
  <c r="O70" s="1"/>
  <c r="G124"/>
  <c r="H124" s="1"/>
  <c r="G43"/>
  <c r="H43" s="1"/>
  <c r="U43"/>
  <c r="V43" s="1"/>
  <c r="G70"/>
  <c r="H70" s="1"/>
  <c r="G32"/>
  <c r="H32" s="1"/>
  <c r="G59"/>
  <c r="H59" s="1"/>
  <c r="G86"/>
  <c r="H86" s="1"/>
  <c r="U86"/>
  <c r="N59"/>
  <c r="O59" s="1"/>
  <c r="G113"/>
  <c r="H113" s="1"/>
  <c r="U32"/>
  <c r="V32" s="1"/>
  <c r="U59"/>
  <c r="V59" s="1"/>
  <c r="N86"/>
  <c r="O86" s="1"/>
  <c r="N32"/>
  <c r="O32" s="1"/>
  <c r="U85"/>
  <c r="N58"/>
  <c r="O58" s="1"/>
  <c r="G112"/>
  <c r="H112" s="1"/>
  <c r="G31"/>
  <c r="H31" s="1"/>
  <c r="U31"/>
  <c r="V31" s="1"/>
  <c r="G58"/>
  <c r="H58" s="1"/>
  <c r="N31"/>
  <c r="O31" s="1"/>
  <c r="U58"/>
  <c r="V58" s="1"/>
  <c r="G85"/>
  <c r="H85" s="1"/>
  <c r="N85"/>
  <c r="O85" s="1"/>
  <c r="G125"/>
  <c r="H125" s="1"/>
  <c r="U44"/>
  <c r="U71"/>
  <c r="V71" s="1"/>
  <c r="N98"/>
  <c r="O98" s="1"/>
  <c r="N44"/>
  <c r="G44"/>
  <c r="H44" s="1"/>
  <c r="G71"/>
  <c r="G98"/>
  <c r="H98" s="1"/>
  <c r="U98"/>
  <c r="N71"/>
  <c r="O71" s="1"/>
  <c r="F2" i="2"/>
  <c r="D2"/>
  <c r="F4"/>
  <c r="D4"/>
  <c r="F6"/>
  <c r="D6"/>
  <c r="F8"/>
  <c r="D8"/>
  <c r="F10"/>
  <c r="D10"/>
  <c r="F12"/>
  <c r="D12"/>
  <c r="D3"/>
  <c r="F3"/>
  <c r="D5"/>
  <c r="F5"/>
  <c r="D7"/>
  <c r="F7"/>
  <c r="D9"/>
  <c r="F9"/>
  <c r="D11"/>
  <c r="F11"/>
  <c r="D13"/>
  <c r="H13"/>
  <c r="F13"/>
  <c r="N9" i="3"/>
  <c r="U9"/>
  <c r="G9"/>
  <c r="H9" s="1"/>
  <c r="N15"/>
  <c r="U15"/>
  <c r="V15" s="1"/>
  <c r="G15"/>
  <c r="H15" s="1"/>
  <c r="N7"/>
  <c r="U7"/>
  <c r="V7" s="1"/>
  <c r="G7"/>
  <c r="H7" s="1"/>
  <c r="U24"/>
  <c r="N24"/>
  <c r="G24"/>
  <c r="U16"/>
  <c r="V16" s="1"/>
  <c r="N16"/>
  <c r="O16" s="1"/>
  <c r="G16"/>
  <c r="H16" s="1"/>
  <c r="U23"/>
  <c r="V23" s="1"/>
  <c r="N23"/>
  <c r="O23" s="1"/>
  <c r="G23"/>
  <c r="H23" s="1"/>
  <c r="U10"/>
  <c r="V10" s="1"/>
  <c r="N10"/>
  <c r="O10" s="1"/>
  <c r="G10"/>
  <c r="H10" s="1"/>
  <c r="U5"/>
  <c r="V5" s="1"/>
  <c r="N5"/>
  <c r="O5" s="1"/>
  <c r="G5"/>
  <c r="H5" s="1"/>
  <c r="U14"/>
  <c r="V14" s="1"/>
  <c r="N14"/>
  <c r="O14" s="1"/>
  <c r="G14"/>
  <c r="H14" s="1"/>
  <c r="G13" i="2"/>
  <c r="G11"/>
  <c r="H11" s="1"/>
  <c r="G9"/>
  <c r="H9" s="1"/>
  <c r="G7"/>
  <c r="H7" s="1"/>
  <c r="G5"/>
  <c r="H5" s="1"/>
  <c r="G3"/>
  <c r="H3" s="1"/>
  <c r="G12"/>
  <c r="H12" s="1"/>
  <c r="G10"/>
  <c r="H10" s="1"/>
  <c r="G8"/>
  <c r="H8" s="1"/>
  <c r="G6"/>
  <c r="H6" s="1"/>
  <c r="G4"/>
  <c r="H4" s="1"/>
  <c r="G2"/>
  <c r="U4" i="3"/>
  <c r="V4" s="1"/>
  <c r="N4"/>
  <c r="O4" s="1"/>
  <c r="G4"/>
  <c r="H4" s="1"/>
  <c r="U13"/>
  <c r="N13"/>
  <c r="G13"/>
  <c r="U25"/>
  <c r="V25" s="1"/>
  <c r="N25"/>
  <c r="O25" s="1"/>
  <c r="G25"/>
  <c r="H25" s="1"/>
  <c r="U11"/>
  <c r="V11" s="1"/>
  <c r="N11"/>
  <c r="O11" s="1"/>
  <c r="G11"/>
  <c r="H11" s="1"/>
  <c r="U6"/>
  <c r="V6" s="1"/>
  <c r="N6"/>
  <c r="O6" s="1"/>
  <c r="G6"/>
  <c r="H6" s="1"/>
  <c r="U17"/>
  <c r="V17" s="1"/>
  <c r="N17"/>
  <c r="O17" s="1"/>
  <c r="G17"/>
  <c r="H17" s="1"/>
  <c r="D26"/>
  <c r="F26"/>
  <c r="C14" i="2"/>
  <c r="B14"/>
  <c r="E14"/>
  <c r="G14" l="1"/>
  <c r="H14" s="1"/>
  <c r="F14"/>
  <c r="N26" i="3"/>
  <c r="O26" s="1"/>
  <c r="G53"/>
  <c r="H53" s="1"/>
  <c r="U53"/>
  <c r="V53" s="1"/>
  <c r="N80"/>
  <c r="O80" s="1"/>
  <c r="G107"/>
  <c r="H107" s="1"/>
  <c r="U107"/>
  <c r="V107" s="1"/>
  <c r="D14" i="2"/>
  <c r="G26" i="3"/>
  <c r="H26" s="1"/>
  <c r="U26"/>
  <c r="V26" s="1"/>
  <c r="N53"/>
  <c r="O53" s="1"/>
  <c r="G80"/>
  <c r="H80" s="1"/>
  <c r="U80"/>
  <c r="V80" s="1"/>
  <c r="N107"/>
  <c r="O107" s="1"/>
  <c r="G134"/>
  <c r="H134" s="1"/>
</calcChain>
</file>

<file path=xl/sharedStrings.xml><?xml version="1.0" encoding="utf-8"?>
<sst xmlns="http://schemas.openxmlformats.org/spreadsheetml/2006/main" count="1646" uniqueCount="69">
  <si>
    <t>Date Réception</t>
  </si>
  <si>
    <t>Date Butoir Théorique</t>
  </si>
  <si>
    <t>Date Clôture</t>
  </si>
  <si>
    <t>Affecté à</t>
  </si>
  <si>
    <t>Délai</t>
  </si>
  <si>
    <t>OK</t>
  </si>
  <si>
    <t>KO</t>
  </si>
  <si>
    <t>KO - REL</t>
  </si>
  <si>
    <t>Mois</t>
  </si>
  <si>
    <t>Nombre de réclamations clôturées</t>
  </si>
  <si>
    <t>Nombre de réclamations dans les délais</t>
  </si>
  <si>
    <t>Janvier 2014</t>
  </si>
  <si>
    <t>Février 2014</t>
  </si>
  <si>
    <t>Mars 2014</t>
  </si>
  <si>
    <t>Avril 2014</t>
  </si>
  <si>
    <t>Mai 2014</t>
  </si>
  <si>
    <t>Juin 2014</t>
  </si>
  <si>
    <t>Total</t>
  </si>
  <si>
    <t>% réclamations dans les délais</t>
  </si>
  <si>
    <t>NOM</t>
  </si>
  <si>
    <t>JANVIER 2014</t>
  </si>
  <si>
    <t>FEVRIER 2014</t>
  </si>
  <si>
    <t>MARS 2014</t>
  </si>
  <si>
    <t>AVRIL 2014</t>
  </si>
  <si>
    <t>MAI 2014</t>
  </si>
  <si>
    <t>JUIN 2014</t>
  </si>
  <si>
    <t>TOTAL</t>
  </si>
  <si>
    <t>Juillet 2014</t>
  </si>
  <si>
    <t>Août 2014</t>
  </si>
  <si>
    <t>Glissant 2014</t>
  </si>
  <si>
    <t>JUILLET 2014</t>
  </si>
  <si>
    <t>AOUT 2014</t>
  </si>
  <si>
    <t>SEPTEMBRE 2014</t>
  </si>
  <si>
    <t>Septembre 2014</t>
  </si>
  <si>
    <t>OCTOBRE 2014</t>
  </si>
  <si>
    <t>NOVEMBRE 2014</t>
  </si>
  <si>
    <t>DECEMBRE 2014</t>
  </si>
  <si>
    <t>Octobre 2014</t>
  </si>
  <si>
    <t>Novembre 2014</t>
  </si>
  <si>
    <t>Décembre 2014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</si>
  <si>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</si>
  <si>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</si>
  <si>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</si>
  <si>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</si>
  <si>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</si>
  <si>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</si>
  <si>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</si>
  <si>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</si>
  <si>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</si>
  <si>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</si>
  <si>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</si>
  <si>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</si>
  <si>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</si>
  <si>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</si>
  <si>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</si>
  <si>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</si>
  <si>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</si>
  <si>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</si>
  <si>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</si>
  <si>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</si>
  <si>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</si>
  <si>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</si>
  <si>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</si>
  <si>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1ère Etape</t>
  </si>
  <si>
    <t>2ème Etape</t>
  </si>
  <si>
    <t>Nombre 1ère Etape effectué</t>
  </si>
  <si>
    <t>Taux Traçage 1ère Etape</t>
  </si>
  <si>
    <t>Nombre 2ème Etape effectué</t>
  </si>
  <si>
    <t>Taux Traçage 2ème Etape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</si>
</sst>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rgb="FF000000"/>
      <name val="Segoe UI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5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3">
    <xf numFmtId="0" fontId="0" fillId="0" borderId="0" xfId="0"/>
    <xf numFmtId="3" fontId="0" fillId="0" borderId="0" xfId="0" applyNumberFormat="1"/>
    <xf numFmtId="1" fontId="0" fillId="0" borderId="0" xfId="0" applyNumberFormat="1"/>
    <xf numFmtId="0" fontId="0" fillId="0" borderId="10" xfId="0" applyBorder="1"/>
    <xf numFmtId="14" fontId="0" fillId="0" borderId="10" xfId="0" applyNumberFormat="1" applyBorder="1"/>
    <xf numFmtId="0" fontId="0" fillId="0" borderId="11" xfId="0" applyBorder="1"/>
    <xf numFmtId="14" fontId="0" fillId="0" borderId="11" xfId="0" applyNumberFormat="1" applyBorder="1"/>
    <xf numFmtId="0" fontId="0" fillId="0" borderId="13" xfId="0" applyBorder="1"/>
    <xf numFmtId="14" fontId="0" fillId="0" borderId="13" xfId="0" applyNumberFormat="1" applyBorder="1"/>
    <xf numFmtId="1" fontId="0" fillId="0" borderId="14" xfId="0" applyNumberFormat="1" applyBorder="1"/>
    <xf numFmtId="1" fontId="0" fillId="0" borderId="16" xfId="0" applyNumberFormat="1" applyBorder="1"/>
    <xf numFmtId="0" fontId="0" fillId="0" borderId="18" xfId="0" applyBorder="1"/>
    <xf numFmtId="14" fontId="0" fillId="0" borderId="18" xfId="0" applyNumberFormat="1" applyBorder="1"/>
    <xf numFmtId="1" fontId="0" fillId="0" borderId="19" xfId="0" applyNumberFormat="1" applyBorder="1"/>
    <xf numFmtId="1" fontId="0" fillId="0" borderId="20" xfId="0" applyNumberFormat="1" applyBorder="1"/>
    <xf numFmtId="0" fontId="0" fillId="33" borderId="10" xfId="0" applyFill="1" applyBorder="1"/>
    <xf numFmtId="0" fontId="0" fillId="0" borderId="10" xfId="0" applyBorder="1" applyAlignment="1">
      <alignment horizontal="center"/>
    </xf>
    <xf numFmtId="10" fontId="0" fillId="0" borderId="10" xfId="0" applyNumberFormat="1" applyBorder="1" applyAlignment="1">
      <alignment horizontal="center"/>
    </xf>
    <xf numFmtId="0" fontId="0" fillId="0" borderId="25" xfId="0" applyBorder="1"/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10" fontId="0" fillId="0" borderId="18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10" fontId="0" fillId="0" borderId="16" xfId="0" applyNumberFormat="1" applyBorder="1" applyAlignment="1">
      <alignment horizontal="center"/>
    </xf>
    <xf numFmtId="10" fontId="0" fillId="0" borderId="19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10" fontId="0" fillId="0" borderId="13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10" fontId="0" fillId="0" borderId="14" xfId="0" applyNumberFormat="1" applyBorder="1" applyAlignment="1">
      <alignment horizontal="center"/>
    </xf>
    <xf numFmtId="0" fontId="16" fillId="34" borderId="11" xfId="0" applyFont="1" applyFill="1" applyBorder="1" applyAlignment="1">
      <alignment vertical="center" wrapText="1"/>
    </xf>
    <xf numFmtId="1" fontId="0" fillId="0" borderId="18" xfId="0" applyNumberFormat="1" applyBorder="1" applyAlignment="1">
      <alignment horizontal="center"/>
    </xf>
    <xf numFmtId="0" fontId="0" fillId="0" borderId="23" xfId="0" applyBorder="1"/>
    <xf numFmtId="14" fontId="0" fillId="0" borderId="23" xfId="0" applyNumberFormat="1" applyBorder="1"/>
    <xf numFmtId="1" fontId="0" fillId="0" borderId="24" xfId="0" applyNumberFormat="1" applyBorder="1"/>
    <xf numFmtId="0" fontId="0" fillId="0" borderId="31" xfId="0" applyBorder="1"/>
    <xf numFmtId="10" fontId="0" fillId="0" borderId="33" xfId="0" applyNumberFormat="1" applyBorder="1" applyAlignment="1">
      <alignment horizontal="center"/>
    </xf>
    <xf numFmtId="10" fontId="0" fillId="0" borderId="34" xfId="0" applyNumberFormat="1" applyBorder="1" applyAlignment="1">
      <alignment horizontal="center"/>
    </xf>
    <xf numFmtId="10" fontId="0" fillId="0" borderId="35" xfId="0" applyNumberFormat="1" applyBorder="1" applyAlignment="1">
      <alignment horizontal="center"/>
    </xf>
    <xf numFmtId="0" fontId="0" fillId="33" borderId="23" xfId="0" applyFill="1" applyBorder="1"/>
    <xf numFmtId="0" fontId="0" fillId="33" borderId="18" xfId="0" applyFill="1" applyBorder="1"/>
    <xf numFmtId="1" fontId="0" fillId="0" borderId="32" xfId="0" applyNumberFormat="1" applyBorder="1"/>
    <xf numFmtId="10" fontId="0" fillId="0" borderId="0" xfId="0" applyNumberFormat="1"/>
    <xf numFmtId="10" fontId="0" fillId="0" borderId="0" xfId="0" applyNumberFormat="1" applyFill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0" fontId="18" fillId="0" borderId="0" xfId="0" applyFont="1"/>
    <xf numFmtId="1" fontId="0" fillId="0" borderId="13" xfId="0" applyNumberFormat="1" applyBorder="1" applyAlignment="1">
      <alignment horizontal="center"/>
    </xf>
    <xf numFmtId="0" fontId="0" fillId="0" borderId="36" xfId="0" applyBorder="1" applyAlignment="1">
      <alignment horizontal="center"/>
    </xf>
    <xf numFmtId="0" fontId="16" fillId="35" borderId="26" xfId="0" applyFont="1" applyFill="1" applyBorder="1" applyAlignment="1">
      <alignment vertical="center" wrapText="1"/>
    </xf>
    <xf numFmtId="0" fontId="0" fillId="37" borderId="41" xfId="0" applyFill="1" applyBorder="1"/>
    <xf numFmtId="0" fontId="0" fillId="37" borderId="42" xfId="0" applyFill="1" applyBorder="1"/>
    <xf numFmtId="0" fontId="0" fillId="37" borderId="43" xfId="0" applyFill="1" applyBorder="1"/>
    <xf numFmtId="0" fontId="16" fillId="35" borderId="27" xfId="0" applyFont="1" applyFill="1" applyBorder="1" applyAlignment="1">
      <alignment vertical="center" wrapText="1"/>
    </xf>
    <xf numFmtId="0" fontId="16" fillId="35" borderId="39" xfId="0" applyFont="1" applyFill="1" applyBorder="1" applyAlignment="1">
      <alignment vertical="center" wrapText="1"/>
    </xf>
    <xf numFmtId="0" fontId="16" fillId="35" borderId="40" xfId="0" applyFont="1" applyFill="1" applyBorder="1" applyAlignment="1">
      <alignment vertical="center" wrapText="1"/>
    </xf>
    <xf numFmtId="0" fontId="0" fillId="38" borderId="22" xfId="0" applyFill="1" applyBorder="1"/>
    <xf numFmtId="0" fontId="0" fillId="38" borderId="21" xfId="0" applyFill="1" applyBorder="1"/>
    <xf numFmtId="49" fontId="0" fillId="38" borderId="21" xfId="0" applyNumberFormat="1" applyFill="1" applyBorder="1"/>
    <xf numFmtId="0" fontId="0" fillId="38" borderId="29" xfId="0" applyFill="1" applyBorder="1"/>
    <xf numFmtId="0" fontId="16" fillId="38" borderId="26" xfId="0" applyFont="1" applyFill="1" applyBorder="1"/>
    <xf numFmtId="0" fontId="16" fillId="38" borderId="27" xfId="0" applyFont="1" applyFill="1" applyBorder="1" applyAlignment="1">
      <alignment horizontal="center"/>
    </xf>
    <xf numFmtId="0" fontId="16" fillId="38" borderId="38" xfId="0" applyFont="1" applyFill="1" applyBorder="1" applyAlignment="1">
      <alignment horizontal="center"/>
    </xf>
    <xf numFmtId="10" fontId="16" fillId="38" borderId="39" xfId="0" applyNumberFormat="1" applyFont="1" applyFill="1" applyBorder="1" applyAlignment="1">
      <alignment horizontal="center"/>
    </xf>
    <xf numFmtId="1" fontId="16" fillId="38" borderId="39" xfId="0" applyNumberFormat="1" applyFont="1" applyFill="1" applyBorder="1" applyAlignment="1">
      <alignment horizontal="center"/>
    </xf>
    <xf numFmtId="0" fontId="16" fillId="38" borderId="39" xfId="0" applyFont="1" applyFill="1" applyBorder="1" applyAlignment="1">
      <alignment horizontal="center"/>
    </xf>
    <xf numFmtId="10" fontId="16" fillId="38" borderId="40" xfId="0" applyNumberFormat="1" applyFont="1" applyFill="1" applyBorder="1" applyAlignment="1">
      <alignment horizontal="center"/>
    </xf>
    <xf numFmtId="0" fontId="16" fillId="38" borderId="27" xfId="0" applyFont="1" applyFill="1" applyBorder="1"/>
    <xf numFmtId="0" fontId="0" fillId="0" borderId="11" xfId="0" applyBorder="1" applyAlignment="1">
      <alignment horizontal="center"/>
    </xf>
    <xf numFmtId="10" fontId="0" fillId="0" borderId="11" xfId="0" applyNumberFormat="1" applyBorder="1" applyAlignment="1">
      <alignment horizontal="center"/>
    </xf>
    <xf numFmtId="1" fontId="0" fillId="0" borderId="11" xfId="0" applyNumberFormat="1" applyBorder="1" applyAlignment="1">
      <alignment horizontal="center"/>
    </xf>
    <xf numFmtId="0" fontId="0" fillId="0" borderId="23" xfId="0" applyBorder="1" applyAlignment="1">
      <alignment horizontal="center"/>
    </xf>
    <xf numFmtId="10" fontId="0" fillId="0" borderId="23" xfId="0" applyNumberFormat="1" applyBorder="1" applyAlignment="1">
      <alignment horizontal="center"/>
    </xf>
    <xf numFmtId="1" fontId="0" fillId="0" borderId="23" xfId="0" applyNumberFormat="1" applyBorder="1" applyAlignment="1">
      <alignment horizontal="center"/>
    </xf>
    <xf numFmtId="10" fontId="0" fillId="0" borderId="24" xfId="0" applyNumberFormat="1" applyBorder="1" applyAlignment="1">
      <alignment horizontal="center"/>
    </xf>
    <xf numFmtId="0" fontId="16" fillId="35" borderId="38" xfId="0" applyFont="1" applyFill="1" applyBorder="1" applyAlignment="1">
      <alignment vertical="center" wrapText="1"/>
    </xf>
    <xf numFmtId="0" fontId="0" fillId="0" borderId="50" xfId="0" applyBorder="1" applyAlignment="1">
      <alignment horizontal="center"/>
    </xf>
    <xf numFmtId="0" fontId="0" fillId="0" borderId="30" xfId="0" applyBorder="1" applyAlignment="1">
      <alignment horizontal="center"/>
    </xf>
    <xf numFmtId="0" fontId="16" fillId="35" borderId="37" xfId="0" applyFont="1" applyFill="1" applyBorder="1" applyAlignment="1">
      <alignment vertical="center" wrapText="1"/>
    </xf>
    <xf numFmtId="49" fontId="16" fillId="38" borderId="51" xfId="0" applyNumberFormat="1" applyFont="1" applyFill="1" applyBorder="1"/>
    <xf numFmtId="49" fontId="16" fillId="38" borderId="52" xfId="0" applyNumberFormat="1" applyFont="1" applyFill="1" applyBorder="1"/>
    <xf numFmtId="49" fontId="16" fillId="38" borderId="53" xfId="0" applyNumberFormat="1" applyFont="1" applyFill="1" applyBorder="1"/>
    <xf numFmtId="49" fontId="16" fillId="38" borderId="37" xfId="0" applyNumberFormat="1" applyFont="1" applyFill="1" applyBorder="1"/>
    <xf numFmtId="0" fontId="0" fillId="37" borderId="54" xfId="0" applyFill="1" applyBorder="1"/>
    <xf numFmtId="49" fontId="16" fillId="36" borderId="46" xfId="0" applyNumberFormat="1" applyFont="1" applyFill="1" applyBorder="1" applyAlignment="1">
      <alignment horizontal="center"/>
    </xf>
    <xf numFmtId="49" fontId="16" fillId="36" borderId="47" xfId="0" applyNumberFormat="1" applyFont="1" applyFill="1" applyBorder="1" applyAlignment="1">
      <alignment horizontal="center"/>
    </xf>
    <xf numFmtId="49" fontId="16" fillId="36" borderId="48" xfId="0" applyNumberFormat="1" applyFont="1" applyFill="1" applyBorder="1" applyAlignment="1">
      <alignment horizontal="center"/>
    </xf>
    <xf numFmtId="49" fontId="16" fillId="36" borderId="49" xfId="0" applyNumberFormat="1" applyFont="1" applyFill="1" applyBorder="1" applyAlignment="1">
      <alignment horizontal="center"/>
    </xf>
    <xf numFmtId="49" fontId="16" fillId="36" borderId="25" xfId="0" applyNumberFormat="1" applyFont="1" applyFill="1" applyBorder="1" applyAlignment="1">
      <alignment horizontal="center"/>
    </xf>
    <xf numFmtId="49" fontId="16" fillId="36" borderId="44" xfId="0" applyNumberFormat="1" applyFont="1" applyFill="1" applyBorder="1" applyAlignment="1">
      <alignment horizontal="center"/>
    </xf>
    <xf numFmtId="49" fontId="16" fillId="36" borderId="45" xfId="0" applyNumberFormat="1" applyFont="1" applyFill="1" applyBorder="1" applyAlignment="1">
      <alignment horizontal="center"/>
    </xf>
    <xf numFmtId="49" fontId="16" fillId="36" borderId="12" xfId="0" applyNumberFormat="1" applyFont="1" applyFill="1" applyBorder="1" applyAlignment="1">
      <alignment horizontal="center"/>
    </xf>
    <xf numFmtId="49" fontId="16" fillId="36" borderId="28" xfId="0" applyNumberFormat="1" applyFont="1" applyFill="1" applyBorder="1" applyAlignment="1">
      <alignment horizontal="center"/>
    </xf>
    <xf numFmtId="49" fontId="16" fillId="36" borderId="13" xfId="0" applyNumberFormat="1" applyFont="1" applyFill="1" applyBorder="1" applyAlignment="1">
      <alignment horizontal="center"/>
    </xf>
    <xf numFmtId="49" fontId="16" fillId="36" borderId="14" xfId="0" applyNumberFormat="1" applyFont="1" applyFill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9">
    <dxf>
      <fill>
        <patternFill>
          <bgColor theme="5" tint="0.39994506668294322"/>
        </patternFill>
      </fill>
      <border>
        <left/>
        <right/>
        <top/>
        <bottom/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464"/>
  <sheetViews>
    <sheetView topLeftCell="B1" zoomScaleNormal="100" workbookViewId="0">
      <pane ySplit="1" topLeftCell="A2" activePane="bottomLeft" state="frozen"/>
      <selection pane="bottomLeft" activeCell="C31" sqref="C31"/>
    </sheetView>
  </sheetViews>
  <sheetFormatPr baseColWidth="10" defaultRowHeight="15"/>
  <cols>
    <col min="1" max="1" width="12" bestFit="1" customWidth="1"/>
    <col min="2" max="2" width="11" customWidth="1"/>
    <col min="3" max="3" width="12.28515625" bestFit="1" customWidth="1"/>
    <col min="4" max="4" width="39" customWidth="1"/>
    <col min="6" max="6" width="13.42578125" bestFit="1" customWidth="1"/>
    <col min="7" max="7" width="12.140625" customWidth="1"/>
  </cols>
  <sheetData>
    <row r="1" spans="1:7" ht="33" customHeight="1" thickBot="1">
      <c r="A1" s="29" t="s">
        <v>0</v>
      </c>
      <c r="B1" s="29" t="s">
        <v>1</v>
      </c>
      <c r="C1" s="29" t="s">
        <v>2</v>
      </c>
      <c r="D1" s="29" t="s">
        <v>3</v>
      </c>
      <c r="E1" s="29" t="s">
        <v>63</v>
      </c>
      <c r="F1" s="29" t="s">
        <v>64</v>
      </c>
      <c r="G1" s="29" t="s">
        <v>4</v>
      </c>
    </row>
    <row r="2" spans="1:7">
      <c r="A2" s="8">
        <v>41969</v>
      </c>
      <c r="B2" s="8">
        <v>41990</v>
      </c>
      <c r="C2" s="8">
        <v>41969</v>
      </c>
      <c r="D2" s="3" t="s">
        <v>62</v>
      </c>
      <c r="E2" s="15" t="s">
        <v>7</v>
      </c>
      <c r="F2" s="15" t="s">
        <v>7</v>
      </c>
      <c r="G2" s="9">
        <f t="shared" ref="G2:G25" si="0">C2-B2</f>
        <v>-21</v>
      </c>
    </row>
    <row r="3" spans="1:7">
      <c r="A3" s="4">
        <v>41964</v>
      </c>
      <c r="B3" s="4">
        <v>41964</v>
      </c>
      <c r="C3" s="4">
        <v>41969</v>
      </c>
      <c r="D3" s="3" t="s">
        <v>41</v>
      </c>
      <c r="E3" s="3" t="s">
        <v>6</v>
      </c>
      <c r="F3" s="3" t="s">
        <v>5</v>
      </c>
      <c r="G3" s="33">
        <f t="shared" si="0"/>
        <v>5</v>
      </c>
    </row>
    <row r="4" spans="1:7">
      <c r="A4" s="4">
        <v>41964</v>
      </c>
      <c r="B4" s="4">
        <v>41985</v>
      </c>
      <c r="C4" s="4">
        <v>41969</v>
      </c>
      <c r="D4" s="3" t="s">
        <v>41</v>
      </c>
      <c r="E4" s="3" t="s">
        <v>6</v>
      </c>
      <c r="F4" s="3" t="s">
        <v>5</v>
      </c>
      <c r="G4" s="33">
        <f t="shared" si="0"/>
        <v>-16</v>
      </c>
    </row>
    <row r="5" spans="1:7">
      <c r="A5" s="4">
        <v>41955</v>
      </c>
      <c r="B5" s="4">
        <v>41976</v>
      </c>
      <c r="C5" s="4">
        <v>41968</v>
      </c>
      <c r="D5" s="3" t="s">
        <v>57</v>
      </c>
      <c r="E5" s="3" t="s">
        <v>5</v>
      </c>
      <c r="F5" s="3" t="s">
        <v>5</v>
      </c>
      <c r="G5" s="33">
        <f t="shared" si="0"/>
        <v>-8</v>
      </c>
    </row>
    <row r="6" spans="1:7">
      <c r="A6" s="4">
        <v>41936</v>
      </c>
      <c r="B6" s="4">
        <v>41966</v>
      </c>
      <c r="C6" s="4">
        <v>41968</v>
      </c>
      <c r="D6" s="3" t="s">
        <v>55</v>
      </c>
      <c r="E6" s="3" t="s">
        <v>5</v>
      </c>
      <c r="F6" s="3" t="s">
        <v>6</v>
      </c>
      <c r="G6" s="33">
        <f t="shared" si="0"/>
        <v>2</v>
      </c>
    </row>
    <row r="7" spans="1:7">
      <c r="A7" s="4">
        <v>41915</v>
      </c>
      <c r="B7" s="4">
        <v>41936</v>
      </c>
      <c r="C7" s="4">
        <v>41968</v>
      </c>
      <c r="D7" s="3" t="s">
        <v>54</v>
      </c>
      <c r="E7" s="3" t="s">
        <v>6</v>
      </c>
      <c r="F7" s="3" t="s">
        <v>6</v>
      </c>
      <c r="G7" s="33">
        <f t="shared" si="0"/>
        <v>32</v>
      </c>
    </row>
    <row r="8" spans="1:7">
      <c r="A8" s="4">
        <v>41964</v>
      </c>
      <c r="B8" s="4">
        <v>41985</v>
      </c>
      <c r="C8" s="4">
        <v>41964</v>
      </c>
      <c r="D8" s="3" t="s">
        <v>53</v>
      </c>
      <c r="E8" s="3" t="s">
        <v>6</v>
      </c>
      <c r="F8" s="3" t="s">
        <v>6</v>
      </c>
      <c r="G8" s="33">
        <f t="shared" si="0"/>
        <v>-21</v>
      </c>
    </row>
    <row r="9" spans="1:7">
      <c r="A9" s="4">
        <v>41948</v>
      </c>
      <c r="B9" s="4">
        <v>41978</v>
      </c>
      <c r="C9" s="4">
        <v>41963</v>
      </c>
      <c r="D9" s="3" t="s">
        <v>60</v>
      </c>
      <c r="E9" s="3" t="s">
        <v>5</v>
      </c>
      <c r="F9" s="3" t="s">
        <v>5</v>
      </c>
      <c r="G9" s="33">
        <f t="shared" si="0"/>
        <v>-15</v>
      </c>
    </row>
    <row r="10" spans="1:7">
      <c r="A10" s="4">
        <v>41961</v>
      </c>
      <c r="B10" s="4">
        <v>41982</v>
      </c>
      <c r="C10" s="4">
        <v>41961</v>
      </c>
      <c r="D10" s="3" t="s">
        <v>41</v>
      </c>
      <c r="E10" s="15" t="s">
        <v>7</v>
      </c>
      <c r="F10" s="15" t="s">
        <v>7</v>
      </c>
      <c r="G10" s="33">
        <f t="shared" si="0"/>
        <v>-21</v>
      </c>
    </row>
    <row r="11" spans="1:7">
      <c r="A11" s="4">
        <v>41940</v>
      </c>
      <c r="B11" s="4">
        <v>41961</v>
      </c>
      <c r="C11" s="4">
        <v>41961</v>
      </c>
      <c r="D11" s="3" t="s">
        <v>41</v>
      </c>
      <c r="E11" s="3" t="s">
        <v>6</v>
      </c>
      <c r="F11" s="3" t="s">
        <v>6</v>
      </c>
      <c r="G11" s="33">
        <f t="shared" si="0"/>
        <v>0</v>
      </c>
    </row>
    <row r="12" spans="1:7">
      <c r="A12" s="4">
        <v>41929</v>
      </c>
      <c r="B12" s="4">
        <v>41950</v>
      </c>
      <c r="C12" s="4">
        <v>41961</v>
      </c>
      <c r="D12" s="3" t="s">
        <v>41</v>
      </c>
      <c r="E12" s="3" t="s">
        <v>6</v>
      </c>
      <c r="F12" s="3" t="s">
        <v>6</v>
      </c>
      <c r="G12" s="33">
        <f t="shared" si="0"/>
        <v>11</v>
      </c>
    </row>
    <row r="13" spans="1:7">
      <c r="A13" s="4">
        <v>41957</v>
      </c>
      <c r="B13" s="4">
        <v>41978</v>
      </c>
      <c r="C13" s="4">
        <v>41957</v>
      </c>
      <c r="D13" s="3" t="s">
        <v>53</v>
      </c>
      <c r="E13" s="15" t="s">
        <v>7</v>
      </c>
      <c r="F13" s="15" t="s">
        <v>7</v>
      </c>
      <c r="G13" s="33">
        <f t="shared" si="0"/>
        <v>-21</v>
      </c>
    </row>
    <row r="14" spans="1:7">
      <c r="A14" s="4">
        <v>41934</v>
      </c>
      <c r="B14" s="4">
        <v>41955</v>
      </c>
      <c r="C14" s="4">
        <v>41957</v>
      </c>
      <c r="D14" s="3" t="s">
        <v>42</v>
      </c>
      <c r="E14" s="3" t="s">
        <v>5</v>
      </c>
      <c r="F14" s="3" t="s">
        <v>5</v>
      </c>
      <c r="G14" s="33">
        <f t="shared" si="0"/>
        <v>2</v>
      </c>
    </row>
    <row r="15" spans="1:7">
      <c r="A15" s="4">
        <v>41941</v>
      </c>
      <c r="B15" s="4">
        <v>41962</v>
      </c>
      <c r="C15" s="4">
        <v>41956</v>
      </c>
      <c r="D15" s="3" t="s">
        <v>53</v>
      </c>
      <c r="E15" s="3" t="s">
        <v>6</v>
      </c>
      <c r="F15" s="3" t="s">
        <v>6</v>
      </c>
      <c r="G15" s="33">
        <f t="shared" si="0"/>
        <v>-6</v>
      </c>
    </row>
    <row r="16" spans="1:7">
      <c r="A16" s="4">
        <v>41950</v>
      </c>
      <c r="B16" s="4">
        <v>41971</v>
      </c>
      <c r="C16" s="4">
        <v>41953</v>
      </c>
      <c r="D16" s="3" t="s">
        <v>62</v>
      </c>
      <c r="E16" s="3" t="s">
        <v>5</v>
      </c>
      <c r="F16" s="3" t="s">
        <v>6</v>
      </c>
      <c r="G16" s="33">
        <f t="shared" si="0"/>
        <v>-18</v>
      </c>
    </row>
    <row r="17" spans="1:7">
      <c r="A17" s="4">
        <v>41949</v>
      </c>
      <c r="B17" s="4">
        <v>41979</v>
      </c>
      <c r="C17" s="4">
        <v>41949</v>
      </c>
      <c r="D17" s="3" t="s">
        <v>62</v>
      </c>
      <c r="E17" s="3" t="s">
        <v>5</v>
      </c>
      <c r="F17" s="15" t="s">
        <v>7</v>
      </c>
      <c r="G17" s="33">
        <f t="shared" si="0"/>
        <v>-30</v>
      </c>
    </row>
    <row r="18" spans="1:7">
      <c r="A18" s="4">
        <v>41948</v>
      </c>
      <c r="B18" s="4">
        <v>41969</v>
      </c>
      <c r="C18" s="4">
        <v>41948</v>
      </c>
      <c r="D18" s="3" t="s">
        <v>58</v>
      </c>
      <c r="E18" s="15" t="s">
        <v>7</v>
      </c>
      <c r="F18" s="15" t="s">
        <v>7</v>
      </c>
      <c r="G18" s="33">
        <f t="shared" si="0"/>
        <v>-21</v>
      </c>
    </row>
    <row r="19" spans="1:7">
      <c r="A19" s="4">
        <v>41940</v>
      </c>
      <c r="B19" s="4">
        <v>41961</v>
      </c>
      <c r="C19" s="4">
        <v>41948</v>
      </c>
      <c r="D19" s="3" t="s">
        <v>55</v>
      </c>
      <c r="E19" s="3" t="s">
        <v>5</v>
      </c>
      <c r="F19" s="3" t="s">
        <v>6</v>
      </c>
      <c r="G19" s="33">
        <f t="shared" si="0"/>
        <v>-13</v>
      </c>
    </row>
    <row r="20" spans="1:7">
      <c r="A20" s="4">
        <v>41939</v>
      </c>
      <c r="B20" s="4">
        <v>41969</v>
      </c>
      <c r="C20" s="4">
        <v>41948</v>
      </c>
      <c r="D20" s="3" t="s">
        <v>62</v>
      </c>
      <c r="E20" s="3" t="s">
        <v>5</v>
      </c>
      <c r="F20" s="3" t="s">
        <v>5</v>
      </c>
      <c r="G20" s="33">
        <f t="shared" si="0"/>
        <v>-21</v>
      </c>
    </row>
    <row r="21" spans="1:7">
      <c r="A21" s="4">
        <v>41933</v>
      </c>
      <c r="B21" s="4">
        <v>41963</v>
      </c>
      <c r="C21" s="4">
        <v>41948</v>
      </c>
      <c r="D21" s="3" t="s">
        <v>60</v>
      </c>
      <c r="E21" s="3" t="s">
        <v>5</v>
      </c>
      <c r="F21" s="3" t="s">
        <v>5</v>
      </c>
      <c r="G21" s="33">
        <f t="shared" si="0"/>
        <v>-15</v>
      </c>
    </row>
    <row r="22" spans="1:7">
      <c r="A22" s="4">
        <v>41892</v>
      </c>
      <c r="B22" s="4">
        <v>41913</v>
      </c>
      <c r="C22" s="4">
        <v>41948</v>
      </c>
      <c r="D22" s="3" t="s">
        <v>41</v>
      </c>
      <c r="E22" s="3" t="s">
        <v>6</v>
      </c>
      <c r="F22" s="3" t="s">
        <v>6</v>
      </c>
      <c r="G22" s="33">
        <f t="shared" si="0"/>
        <v>35</v>
      </c>
    </row>
    <row r="23" spans="1:7">
      <c r="A23" s="4">
        <v>41862</v>
      </c>
      <c r="B23" s="4">
        <v>41883</v>
      </c>
      <c r="C23" s="4">
        <v>41948</v>
      </c>
      <c r="D23" s="3" t="s">
        <v>41</v>
      </c>
      <c r="E23" s="3" t="s">
        <v>6</v>
      </c>
      <c r="F23" s="3" t="s">
        <v>6</v>
      </c>
      <c r="G23" s="33">
        <f t="shared" si="0"/>
        <v>65</v>
      </c>
    </row>
    <row r="24" spans="1:7">
      <c r="A24" s="4">
        <v>41947</v>
      </c>
      <c r="B24" s="4">
        <v>41968</v>
      </c>
      <c r="C24" s="4">
        <v>41947</v>
      </c>
      <c r="D24" s="3" t="s">
        <v>51</v>
      </c>
      <c r="E24" s="15" t="s">
        <v>7</v>
      </c>
      <c r="F24" s="15" t="s">
        <v>7</v>
      </c>
      <c r="G24" s="33">
        <f t="shared" si="0"/>
        <v>-21</v>
      </c>
    </row>
    <row r="25" spans="1:7" ht="15.75" thickBot="1">
      <c r="A25" s="12">
        <v>41926</v>
      </c>
      <c r="B25" s="12">
        <v>41947</v>
      </c>
      <c r="C25" s="12">
        <v>41947</v>
      </c>
      <c r="D25" s="11" t="s">
        <v>49</v>
      </c>
      <c r="E25" s="11" t="s">
        <v>6</v>
      </c>
      <c r="F25" s="11" t="s">
        <v>5</v>
      </c>
      <c r="G25" s="40">
        <f t="shared" si="0"/>
        <v>0</v>
      </c>
    </row>
    <row r="26" spans="1:7">
      <c r="A26" s="32">
        <v>41943</v>
      </c>
      <c r="B26" s="32">
        <v>41964</v>
      </c>
      <c r="C26" s="32">
        <v>41943</v>
      </c>
      <c r="D26" s="31" t="s">
        <v>41</v>
      </c>
      <c r="E26" s="31" t="s">
        <v>6</v>
      </c>
      <c r="F26" s="31" t="s">
        <v>6</v>
      </c>
      <c r="G26" s="33">
        <f t="shared" ref="G26" si="1">C26-B26</f>
        <v>-21</v>
      </c>
    </row>
    <row r="27" spans="1:7">
      <c r="A27" s="4">
        <v>41911</v>
      </c>
      <c r="B27" s="4">
        <v>41941</v>
      </c>
      <c r="C27" s="4">
        <v>41941</v>
      </c>
      <c r="D27" s="3" t="s">
        <v>51</v>
      </c>
      <c r="E27" s="3" t="s">
        <v>6</v>
      </c>
      <c r="F27" s="3" t="s">
        <v>6</v>
      </c>
      <c r="G27" s="10">
        <f t="shared" ref="G27:G59" si="2">C27-B27</f>
        <v>0</v>
      </c>
    </row>
    <row r="28" spans="1:7">
      <c r="A28" s="4">
        <v>41940</v>
      </c>
      <c r="B28" s="4">
        <v>41961</v>
      </c>
      <c r="C28" s="4">
        <v>41940</v>
      </c>
      <c r="D28" s="3" t="s">
        <v>54</v>
      </c>
      <c r="E28" s="15" t="s">
        <v>7</v>
      </c>
      <c r="F28" s="15" t="s">
        <v>7</v>
      </c>
      <c r="G28" s="10">
        <f t="shared" si="2"/>
        <v>-21</v>
      </c>
    </row>
    <row r="29" spans="1:7">
      <c r="A29" s="4">
        <v>41908</v>
      </c>
      <c r="B29" s="4">
        <v>41929</v>
      </c>
      <c r="C29" s="4">
        <v>41940</v>
      </c>
      <c r="D29" s="3" t="s">
        <v>42</v>
      </c>
      <c r="E29" s="3" t="s">
        <v>6</v>
      </c>
      <c r="F29" s="3" t="s">
        <v>5</v>
      </c>
      <c r="G29" s="10">
        <f t="shared" si="2"/>
        <v>11</v>
      </c>
    </row>
    <row r="30" spans="1:7">
      <c r="A30" s="4">
        <v>41851</v>
      </c>
      <c r="B30" s="4">
        <v>41872</v>
      </c>
      <c r="C30" s="4">
        <v>41940</v>
      </c>
      <c r="D30" s="3" t="s">
        <v>43</v>
      </c>
      <c r="E30" s="3" t="s">
        <v>5</v>
      </c>
      <c r="F30" s="3" t="s">
        <v>6</v>
      </c>
      <c r="G30" s="10">
        <f t="shared" si="2"/>
        <v>68</v>
      </c>
    </row>
    <row r="31" spans="1:7">
      <c r="A31" s="4">
        <v>41906</v>
      </c>
      <c r="B31" s="4">
        <v>41927</v>
      </c>
      <c r="C31" s="4">
        <v>41939</v>
      </c>
      <c r="D31" s="3" t="s">
        <v>47</v>
      </c>
      <c r="E31" s="3" t="s">
        <v>6</v>
      </c>
      <c r="F31" s="3" t="s">
        <v>5</v>
      </c>
      <c r="G31" s="10">
        <f t="shared" si="2"/>
        <v>12</v>
      </c>
    </row>
    <row r="32" spans="1:7">
      <c r="A32" s="4">
        <v>41880</v>
      </c>
      <c r="B32" s="4">
        <v>41901</v>
      </c>
      <c r="C32" s="4">
        <v>41939</v>
      </c>
      <c r="D32" s="3" t="s">
        <v>48</v>
      </c>
      <c r="E32" s="3" t="s">
        <v>5</v>
      </c>
      <c r="F32" s="3" t="s">
        <v>6</v>
      </c>
      <c r="G32" s="10">
        <f t="shared" si="2"/>
        <v>38</v>
      </c>
    </row>
    <row r="33" spans="1:7">
      <c r="A33" s="4">
        <v>41936</v>
      </c>
      <c r="B33" s="4">
        <v>41966</v>
      </c>
      <c r="C33" s="4">
        <v>41936</v>
      </c>
      <c r="D33" s="3" t="s">
        <v>60</v>
      </c>
      <c r="E33" s="15" t="s">
        <v>7</v>
      </c>
      <c r="F33" s="15" t="s">
        <v>7</v>
      </c>
      <c r="G33" s="10">
        <f t="shared" si="2"/>
        <v>-30</v>
      </c>
    </row>
    <row r="34" spans="1:7">
      <c r="A34" s="4">
        <v>41933</v>
      </c>
      <c r="B34" s="4">
        <v>41963</v>
      </c>
      <c r="C34" s="4">
        <v>41936</v>
      </c>
      <c r="D34" s="3" t="s">
        <v>60</v>
      </c>
      <c r="E34" s="3" t="s">
        <v>5</v>
      </c>
      <c r="F34" s="3" t="s">
        <v>5</v>
      </c>
      <c r="G34" s="10">
        <f t="shared" si="2"/>
        <v>-27</v>
      </c>
    </row>
    <row r="35" spans="1:7">
      <c r="A35" s="4">
        <v>41922</v>
      </c>
      <c r="B35" s="4">
        <v>41943</v>
      </c>
      <c r="C35" s="4">
        <v>41936</v>
      </c>
      <c r="D35" s="3" t="s">
        <v>43</v>
      </c>
      <c r="E35" s="3" t="s">
        <v>6</v>
      </c>
      <c r="F35" s="3" t="s">
        <v>5</v>
      </c>
      <c r="G35" s="10">
        <f t="shared" si="2"/>
        <v>-7</v>
      </c>
    </row>
    <row r="36" spans="1:7">
      <c r="A36" s="4">
        <v>41914</v>
      </c>
      <c r="B36" s="4">
        <v>41944</v>
      </c>
      <c r="C36" s="4">
        <v>41936</v>
      </c>
      <c r="D36" s="3" t="s">
        <v>60</v>
      </c>
      <c r="E36" s="3" t="s">
        <v>5</v>
      </c>
      <c r="F36" s="3" t="s">
        <v>5</v>
      </c>
      <c r="G36" s="10">
        <f t="shared" si="2"/>
        <v>-8</v>
      </c>
    </row>
    <row r="37" spans="1:7">
      <c r="A37" s="4">
        <v>41914</v>
      </c>
      <c r="B37" s="4">
        <v>41935</v>
      </c>
      <c r="C37" s="4">
        <v>41935</v>
      </c>
      <c r="D37" s="3" t="s">
        <v>42</v>
      </c>
      <c r="E37" s="3" t="s">
        <v>6</v>
      </c>
      <c r="F37" s="3" t="s">
        <v>6</v>
      </c>
      <c r="G37" s="10">
        <f t="shared" si="2"/>
        <v>0</v>
      </c>
    </row>
    <row r="38" spans="1:7">
      <c r="A38" s="4">
        <v>41883</v>
      </c>
      <c r="B38" s="4">
        <v>41904</v>
      </c>
      <c r="C38" s="4">
        <v>41935</v>
      </c>
      <c r="D38" s="3" t="s">
        <v>43</v>
      </c>
      <c r="E38" s="3" t="s">
        <v>6</v>
      </c>
      <c r="F38" s="3" t="s">
        <v>6</v>
      </c>
      <c r="G38" s="10">
        <f t="shared" si="2"/>
        <v>31</v>
      </c>
    </row>
    <row r="39" spans="1:7">
      <c r="A39" s="4">
        <v>41877</v>
      </c>
      <c r="B39" s="4">
        <v>41898</v>
      </c>
      <c r="C39" s="4">
        <v>41934</v>
      </c>
      <c r="D39" s="3" t="s">
        <v>43</v>
      </c>
      <c r="E39" s="3" t="s">
        <v>6</v>
      </c>
      <c r="F39" s="3" t="s">
        <v>5</v>
      </c>
      <c r="G39" s="10">
        <f t="shared" si="2"/>
        <v>36</v>
      </c>
    </row>
    <row r="40" spans="1:7">
      <c r="A40" s="4">
        <v>41696</v>
      </c>
      <c r="B40" s="4">
        <v>41717</v>
      </c>
      <c r="C40" s="4">
        <v>41934</v>
      </c>
      <c r="D40" s="3" t="s">
        <v>62</v>
      </c>
      <c r="E40" s="3" t="s">
        <v>5</v>
      </c>
      <c r="F40" s="3" t="s">
        <v>5</v>
      </c>
      <c r="G40" s="10">
        <f t="shared" si="2"/>
        <v>217</v>
      </c>
    </row>
    <row r="41" spans="1:7">
      <c r="A41" s="4">
        <v>41897</v>
      </c>
      <c r="B41" s="4">
        <v>41918</v>
      </c>
      <c r="C41" s="4">
        <v>41932</v>
      </c>
      <c r="D41" s="3" t="s">
        <v>53</v>
      </c>
      <c r="E41" s="3" t="s">
        <v>5</v>
      </c>
      <c r="F41" s="3" t="s">
        <v>6</v>
      </c>
      <c r="G41" s="10">
        <f t="shared" si="2"/>
        <v>14</v>
      </c>
    </row>
    <row r="42" spans="1:7">
      <c r="A42" s="4">
        <v>41823</v>
      </c>
      <c r="B42" s="4">
        <v>41844</v>
      </c>
      <c r="C42" s="4">
        <v>41929</v>
      </c>
      <c r="D42" s="3" t="s">
        <v>50</v>
      </c>
      <c r="E42" s="3" t="s">
        <v>6</v>
      </c>
      <c r="F42" s="3" t="s">
        <v>6</v>
      </c>
      <c r="G42" s="10">
        <f t="shared" si="2"/>
        <v>85</v>
      </c>
    </row>
    <row r="43" spans="1:7">
      <c r="A43" s="4">
        <v>41842</v>
      </c>
      <c r="B43" s="4">
        <v>41863</v>
      </c>
      <c r="C43" s="4">
        <v>41928</v>
      </c>
      <c r="D43" s="3" t="s">
        <v>62</v>
      </c>
      <c r="E43" s="3" t="s">
        <v>5</v>
      </c>
      <c r="F43" s="3" t="s">
        <v>5</v>
      </c>
      <c r="G43" s="10">
        <f t="shared" si="2"/>
        <v>65</v>
      </c>
    </row>
    <row r="44" spans="1:7">
      <c r="A44" s="4">
        <v>41927</v>
      </c>
      <c r="B44" s="4">
        <v>41948</v>
      </c>
      <c r="C44" s="4">
        <v>41927</v>
      </c>
      <c r="D44" s="3" t="s">
        <v>62</v>
      </c>
      <c r="E44" s="3" t="s">
        <v>5</v>
      </c>
      <c r="F44" s="3" t="s">
        <v>6</v>
      </c>
      <c r="G44" s="10">
        <f t="shared" si="2"/>
        <v>-21</v>
      </c>
    </row>
    <row r="45" spans="1:7">
      <c r="A45" s="4">
        <v>41919</v>
      </c>
      <c r="B45" s="4">
        <v>41940</v>
      </c>
      <c r="C45" s="4">
        <v>41926</v>
      </c>
      <c r="D45" s="3" t="s">
        <v>53</v>
      </c>
      <c r="E45" s="3" t="s">
        <v>5</v>
      </c>
      <c r="F45" s="3" t="s">
        <v>6</v>
      </c>
      <c r="G45" s="10">
        <f t="shared" si="2"/>
        <v>-14</v>
      </c>
    </row>
    <row r="46" spans="1:7">
      <c r="A46" s="4">
        <v>41878</v>
      </c>
      <c r="B46" s="4">
        <v>41899</v>
      </c>
      <c r="C46" s="4">
        <v>41926</v>
      </c>
      <c r="D46" s="3" t="s">
        <v>43</v>
      </c>
      <c r="E46" s="3" t="s">
        <v>6</v>
      </c>
      <c r="F46" s="3" t="s">
        <v>5</v>
      </c>
      <c r="G46" s="10">
        <f t="shared" si="2"/>
        <v>27</v>
      </c>
    </row>
    <row r="47" spans="1:7">
      <c r="A47" s="4">
        <v>41915</v>
      </c>
      <c r="B47" s="4">
        <v>41936</v>
      </c>
      <c r="C47" s="4">
        <v>41925</v>
      </c>
      <c r="D47" s="3" t="s">
        <v>60</v>
      </c>
      <c r="E47" s="3" t="s">
        <v>5</v>
      </c>
      <c r="F47" s="3" t="s">
        <v>5</v>
      </c>
      <c r="G47" s="10">
        <f t="shared" si="2"/>
        <v>-11</v>
      </c>
    </row>
    <row r="48" spans="1:7">
      <c r="A48" s="4">
        <v>41915</v>
      </c>
      <c r="B48" s="4">
        <v>41945</v>
      </c>
      <c r="C48" s="4">
        <v>41925</v>
      </c>
      <c r="D48" s="3" t="s">
        <v>60</v>
      </c>
      <c r="E48" s="3" t="s">
        <v>5</v>
      </c>
      <c r="F48" s="3" t="s">
        <v>5</v>
      </c>
      <c r="G48" s="10">
        <f t="shared" si="2"/>
        <v>-20</v>
      </c>
    </row>
    <row r="49" spans="1:7">
      <c r="A49" s="4">
        <v>41912</v>
      </c>
      <c r="B49" s="4">
        <v>41942</v>
      </c>
      <c r="C49" s="4">
        <v>41925</v>
      </c>
      <c r="D49" s="3" t="s">
        <v>60</v>
      </c>
      <c r="E49" s="3" t="s">
        <v>5</v>
      </c>
      <c r="F49" s="3" t="s">
        <v>5</v>
      </c>
      <c r="G49" s="10">
        <f t="shared" si="2"/>
        <v>-17</v>
      </c>
    </row>
    <row r="50" spans="1:7">
      <c r="A50" s="4">
        <v>41911</v>
      </c>
      <c r="B50" s="4">
        <v>41932</v>
      </c>
      <c r="C50" s="4">
        <v>41925</v>
      </c>
      <c r="D50" s="3" t="s">
        <v>60</v>
      </c>
      <c r="E50" s="3" t="s">
        <v>5</v>
      </c>
      <c r="F50" s="3" t="s">
        <v>5</v>
      </c>
      <c r="G50" s="10">
        <f t="shared" si="2"/>
        <v>-7</v>
      </c>
    </row>
    <row r="51" spans="1:7">
      <c r="A51" s="4">
        <v>41899</v>
      </c>
      <c r="B51" s="4">
        <v>41929</v>
      </c>
      <c r="C51" s="4">
        <v>41925</v>
      </c>
      <c r="D51" s="3" t="s">
        <v>60</v>
      </c>
      <c r="E51" s="3" t="s">
        <v>5</v>
      </c>
      <c r="F51" s="3" t="s">
        <v>5</v>
      </c>
      <c r="G51" s="10">
        <f t="shared" si="2"/>
        <v>-4</v>
      </c>
    </row>
    <row r="52" spans="1:7">
      <c r="A52" s="4">
        <v>41899</v>
      </c>
      <c r="B52" s="4">
        <v>41929</v>
      </c>
      <c r="C52" s="4">
        <v>41925</v>
      </c>
      <c r="D52" s="3" t="s">
        <v>60</v>
      </c>
      <c r="E52" s="3" t="s">
        <v>5</v>
      </c>
      <c r="F52" s="3" t="s">
        <v>5</v>
      </c>
      <c r="G52" s="10">
        <f t="shared" si="2"/>
        <v>-4</v>
      </c>
    </row>
    <row r="53" spans="1:7">
      <c r="A53" s="4">
        <v>41891</v>
      </c>
      <c r="B53" s="4">
        <v>41912</v>
      </c>
      <c r="C53" s="4">
        <v>41925</v>
      </c>
      <c r="D53" s="3" t="s">
        <v>50</v>
      </c>
      <c r="E53" s="3" t="s">
        <v>5</v>
      </c>
      <c r="F53" s="3" t="s">
        <v>5</v>
      </c>
      <c r="G53" s="10">
        <f t="shared" si="2"/>
        <v>13</v>
      </c>
    </row>
    <row r="54" spans="1:7">
      <c r="A54" s="4">
        <v>41922</v>
      </c>
      <c r="B54" s="4">
        <v>41943</v>
      </c>
      <c r="C54" s="4">
        <v>41922</v>
      </c>
      <c r="D54" s="3" t="s">
        <v>62</v>
      </c>
      <c r="E54" s="3" t="s">
        <v>5</v>
      </c>
      <c r="F54" s="3" t="s">
        <v>6</v>
      </c>
      <c r="G54" s="10">
        <f t="shared" si="2"/>
        <v>-21</v>
      </c>
    </row>
    <row r="55" spans="1:7">
      <c r="A55" s="4">
        <v>41922</v>
      </c>
      <c r="B55" s="4">
        <v>41952</v>
      </c>
      <c r="C55" s="4">
        <v>41922</v>
      </c>
      <c r="D55" s="3" t="s">
        <v>62</v>
      </c>
      <c r="E55" s="3" t="s">
        <v>5</v>
      </c>
      <c r="F55" s="3" t="s">
        <v>6</v>
      </c>
      <c r="G55" s="10">
        <f t="shared" si="2"/>
        <v>-30</v>
      </c>
    </row>
    <row r="56" spans="1:7">
      <c r="A56" s="4">
        <v>41921</v>
      </c>
      <c r="B56" s="4">
        <v>41942</v>
      </c>
      <c r="C56" s="4">
        <v>41921</v>
      </c>
      <c r="D56" s="3" t="s">
        <v>42</v>
      </c>
      <c r="E56" s="15" t="s">
        <v>7</v>
      </c>
      <c r="F56" s="15" t="s">
        <v>7</v>
      </c>
      <c r="G56" s="10">
        <f t="shared" si="2"/>
        <v>-21</v>
      </c>
    </row>
    <row r="57" spans="1:7">
      <c r="A57" s="4">
        <v>41921</v>
      </c>
      <c r="B57" s="4">
        <v>41942</v>
      </c>
      <c r="C57" s="4">
        <v>41921</v>
      </c>
      <c r="D57" s="3" t="s">
        <v>62</v>
      </c>
      <c r="E57" s="15" t="s">
        <v>7</v>
      </c>
      <c r="F57" s="15" t="s">
        <v>7</v>
      </c>
      <c r="G57" s="10">
        <f t="shared" si="2"/>
        <v>-21</v>
      </c>
    </row>
    <row r="58" spans="1:7">
      <c r="A58" s="4">
        <v>41915</v>
      </c>
      <c r="B58" s="4">
        <v>41936</v>
      </c>
      <c r="C58" s="4">
        <v>41915</v>
      </c>
      <c r="D58" s="3" t="s">
        <v>41</v>
      </c>
      <c r="E58" s="3" t="s">
        <v>6</v>
      </c>
      <c r="F58" s="3" t="s">
        <v>5</v>
      </c>
      <c r="G58" s="10">
        <f t="shared" si="2"/>
        <v>-21</v>
      </c>
    </row>
    <row r="59" spans="1:7" ht="15.75" thickBot="1">
      <c r="A59" s="12">
        <v>41915</v>
      </c>
      <c r="B59" s="12">
        <v>41936</v>
      </c>
      <c r="C59" s="12">
        <v>41915</v>
      </c>
      <c r="D59" s="11" t="s">
        <v>60</v>
      </c>
      <c r="E59" s="11" t="s">
        <v>5</v>
      </c>
      <c r="F59" s="11" t="s">
        <v>5</v>
      </c>
      <c r="G59" s="13">
        <f t="shared" si="2"/>
        <v>-21</v>
      </c>
    </row>
    <row r="60" spans="1:7">
      <c r="A60" s="32">
        <v>41883</v>
      </c>
      <c r="B60" s="32">
        <v>41913</v>
      </c>
      <c r="C60" s="32">
        <v>41912</v>
      </c>
      <c r="D60" s="31" t="s">
        <v>60</v>
      </c>
      <c r="E60" s="31" t="s">
        <v>5</v>
      </c>
      <c r="F60" s="31" t="s">
        <v>5</v>
      </c>
      <c r="G60" s="33">
        <f t="shared" ref="G60:G88" si="3">C60-B60</f>
        <v>-1</v>
      </c>
    </row>
    <row r="61" spans="1:7">
      <c r="A61" s="4">
        <v>41899</v>
      </c>
      <c r="B61" s="4">
        <v>41920</v>
      </c>
      <c r="C61" s="4">
        <v>41912</v>
      </c>
      <c r="D61" s="3" t="s">
        <v>58</v>
      </c>
      <c r="E61" s="31" t="s">
        <v>6</v>
      </c>
      <c r="F61" s="31" t="s">
        <v>5</v>
      </c>
      <c r="G61" s="33">
        <f t="shared" si="3"/>
        <v>-8</v>
      </c>
    </row>
    <row r="62" spans="1:7">
      <c r="A62" s="4">
        <v>41873</v>
      </c>
      <c r="B62" s="4">
        <v>41894</v>
      </c>
      <c r="C62" s="4">
        <v>41912</v>
      </c>
      <c r="D62" s="3" t="s">
        <v>54</v>
      </c>
      <c r="E62" s="3" t="s">
        <v>5</v>
      </c>
      <c r="F62" s="3" t="s">
        <v>6</v>
      </c>
      <c r="G62" s="33">
        <f t="shared" si="3"/>
        <v>18</v>
      </c>
    </row>
    <row r="63" spans="1:7">
      <c r="A63" s="4">
        <v>41857</v>
      </c>
      <c r="B63" s="4">
        <v>41878</v>
      </c>
      <c r="C63" s="4">
        <v>41911</v>
      </c>
      <c r="D63" s="3" t="s">
        <v>47</v>
      </c>
      <c r="E63" s="3" t="s">
        <v>5</v>
      </c>
      <c r="F63" s="3" t="s">
        <v>5</v>
      </c>
      <c r="G63" s="33">
        <f t="shared" si="3"/>
        <v>33</v>
      </c>
    </row>
    <row r="64" spans="1:7">
      <c r="A64" s="4">
        <v>41898</v>
      </c>
      <c r="B64" s="4">
        <v>41919</v>
      </c>
      <c r="C64" s="4">
        <v>41908</v>
      </c>
      <c r="D64" s="3" t="s">
        <v>41</v>
      </c>
      <c r="E64" s="3" t="s">
        <v>5</v>
      </c>
      <c r="F64" s="3" t="s">
        <v>5</v>
      </c>
      <c r="G64" s="33">
        <f t="shared" si="3"/>
        <v>-11</v>
      </c>
    </row>
    <row r="65" spans="1:7">
      <c r="A65" s="4">
        <v>41893</v>
      </c>
      <c r="B65" s="4">
        <v>41923</v>
      </c>
      <c r="C65" s="4">
        <v>41907</v>
      </c>
      <c r="D65" s="3" t="s">
        <v>60</v>
      </c>
      <c r="E65" s="3" t="s">
        <v>5</v>
      </c>
      <c r="F65" s="3" t="s">
        <v>5</v>
      </c>
      <c r="G65" s="33">
        <f t="shared" si="3"/>
        <v>-16</v>
      </c>
    </row>
    <row r="66" spans="1:7">
      <c r="A66" s="4">
        <v>41858</v>
      </c>
      <c r="B66" s="4">
        <v>41879</v>
      </c>
      <c r="C66" s="4">
        <v>41906</v>
      </c>
      <c r="D66" s="3" t="s">
        <v>41</v>
      </c>
      <c r="E66" s="3" t="s">
        <v>5</v>
      </c>
      <c r="F66" s="3" t="s">
        <v>6</v>
      </c>
      <c r="G66" s="33">
        <f t="shared" si="3"/>
        <v>27</v>
      </c>
    </row>
    <row r="67" spans="1:7">
      <c r="A67" s="4">
        <v>41883</v>
      </c>
      <c r="B67" s="4">
        <v>41913</v>
      </c>
      <c r="C67" s="4">
        <v>41905</v>
      </c>
      <c r="D67" s="3" t="s">
        <v>60</v>
      </c>
      <c r="E67" s="3" t="s">
        <v>5</v>
      </c>
      <c r="F67" s="3" t="s">
        <v>5</v>
      </c>
      <c r="G67" s="33">
        <f t="shared" si="3"/>
        <v>-8</v>
      </c>
    </row>
    <row r="68" spans="1:7">
      <c r="A68" s="4">
        <v>41899</v>
      </c>
      <c r="B68" s="4">
        <v>41920</v>
      </c>
      <c r="C68" s="4">
        <v>41904</v>
      </c>
      <c r="D68" s="3" t="s">
        <v>41</v>
      </c>
      <c r="E68" s="3" t="s">
        <v>5</v>
      </c>
      <c r="F68" s="3" t="s">
        <v>5</v>
      </c>
      <c r="G68" s="33">
        <f t="shared" si="3"/>
        <v>-16</v>
      </c>
    </row>
    <row r="69" spans="1:7">
      <c r="A69" s="4">
        <v>41885</v>
      </c>
      <c r="B69" s="4">
        <v>41906</v>
      </c>
      <c r="C69" s="4">
        <v>41904</v>
      </c>
      <c r="D69" s="3" t="s">
        <v>51</v>
      </c>
      <c r="E69" s="3" t="s">
        <v>6</v>
      </c>
      <c r="F69" s="3" t="s">
        <v>6</v>
      </c>
      <c r="G69" s="33">
        <f t="shared" si="3"/>
        <v>-2</v>
      </c>
    </row>
    <row r="70" spans="1:7">
      <c r="A70" s="4">
        <v>41900</v>
      </c>
      <c r="B70" s="4">
        <v>41930</v>
      </c>
      <c r="C70" s="4">
        <v>41900</v>
      </c>
      <c r="D70" s="3" t="s">
        <v>42</v>
      </c>
      <c r="E70" s="15" t="s">
        <v>7</v>
      </c>
      <c r="F70" s="15" t="s">
        <v>7</v>
      </c>
      <c r="G70" s="33">
        <f t="shared" si="3"/>
        <v>-30</v>
      </c>
    </row>
    <row r="71" spans="1:7">
      <c r="A71" s="4">
        <v>41880</v>
      </c>
      <c r="B71" s="4">
        <v>41901</v>
      </c>
      <c r="C71" s="4">
        <v>41898</v>
      </c>
      <c r="D71" s="3" t="s">
        <v>61</v>
      </c>
      <c r="E71" s="3" t="s">
        <v>6</v>
      </c>
      <c r="F71" s="3" t="s">
        <v>6</v>
      </c>
      <c r="G71" s="33">
        <f t="shared" si="3"/>
        <v>-3</v>
      </c>
    </row>
    <row r="72" spans="1:7">
      <c r="A72" s="4">
        <v>41864</v>
      </c>
      <c r="B72" s="4">
        <v>41885</v>
      </c>
      <c r="C72" s="4">
        <v>41898</v>
      </c>
      <c r="D72" s="3" t="s">
        <v>61</v>
      </c>
      <c r="E72" s="3" t="s">
        <v>6</v>
      </c>
      <c r="F72" s="3" t="s">
        <v>6</v>
      </c>
      <c r="G72" s="33">
        <f t="shared" si="3"/>
        <v>13</v>
      </c>
    </row>
    <row r="73" spans="1:7">
      <c r="A73" s="4">
        <v>41897</v>
      </c>
      <c r="B73" s="4">
        <v>41918</v>
      </c>
      <c r="C73" s="4">
        <v>41897</v>
      </c>
      <c r="D73" s="3" t="s">
        <v>54</v>
      </c>
      <c r="E73" s="3" t="s">
        <v>5</v>
      </c>
      <c r="F73" s="15" t="s">
        <v>7</v>
      </c>
      <c r="G73" s="33">
        <f t="shared" si="3"/>
        <v>-21</v>
      </c>
    </row>
    <row r="74" spans="1:7">
      <c r="A74" s="4">
        <v>41883</v>
      </c>
      <c r="B74" s="4">
        <v>41904</v>
      </c>
      <c r="C74" s="4">
        <v>41897</v>
      </c>
      <c r="D74" s="3" t="s">
        <v>53</v>
      </c>
      <c r="E74" s="3" t="s">
        <v>5</v>
      </c>
      <c r="F74" s="3" t="s">
        <v>6</v>
      </c>
      <c r="G74" s="33">
        <f t="shared" si="3"/>
        <v>-7</v>
      </c>
    </row>
    <row r="75" spans="1:7">
      <c r="A75" s="4">
        <v>41894</v>
      </c>
      <c r="B75" s="4">
        <v>41915</v>
      </c>
      <c r="C75" s="4">
        <v>41894</v>
      </c>
      <c r="D75" s="3" t="s">
        <v>42</v>
      </c>
      <c r="E75" s="15" t="s">
        <v>7</v>
      </c>
      <c r="F75" s="15" t="s">
        <v>7</v>
      </c>
      <c r="G75" s="33">
        <f t="shared" si="3"/>
        <v>-21</v>
      </c>
    </row>
    <row r="76" spans="1:7">
      <c r="A76" s="4">
        <v>41841</v>
      </c>
      <c r="B76" s="4">
        <v>41862</v>
      </c>
      <c r="C76" s="4">
        <v>41894</v>
      </c>
      <c r="D76" s="3" t="s">
        <v>53</v>
      </c>
      <c r="E76" s="3" t="s">
        <v>5</v>
      </c>
      <c r="F76" s="3" t="s">
        <v>6</v>
      </c>
      <c r="G76" s="33">
        <f t="shared" si="3"/>
        <v>32</v>
      </c>
    </row>
    <row r="77" spans="1:7">
      <c r="A77" s="4">
        <v>41815</v>
      </c>
      <c r="B77" s="4">
        <v>41836</v>
      </c>
      <c r="C77" s="4">
        <v>41894</v>
      </c>
      <c r="D77" s="3" t="s">
        <v>41</v>
      </c>
      <c r="E77" s="3" t="s">
        <v>6</v>
      </c>
      <c r="F77" s="3" t="s">
        <v>5</v>
      </c>
      <c r="G77" s="33">
        <f t="shared" si="3"/>
        <v>58</v>
      </c>
    </row>
    <row r="78" spans="1:7">
      <c r="A78" s="4">
        <v>41893</v>
      </c>
      <c r="B78" s="4">
        <v>41914</v>
      </c>
      <c r="C78" s="4">
        <v>41893</v>
      </c>
      <c r="D78" s="3" t="s">
        <v>62</v>
      </c>
      <c r="E78" s="3" t="s">
        <v>5</v>
      </c>
      <c r="F78" s="3" t="s">
        <v>6</v>
      </c>
      <c r="G78" s="33">
        <f t="shared" si="3"/>
        <v>-21</v>
      </c>
    </row>
    <row r="79" spans="1:7">
      <c r="A79" s="4">
        <v>41892</v>
      </c>
      <c r="B79" s="4">
        <v>41913</v>
      </c>
      <c r="C79" s="4">
        <v>41892</v>
      </c>
      <c r="D79" s="3" t="s">
        <v>60</v>
      </c>
      <c r="E79" s="3" t="s">
        <v>5</v>
      </c>
      <c r="F79" s="3" t="s">
        <v>5</v>
      </c>
      <c r="G79" s="33">
        <f t="shared" si="3"/>
        <v>-21</v>
      </c>
    </row>
    <row r="80" spans="1:7">
      <c r="A80" s="4">
        <v>41703</v>
      </c>
      <c r="B80" s="4">
        <v>41724</v>
      </c>
      <c r="C80" s="4">
        <v>41892</v>
      </c>
      <c r="D80" s="3" t="s">
        <v>41</v>
      </c>
      <c r="E80" s="3" t="s">
        <v>6</v>
      </c>
      <c r="F80" s="3" t="s">
        <v>5</v>
      </c>
      <c r="G80" s="33">
        <f t="shared" si="3"/>
        <v>168</v>
      </c>
    </row>
    <row r="81" spans="1:7">
      <c r="A81" s="4">
        <v>41865</v>
      </c>
      <c r="B81" s="4">
        <v>41895</v>
      </c>
      <c r="C81" s="4">
        <v>41891</v>
      </c>
      <c r="D81" s="3" t="s">
        <v>60</v>
      </c>
      <c r="E81" s="3" t="s">
        <v>5</v>
      </c>
      <c r="F81" s="3" t="s">
        <v>5</v>
      </c>
      <c r="G81" s="33">
        <f t="shared" si="3"/>
        <v>-4</v>
      </c>
    </row>
    <row r="82" spans="1:7">
      <c r="A82" s="4">
        <v>41890</v>
      </c>
      <c r="B82" s="4">
        <v>41911</v>
      </c>
      <c r="C82" s="4">
        <v>41890</v>
      </c>
      <c r="D82" s="3" t="s">
        <v>62</v>
      </c>
      <c r="E82" s="3" t="s">
        <v>5</v>
      </c>
      <c r="F82" s="3" t="s">
        <v>6</v>
      </c>
      <c r="G82" s="33">
        <f t="shared" si="3"/>
        <v>-21</v>
      </c>
    </row>
    <row r="83" spans="1:7">
      <c r="A83" s="4">
        <v>41863</v>
      </c>
      <c r="B83" s="4">
        <v>41884</v>
      </c>
      <c r="C83" s="4">
        <v>41890</v>
      </c>
      <c r="D83" s="3" t="s">
        <v>43</v>
      </c>
      <c r="E83" s="3" t="s">
        <v>6</v>
      </c>
      <c r="F83" s="3" t="s">
        <v>5</v>
      </c>
      <c r="G83" s="33">
        <f t="shared" si="3"/>
        <v>6</v>
      </c>
    </row>
    <row r="84" spans="1:7">
      <c r="A84" s="4">
        <v>41844</v>
      </c>
      <c r="B84" s="4">
        <v>41865</v>
      </c>
      <c r="C84" s="4">
        <v>41887</v>
      </c>
      <c r="D84" s="3" t="s">
        <v>43</v>
      </c>
      <c r="E84" s="3" t="s">
        <v>6</v>
      </c>
      <c r="F84" s="3" t="s">
        <v>6</v>
      </c>
      <c r="G84" s="33">
        <f t="shared" si="3"/>
        <v>22</v>
      </c>
    </row>
    <row r="85" spans="1:7">
      <c r="A85" s="4">
        <v>41877</v>
      </c>
      <c r="B85" s="4">
        <v>41898</v>
      </c>
      <c r="C85" s="4">
        <v>41886</v>
      </c>
      <c r="D85" s="3" t="s">
        <v>43</v>
      </c>
      <c r="E85" s="3" t="s">
        <v>5</v>
      </c>
      <c r="F85" s="3" t="s">
        <v>5</v>
      </c>
      <c r="G85" s="33">
        <f t="shared" si="3"/>
        <v>-12</v>
      </c>
    </row>
    <row r="86" spans="1:7">
      <c r="A86" s="4">
        <v>41845</v>
      </c>
      <c r="B86" s="4">
        <v>41866</v>
      </c>
      <c r="C86" s="4">
        <v>41886</v>
      </c>
      <c r="D86" s="3" t="s">
        <v>48</v>
      </c>
      <c r="E86" s="3" t="s">
        <v>5</v>
      </c>
      <c r="F86" s="3" t="s">
        <v>6</v>
      </c>
      <c r="G86" s="33">
        <f t="shared" si="3"/>
        <v>20</v>
      </c>
    </row>
    <row r="87" spans="1:7">
      <c r="A87" s="4">
        <v>41743</v>
      </c>
      <c r="B87" s="4">
        <v>41764</v>
      </c>
      <c r="C87" s="4">
        <v>41886</v>
      </c>
      <c r="D87" s="3" t="s">
        <v>44</v>
      </c>
      <c r="E87" s="3" t="s">
        <v>5</v>
      </c>
      <c r="F87" s="3" t="s">
        <v>5</v>
      </c>
      <c r="G87" s="33">
        <f t="shared" si="3"/>
        <v>122</v>
      </c>
    </row>
    <row r="88" spans="1:7" ht="15.75" thickBot="1">
      <c r="A88" s="12">
        <v>41883</v>
      </c>
      <c r="B88" s="12">
        <v>41904</v>
      </c>
      <c r="C88" s="12">
        <v>41883</v>
      </c>
      <c r="D88" s="11" t="s">
        <v>53</v>
      </c>
      <c r="E88" s="11" t="s">
        <v>5</v>
      </c>
      <c r="F88" s="39" t="s">
        <v>7</v>
      </c>
      <c r="G88" s="40">
        <f t="shared" si="3"/>
        <v>-21</v>
      </c>
    </row>
    <row r="89" spans="1:7">
      <c r="A89" s="32">
        <v>41880</v>
      </c>
      <c r="B89" s="32">
        <v>41901</v>
      </c>
      <c r="C89" s="32">
        <v>41880</v>
      </c>
      <c r="D89" s="31" t="s">
        <v>43</v>
      </c>
      <c r="E89" s="38" t="s">
        <v>6</v>
      </c>
      <c r="F89" s="38" t="s">
        <v>6</v>
      </c>
      <c r="G89" s="33">
        <f t="shared" ref="G89" si="4">C89-B89</f>
        <v>-21</v>
      </c>
    </row>
    <row r="90" spans="1:7">
      <c r="A90" s="4">
        <v>41782</v>
      </c>
      <c r="B90" s="4">
        <v>41803</v>
      </c>
      <c r="C90" s="4">
        <v>41880</v>
      </c>
      <c r="D90" s="3" t="s">
        <v>43</v>
      </c>
      <c r="E90" s="31" t="s">
        <v>6</v>
      </c>
      <c r="F90" s="31" t="s">
        <v>6</v>
      </c>
      <c r="G90" s="10">
        <f t="shared" ref="G90:G151" si="5">C90-B90</f>
        <v>77</v>
      </c>
    </row>
    <row r="91" spans="1:7">
      <c r="A91" s="4">
        <v>41680</v>
      </c>
      <c r="B91" s="4">
        <v>41701</v>
      </c>
      <c r="C91" s="4">
        <v>41880</v>
      </c>
      <c r="D91" s="3" t="s">
        <v>43</v>
      </c>
      <c r="E91" s="31" t="s">
        <v>6</v>
      </c>
      <c r="F91" s="31" t="s">
        <v>6</v>
      </c>
      <c r="G91" s="10">
        <f t="shared" si="5"/>
        <v>179</v>
      </c>
    </row>
    <row r="92" spans="1:7">
      <c r="A92" s="4">
        <v>41824</v>
      </c>
      <c r="B92" s="4">
        <v>41845</v>
      </c>
      <c r="C92" s="4">
        <v>41879</v>
      </c>
      <c r="D92" s="3" t="s">
        <v>43</v>
      </c>
      <c r="E92" s="31" t="s">
        <v>6</v>
      </c>
      <c r="F92" s="31" t="s">
        <v>6</v>
      </c>
      <c r="G92" s="10">
        <f t="shared" si="5"/>
        <v>34</v>
      </c>
    </row>
    <row r="93" spans="1:7">
      <c r="A93" s="4">
        <v>41877</v>
      </c>
      <c r="B93" s="4">
        <v>41898</v>
      </c>
      <c r="C93" s="4">
        <v>41878</v>
      </c>
      <c r="D93" s="3" t="s">
        <v>43</v>
      </c>
      <c r="E93" s="3" t="s">
        <v>5</v>
      </c>
      <c r="F93" s="3" t="s">
        <v>6</v>
      </c>
      <c r="G93" s="10">
        <f t="shared" si="5"/>
        <v>-20</v>
      </c>
    </row>
    <row r="94" spans="1:7">
      <c r="A94" s="4">
        <v>41877</v>
      </c>
      <c r="B94" s="4">
        <v>41898</v>
      </c>
      <c r="C94" s="4">
        <v>41877</v>
      </c>
      <c r="D94" s="3" t="s">
        <v>53</v>
      </c>
      <c r="E94" s="15" t="s">
        <v>7</v>
      </c>
      <c r="F94" s="15" t="s">
        <v>7</v>
      </c>
      <c r="G94" s="10">
        <f t="shared" si="5"/>
        <v>-21</v>
      </c>
    </row>
    <row r="95" spans="1:7">
      <c r="A95" s="4">
        <v>41855</v>
      </c>
      <c r="B95" s="4">
        <v>41876</v>
      </c>
      <c r="C95" s="4">
        <v>41877</v>
      </c>
      <c r="D95" s="3" t="s">
        <v>50</v>
      </c>
      <c r="E95" s="3" t="s">
        <v>5</v>
      </c>
      <c r="F95" s="3" t="s">
        <v>5</v>
      </c>
      <c r="G95" s="10">
        <f t="shared" si="5"/>
        <v>1</v>
      </c>
    </row>
    <row r="96" spans="1:7">
      <c r="A96" s="4">
        <v>41837</v>
      </c>
      <c r="B96" s="4">
        <v>41858</v>
      </c>
      <c r="C96" s="4">
        <v>41877</v>
      </c>
      <c r="D96" s="3" t="s">
        <v>50</v>
      </c>
      <c r="E96" s="3" t="s">
        <v>6</v>
      </c>
      <c r="F96" s="3" t="s">
        <v>5</v>
      </c>
      <c r="G96" s="10">
        <f t="shared" si="5"/>
        <v>19</v>
      </c>
    </row>
    <row r="97" spans="1:7">
      <c r="A97" s="4">
        <v>41876</v>
      </c>
      <c r="B97" s="4">
        <v>41897</v>
      </c>
      <c r="C97" s="4">
        <v>41876</v>
      </c>
      <c r="D97" s="3" t="s">
        <v>62</v>
      </c>
      <c r="E97" s="3" t="s">
        <v>5</v>
      </c>
      <c r="F97" s="3" t="s">
        <v>6</v>
      </c>
      <c r="G97" s="10">
        <f t="shared" si="5"/>
        <v>-21</v>
      </c>
    </row>
    <row r="98" spans="1:7">
      <c r="A98" s="4">
        <v>41872</v>
      </c>
      <c r="B98" s="4">
        <v>41893</v>
      </c>
      <c r="C98" s="4">
        <v>41876</v>
      </c>
      <c r="D98" s="3" t="s">
        <v>47</v>
      </c>
      <c r="E98" s="3" t="s">
        <v>5</v>
      </c>
      <c r="F98" s="3" t="s">
        <v>5</v>
      </c>
      <c r="G98" s="10">
        <f t="shared" si="5"/>
        <v>-17</v>
      </c>
    </row>
    <row r="99" spans="1:7">
      <c r="A99" s="4">
        <v>41779</v>
      </c>
      <c r="B99" s="4">
        <v>41800</v>
      </c>
      <c r="C99" s="4">
        <v>41876</v>
      </c>
      <c r="D99" s="3" t="s">
        <v>47</v>
      </c>
      <c r="E99" s="3" t="s">
        <v>6</v>
      </c>
      <c r="F99" s="3" t="s">
        <v>5</v>
      </c>
      <c r="G99" s="10">
        <f t="shared" si="5"/>
        <v>76</v>
      </c>
    </row>
    <row r="100" spans="1:7">
      <c r="A100" s="4">
        <v>41873</v>
      </c>
      <c r="B100" s="4">
        <v>41894</v>
      </c>
      <c r="C100" s="4">
        <v>41873</v>
      </c>
      <c r="D100" s="3" t="s">
        <v>53</v>
      </c>
      <c r="E100" s="3" t="s">
        <v>5</v>
      </c>
      <c r="F100" s="15" t="s">
        <v>7</v>
      </c>
      <c r="G100" s="10">
        <f t="shared" si="5"/>
        <v>-21</v>
      </c>
    </row>
    <row r="101" spans="1:7">
      <c r="A101" s="4">
        <v>41843</v>
      </c>
      <c r="B101" s="4">
        <v>41864</v>
      </c>
      <c r="C101" s="4">
        <v>41873</v>
      </c>
      <c r="D101" s="3" t="s">
        <v>51</v>
      </c>
      <c r="E101" s="3" t="s">
        <v>6</v>
      </c>
      <c r="F101" s="3" t="s">
        <v>6</v>
      </c>
      <c r="G101" s="10">
        <f t="shared" si="5"/>
        <v>9</v>
      </c>
    </row>
    <row r="102" spans="1:7">
      <c r="A102" s="4">
        <v>41872</v>
      </c>
      <c r="B102" s="4">
        <v>41893</v>
      </c>
      <c r="C102" s="4">
        <v>41872</v>
      </c>
      <c r="D102" s="3" t="s">
        <v>53</v>
      </c>
      <c r="E102" s="15" t="s">
        <v>7</v>
      </c>
      <c r="F102" s="15" t="s">
        <v>7</v>
      </c>
      <c r="G102" s="10">
        <f t="shared" si="5"/>
        <v>-21</v>
      </c>
    </row>
    <row r="103" spans="1:7">
      <c r="A103" s="4">
        <v>41808</v>
      </c>
      <c r="B103" s="4">
        <v>41829</v>
      </c>
      <c r="C103" s="4">
        <v>41872</v>
      </c>
      <c r="D103" s="3" t="s">
        <v>43</v>
      </c>
      <c r="E103" s="31" t="s">
        <v>6</v>
      </c>
      <c r="F103" s="31" t="s">
        <v>5</v>
      </c>
      <c r="G103" s="10">
        <f t="shared" si="5"/>
        <v>43</v>
      </c>
    </row>
    <row r="104" spans="1:7">
      <c r="A104" s="4">
        <v>41806</v>
      </c>
      <c r="B104" s="4">
        <v>41827</v>
      </c>
      <c r="C104" s="4">
        <v>41871</v>
      </c>
      <c r="D104" s="3" t="s">
        <v>43</v>
      </c>
      <c r="E104" s="31" t="s">
        <v>5</v>
      </c>
      <c r="F104" s="31" t="s">
        <v>6</v>
      </c>
      <c r="G104" s="10">
        <f t="shared" si="5"/>
        <v>44</v>
      </c>
    </row>
    <row r="105" spans="1:7">
      <c r="A105" s="4">
        <v>41870</v>
      </c>
      <c r="B105" s="4">
        <v>41891</v>
      </c>
      <c r="C105" s="4">
        <v>41870</v>
      </c>
      <c r="D105" s="3" t="s">
        <v>62</v>
      </c>
      <c r="E105" s="31" t="s">
        <v>5</v>
      </c>
      <c r="F105" s="15" t="s">
        <v>7</v>
      </c>
      <c r="G105" s="10">
        <f t="shared" si="5"/>
        <v>-21</v>
      </c>
    </row>
    <row r="106" spans="1:7">
      <c r="A106" s="4">
        <v>41836</v>
      </c>
      <c r="B106" s="4">
        <v>41857</v>
      </c>
      <c r="C106" s="4">
        <v>41870</v>
      </c>
      <c r="D106" s="3" t="s">
        <v>61</v>
      </c>
      <c r="E106" s="31" t="s">
        <v>5</v>
      </c>
      <c r="F106" s="31" t="s">
        <v>5</v>
      </c>
      <c r="G106" s="10">
        <f t="shared" si="5"/>
        <v>13</v>
      </c>
    </row>
    <row r="107" spans="1:7">
      <c r="A107" s="4">
        <v>41869</v>
      </c>
      <c r="B107" s="4">
        <v>41890</v>
      </c>
      <c r="C107" s="4">
        <v>41869</v>
      </c>
      <c r="D107" s="3" t="s">
        <v>47</v>
      </c>
      <c r="E107" s="31" t="s">
        <v>5</v>
      </c>
      <c r="F107" s="15" t="s">
        <v>7</v>
      </c>
      <c r="G107" s="10">
        <f t="shared" si="5"/>
        <v>-21</v>
      </c>
    </row>
    <row r="108" spans="1:7">
      <c r="A108" s="4">
        <v>41844</v>
      </c>
      <c r="B108" s="4">
        <v>41874</v>
      </c>
      <c r="C108" s="4">
        <v>41869</v>
      </c>
      <c r="D108" s="3" t="s">
        <v>47</v>
      </c>
      <c r="E108" s="31" t="s">
        <v>5</v>
      </c>
      <c r="F108" s="31" t="s">
        <v>5</v>
      </c>
      <c r="G108" s="10">
        <f t="shared" si="5"/>
        <v>-5</v>
      </c>
    </row>
    <row r="109" spans="1:7">
      <c r="A109" s="4">
        <v>41836</v>
      </c>
      <c r="B109" s="4">
        <v>41866</v>
      </c>
      <c r="C109" s="4">
        <v>41863</v>
      </c>
      <c r="D109" s="3" t="s">
        <v>60</v>
      </c>
      <c r="E109" s="31" t="s">
        <v>5</v>
      </c>
      <c r="F109" s="31" t="s">
        <v>5</v>
      </c>
      <c r="G109" s="10">
        <f t="shared" si="5"/>
        <v>-3</v>
      </c>
    </row>
    <row r="110" spans="1:7">
      <c r="A110" s="4">
        <v>41740</v>
      </c>
      <c r="B110" s="4">
        <v>41761</v>
      </c>
      <c r="C110" s="4">
        <v>41863</v>
      </c>
      <c r="D110" s="3" t="s">
        <v>43</v>
      </c>
      <c r="E110" s="31" t="s">
        <v>5</v>
      </c>
      <c r="F110" s="31" t="s">
        <v>5</v>
      </c>
      <c r="G110" s="10">
        <f t="shared" si="5"/>
        <v>102</v>
      </c>
    </row>
    <row r="111" spans="1:7">
      <c r="A111" s="4">
        <v>41823</v>
      </c>
      <c r="B111" s="4">
        <v>41844</v>
      </c>
      <c r="C111" s="4">
        <v>41859</v>
      </c>
      <c r="D111" s="3" t="s">
        <v>51</v>
      </c>
      <c r="E111" s="31" t="s">
        <v>5</v>
      </c>
      <c r="F111" s="31" t="s">
        <v>6</v>
      </c>
      <c r="G111" s="10">
        <f t="shared" si="5"/>
        <v>15</v>
      </c>
    </row>
    <row r="112" spans="1:7">
      <c r="A112" s="4">
        <v>41858</v>
      </c>
      <c r="B112" s="4">
        <v>41879</v>
      </c>
      <c r="C112" s="4">
        <v>41858</v>
      </c>
      <c r="D112" s="3" t="s">
        <v>50</v>
      </c>
      <c r="E112" s="31" t="s">
        <v>5</v>
      </c>
      <c r="F112" s="31" t="s">
        <v>5</v>
      </c>
      <c r="G112" s="10">
        <f t="shared" si="5"/>
        <v>-21</v>
      </c>
    </row>
    <row r="113" spans="1:7">
      <c r="A113" s="4">
        <v>41838</v>
      </c>
      <c r="B113" s="4">
        <v>41859</v>
      </c>
      <c r="C113" s="4">
        <v>41858</v>
      </c>
      <c r="D113" s="3" t="s">
        <v>50</v>
      </c>
      <c r="E113" s="31" t="s">
        <v>6</v>
      </c>
      <c r="F113" s="31" t="s">
        <v>6</v>
      </c>
      <c r="G113" s="10">
        <f t="shared" si="5"/>
        <v>-1</v>
      </c>
    </row>
    <row r="114" spans="1:7">
      <c r="A114" s="4">
        <v>41844</v>
      </c>
      <c r="B114" s="4">
        <v>41865</v>
      </c>
      <c r="C114" s="4">
        <v>41857</v>
      </c>
      <c r="D114" s="3" t="s">
        <v>43</v>
      </c>
      <c r="E114" s="31" t="s">
        <v>6</v>
      </c>
      <c r="F114" s="31" t="s">
        <v>5</v>
      </c>
      <c r="G114" s="10">
        <f t="shared" si="5"/>
        <v>-8</v>
      </c>
    </row>
    <row r="115" spans="1:7">
      <c r="A115" s="4">
        <v>41828</v>
      </c>
      <c r="B115" s="4">
        <v>41858</v>
      </c>
      <c r="C115" s="4">
        <v>41857</v>
      </c>
      <c r="D115" s="3" t="s">
        <v>51</v>
      </c>
      <c r="E115" s="31" t="s">
        <v>6</v>
      </c>
      <c r="F115" s="31" t="s">
        <v>6</v>
      </c>
      <c r="G115" s="10">
        <f t="shared" si="5"/>
        <v>-1</v>
      </c>
    </row>
    <row r="116" spans="1:7">
      <c r="A116" s="4">
        <v>41852</v>
      </c>
      <c r="B116" s="4">
        <v>41873</v>
      </c>
      <c r="C116" s="4">
        <v>41856</v>
      </c>
      <c r="D116" s="3" t="s">
        <v>41</v>
      </c>
      <c r="E116" s="31" t="s">
        <v>5</v>
      </c>
      <c r="F116" s="31" t="s">
        <v>6</v>
      </c>
      <c r="G116" s="10">
        <f t="shared" si="5"/>
        <v>-17</v>
      </c>
    </row>
    <row r="117" spans="1:7">
      <c r="A117" s="4">
        <v>41831</v>
      </c>
      <c r="B117" s="4">
        <v>41861</v>
      </c>
      <c r="C117" s="4">
        <v>41856</v>
      </c>
      <c r="D117" s="3" t="s">
        <v>54</v>
      </c>
      <c r="E117" s="31" t="s">
        <v>5</v>
      </c>
      <c r="F117" s="31" t="s">
        <v>6</v>
      </c>
      <c r="G117" s="10">
        <f t="shared" si="5"/>
        <v>-5</v>
      </c>
    </row>
    <row r="118" spans="1:7">
      <c r="A118" s="4">
        <v>41830</v>
      </c>
      <c r="B118" s="4">
        <v>41860</v>
      </c>
      <c r="C118" s="4">
        <v>41856</v>
      </c>
      <c r="D118" s="3" t="s">
        <v>51</v>
      </c>
      <c r="E118" s="31" t="s">
        <v>6</v>
      </c>
      <c r="F118" s="31" t="s">
        <v>6</v>
      </c>
      <c r="G118" s="10">
        <f t="shared" si="5"/>
        <v>-4</v>
      </c>
    </row>
    <row r="119" spans="1:7">
      <c r="A119" s="4">
        <v>41844</v>
      </c>
      <c r="B119" s="4">
        <v>41865</v>
      </c>
      <c r="C119" s="4">
        <v>41855</v>
      </c>
      <c r="D119" s="3" t="s">
        <v>52</v>
      </c>
      <c r="E119" s="31" t="s">
        <v>6</v>
      </c>
      <c r="F119" s="31" t="s">
        <v>6</v>
      </c>
      <c r="G119" s="10">
        <f t="shared" si="5"/>
        <v>-10</v>
      </c>
    </row>
    <row r="120" spans="1:7">
      <c r="A120" s="4">
        <v>41852</v>
      </c>
      <c r="B120" s="4">
        <v>41882</v>
      </c>
      <c r="C120" s="4">
        <v>41852</v>
      </c>
      <c r="D120" s="3" t="s">
        <v>41</v>
      </c>
      <c r="E120" s="31" t="s">
        <v>6</v>
      </c>
      <c r="F120" s="31" t="s">
        <v>6</v>
      </c>
      <c r="G120" s="10">
        <f t="shared" si="5"/>
        <v>-30</v>
      </c>
    </row>
    <row r="121" spans="1:7">
      <c r="A121" s="4">
        <v>41831</v>
      </c>
      <c r="B121" s="4">
        <v>41852</v>
      </c>
      <c r="C121" s="4">
        <v>41852</v>
      </c>
      <c r="D121" s="3" t="s">
        <v>50</v>
      </c>
      <c r="E121" s="31" t="s">
        <v>5</v>
      </c>
      <c r="F121" s="31" t="s">
        <v>5</v>
      </c>
      <c r="G121" s="10">
        <f t="shared" si="5"/>
        <v>0</v>
      </c>
    </row>
    <row r="122" spans="1:7" ht="15.75" thickBot="1">
      <c r="A122" s="12">
        <v>41786</v>
      </c>
      <c r="B122" s="12">
        <v>41807</v>
      </c>
      <c r="C122" s="12">
        <v>41852</v>
      </c>
      <c r="D122" s="11" t="s">
        <v>42</v>
      </c>
      <c r="E122" s="34" t="s">
        <v>5</v>
      </c>
      <c r="F122" s="34" t="s">
        <v>5</v>
      </c>
      <c r="G122" s="13">
        <f t="shared" si="5"/>
        <v>45</v>
      </c>
    </row>
    <row r="123" spans="1:7">
      <c r="A123" s="32">
        <v>41745</v>
      </c>
      <c r="B123" s="32">
        <v>41775</v>
      </c>
      <c r="C123" s="32">
        <v>41851</v>
      </c>
      <c r="D123" s="31" t="s">
        <v>44</v>
      </c>
      <c r="E123" s="31" t="s">
        <v>6</v>
      </c>
      <c r="F123" s="31" t="s">
        <v>6</v>
      </c>
      <c r="G123" s="33">
        <f t="shared" si="5"/>
        <v>76</v>
      </c>
    </row>
    <row r="124" spans="1:7">
      <c r="A124" s="4">
        <v>41849</v>
      </c>
      <c r="B124" s="4">
        <v>41870</v>
      </c>
      <c r="C124" s="4">
        <v>41849</v>
      </c>
      <c r="D124" s="3" t="s">
        <v>42</v>
      </c>
      <c r="E124" s="15" t="s">
        <v>7</v>
      </c>
      <c r="F124" s="15" t="s">
        <v>7</v>
      </c>
      <c r="G124" s="10">
        <f t="shared" si="5"/>
        <v>-21</v>
      </c>
    </row>
    <row r="125" spans="1:7">
      <c r="A125" s="4">
        <v>41831</v>
      </c>
      <c r="B125" s="4">
        <v>41852</v>
      </c>
      <c r="C125" s="4">
        <v>41849</v>
      </c>
      <c r="D125" s="3" t="s">
        <v>42</v>
      </c>
      <c r="E125" s="31" t="s">
        <v>5</v>
      </c>
      <c r="F125" s="31" t="s">
        <v>5</v>
      </c>
      <c r="G125" s="10">
        <f t="shared" si="5"/>
        <v>-3</v>
      </c>
    </row>
    <row r="126" spans="1:7">
      <c r="A126" s="4">
        <v>41848</v>
      </c>
      <c r="B126" s="4">
        <v>41878</v>
      </c>
      <c r="C126" s="4">
        <v>41848</v>
      </c>
      <c r="D126" s="3" t="s">
        <v>42</v>
      </c>
      <c r="E126" s="15" t="s">
        <v>7</v>
      </c>
      <c r="F126" s="15" t="s">
        <v>7</v>
      </c>
      <c r="G126" s="10">
        <f t="shared" si="5"/>
        <v>-30</v>
      </c>
    </row>
    <row r="127" spans="1:7">
      <c r="A127" s="4">
        <v>41845</v>
      </c>
      <c r="B127" s="4">
        <v>41866</v>
      </c>
      <c r="C127" s="4">
        <v>41848</v>
      </c>
      <c r="D127" s="3" t="s">
        <v>48</v>
      </c>
      <c r="E127" s="31" t="s">
        <v>5</v>
      </c>
      <c r="F127" s="31" t="s">
        <v>6</v>
      </c>
      <c r="G127" s="10">
        <f t="shared" si="5"/>
        <v>-18</v>
      </c>
    </row>
    <row r="128" spans="1:7">
      <c r="A128" s="4">
        <v>41845</v>
      </c>
      <c r="B128" s="4">
        <v>41866</v>
      </c>
      <c r="C128" s="4">
        <v>41845</v>
      </c>
      <c r="D128" s="3" t="s">
        <v>53</v>
      </c>
      <c r="E128" s="31" t="s">
        <v>5</v>
      </c>
      <c r="F128" s="15" t="s">
        <v>7</v>
      </c>
      <c r="G128" s="10">
        <f t="shared" si="5"/>
        <v>-21</v>
      </c>
    </row>
    <row r="129" spans="1:7">
      <c r="A129" s="4">
        <v>41844</v>
      </c>
      <c r="B129" s="4">
        <v>41865</v>
      </c>
      <c r="C129" s="4">
        <v>41845</v>
      </c>
      <c r="D129" s="3" t="s">
        <v>52</v>
      </c>
      <c r="E129" s="15" t="s">
        <v>7</v>
      </c>
      <c r="F129" s="15" t="s">
        <v>7</v>
      </c>
      <c r="G129" s="10">
        <f t="shared" si="5"/>
        <v>-20</v>
      </c>
    </row>
    <row r="130" spans="1:7">
      <c r="A130" s="4">
        <v>41831</v>
      </c>
      <c r="B130" s="4">
        <v>41852</v>
      </c>
      <c r="C130" s="4">
        <v>41844</v>
      </c>
      <c r="D130" s="3" t="s">
        <v>52</v>
      </c>
      <c r="E130" s="31" t="s">
        <v>6</v>
      </c>
      <c r="F130" s="31" t="s">
        <v>6</v>
      </c>
      <c r="G130" s="10">
        <f t="shared" si="5"/>
        <v>-8</v>
      </c>
    </row>
    <row r="131" spans="1:7">
      <c r="A131" s="4">
        <v>41808</v>
      </c>
      <c r="B131" s="4">
        <v>41838</v>
      </c>
      <c r="C131" s="4">
        <v>41844</v>
      </c>
      <c r="D131" s="3" t="s">
        <v>47</v>
      </c>
      <c r="E131" s="31" t="s">
        <v>6</v>
      </c>
      <c r="F131" s="31" t="s">
        <v>5</v>
      </c>
      <c r="G131" s="10">
        <f t="shared" si="5"/>
        <v>6</v>
      </c>
    </row>
    <row r="132" spans="1:7">
      <c r="A132" s="4">
        <v>41842</v>
      </c>
      <c r="B132" s="4">
        <v>41863</v>
      </c>
      <c r="C132" s="4">
        <v>41842</v>
      </c>
      <c r="D132" s="3" t="s">
        <v>52</v>
      </c>
      <c r="E132" s="15" t="s">
        <v>7</v>
      </c>
      <c r="F132" s="15" t="s">
        <v>7</v>
      </c>
      <c r="G132" s="10">
        <f t="shared" si="5"/>
        <v>-21</v>
      </c>
    </row>
    <row r="133" spans="1:7">
      <c r="A133" s="4">
        <v>41841</v>
      </c>
      <c r="B133" s="4">
        <v>41862</v>
      </c>
      <c r="C133" s="4">
        <v>41842</v>
      </c>
      <c r="D133" s="3" t="s">
        <v>53</v>
      </c>
      <c r="E133" s="31" t="s">
        <v>5</v>
      </c>
      <c r="F133" s="15" t="s">
        <v>7</v>
      </c>
      <c r="G133" s="10">
        <f t="shared" si="5"/>
        <v>-20</v>
      </c>
    </row>
    <row r="134" spans="1:7">
      <c r="A134" s="4">
        <v>41823</v>
      </c>
      <c r="B134" s="4">
        <v>41844</v>
      </c>
      <c r="C134" s="4">
        <v>41842</v>
      </c>
      <c r="D134" s="3" t="s">
        <v>41</v>
      </c>
      <c r="E134" s="31" t="s">
        <v>6</v>
      </c>
      <c r="F134" s="31" t="s">
        <v>6</v>
      </c>
      <c r="G134" s="10">
        <f t="shared" si="5"/>
        <v>-2</v>
      </c>
    </row>
    <row r="135" spans="1:7">
      <c r="A135" s="4">
        <v>41830</v>
      </c>
      <c r="B135" s="4">
        <v>41851</v>
      </c>
      <c r="C135" s="4">
        <v>41841</v>
      </c>
      <c r="D135" s="3" t="s">
        <v>52</v>
      </c>
      <c r="E135" s="31" t="s">
        <v>6</v>
      </c>
      <c r="F135" s="31" t="s">
        <v>5</v>
      </c>
      <c r="G135" s="10">
        <f t="shared" si="5"/>
        <v>-10</v>
      </c>
    </row>
    <row r="136" spans="1:7">
      <c r="A136" s="4">
        <v>41838</v>
      </c>
      <c r="B136" s="4">
        <v>41859</v>
      </c>
      <c r="C136" s="4">
        <v>41838</v>
      </c>
      <c r="D136" s="3" t="s">
        <v>53</v>
      </c>
      <c r="E136" s="15" t="s">
        <v>7</v>
      </c>
      <c r="F136" s="15" t="s">
        <v>7</v>
      </c>
      <c r="G136" s="10">
        <f t="shared" si="5"/>
        <v>-21</v>
      </c>
    </row>
    <row r="137" spans="1:7">
      <c r="A137" s="4">
        <v>41824</v>
      </c>
      <c r="B137" s="4">
        <v>41854</v>
      </c>
      <c r="C137" s="4">
        <v>41838</v>
      </c>
      <c r="D137" s="3" t="s">
        <v>60</v>
      </c>
      <c r="E137" s="31" t="s">
        <v>5</v>
      </c>
      <c r="F137" s="31" t="s">
        <v>5</v>
      </c>
      <c r="G137" s="10">
        <f t="shared" si="5"/>
        <v>-16</v>
      </c>
    </row>
    <row r="138" spans="1:7">
      <c r="A138" s="4">
        <v>41823</v>
      </c>
      <c r="B138" s="4">
        <v>41844</v>
      </c>
      <c r="C138" s="4">
        <v>41838</v>
      </c>
      <c r="D138" s="3" t="s">
        <v>60</v>
      </c>
      <c r="E138" s="31" t="s">
        <v>5</v>
      </c>
      <c r="F138" s="31" t="s">
        <v>5</v>
      </c>
      <c r="G138" s="10">
        <f t="shared" si="5"/>
        <v>-6</v>
      </c>
    </row>
    <row r="139" spans="1:7">
      <c r="A139" s="4">
        <v>41820</v>
      </c>
      <c r="B139" s="4">
        <v>41850</v>
      </c>
      <c r="C139" s="4">
        <v>41838</v>
      </c>
      <c r="D139" s="3" t="s">
        <v>60</v>
      </c>
      <c r="E139" s="31" t="s">
        <v>5</v>
      </c>
      <c r="F139" s="31" t="s">
        <v>5</v>
      </c>
      <c r="G139" s="10">
        <f t="shared" si="5"/>
        <v>-12</v>
      </c>
    </row>
    <row r="140" spans="1:7">
      <c r="A140" s="4">
        <v>41792</v>
      </c>
      <c r="B140" s="4">
        <v>41813</v>
      </c>
      <c r="C140" s="4">
        <v>41838</v>
      </c>
      <c r="D140" s="3" t="s">
        <v>53</v>
      </c>
      <c r="E140" s="31" t="s">
        <v>5</v>
      </c>
      <c r="F140" s="31" t="s">
        <v>5</v>
      </c>
      <c r="G140" s="10">
        <f t="shared" si="5"/>
        <v>25</v>
      </c>
    </row>
    <row r="141" spans="1:7">
      <c r="A141" s="4">
        <v>41785</v>
      </c>
      <c r="B141" s="4">
        <v>41806</v>
      </c>
      <c r="C141" s="4">
        <v>41837</v>
      </c>
      <c r="D141" s="3" t="s">
        <v>44</v>
      </c>
      <c r="E141" s="31" t="s">
        <v>5</v>
      </c>
      <c r="F141" s="31" t="s">
        <v>5</v>
      </c>
      <c r="G141" s="10">
        <f t="shared" si="5"/>
        <v>31</v>
      </c>
    </row>
    <row r="142" spans="1:7">
      <c r="A142" s="4">
        <v>41836</v>
      </c>
      <c r="B142" s="4">
        <v>41857</v>
      </c>
      <c r="C142" s="4">
        <v>41836</v>
      </c>
      <c r="D142" s="3" t="s">
        <v>53</v>
      </c>
      <c r="E142" s="31" t="s">
        <v>5</v>
      </c>
      <c r="F142" s="15" t="s">
        <v>7</v>
      </c>
      <c r="G142" s="10">
        <f t="shared" si="5"/>
        <v>-21</v>
      </c>
    </row>
    <row r="143" spans="1:7">
      <c r="A143" s="4">
        <v>41835</v>
      </c>
      <c r="B143" s="4">
        <v>41856</v>
      </c>
      <c r="C143" s="4">
        <v>41835</v>
      </c>
      <c r="D143" s="3" t="s">
        <v>52</v>
      </c>
      <c r="E143" s="15" t="s">
        <v>7</v>
      </c>
      <c r="F143" s="15" t="s">
        <v>7</v>
      </c>
      <c r="G143" s="10">
        <f t="shared" si="5"/>
        <v>-21</v>
      </c>
    </row>
    <row r="144" spans="1:7">
      <c r="A144" s="4">
        <v>41835</v>
      </c>
      <c r="B144" s="4">
        <v>41856</v>
      </c>
      <c r="C144" s="4">
        <v>41835</v>
      </c>
      <c r="D144" s="3" t="s">
        <v>41</v>
      </c>
      <c r="E144" s="31" t="s">
        <v>6</v>
      </c>
      <c r="F144" s="31" t="s">
        <v>6</v>
      </c>
      <c r="G144" s="10">
        <f t="shared" si="5"/>
        <v>-21</v>
      </c>
    </row>
    <row r="145" spans="1:7">
      <c r="A145" s="4">
        <v>41831</v>
      </c>
      <c r="B145" s="4">
        <v>41856</v>
      </c>
      <c r="C145" s="4">
        <v>41835</v>
      </c>
      <c r="D145" s="3" t="s">
        <v>48</v>
      </c>
      <c r="E145" s="31" t="s">
        <v>6</v>
      </c>
      <c r="F145" s="31" t="s">
        <v>6</v>
      </c>
      <c r="G145" s="10">
        <f t="shared" si="5"/>
        <v>-21</v>
      </c>
    </row>
    <row r="146" spans="1:7">
      <c r="A146" s="4">
        <v>41835</v>
      </c>
      <c r="B146" s="4">
        <v>41856</v>
      </c>
      <c r="C146" s="4">
        <v>41835</v>
      </c>
      <c r="D146" s="3" t="s">
        <v>47</v>
      </c>
      <c r="E146" s="31" t="s">
        <v>5</v>
      </c>
      <c r="F146" s="15" t="s">
        <v>7</v>
      </c>
      <c r="G146" s="10">
        <f t="shared" si="5"/>
        <v>-21</v>
      </c>
    </row>
    <row r="147" spans="1:7">
      <c r="A147" s="4">
        <v>41835</v>
      </c>
      <c r="B147" s="4">
        <v>41856</v>
      </c>
      <c r="C147" s="4">
        <v>41835</v>
      </c>
      <c r="D147" s="3" t="s">
        <v>62</v>
      </c>
      <c r="E147" s="15" t="s">
        <v>7</v>
      </c>
      <c r="F147" s="15" t="s">
        <v>7</v>
      </c>
      <c r="G147" s="10">
        <f t="shared" si="5"/>
        <v>-21</v>
      </c>
    </row>
    <row r="148" spans="1:7">
      <c r="A148" s="4">
        <v>41831</v>
      </c>
      <c r="B148" s="4">
        <v>41852</v>
      </c>
      <c r="C148" s="4">
        <v>41831</v>
      </c>
      <c r="D148" s="3" t="s">
        <v>42</v>
      </c>
      <c r="E148" s="15" t="s">
        <v>7</v>
      </c>
      <c r="F148" s="15" t="s">
        <v>7</v>
      </c>
      <c r="G148" s="10">
        <f t="shared" si="5"/>
        <v>-21</v>
      </c>
    </row>
    <row r="149" spans="1:7">
      <c r="A149" s="4">
        <v>41831</v>
      </c>
      <c r="B149" s="4">
        <v>41852</v>
      </c>
      <c r="C149" s="4">
        <v>41831</v>
      </c>
      <c r="D149" s="3" t="s">
        <v>53</v>
      </c>
      <c r="E149" s="31" t="s">
        <v>5</v>
      </c>
      <c r="F149" s="15" t="s">
        <v>7</v>
      </c>
      <c r="G149" s="10">
        <f t="shared" si="5"/>
        <v>-21</v>
      </c>
    </row>
    <row r="150" spans="1:7">
      <c r="A150" s="4">
        <v>41831</v>
      </c>
      <c r="B150" s="4">
        <v>41852</v>
      </c>
      <c r="C150" s="4">
        <v>41831</v>
      </c>
      <c r="D150" s="3" t="s">
        <v>42</v>
      </c>
      <c r="E150" s="15" t="s">
        <v>7</v>
      </c>
      <c r="F150" s="15" t="s">
        <v>7</v>
      </c>
      <c r="G150" s="10">
        <f t="shared" si="5"/>
        <v>-21</v>
      </c>
    </row>
    <row r="151" spans="1:7">
      <c r="A151" s="4">
        <v>41830</v>
      </c>
      <c r="B151" s="4">
        <v>41851</v>
      </c>
      <c r="C151" s="4">
        <v>41831</v>
      </c>
      <c r="D151" s="3" t="s">
        <v>51</v>
      </c>
      <c r="E151" s="31" t="s">
        <v>6</v>
      </c>
      <c r="F151" s="31" t="s">
        <v>6</v>
      </c>
      <c r="G151" s="10">
        <f t="shared" si="5"/>
        <v>-20</v>
      </c>
    </row>
    <row r="152" spans="1:7">
      <c r="A152" s="4">
        <v>41823</v>
      </c>
      <c r="B152" s="4">
        <v>41844</v>
      </c>
      <c r="C152" s="4">
        <v>41831</v>
      </c>
      <c r="D152" s="3" t="s">
        <v>51</v>
      </c>
      <c r="E152" s="31" t="s">
        <v>6</v>
      </c>
      <c r="F152" s="31" t="s">
        <v>6</v>
      </c>
      <c r="G152" s="10">
        <f t="shared" ref="G152:G163" si="6">C152-B152</f>
        <v>-13</v>
      </c>
    </row>
    <row r="153" spans="1:7">
      <c r="A153" s="4">
        <v>41793</v>
      </c>
      <c r="B153" s="4">
        <v>41814</v>
      </c>
      <c r="C153" s="4">
        <v>41830</v>
      </c>
      <c r="D153" s="3" t="s">
        <v>51</v>
      </c>
      <c r="E153" s="31" t="s">
        <v>6</v>
      </c>
      <c r="F153" s="31" t="s">
        <v>6</v>
      </c>
      <c r="G153" s="10">
        <f t="shared" si="6"/>
        <v>16</v>
      </c>
    </row>
    <row r="154" spans="1:7">
      <c r="A154" s="4">
        <v>41813</v>
      </c>
      <c r="B154" s="4">
        <v>41834</v>
      </c>
      <c r="C154" s="4">
        <v>41829</v>
      </c>
      <c r="D154" s="3" t="s">
        <v>47</v>
      </c>
      <c r="E154" s="31" t="s">
        <v>5</v>
      </c>
      <c r="F154" s="31" t="s">
        <v>5</v>
      </c>
      <c r="G154" s="10">
        <f t="shared" si="6"/>
        <v>-5</v>
      </c>
    </row>
    <row r="155" spans="1:7">
      <c r="A155" s="4">
        <v>41702</v>
      </c>
      <c r="B155" s="4">
        <v>41723</v>
      </c>
      <c r="C155" s="4">
        <v>41829</v>
      </c>
      <c r="D155" s="3" t="s">
        <v>51</v>
      </c>
      <c r="E155" s="31" t="s">
        <v>6</v>
      </c>
      <c r="F155" s="31" t="s">
        <v>6</v>
      </c>
      <c r="G155" s="10">
        <f t="shared" si="6"/>
        <v>106</v>
      </c>
    </row>
    <row r="156" spans="1:7">
      <c r="A156" s="4">
        <v>41828</v>
      </c>
      <c r="B156" s="4">
        <v>41849</v>
      </c>
      <c r="C156" s="4">
        <v>41828</v>
      </c>
      <c r="D156" s="3" t="s">
        <v>53</v>
      </c>
      <c r="E156" s="31" t="s">
        <v>5</v>
      </c>
      <c r="F156" s="31" t="s">
        <v>5</v>
      </c>
      <c r="G156" s="10">
        <f t="shared" si="6"/>
        <v>-21</v>
      </c>
    </row>
    <row r="157" spans="1:7">
      <c r="A157" s="4">
        <v>41806</v>
      </c>
      <c r="B157" s="4">
        <v>41827</v>
      </c>
      <c r="C157" s="4">
        <v>41827</v>
      </c>
      <c r="D157" s="3" t="s">
        <v>60</v>
      </c>
      <c r="E157" s="31" t="s">
        <v>5</v>
      </c>
      <c r="F157" s="31" t="s">
        <v>5</v>
      </c>
      <c r="G157" s="10">
        <f t="shared" si="6"/>
        <v>0</v>
      </c>
    </row>
    <row r="158" spans="1:7">
      <c r="A158" s="4">
        <v>41823</v>
      </c>
      <c r="B158" s="4">
        <v>41844</v>
      </c>
      <c r="C158" s="4">
        <v>41823</v>
      </c>
      <c r="D158" s="3" t="s">
        <v>60</v>
      </c>
      <c r="E158" s="31" t="s">
        <v>5</v>
      </c>
      <c r="F158" s="31" t="s">
        <v>5</v>
      </c>
      <c r="G158" s="10">
        <f t="shared" si="6"/>
        <v>-21</v>
      </c>
    </row>
    <row r="159" spans="1:7">
      <c r="A159" s="4">
        <v>41823</v>
      </c>
      <c r="B159" s="4">
        <v>41844</v>
      </c>
      <c r="C159" s="4">
        <v>41823</v>
      </c>
      <c r="D159" s="3" t="s">
        <v>60</v>
      </c>
      <c r="E159" s="31" t="s">
        <v>5</v>
      </c>
      <c r="F159" s="31" t="s">
        <v>5</v>
      </c>
      <c r="G159" s="10">
        <f t="shared" si="6"/>
        <v>-21</v>
      </c>
    </row>
    <row r="160" spans="1:7">
      <c r="A160" s="4">
        <v>41792</v>
      </c>
      <c r="B160" s="4">
        <v>41822</v>
      </c>
      <c r="C160" s="4">
        <v>41823</v>
      </c>
      <c r="D160" s="3" t="s">
        <v>53</v>
      </c>
      <c r="E160" s="31" t="s">
        <v>5</v>
      </c>
      <c r="F160" s="31" t="s">
        <v>5</v>
      </c>
      <c r="G160" s="10">
        <f t="shared" si="6"/>
        <v>1</v>
      </c>
    </row>
    <row r="161" spans="1:8">
      <c r="A161" s="4">
        <v>41815</v>
      </c>
      <c r="B161" s="4">
        <v>41845</v>
      </c>
      <c r="C161" s="4">
        <v>41822</v>
      </c>
      <c r="D161" s="3" t="s">
        <v>51</v>
      </c>
      <c r="E161" s="31" t="s">
        <v>6</v>
      </c>
      <c r="F161" s="31" t="s">
        <v>6</v>
      </c>
      <c r="G161" s="10">
        <f t="shared" si="6"/>
        <v>-23</v>
      </c>
    </row>
    <row r="162" spans="1:8">
      <c r="A162" s="4">
        <v>41806</v>
      </c>
      <c r="B162" s="4">
        <v>41827</v>
      </c>
      <c r="C162" s="4">
        <v>41822</v>
      </c>
      <c r="D162" s="3" t="s">
        <v>51</v>
      </c>
      <c r="E162" s="31" t="s">
        <v>6</v>
      </c>
      <c r="F162" s="31" t="s">
        <v>6</v>
      </c>
      <c r="G162" s="10">
        <f t="shared" si="6"/>
        <v>-5</v>
      </c>
    </row>
    <row r="163" spans="1:8" ht="15.75" thickBot="1">
      <c r="A163" s="12">
        <v>41821</v>
      </c>
      <c r="B163" s="12">
        <v>41842</v>
      </c>
      <c r="C163" s="12">
        <v>41821</v>
      </c>
      <c r="D163" s="11" t="s">
        <v>44</v>
      </c>
      <c r="E163" s="34" t="s">
        <v>5</v>
      </c>
      <c r="F163" s="34" t="s">
        <v>6</v>
      </c>
      <c r="G163" s="13">
        <f t="shared" si="6"/>
        <v>-21</v>
      </c>
    </row>
    <row r="164" spans="1:8" ht="15" customHeight="1">
      <c r="A164" s="32">
        <v>41793</v>
      </c>
      <c r="B164" s="32">
        <v>41823</v>
      </c>
      <c r="C164" s="32">
        <v>41820</v>
      </c>
      <c r="D164" s="31" t="s">
        <v>60</v>
      </c>
      <c r="E164" s="31" t="s">
        <v>5</v>
      </c>
      <c r="F164" s="31" t="s">
        <v>5</v>
      </c>
      <c r="G164" s="33">
        <f t="shared" ref="G164:G227" si="7">C164-B164</f>
        <v>-3</v>
      </c>
      <c r="H164" s="1"/>
    </row>
    <row r="165" spans="1:8" ht="15" customHeight="1">
      <c r="A165" s="4">
        <v>41817</v>
      </c>
      <c r="B165" s="4">
        <v>41838</v>
      </c>
      <c r="C165" s="4">
        <v>41817</v>
      </c>
      <c r="D165" s="3" t="s">
        <v>42</v>
      </c>
      <c r="E165" s="15" t="s">
        <v>7</v>
      </c>
      <c r="F165" s="15" t="s">
        <v>7</v>
      </c>
      <c r="G165" s="10">
        <f t="shared" si="7"/>
        <v>-21</v>
      </c>
      <c r="H165" s="2"/>
    </row>
    <row r="166" spans="1:8" ht="15" customHeight="1">
      <c r="A166" s="4">
        <v>41817</v>
      </c>
      <c r="B166" s="4">
        <v>41838</v>
      </c>
      <c r="C166" s="4">
        <v>41817</v>
      </c>
      <c r="D166" s="3" t="s">
        <v>52</v>
      </c>
      <c r="E166" s="15" t="s">
        <v>7</v>
      </c>
      <c r="F166" s="15" t="s">
        <v>7</v>
      </c>
      <c r="G166" s="10">
        <f t="shared" si="7"/>
        <v>-21</v>
      </c>
      <c r="H166" s="2"/>
    </row>
    <row r="167" spans="1:8" ht="15" customHeight="1">
      <c r="A167" s="4">
        <v>41801</v>
      </c>
      <c r="B167" s="4">
        <v>41822</v>
      </c>
      <c r="C167" s="4">
        <v>41816</v>
      </c>
      <c r="D167" s="3" t="s">
        <v>51</v>
      </c>
      <c r="E167" s="3" t="s">
        <v>5</v>
      </c>
      <c r="F167" s="3" t="s">
        <v>6</v>
      </c>
      <c r="G167" s="10">
        <f t="shared" si="7"/>
        <v>-6</v>
      </c>
      <c r="H167" s="2"/>
    </row>
    <row r="168" spans="1:8" ht="15" customHeight="1">
      <c r="A168" s="4">
        <v>41800</v>
      </c>
      <c r="B168" s="4">
        <v>41821</v>
      </c>
      <c r="C168" s="4">
        <v>41816</v>
      </c>
      <c r="D168" s="3" t="s">
        <v>51</v>
      </c>
      <c r="E168" s="3" t="s">
        <v>5</v>
      </c>
      <c r="F168" s="3" t="s">
        <v>6</v>
      </c>
      <c r="G168" s="10">
        <f t="shared" si="7"/>
        <v>-5</v>
      </c>
      <c r="H168" s="2"/>
    </row>
    <row r="169" spans="1:8" ht="15" customHeight="1">
      <c r="A169" s="4">
        <v>41773</v>
      </c>
      <c r="B169" s="4">
        <v>41794</v>
      </c>
      <c r="C169" s="4">
        <v>41816</v>
      </c>
      <c r="D169" s="3" t="s">
        <v>41</v>
      </c>
      <c r="E169" s="3" t="s">
        <v>5</v>
      </c>
      <c r="F169" s="3" t="s">
        <v>5</v>
      </c>
      <c r="G169" s="10">
        <f t="shared" si="7"/>
        <v>22</v>
      </c>
      <c r="H169" s="2"/>
    </row>
    <row r="170" spans="1:8" ht="15" customHeight="1">
      <c r="A170" s="4">
        <v>41815</v>
      </c>
      <c r="B170" s="4">
        <v>41836</v>
      </c>
      <c r="C170" s="4">
        <v>41815</v>
      </c>
      <c r="D170" s="3" t="s">
        <v>51</v>
      </c>
      <c r="E170" s="15" t="s">
        <v>7</v>
      </c>
      <c r="F170" s="15" t="s">
        <v>7</v>
      </c>
      <c r="G170" s="10">
        <f t="shared" si="7"/>
        <v>-21</v>
      </c>
      <c r="H170" s="2"/>
    </row>
    <row r="171" spans="1:8" ht="15" customHeight="1">
      <c r="A171" s="4">
        <v>41815</v>
      </c>
      <c r="B171" s="4">
        <v>41836</v>
      </c>
      <c r="C171" s="4">
        <v>41815</v>
      </c>
      <c r="D171" s="3" t="s">
        <v>47</v>
      </c>
      <c r="E171" s="3" t="s">
        <v>5</v>
      </c>
      <c r="F171" s="15" t="s">
        <v>7</v>
      </c>
      <c r="G171" s="10">
        <f t="shared" si="7"/>
        <v>-21</v>
      </c>
      <c r="H171" s="2"/>
    </row>
    <row r="172" spans="1:8" ht="15" customHeight="1">
      <c r="A172" s="4">
        <v>41787</v>
      </c>
      <c r="B172" s="4">
        <v>41808</v>
      </c>
      <c r="C172" s="4">
        <v>41815</v>
      </c>
      <c r="D172" s="3" t="s">
        <v>47</v>
      </c>
      <c r="E172" s="3" t="s">
        <v>6</v>
      </c>
      <c r="F172" s="3" t="s">
        <v>5</v>
      </c>
      <c r="G172" s="10">
        <f t="shared" si="7"/>
        <v>7</v>
      </c>
      <c r="H172" s="2"/>
    </row>
    <row r="173" spans="1:8" ht="15" customHeight="1">
      <c r="A173" s="4">
        <v>41786</v>
      </c>
      <c r="B173" s="4">
        <v>41816</v>
      </c>
      <c r="C173" s="4">
        <v>41815</v>
      </c>
      <c r="D173" s="3" t="s">
        <v>60</v>
      </c>
      <c r="E173" s="3" t="s">
        <v>5</v>
      </c>
      <c r="F173" s="3" t="s">
        <v>5</v>
      </c>
      <c r="G173" s="10">
        <f t="shared" si="7"/>
        <v>-1</v>
      </c>
      <c r="H173" s="2"/>
    </row>
    <row r="174" spans="1:8" ht="15" customHeight="1">
      <c r="A174" s="4">
        <v>41814</v>
      </c>
      <c r="B174" s="4">
        <v>41835</v>
      </c>
      <c r="C174" s="4">
        <v>41814</v>
      </c>
      <c r="D174" s="3" t="s">
        <v>42</v>
      </c>
      <c r="E174" s="15" t="s">
        <v>7</v>
      </c>
      <c r="F174" s="15" t="s">
        <v>7</v>
      </c>
      <c r="G174" s="10">
        <f t="shared" si="7"/>
        <v>-21</v>
      </c>
      <c r="H174" s="2"/>
    </row>
    <row r="175" spans="1:8" ht="15" customHeight="1">
      <c r="A175" s="4">
        <v>41794</v>
      </c>
      <c r="B175" s="4">
        <v>41815</v>
      </c>
      <c r="C175" s="4">
        <v>41814</v>
      </c>
      <c r="D175" s="3" t="s">
        <v>47</v>
      </c>
      <c r="E175" s="3" t="s">
        <v>5</v>
      </c>
      <c r="F175" s="3" t="s">
        <v>5</v>
      </c>
      <c r="G175" s="10">
        <f t="shared" si="7"/>
        <v>-1</v>
      </c>
      <c r="H175" s="2"/>
    </row>
    <row r="176" spans="1:8" ht="15" customHeight="1">
      <c r="A176" s="4">
        <v>41813</v>
      </c>
      <c r="B176" s="4">
        <v>41834</v>
      </c>
      <c r="C176" s="4">
        <v>41813</v>
      </c>
      <c r="D176" s="3" t="s">
        <v>42</v>
      </c>
      <c r="E176" s="15" t="s">
        <v>7</v>
      </c>
      <c r="F176" s="15" t="s">
        <v>7</v>
      </c>
      <c r="G176" s="10">
        <f t="shared" si="7"/>
        <v>-21</v>
      </c>
      <c r="H176" s="2"/>
    </row>
    <row r="177" spans="1:8" ht="15" customHeight="1">
      <c r="A177" s="4">
        <v>41813</v>
      </c>
      <c r="B177" s="4">
        <v>41834</v>
      </c>
      <c r="C177" s="4">
        <v>41813</v>
      </c>
      <c r="D177" s="3" t="s">
        <v>43</v>
      </c>
      <c r="E177" s="3" t="s">
        <v>6</v>
      </c>
      <c r="F177" s="3" t="s">
        <v>6</v>
      </c>
      <c r="G177" s="10">
        <f t="shared" si="7"/>
        <v>-21</v>
      </c>
      <c r="H177" s="2"/>
    </row>
    <row r="178" spans="1:8" ht="15" customHeight="1">
      <c r="A178" s="4">
        <v>41809</v>
      </c>
      <c r="B178" s="4">
        <v>41830</v>
      </c>
      <c r="C178" s="4">
        <v>41813</v>
      </c>
      <c r="D178" s="3" t="s">
        <v>62</v>
      </c>
      <c r="E178" s="3" t="s">
        <v>5</v>
      </c>
      <c r="F178" s="3" t="s">
        <v>6</v>
      </c>
      <c r="G178" s="10">
        <f t="shared" si="7"/>
        <v>-17</v>
      </c>
      <c r="H178" s="2"/>
    </row>
    <row r="179" spans="1:8" ht="15" customHeight="1">
      <c r="A179" s="4">
        <v>41810</v>
      </c>
      <c r="B179" s="4">
        <v>41831</v>
      </c>
      <c r="C179" s="4">
        <v>41810</v>
      </c>
      <c r="D179" s="3" t="s">
        <v>42</v>
      </c>
      <c r="E179" s="15" t="s">
        <v>7</v>
      </c>
      <c r="F179" s="15" t="s">
        <v>7</v>
      </c>
      <c r="G179" s="10">
        <f t="shared" si="7"/>
        <v>-21</v>
      </c>
      <c r="H179" s="2"/>
    </row>
    <row r="180" spans="1:8" ht="15" customHeight="1">
      <c r="A180" s="4">
        <v>41774</v>
      </c>
      <c r="B180" s="4">
        <v>41795</v>
      </c>
      <c r="C180" s="4">
        <v>41810</v>
      </c>
      <c r="D180" s="3" t="s">
        <v>47</v>
      </c>
      <c r="E180" s="3" t="s">
        <v>5</v>
      </c>
      <c r="F180" s="3" t="s">
        <v>5</v>
      </c>
      <c r="G180" s="10">
        <f t="shared" si="7"/>
        <v>15</v>
      </c>
      <c r="H180" s="2"/>
    </row>
    <row r="181" spans="1:8" ht="15" customHeight="1">
      <c r="A181" s="4">
        <v>41746</v>
      </c>
      <c r="B181" s="4">
        <v>41767</v>
      </c>
      <c r="C181" s="4">
        <v>41810</v>
      </c>
      <c r="D181" s="3" t="s">
        <v>41</v>
      </c>
      <c r="E181" s="3" t="s">
        <v>5</v>
      </c>
      <c r="F181" s="3" t="s">
        <v>5</v>
      </c>
      <c r="G181" s="10">
        <f t="shared" si="7"/>
        <v>43</v>
      </c>
      <c r="H181" s="2"/>
    </row>
    <row r="182" spans="1:8" ht="15" customHeight="1">
      <c r="A182" s="4">
        <v>41809</v>
      </c>
      <c r="B182" s="4">
        <v>41830</v>
      </c>
      <c r="C182" s="4">
        <v>41809</v>
      </c>
      <c r="D182" s="3" t="s">
        <v>62</v>
      </c>
      <c r="E182" s="3" t="s">
        <v>5</v>
      </c>
      <c r="F182" s="15" t="s">
        <v>7</v>
      </c>
      <c r="G182" s="10">
        <f t="shared" si="7"/>
        <v>-21</v>
      </c>
      <c r="H182" s="2"/>
    </row>
    <row r="183" spans="1:8" ht="15" customHeight="1">
      <c r="A183" s="4">
        <v>41808</v>
      </c>
      <c r="B183" s="4">
        <v>41829</v>
      </c>
      <c r="C183" s="4">
        <v>41808</v>
      </c>
      <c r="D183" s="3" t="s">
        <v>43</v>
      </c>
      <c r="E183" s="3" t="s">
        <v>6</v>
      </c>
      <c r="F183" s="3" t="s">
        <v>5</v>
      </c>
      <c r="G183" s="10">
        <f t="shared" si="7"/>
        <v>-21</v>
      </c>
      <c r="H183" s="2"/>
    </row>
    <row r="184" spans="1:8" ht="15" customHeight="1">
      <c r="A184" s="4">
        <v>41780</v>
      </c>
      <c r="B184" s="4">
        <v>41801</v>
      </c>
      <c r="C184" s="4">
        <v>41808</v>
      </c>
      <c r="D184" s="3" t="s">
        <v>51</v>
      </c>
      <c r="E184" s="3" t="s">
        <v>6</v>
      </c>
      <c r="F184" s="3" t="s">
        <v>5</v>
      </c>
      <c r="G184" s="10">
        <f t="shared" si="7"/>
        <v>7</v>
      </c>
      <c r="H184" s="2"/>
    </row>
    <row r="185" spans="1:8" ht="15" customHeight="1">
      <c r="A185" s="4">
        <v>41765</v>
      </c>
      <c r="B185" s="4">
        <v>41786</v>
      </c>
      <c r="C185" s="4">
        <v>41806</v>
      </c>
      <c r="D185" s="3" t="s">
        <v>48</v>
      </c>
      <c r="E185" s="3" t="s">
        <v>5</v>
      </c>
      <c r="F185" s="3" t="s">
        <v>6</v>
      </c>
      <c r="G185" s="10">
        <f t="shared" si="7"/>
        <v>20</v>
      </c>
      <c r="H185" s="2"/>
    </row>
    <row r="186" spans="1:8" ht="15" customHeight="1">
      <c r="A186" s="4">
        <v>41802</v>
      </c>
      <c r="B186" s="4">
        <v>41823</v>
      </c>
      <c r="C186" s="4">
        <v>41802</v>
      </c>
      <c r="D186" s="3" t="s">
        <v>47</v>
      </c>
      <c r="E186" s="3" t="s">
        <v>5</v>
      </c>
      <c r="F186" s="15" t="s">
        <v>7</v>
      </c>
      <c r="G186" s="10">
        <f t="shared" si="7"/>
        <v>-21</v>
      </c>
      <c r="H186" s="2"/>
    </row>
    <row r="187" spans="1:8">
      <c r="A187" s="4">
        <v>41802</v>
      </c>
      <c r="B187" s="4">
        <v>41802</v>
      </c>
      <c r="C187" s="4">
        <v>41802</v>
      </c>
      <c r="D187" s="3" t="s">
        <v>51</v>
      </c>
      <c r="E187" s="3" t="s">
        <v>6</v>
      </c>
      <c r="F187" s="3" t="s">
        <v>5</v>
      </c>
      <c r="G187" s="10">
        <f t="shared" si="7"/>
        <v>0</v>
      </c>
      <c r="H187" s="2"/>
    </row>
    <row r="188" spans="1:8" ht="15" customHeight="1">
      <c r="A188" s="4">
        <v>41764</v>
      </c>
      <c r="B188" s="4">
        <v>41794</v>
      </c>
      <c r="C188" s="4">
        <v>41802</v>
      </c>
      <c r="D188" s="3" t="s">
        <v>62</v>
      </c>
      <c r="E188" s="3" t="s">
        <v>5</v>
      </c>
      <c r="F188" s="3" t="s">
        <v>5</v>
      </c>
      <c r="G188" s="10">
        <f t="shared" si="7"/>
        <v>8</v>
      </c>
      <c r="H188" s="2"/>
    </row>
    <row r="189" spans="1:8" ht="15" customHeight="1">
      <c r="A189" s="4">
        <v>41782</v>
      </c>
      <c r="B189" s="4">
        <v>41803</v>
      </c>
      <c r="C189" s="4">
        <v>41801</v>
      </c>
      <c r="D189" s="3" t="s">
        <v>41</v>
      </c>
      <c r="E189" s="3" t="s">
        <v>5</v>
      </c>
      <c r="F189" s="3" t="s">
        <v>6</v>
      </c>
      <c r="G189" s="10">
        <f t="shared" si="7"/>
        <v>-2</v>
      </c>
      <c r="H189" s="2"/>
    </row>
    <row r="190" spans="1:8" ht="15" customHeight="1">
      <c r="A190" s="4">
        <v>41794</v>
      </c>
      <c r="B190" s="4">
        <v>41815</v>
      </c>
      <c r="C190" s="4">
        <v>41794</v>
      </c>
      <c r="D190" s="3" t="s">
        <v>51</v>
      </c>
      <c r="E190" s="15" t="s">
        <v>7</v>
      </c>
      <c r="F190" s="15" t="s">
        <v>7</v>
      </c>
      <c r="G190" s="10">
        <f t="shared" si="7"/>
        <v>-21</v>
      </c>
      <c r="H190" s="2"/>
    </row>
    <row r="191" spans="1:8" ht="15" customHeight="1">
      <c r="A191" s="4">
        <v>41794</v>
      </c>
      <c r="B191" s="4">
        <v>41815</v>
      </c>
      <c r="C191" s="4">
        <v>41794</v>
      </c>
      <c r="D191" s="3" t="s">
        <v>41</v>
      </c>
      <c r="E191" s="15" t="s">
        <v>7</v>
      </c>
      <c r="F191" s="15" t="s">
        <v>7</v>
      </c>
      <c r="G191" s="10">
        <f t="shared" si="7"/>
        <v>-21</v>
      </c>
      <c r="H191" s="2"/>
    </row>
    <row r="192" spans="1:8" ht="15" customHeight="1">
      <c r="A192" s="4">
        <v>41785</v>
      </c>
      <c r="B192" s="4">
        <v>41806</v>
      </c>
      <c r="C192" s="4">
        <v>41794</v>
      </c>
      <c r="D192" s="3" t="s">
        <v>60</v>
      </c>
      <c r="E192" s="3" t="s">
        <v>5</v>
      </c>
      <c r="F192" s="3" t="s">
        <v>5</v>
      </c>
      <c r="G192" s="10">
        <f t="shared" si="7"/>
        <v>-12</v>
      </c>
      <c r="H192" s="2"/>
    </row>
    <row r="193" spans="1:8" ht="15" customHeight="1">
      <c r="A193" s="4">
        <v>41778</v>
      </c>
      <c r="B193" s="4">
        <v>41799</v>
      </c>
      <c r="C193" s="4">
        <v>41794</v>
      </c>
      <c r="D193" s="3" t="s">
        <v>60</v>
      </c>
      <c r="E193" s="3" t="s">
        <v>5</v>
      </c>
      <c r="F193" s="3" t="s">
        <v>5</v>
      </c>
      <c r="G193" s="10">
        <f t="shared" si="7"/>
        <v>-5</v>
      </c>
      <c r="H193" s="2"/>
    </row>
    <row r="194" spans="1:8" ht="15" customHeight="1">
      <c r="A194" s="4">
        <v>41775</v>
      </c>
      <c r="B194" s="4">
        <v>41796</v>
      </c>
      <c r="C194" s="4">
        <v>41794</v>
      </c>
      <c r="D194" s="3" t="s">
        <v>43</v>
      </c>
      <c r="E194" s="3" t="s">
        <v>6</v>
      </c>
      <c r="F194" s="3" t="s">
        <v>5</v>
      </c>
      <c r="G194" s="10">
        <f t="shared" si="7"/>
        <v>-2</v>
      </c>
      <c r="H194" s="2"/>
    </row>
    <row r="195" spans="1:8" ht="15" customHeight="1">
      <c r="A195" s="4">
        <v>41775</v>
      </c>
      <c r="B195" s="4">
        <v>41796</v>
      </c>
      <c r="C195" s="4">
        <v>41794</v>
      </c>
      <c r="D195" s="3" t="s">
        <v>44</v>
      </c>
      <c r="E195" s="3" t="s">
        <v>5</v>
      </c>
      <c r="F195" s="3" t="s">
        <v>5</v>
      </c>
      <c r="G195" s="10">
        <f t="shared" si="7"/>
        <v>-2</v>
      </c>
      <c r="H195" s="2"/>
    </row>
    <row r="196" spans="1:8" ht="15" customHeight="1">
      <c r="A196" s="4">
        <v>41775</v>
      </c>
      <c r="B196" s="4">
        <v>41796</v>
      </c>
      <c r="C196" s="4">
        <v>41793</v>
      </c>
      <c r="D196" s="3" t="s">
        <v>42</v>
      </c>
      <c r="E196" s="3" t="s">
        <v>5</v>
      </c>
      <c r="F196" s="3" t="s">
        <v>6</v>
      </c>
      <c r="G196" s="10">
        <f t="shared" si="7"/>
        <v>-3</v>
      </c>
      <c r="H196" s="2"/>
    </row>
    <row r="197" spans="1:8" ht="15" customHeight="1">
      <c r="A197" s="4">
        <v>41775</v>
      </c>
      <c r="B197" s="4">
        <v>41796</v>
      </c>
      <c r="C197" s="4">
        <v>41793</v>
      </c>
      <c r="D197" s="3" t="s">
        <v>42</v>
      </c>
      <c r="E197" s="3" t="s">
        <v>5</v>
      </c>
      <c r="F197" s="3" t="s">
        <v>5</v>
      </c>
      <c r="G197" s="10">
        <f t="shared" si="7"/>
        <v>-3</v>
      </c>
      <c r="H197" s="2"/>
    </row>
    <row r="198" spans="1:8" ht="15" customHeight="1">
      <c r="A198" s="4">
        <v>41774</v>
      </c>
      <c r="B198" s="4">
        <v>41795</v>
      </c>
      <c r="C198" s="4">
        <v>41793</v>
      </c>
      <c r="D198" s="3" t="s">
        <v>42</v>
      </c>
      <c r="E198" s="3" t="s">
        <v>6</v>
      </c>
      <c r="F198" s="3" t="s">
        <v>6</v>
      </c>
      <c r="G198" s="10">
        <f t="shared" si="7"/>
        <v>-2</v>
      </c>
      <c r="H198" s="2"/>
    </row>
    <row r="199" spans="1:8" ht="15" customHeight="1">
      <c r="A199" s="4">
        <v>41792</v>
      </c>
      <c r="B199" s="4">
        <v>41813</v>
      </c>
      <c r="C199" s="4">
        <v>41792</v>
      </c>
      <c r="D199" s="3" t="s">
        <v>53</v>
      </c>
      <c r="E199" s="15" t="s">
        <v>7</v>
      </c>
      <c r="F199" s="15" t="s">
        <v>7</v>
      </c>
      <c r="G199" s="10">
        <f t="shared" si="7"/>
        <v>-21</v>
      </c>
      <c r="H199" s="2"/>
    </row>
    <row r="200" spans="1:8" ht="15" customHeight="1">
      <c r="A200" s="4">
        <v>41792</v>
      </c>
      <c r="B200" s="4">
        <v>41813</v>
      </c>
      <c r="C200" s="4">
        <v>41792</v>
      </c>
      <c r="D200" s="3" t="s">
        <v>53</v>
      </c>
      <c r="E200" s="15" t="s">
        <v>7</v>
      </c>
      <c r="F200" s="15" t="s">
        <v>7</v>
      </c>
      <c r="G200" s="10">
        <f t="shared" si="7"/>
        <v>-21</v>
      </c>
      <c r="H200" s="2"/>
    </row>
    <row r="201" spans="1:8" ht="15" customHeight="1">
      <c r="A201" s="4">
        <v>41792</v>
      </c>
      <c r="B201" s="4">
        <v>41813</v>
      </c>
      <c r="C201" s="4">
        <v>41792</v>
      </c>
      <c r="D201" s="3" t="s">
        <v>53</v>
      </c>
      <c r="E201" s="3" t="s">
        <v>5</v>
      </c>
      <c r="F201" s="15" t="s">
        <v>7</v>
      </c>
      <c r="G201" s="10">
        <f t="shared" si="7"/>
        <v>-21</v>
      </c>
      <c r="H201" s="2"/>
    </row>
    <row r="202" spans="1:8" ht="15.75" customHeight="1" thickBot="1">
      <c r="A202" s="6">
        <v>41785</v>
      </c>
      <c r="B202" s="6">
        <v>41806</v>
      </c>
      <c r="C202" s="6">
        <v>41792</v>
      </c>
      <c r="D202" s="5" t="s">
        <v>53</v>
      </c>
      <c r="E202" s="5" t="s">
        <v>5</v>
      </c>
      <c r="F202" s="5" t="s">
        <v>6</v>
      </c>
      <c r="G202" s="14">
        <f t="shared" si="7"/>
        <v>-14</v>
      </c>
      <c r="H202" s="2"/>
    </row>
    <row r="203" spans="1:8" ht="15" customHeight="1">
      <c r="A203" s="8">
        <v>41787</v>
      </c>
      <c r="B203" s="8">
        <v>41808</v>
      </c>
      <c r="C203" s="8">
        <v>41789</v>
      </c>
      <c r="D203" s="7" t="s">
        <v>53</v>
      </c>
      <c r="E203" s="7" t="s">
        <v>5</v>
      </c>
      <c r="F203" s="7" t="s">
        <v>6</v>
      </c>
      <c r="G203" s="9">
        <f t="shared" si="7"/>
        <v>-19</v>
      </c>
      <c r="H203" s="2"/>
    </row>
    <row r="204" spans="1:8" ht="15" customHeight="1">
      <c r="A204" s="4">
        <v>41752</v>
      </c>
      <c r="B204" s="4">
        <v>41773</v>
      </c>
      <c r="C204" s="4">
        <v>41785</v>
      </c>
      <c r="D204" s="3" t="s">
        <v>43</v>
      </c>
      <c r="E204" s="3" t="s">
        <v>6</v>
      </c>
      <c r="F204" s="3" t="s">
        <v>5</v>
      </c>
      <c r="G204" s="10">
        <f t="shared" si="7"/>
        <v>12</v>
      </c>
      <c r="H204" s="2"/>
    </row>
    <row r="205" spans="1:8" ht="15" customHeight="1">
      <c r="A205" s="4">
        <v>41752</v>
      </c>
      <c r="B205" s="4">
        <v>41773</v>
      </c>
      <c r="C205" s="4">
        <v>41785</v>
      </c>
      <c r="D205" s="3" t="s">
        <v>43</v>
      </c>
      <c r="E205" s="3" t="s">
        <v>6</v>
      </c>
      <c r="F205" s="3" t="s">
        <v>5</v>
      </c>
      <c r="G205" s="10">
        <f t="shared" si="7"/>
        <v>12</v>
      </c>
      <c r="H205" s="2"/>
    </row>
    <row r="206" spans="1:8">
      <c r="A206" s="4">
        <v>41761</v>
      </c>
      <c r="B206" s="4">
        <v>41782</v>
      </c>
      <c r="C206" s="4">
        <v>41782</v>
      </c>
      <c r="D206" s="3" t="s">
        <v>53</v>
      </c>
      <c r="E206" s="3" t="s">
        <v>5</v>
      </c>
      <c r="F206" s="3" t="s">
        <v>5</v>
      </c>
      <c r="G206" s="10">
        <f t="shared" si="7"/>
        <v>0</v>
      </c>
      <c r="H206" s="2"/>
    </row>
    <row r="207" spans="1:8" ht="15" customHeight="1">
      <c r="A207" s="4">
        <v>41781</v>
      </c>
      <c r="B207" s="4">
        <v>41802</v>
      </c>
      <c r="C207" s="4">
        <v>41781</v>
      </c>
      <c r="D207" s="3" t="s">
        <v>42</v>
      </c>
      <c r="E207" s="15" t="s">
        <v>7</v>
      </c>
      <c r="F207" s="15" t="s">
        <v>7</v>
      </c>
      <c r="G207" s="10">
        <f t="shared" si="7"/>
        <v>-21</v>
      </c>
      <c r="H207" s="2"/>
    </row>
    <row r="208" spans="1:8" ht="15" customHeight="1">
      <c r="A208" s="4">
        <v>41765</v>
      </c>
      <c r="B208" s="4">
        <v>41786</v>
      </c>
      <c r="C208" s="4">
        <v>41781</v>
      </c>
      <c r="D208" s="3" t="s">
        <v>44</v>
      </c>
      <c r="E208" s="3" t="s">
        <v>6</v>
      </c>
      <c r="F208" s="3" t="s">
        <v>5</v>
      </c>
      <c r="G208" s="10">
        <f t="shared" si="7"/>
        <v>-5</v>
      </c>
      <c r="H208" s="2"/>
    </row>
    <row r="209" spans="1:8" ht="15" customHeight="1">
      <c r="A209" s="4">
        <v>41778</v>
      </c>
      <c r="B209" s="4">
        <v>41799</v>
      </c>
      <c r="C209" s="4">
        <v>41780</v>
      </c>
      <c r="D209" s="3" t="s">
        <v>44</v>
      </c>
      <c r="E209" s="3" t="s">
        <v>5</v>
      </c>
      <c r="F209" s="3" t="s">
        <v>5</v>
      </c>
      <c r="G209" s="10">
        <f t="shared" si="7"/>
        <v>-19</v>
      </c>
      <c r="H209" s="2"/>
    </row>
    <row r="210" spans="1:8" ht="15" customHeight="1">
      <c r="A210" s="4">
        <v>41759</v>
      </c>
      <c r="B210" s="4">
        <v>41789</v>
      </c>
      <c r="C210" s="4">
        <v>41780</v>
      </c>
      <c r="D210" s="3" t="s">
        <v>47</v>
      </c>
      <c r="E210" s="3" t="s">
        <v>5</v>
      </c>
      <c r="F210" s="3" t="s">
        <v>5</v>
      </c>
      <c r="G210" s="10">
        <f t="shared" si="7"/>
        <v>-9</v>
      </c>
      <c r="H210" s="2"/>
    </row>
    <row r="211" spans="1:8" ht="15" customHeight="1">
      <c r="A211" s="4">
        <v>41759</v>
      </c>
      <c r="B211" s="4">
        <v>41789</v>
      </c>
      <c r="C211" s="4">
        <v>41780</v>
      </c>
      <c r="D211" s="3" t="s">
        <v>47</v>
      </c>
      <c r="E211" s="3" t="s">
        <v>5</v>
      </c>
      <c r="F211" s="3" t="s">
        <v>5</v>
      </c>
      <c r="G211" s="10">
        <f t="shared" si="7"/>
        <v>-9</v>
      </c>
      <c r="H211" s="2"/>
    </row>
    <row r="212" spans="1:8" ht="15" customHeight="1">
      <c r="A212" s="4">
        <v>41751</v>
      </c>
      <c r="B212" s="4">
        <v>41781</v>
      </c>
      <c r="C212" s="4">
        <v>41780</v>
      </c>
      <c r="D212" s="3" t="s">
        <v>60</v>
      </c>
      <c r="E212" s="3" t="s">
        <v>5</v>
      </c>
      <c r="F212" s="3" t="s">
        <v>5</v>
      </c>
      <c r="G212" s="10">
        <f t="shared" si="7"/>
        <v>-1</v>
      </c>
      <c r="H212" s="2"/>
    </row>
    <row r="213" spans="1:8" ht="15" customHeight="1">
      <c r="A213" s="4">
        <v>41730</v>
      </c>
      <c r="B213" s="4">
        <v>41760</v>
      </c>
      <c r="C213" s="4">
        <v>41780</v>
      </c>
      <c r="D213" s="3" t="s">
        <v>47</v>
      </c>
      <c r="E213" s="3" t="s">
        <v>5</v>
      </c>
      <c r="F213" s="3" t="s">
        <v>5</v>
      </c>
      <c r="G213" s="10">
        <f t="shared" si="7"/>
        <v>20</v>
      </c>
      <c r="H213" s="2"/>
    </row>
    <row r="214" spans="1:8" ht="15" customHeight="1">
      <c r="A214" s="4">
        <v>41778</v>
      </c>
      <c r="B214" s="4">
        <v>41799</v>
      </c>
      <c r="C214" s="4">
        <v>41778</v>
      </c>
      <c r="D214" s="3" t="s">
        <v>43</v>
      </c>
      <c r="E214" s="3" t="s">
        <v>6</v>
      </c>
      <c r="F214" s="3" t="s">
        <v>6</v>
      </c>
      <c r="G214" s="10">
        <f t="shared" si="7"/>
        <v>-21</v>
      </c>
      <c r="H214" s="2"/>
    </row>
    <row r="215" spans="1:8" ht="15" customHeight="1">
      <c r="A215" s="4">
        <v>41775</v>
      </c>
      <c r="B215" s="4">
        <v>41796</v>
      </c>
      <c r="C215" s="4">
        <v>41775</v>
      </c>
      <c r="D215" s="3" t="s">
        <v>53</v>
      </c>
      <c r="E215" s="3" t="s">
        <v>5</v>
      </c>
      <c r="F215" s="15" t="s">
        <v>7</v>
      </c>
      <c r="G215" s="10">
        <f t="shared" si="7"/>
        <v>-21</v>
      </c>
      <c r="H215" s="2"/>
    </row>
    <row r="216" spans="1:8" ht="15" customHeight="1">
      <c r="A216" s="4">
        <v>41775</v>
      </c>
      <c r="B216" s="4">
        <v>41796</v>
      </c>
      <c r="C216" s="4">
        <v>41775</v>
      </c>
      <c r="D216" s="3" t="s">
        <v>61</v>
      </c>
      <c r="E216" s="15" t="s">
        <v>7</v>
      </c>
      <c r="F216" s="15" t="s">
        <v>7</v>
      </c>
      <c r="G216" s="10">
        <f t="shared" si="7"/>
        <v>-21</v>
      </c>
      <c r="H216" s="2"/>
    </row>
    <row r="217" spans="1:8" ht="15" customHeight="1">
      <c r="A217" s="4">
        <v>41775</v>
      </c>
      <c r="B217" s="4">
        <v>41796</v>
      </c>
      <c r="C217" s="4">
        <v>41775</v>
      </c>
      <c r="D217" s="3" t="s">
        <v>53</v>
      </c>
      <c r="E217" s="15" t="s">
        <v>7</v>
      </c>
      <c r="F217" s="15" t="s">
        <v>7</v>
      </c>
      <c r="G217" s="10">
        <f t="shared" si="7"/>
        <v>-21</v>
      </c>
      <c r="H217" s="2"/>
    </row>
    <row r="218" spans="1:8">
      <c r="A218" s="4">
        <v>41754</v>
      </c>
      <c r="B218" s="4">
        <v>41775</v>
      </c>
      <c r="C218" s="4">
        <v>41775</v>
      </c>
      <c r="D218" s="3" t="s">
        <v>53</v>
      </c>
      <c r="E218" s="3" t="s">
        <v>6</v>
      </c>
      <c r="F218" s="3" t="s">
        <v>5</v>
      </c>
      <c r="G218" s="10">
        <f t="shared" si="7"/>
        <v>0</v>
      </c>
      <c r="H218" s="2"/>
    </row>
    <row r="219" spans="1:8">
      <c r="A219" s="4">
        <v>41754</v>
      </c>
      <c r="B219" s="4">
        <v>41775</v>
      </c>
      <c r="C219" s="4">
        <v>41775</v>
      </c>
      <c r="D219" s="3" t="s">
        <v>53</v>
      </c>
      <c r="E219" s="3" t="s">
        <v>6</v>
      </c>
      <c r="F219" s="3" t="s">
        <v>5</v>
      </c>
      <c r="G219" s="10">
        <f t="shared" si="7"/>
        <v>0</v>
      </c>
      <c r="H219" s="2"/>
    </row>
    <row r="220" spans="1:8">
      <c r="A220" s="4">
        <v>41753</v>
      </c>
      <c r="B220" s="4">
        <v>41774</v>
      </c>
      <c r="C220" s="4">
        <v>41774</v>
      </c>
      <c r="D220" s="3" t="s">
        <v>53</v>
      </c>
      <c r="E220" s="3" t="s">
        <v>6</v>
      </c>
      <c r="F220" s="3" t="s">
        <v>5</v>
      </c>
      <c r="G220" s="10">
        <f t="shared" si="7"/>
        <v>0</v>
      </c>
      <c r="H220" s="2"/>
    </row>
    <row r="221" spans="1:8">
      <c r="A221" s="4">
        <v>41753</v>
      </c>
      <c r="B221" s="4">
        <v>41774</v>
      </c>
      <c r="C221" s="4">
        <v>41774</v>
      </c>
      <c r="D221" s="3" t="s">
        <v>53</v>
      </c>
      <c r="E221" s="3" t="s">
        <v>5</v>
      </c>
      <c r="F221" s="3" t="s">
        <v>5</v>
      </c>
      <c r="G221" s="10">
        <f t="shared" si="7"/>
        <v>0</v>
      </c>
      <c r="H221" s="2"/>
    </row>
    <row r="222" spans="1:8" ht="15" customHeight="1">
      <c r="A222" s="4">
        <v>41773</v>
      </c>
      <c r="B222" s="4">
        <v>41794</v>
      </c>
      <c r="C222" s="4">
        <v>41773</v>
      </c>
      <c r="D222" s="3" t="s">
        <v>62</v>
      </c>
      <c r="E222" s="15" t="s">
        <v>7</v>
      </c>
      <c r="F222" s="15" t="s">
        <v>7</v>
      </c>
      <c r="G222" s="10">
        <f t="shared" si="7"/>
        <v>-21</v>
      </c>
      <c r="H222" s="2"/>
    </row>
    <row r="223" spans="1:8" ht="15" customHeight="1">
      <c r="A223" s="4">
        <v>41761</v>
      </c>
      <c r="B223" s="4">
        <v>41791</v>
      </c>
      <c r="C223" s="4">
        <v>41773</v>
      </c>
      <c r="D223" s="3" t="s">
        <v>61</v>
      </c>
      <c r="E223" s="3" t="s">
        <v>6</v>
      </c>
      <c r="F223" s="3" t="s">
        <v>6</v>
      </c>
      <c r="G223" s="10">
        <f t="shared" si="7"/>
        <v>-18</v>
      </c>
      <c r="H223" s="2"/>
    </row>
    <row r="224" spans="1:8" ht="15" customHeight="1">
      <c r="A224" s="4">
        <v>41772</v>
      </c>
      <c r="B224" s="4">
        <v>41793</v>
      </c>
      <c r="C224" s="4">
        <v>41772</v>
      </c>
      <c r="D224" s="3" t="s">
        <v>41</v>
      </c>
      <c r="E224" s="3" t="s">
        <v>6</v>
      </c>
      <c r="F224" s="3" t="s">
        <v>6</v>
      </c>
      <c r="G224" s="10">
        <f t="shared" si="7"/>
        <v>-21</v>
      </c>
      <c r="H224" s="2"/>
    </row>
    <row r="225" spans="1:8" ht="15" customHeight="1">
      <c r="A225" s="4">
        <v>41772</v>
      </c>
      <c r="B225" s="4">
        <v>41793</v>
      </c>
      <c r="C225" s="4">
        <v>41772</v>
      </c>
      <c r="D225" s="3" t="s">
        <v>41</v>
      </c>
      <c r="E225" s="3" t="s">
        <v>6</v>
      </c>
      <c r="F225" s="3" t="s">
        <v>6</v>
      </c>
      <c r="G225" s="10">
        <f t="shared" si="7"/>
        <v>-21</v>
      </c>
      <c r="H225" s="2"/>
    </row>
    <row r="226" spans="1:8" ht="15" customHeight="1">
      <c r="A226" s="4">
        <v>41772</v>
      </c>
      <c r="B226" s="4">
        <v>41802</v>
      </c>
      <c r="C226" s="4">
        <v>41772</v>
      </c>
      <c r="D226" s="3" t="s">
        <v>41</v>
      </c>
      <c r="E226" s="3" t="s">
        <v>6</v>
      </c>
      <c r="F226" s="3" t="s">
        <v>6</v>
      </c>
      <c r="G226" s="10">
        <f t="shared" si="7"/>
        <v>-30</v>
      </c>
      <c r="H226" s="2"/>
    </row>
    <row r="227" spans="1:8" ht="15" customHeight="1">
      <c r="A227" s="4">
        <v>41772</v>
      </c>
      <c r="B227" s="4">
        <v>41793</v>
      </c>
      <c r="C227" s="4">
        <v>41772</v>
      </c>
      <c r="D227" s="3" t="s">
        <v>62</v>
      </c>
      <c r="E227" s="3" t="s">
        <v>5</v>
      </c>
      <c r="F227" s="15" t="s">
        <v>7</v>
      </c>
      <c r="G227" s="10">
        <f t="shared" si="7"/>
        <v>-21</v>
      </c>
      <c r="H227" s="2"/>
    </row>
    <row r="228" spans="1:8" ht="15" customHeight="1">
      <c r="A228" s="4">
        <v>41733</v>
      </c>
      <c r="B228" s="4">
        <v>41754</v>
      </c>
      <c r="C228" s="4">
        <v>41772</v>
      </c>
      <c r="D228" s="3" t="s">
        <v>41</v>
      </c>
      <c r="E228" s="3" t="s">
        <v>5</v>
      </c>
      <c r="F228" s="3" t="s">
        <v>6</v>
      </c>
      <c r="G228" s="10">
        <f t="shared" ref="G228:G292" si="8">C228-B228</f>
        <v>18</v>
      </c>
      <c r="H228" s="2"/>
    </row>
    <row r="229" spans="1:8" ht="15" customHeight="1">
      <c r="A229" s="4">
        <v>41690</v>
      </c>
      <c r="B229" s="4">
        <v>41711</v>
      </c>
      <c r="C229" s="4">
        <v>41772</v>
      </c>
      <c r="D229" s="3" t="s">
        <v>41</v>
      </c>
      <c r="E229" s="3" t="s">
        <v>6</v>
      </c>
      <c r="F229" s="3" t="s">
        <v>5</v>
      </c>
      <c r="G229" s="10">
        <f t="shared" si="8"/>
        <v>61</v>
      </c>
      <c r="H229" s="2"/>
    </row>
    <row r="230" spans="1:8" ht="15" customHeight="1">
      <c r="A230" s="4">
        <v>41677</v>
      </c>
      <c r="B230" s="4">
        <v>41698</v>
      </c>
      <c r="C230" s="4">
        <v>41772</v>
      </c>
      <c r="D230" s="3" t="s">
        <v>41</v>
      </c>
      <c r="E230" s="3" t="s">
        <v>6</v>
      </c>
      <c r="F230" s="3" t="s">
        <v>6</v>
      </c>
      <c r="G230" s="10">
        <f t="shared" si="8"/>
        <v>74</v>
      </c>
      <c r="H230" s="2"/>
    </row>
    <row r="231" spans="1:8" ht="15" customHeight="1">
      <c r="A231" s="4">
        <v>41669</v>
      </c>
      <c r="B231" s="4">
        <v>41690</v>
      </c>
      <c r="C231" s="4">
        <v>41772</v>
      </c>
      <c r="D231" s="3" t="s">
        <v>41</v>
      </c>
      <c r="E231" s="3" t="s">
        <v>5</v>
      </c>
      <c r="F231" s="3" t="s">
        <v>5</v>
      </c>
      <c r="G231" s="10">
        <f t="shared" si="8"/>
        <v>82</v>
      </c>
      <c r="H231" s="2"/>
    </row>
    <row r="232" spans="1:8" ht="15" customHeight="1">
      <c r="A232" s="4">
        <v>41626</v>
      </c>
      <c r="B232" s="4">
        <v>41647</v>
      </c>
      <c r="C232" s="4">
        <v>41772</v>
      </c>
      <c r="D232" s="3" t="s">
        <v>41</v>
      </c>
      <c r="E232" s="3" t="s">
        <v>6</v>
      </c>
      <c r="F232" s="3" t="s">
        <v>6</v>
      </c>
      <c r="G232" s="10">
        <f t="shared" si="8"/>
        <v>125</v>
      </c>
      <c r="H232" s="2"/>
    </row>
    <row r="233" spans="1:8" ht="15" customHeight="1">
      <c r="A233" s="4">
        <v>41768</v>
      </c>
      <c r="B233" s="4">
        <v>41789</v>
      </c>
      <c r="C233" s="4">
        <v>41768</v>
      </c>
      <c r="D233" s="3" t="s">
        <v>58</v>
      </c>
      <c r="E233" s="15" t="s">
        <v>7</v>
      </c>
      <c r="F233" s="15" t="s">
        <v>7</v>
      </c>
      <c r="G233" s="10">
        <f t="shared" si="8"/>
        <v>-21</v>
      </c>
      <c r="H233" s="2"/>
    </row>
    <row r="234" spans="1:8" ht="15" customHeight="1">
      <c r="A234" s="4">
        <v>41669</v>
      </c>
      <c r="B234" s="4">
        <v>41690</v>
      </c>
      <c r="C234" s="4">
        <v>41768</v>
      </c>
      <c r="D234" s="3" t="s">
        <v>41</v>
      </c>
      <c r="E234" s="3" t="s">
        <v>6</v>
      </c>
      <c r="F234" s="3" t="s">
        <v>6</v>
      </c>
      <c r="G234" s="10">
        <f t="shared" si="8"/>
        <v>78</v>
      </c>
      <c r="H234" s="2"/>
    </row>
    <row r="235" spans="1:8" ht="15" customHeight="1">
      <c r="A235" s="4">
        <v>41745</v>
      </c>
      <c r="B235" s="4">
        <v>41766</v>
      </c>
      <c r="C235" s="4">
        <v>41765</v>
      </c>
      <c r="D235" s="3" t="s">
        <v>60</v>
      </c>
      <c r="E235" s="3" t="s">
        <v>5</v>
      </c>
      <c r="F235" s="3" t="s">
        <v>5</v>
      </c>
      <c r="G235" s="10">
        <f t="shared" si="8"/>
        <v>-1</v>
      </c>
      <c r="H235" s="2"/>
    </row>
    <row r="236" spans="1:8" ht="15" customHeight="1">
      <c r="A236" s="4">
        <v>41745</v>
      </c>
      <c r="B236" s="4">
        <v>41766</v>
      </c>
      <c r="C236" s="4">
        <v>41765</v>
      </c>
      <c r="D236" s="3" t="s">
        <v>60</v>
      </c>
      <c r="E236" s="3" t="s">
        <v>5</v>
      </c>
      <c r="F236" s="3" t="s">
        <v>5</v>
      </c>
      <c r="G236" s="10">
        <f t="shared" si="8"/>
        <v>-1</v>
      </c>
      <c r="H236" s="2"/>
    </row>
    <row r="237" spans="1:8" ht="15" customHeight="1">
      <c r="A237" s="4">
        <v>41745</v>
      </c>
      <c r="B237" s="4">
        <v>41766</v>
      </c>
      <c r="C237" s="4">
        <v>41765</v>
      </c>
      <c r="D237" s="3" t="s">
        <v>60</v>
      </c>
      <c r="E237" s="3" t="s">
        <v>5</v>
      </c>
      <c r="F237" s="3" t="s">
        <v>5</v>
      </c>
      <c r="G237" s="10">
        <f t="shared" si="8"/>
        <v>-1</v>
      </c>
      <c r="H237" s="2"/>
    </row>
    <row r="238" spans="1:8" ht="15.75" customHeight="1" thickBot="1">
      <c r="A238" s="12">
        <v>41751</v>
      </c>
      <c r="B238" s="12">
        <v>41781</v>
      </c>
      <c r="C238" s="12">
        <v>41764</v>
      </c>
      <c r="D238" s="11" t="s">
        <v>62</v>
      </c>
      <c r="E238" s="11" t="s">
        <v>5</v>
      </c>
      <c r="F238" s="11" t="s">
        <v>5</v>
      </c>
      <c r="G238" s="13">
        <f t="shared" si="8"/>
        <v>-17</v>
      </c>
      <c r="H238" s="2"/>
    </row>
    <row r="239" spans="1:8" ht="15" customHeight="1">
      <c r="A239" s="8">
        <v>41611</v>
      </c>
      <c r="B239" s="8">
        <v>41632</v>
      </c>
      <c r="C239" s="8">
        <v>41759</v>
      </c>
      <c r="D239" s="7" t="s">
        <v>44</v>
      </c>
      <c r="E239" s="7" t="s">
        <v>6</v>
      </c>
      <c r="F239" s="7" t="s">
        <v>6</v>
      </c>
      <c r="G239" s="9">
        <f t="shared" si="8"/>
        <v>127</v>
      </c>
      <c r="H239" s="2"/>
    </row>
    <row r="240" spans="1:8" ht="15" customHeight="1">
      <c r="A240" s="4">
        <v>41740</v>
      </c>
      <c r="B240" s="4">
        <v>41761</v>
      </c>
      <c r="C240" s="4">
        <v>41758</v>
      </c>
      <c r="D240" s="3" t="s">
        <v>60</v>
      </c>
      <c r="E240" s="3" t="s">
        <v>5</v>
      </c>
      <c r="F240" s="3" t="s">
        <v>5</v>
      </c>
      <c r="G240" s="10">
        <f t="shared" si="8"/>
        <v>-3</v>
      </c>
      <c r="H240" s="2"/>
    </row>
    <row r="241" spans="1:8" ht="15" customHeight="1">
      <c r="A241" s="4">
        <v>41740</v>
      </c>
      <c r="B241" s="4">
        <v>41770</v>
      </c>
      <c r="C241" s="4">
        <v>41758</v>
      </c>
      <c r="D241" s="3" t="s">
        <v>60</v>
      </c>
      <c r="E241" s="3" t="s">
        <v>5</v>
      </c>
      <c r="F241" s="3" t="s">
        <v>5</v>
      </c>
      <c r="G241" s="10">
        <f t="shared" si="8"/>
        <v>-12</v>
      </c>
      <c r="H241" s="2"/>
    </row>
    <row r="242" spans="1:8" ht="15" customHeight="1">
      <c r="A242" s="4">
        <v>41739</v>
      </c>
      <c r="B242" s="4">
        <v>41760</v>
      </c>
      <c r="C242" s="4">
        <v>41758</v>
      </c>
      <c r="D242" s="3" t="s">
        <v>60</v>
      </c>
      <c r="E242" s="3" t="s">
        <v>5</v>
      </c>
      <c r="F242" s="3" t="s">
        <v>5</v>
      </c>
      <c r="G242" s="10">
        <f t="shared" si="8"/>
        <v>-2</v>
      </c>
      <c r="H242" s="2"/>
    </row>
    <row r="243" spans="1:8" ht="15" customHeight="1">
      <c r="A243" s="4">
        <v>41739</v>
      </c>
      <c r="B243" s="4">
        <v>41760</v>
      </c>
      <c r="C243" s="4">
        <v>41758</v>
      </c>
      <c r="D243" s="3" t="s">
        <v>60</v>
      </c>
      <c r="E243" s="3" t="s">
        <v>5</v>
      </c>
      <c r="F243" s="3" t="s">
        <v>5</v>
      </c>
      <c r="G243" s="10">
        <f t="shared" si="8"/>
        <v>-2</v>
      </c>
      <c r="H243" s="2"/>
    </row>
    <row r="244" spans="1:8" ht="15" customHeight="1">
      <c r="A244" s="4">
        <v>41739</v>
      </c>
      <c r="B244" s="4">
        <v>41760</v>
      </c>
      <c r="C244" s="4">
        <v>41758</v>
      </c>
      <c r="D244" s="3" t="s">
        <v>60</v>
      </c>
      <c r="E244" s="3" t="s">
        <v>5</v>
      </c>
      <c r="F244" s="3" t="s">
        <v>5</v>
      </c>
      <c r="G244" s="10">
        <f t="shared" si="8"/>
        <v>-2</v>
      </c>
      <c r="H244" s="2"/>
    </row>
    <row r="245" spans="1:8" ht="15" customHeight="1">
      <c r="A245" s="4">
        <v>41739</v>
      </c>
      <c r="B245" s="4">
        <v>41760</v>
      </c>
      <c r="C245" s="4">
        <v>41758</v>
      </c>
      <c r="D245" s="3" t="s">
        <v>60</v>
      </c>
      <c r="E245" s="3" t="s">
        <v>5</v>
      </c>
      <c r="F245" s="3" t="s">
        <v>5</v>
      </c>
      <c r="G245" s="10">
        <f t="shared" si="8"/>
        <v>-2</v>
      </c>
      <c r="H245" s="2"/>
    </row>
    <row r="246" spans="1:8" ht="15" customHeight="1">
      <c r="A246" s="4">
        <v>41738</v>
      </c>
      <c r="B246" s="4">
        <v>41759</v>
      </c>
      <c r="C246" s="4">
        <v>41758</v>
      </c>
      <c r="D246" s="3" t="s">
        <v>60</v>
      </c>
      <c r="E246" s="3" t="s">
        <v>5</v>
      </c>
      <c r="F246" s="3" t="s">
        <v>5</v>
      </c>
      <c r="G246" s="10">
        <f t="shared" si="8"/>
        <v>-1</v>
      </c>
      <c r="H246" s="2"/>
    </row>
    <row r="247" spans="1:8" ht="15" customHeight="1">
      <c r="A247" s="4">
        <v>41661</v>
      </c>
      <c r="B247" s="4">
        <v>41682</v>
      </c>
      <c r="C247" s="4">
        <v>41757</v>
      </c>
      <c r="D247" s="3" t="s">
        <v>61</v>
      </c>
      <c r="E247" s="3" t="s">
        <v>6</v>
      </c>
      <c r="F247" s="3" t="s">
        <v>6</v>
      </c>
      <c r="G247" s="10">
        <f t="shared" si="8"/>
        <v>75</v>
      </c>
      <c r="H247" s="2"/>
    </row>
    <row r="248" spans="1:8" ht="15" customHeight="1">
      <c r="A248" s="4">
        <v>41745</v>
      </c>
      <c r="B248" s="4">
        <v>41775</v>
      </c>
      <c r="C248" s="4">
        <v>41754</v>
      </c>
      <c r="D248" s="3" t="s">
        <v>62</v>
      </c>
      <c r="E248" s="3" t="s">
        <v>5</v>
      </c>
      <c r="F248" s="3" t="s">
        <v>5</v>
      </c>
      <c r="G248" s="10">
        <f t="shared" si="8"/>
        <v>-21</v>
      </c>
      <c r="H248" s="2"/>
    </row>
    <row r="249" spans="1:8" ht="15" customHeight="1">
      <c r="A249" s="4">
        <v>41737</v>
      </c>
      <c r="B249" s="4">
        <v>41758</v>
      </c>
      <c r="C249" s="4">
        <v>41754</v>
      </c>
      <c r="D249" s="3" t="s">
        <v>60</v>
      </c>
      <c r="E249" s="3" t="s">
        <v>5</v>
      </c>
      <c r="F249" s="3" t="s">
        <v>5</v>
      </c>
      <c r="G249" s="10">
        <f t="shared" si="8"/>
        <v>-4</v>
      </c>
      <c r="H249" s="2"/>
    </row>
    <row r="250" spans="1:8" ht="15" customHeight="1">
      <c r="A250" s="4">
        <v>41726</v>
      </c>
      <c r="B250" s="4">
        <v>41747</v>
      </c>
      <c r="C250" s="4">
        <v>41754</v>
      </c>
      <c r="D250" s="3" t="s">
        <v>43</v>
      </c>
      <c r="E250" s="3" t="s">
        <v>5</v>
      </c>
      <c r="F250" s="3" t="s">
        <v>6</v>
      </c>
      <c r="G250" s="10">
        <f t="shared" si="8"/>
        <v>7</v>
      </c>
      <c r="H250" s="2"/>
    </row>
    <row r="251" spans="1:8" ht="15" customHeight="1">
      <c r="A251" s="4">
        <v>41745</v>
      </c>
      <c r="B251" s="4">
        <v>41745</v>
      </c>
      <c r="C251" s="4">
        <v>41753</v>
      </c>
      <c r="D251" s="3" t="s">
        <v>51</v>
      </c>
      <c r="E251" s="3" t="s">
        <v>6</v>
      </c>
      <c r="F251" s="3" t="s">
        <v>6</v>
      </c>
      <c r="G251" s="10">
        <f t="shared" si="8"/>
        <v>8</v>
      </c>
      <c r="H251" s="2"/>
    </row>
    <row r="252" spans="1:8" ht="15" customHeight="1">
      <c r="A252" s="4">
        <v>41726</v>
      </c>
      <c r="B252" s="4">
        <v>41747</v>
      </c>
      <c r="C252" s="4">
        <v>41752</v>
      </c>
      <c r="D252" s="3" t="s">
        <v>53</v>
      </c>
      <c r="E252" s="3" t="s">
        <v>5</v>
      </c>
      <c r="F252" s="3" t="s">
        <v>5</v>
      </c>
      <c r="G252" s="10">
        <f t="shared" si="8"/>
        <v>5</v>
      </c>
      <c r="H252" s="2"/>
    </row>
    <row r="253" spans="1:8" ht="15" customHeight="1">
      <c r="A253" s="4">
        <v>41751</v>
      </c>
      <c r="B253" s="4">
        <v>41772</v>
      </c>
      <c r="C253" s="4">
        <v>41751</v>
      </c>
      <c r="D253" s="3" t="s">
        <v>62</v>
      </c>
      <c r="E253" s="3" t="s">
        <v>5</v>
      </c>
      <c r="F253" s="15" t="s">
        <v>7</v>
      </c>
      <c r="G253" s="10">
        <f t="shared" si="8"/>
        <v>-21</v>
      </c>
      <c r="H253" s="2"/>
    </row>
    <row r="254" spans="1:8" ht="15" customHeight="1">
      <c r="A254" s="4">
        <v>41738</v>
      </c>
      <c r="B254" s="4">
        <v>41759</v>
      </c>
      <c r="C254" s="4">
        <v>41751</v>
      </c>
      <c r="D254" s="3" t="s">
        <v>47</v>
      </c>
      <c r="E254" s="3" t="s">
        <v>5</v>
      </c>
      <c r="F254" s="3" t="s">
        <v>6</v>
      </c>
      <c r="G254" s="10">
        <f t="shared" si="8"/>
        <v>-8</v>
      </c>
      <c r="H254" s="2"/>
    </row>
    <row r="255" spans="1:8" ht="15" customHeight="1">
      <c r="A255" s="4">
        <v>41747</v>
      </c>
      <c r="B255" s="4">
        <v>41768</v>
      </c>
      <c r="C255" s="4">
        <v>41747</v>
      </c>
      <c r="D255" s="3" t="s">
        <v>44</v>
      </c>
      <c r="E255" s="3" t="s">
        <v>6</v>
      </c>
      <c r="F255" s="3" t="s">
        <v>6</v>
      </c>
      <c r="G255" s="10">
        <f t="shared" si="8"/>
        <v>-21</v>
      </c>
      <c r="H255" s="2"/>
    </row>
    <row r="256" spans="1:8" ht="15" customHeight="1">
      <c r="A256" s="4">
        <v>41747</v>
      </c>
      <c r="B256" s="4">
        <v>41768</v>
      </c>
      <c r="C256" s="4">
        <v>41747</v>
      </c>
      <c r="D256" s="3" t="s">
        <v>62</v>
      </c>
      <c r="E256" s="3" t="s">
        <v>5</v>
      </c>
      <c r="F256" s="3" t="s">
        <v>6</v>
      </c>
      <c r="G256" s="10">
        <f t="shared" si="8"/>
        <v>-21</v>
      </c>
      <c r="H256" s="2"/>
    </row>
    <row r="257" spans="1:8" ht="15" customHeight="1">
      <c r="A257" s="4">
        <v>41701</v>
      </c>
      <c r="B257" s="4">
        <v>41722</v>
      </c>
      <c r="C257" s="4">
        <v>41747</v>
      </c>
      <c r="D257" s="3" t="s">
        <v>61</v>
      </c>
      <c r="E257" s="3" t="s">
        <v>6</v>
      </c>
      <c r="F257" s="3" t="s">
        <v>6</v>
      </c>
      <c r="G257" s="10">
        <f t="shared" si="8"/>
        <v>25</v>
      </c>
      <c r="H257" s="2"/>
    </row>
    <row r="258" spans="1:8">
      <c r="A258" s="4">
        <v>41723</v>
      </c>
      <c r="B258" s="4">
        <v>41744</v>
      </c>
      <c r="C258" s="4">
        <v>41746</v>
      </c>
      <c r="D258" s="3" t="s">
        <v>42</v>
      </c>
      <c r="E258" s="3" t="s">
        <v>5</v>
      </c>
      <c r="F258" s="3" t="s">
        <v>6</v>
      </c>
      <c r="G258" s="10">
        <f t="shared" si="8"/>
        <v>2</v>
      </c>
      <c r="H258" s="2"/>
    </row>
    <row r="259" spans="1:8" ht="15" customHeight="1">
      <c r="A259" s="4">
        <v>41722</v>
      </c>
      <c r="B259" s="4">
        <v>41752</v>
      </c>
      <c r="C259" s="4">
        <v>41746</v>
      </c>
      <c r="D259" s="3" t="s">
        <v>42</v>
      </c>
      <c r="E259" s="3" t="s">
        <v>6</v>
      </c>
      <c r="F259" s="3" t="s">
        <v>6</v>
      </c>
      <c r="G259" s="10">
        <f t="shared" si="8"/>
        <v>-6</v>
      </c>
      <c r="H259" s="2"/>
    </row>
    <row r="260" spans="1:8" ht="15" customHeight="1">
      <c r="A260" s="4">
        <v>41724</v>
      </c>
      <c r="B260" s="4">
        <v>41745</v>
      </c>
      <c r="C260" s="4">
        <v>41744</v>
      </c>
      <c r="D260" s="3" t="s">
        <v>53</v>
      </c>
      <c r="E260" s="3" t="s">
        <v>5</v>
      </c>
      <c r="F260" s="3" t="s">
        <v>5</v>
      </c>
      <c r="G260" s="10">
        <f t="shared" si="8"/>
        <v>-1</v>
      </c>
      <c r="H260" s="2"/>
    </row>
    <row r="261" spans="1:8" ht="15" customHeight="1">
      <c r="A261" s="4">
        <v>41711</v>
      </c>
      <c r="B261" s="4">
        <v>41741</v>
      </c>
      <c r="C261" s="4">
        <v>41744</v>
      </c>
      <c r="D261" s="3" t="s">
        <v>42</v>
      </c>
      <c r="E261" s="3" t="s">
        <v>6</v>
      </c>
      <c r="F261" s="3" t="s">
        <v>6</v>
      </c>
      <c r="G261" s="10">
        <f t="shared" si="8"/>
        <v>3</v>
      </c>
      <c r="H261" s="2"/>
    </row>
    <row r="262" spans="1:8" ht="15" customHeight="1">
      <c r="A262" s="4">
        <v>41683</v>
      </c>
      <c r="B262" s="4">
        <v>41713</v>
      </c>
      <c r="C262" s="4">
        <v>41744</v>
      </c>
      <c r="D262" s="3" t="s">
        <v>42</v>
      </c>
      <c r="E262" s="3" t="s">
        <v>6</v>
      </c>
      <c r="F262" s="3" t="s">
        <v>6</v>
      </c>
      <c r="G262" s="10">
        <f t="shared" si="8"/>
        <v>31</v>
      </c>
      <c r="H262" s="2"/>
    </row>
    <row r="263" spans="1:8" ht="15" customHeight="1">
      <c r="A263" s="4">
        <v>41647</v>
      </c>
      <c r="B263" s="4">
        <v>41668</v>
      </c>
      <c r="C263" s="4">
        <v>41744</v>
      </c>
      <c r="D263" s="3" t="s">
        <v>54</v>
      </c>
      <c r="E263" s="3" t="s">
        <v>6</v>
      </c>
      <c r="F263" s="3" t="s">
        <v>6</v>
      </c>
      <c r="G263" s="10">
        <f t="shared" si="8"/>
        <v>76</v>
      </c>
      <c r="H263" s="2"/>
    </row>
    <row r="264" spans="1:8" ht="15" customHeight="1">
      <c r="A264" s="4">
        <v>41743</v>
      </c>
      <c r="B264" s="4">
        <v>41764</v>
      </c>
      <c r="C264" s="4">
        <v>41743</v>
      </c>
      <c r="D264" s="3" t="s">
        <v>54</v>
      </c>
      <c r="E264" s="15" t="s">
        <v>7</v>
      </c>
      <c r="F264" s="15" t="s">
        <v>7</v>
      </c>
      <c r="G264" s="10">
        <f t="shared" si="8"/>
        <v>-21</v>
      </c>
      <c r="H264" s="2"/>
    </row>
    <row r="265" spans="1:8" ht="15" customHeight="1">
      <c r="A265" s="4">
        <v>41743</v>
      </c>
      <c r="B265" s="4">
        <v>41764</v>
      </c>
      <c r="C265" s="4">
        <v>41743</v>
      </c>
      <c r="D265" s="3" t="s">
        <v>42</v>
      </c>
      <c r="E265" s="15" t="s">
        <v>7</v>
      </c>
      <c r="F265" s="15" t="s">
        <v>7</v>
      </c>
      <c r="G265" s="10">
        <f t="shared" si="8"/>
        <v>-21</v>
      </c>
      <c r="H265" s="2"/>
    </row>
    <row r="266" spans="1:8" ht="15" customHeight="1">
      <c r="A266" s="4">
        <v>41723</v>
      </c>
      <c r="B266" s="4">
        <v>41744</v>
      </c>
      <c r="C266" s="4">
        <v>41743</v>
      </c>
      <c r="D266" s="3" t="s">
        <v>60</v>
      </c>
      <c r="E266" s="3" t="s">
        <v>5</v>
      </c>
      <c r="F266" s="3" t="s">
        <v>5</v>
      </c>
      <c r="G266" s="10">
        <f t="shared" si="8"/>
        <v>-1</v>
      </c>
      <c r="H266" s="2"/>
    </row>
    <row r="267" spans="1:8" ht="15" customHeight="1">
      <c r="A267" s="4">
        <v>41723</v>
      </c>
      <c r="B267" s="4">
        <v>41744</v>
      </c>
      <c r="C267" s="4">
        <v>41743</v>
      </c>
      <c r="D267" s="3" t="s">
        <v>60</v>
      </c>
      <c r="E267" s="3" t="s">
        <v>5</v>
      </c>
      <c r="F267" s="3" t="s">
        <v>5</v>
      </c>
      <c r="G267" s="10">
        <f t="shared" si="8"/>
        <v>-1</v>
      </c>
      <c r="H267" s="2"/>
    </row>
    <row r="268" spans="1:8">
      <c r="A268" s="4">
        <v>41722</v>
      </c>
      <c r="B268" s="4">
        <v>41743</v>
      </c>
      <c r="C268" s="4">
        <v>41743</v>
      </c>
      <c r="D268" s="3" t="s">
        <v>60</v>
      </c>
      <c r="E268" s="3" t="s">
        <v>5</v>
      </c>
      <c r="F268" s="3" t="s">
        <v>5</v>
      </c>
      <c r="G268" s="10">
        <f t="shared" si="8"/>
        <v>0</v>
      </c>
      <c r="H268" s="2"/>
    </row>
    <row r="269" spans="1:8">
      <c r="A269" s="4">
        <v>41718</v>
      </c>
      <c r="B269" s="4">
        <v>41739</v>
      </c>
      <c r="C269" s="4">
        <v>41740</v>
      </c>
      <c r="D269" s="3" t="s">
        <v>41</v>
      </c>
      <c r="E269" s="3" t="s">
        <v>5</v>
      </c>
      <c r="F269" s="3" t="s">
        <v>5</v>
      </c>
      <c r="G269" s="10">
        <f t="shared" si="8"/>
        <v>1</v>
      </c>
      <c r="H269" s="2"/>
    </row>
    <row r="270" spans="1:8" ht="15" customHeight="1">
      <c r="A270" s="4">
        <v>41619</v>
      </c>
      <c r="B270" s="4">
        <v>41640</v>
      </c>
      <c r="C270" s="4">
        <v>41740</v>
      </c>
      <c r="D270" s="3" t="s">
        <v>43</v>
      </c>
      <c r="E270" s="3" t="s">
        <v>6</v>
      </c>
      <c r="F270" s="3" t="s">
        <v>5</v>
      </c>
      <c r="G270" s="10">
        <f t="shared" si="8"/>
        <v>100</v>
      </c>
      <c r="H270" s="2"/>
    </row>
    <row r="271" spans="1:8" ht="15" customHeight="1">
      <c r="A271" s="4">
        <v>41739</v>
      </c>
      <c r="B271" s="4">
        <v>41760</v>
      </c>
      <c r="C271" s="4">
        <v>41739</v>
      </c>
      <c r="D271" s="3" t="s">
        <v>42</v>
      </c>
      <c r="E271" s="15" t="s">
        <v>7</v>
      </c>
      <c r="F271" s="15" t="s">
        <v>7</v>
      </c>
      <c r="G271" s="10">
        <f t="shared" si="8"/>
        <v>-21</v>
      </c>
      <c r="H271" s="2"/>
    </row>
    <row r="272" spans="1:8" ht="15" customHeight="1">
      <c r="A272" s="4">
        <v>41739</v>
      </c>
      <c r="B272" s="4">
        <v>41760</v>
      </c>
      <c r="C272" s="4">
        <v>41739</v>
      </c>
      <c r="D272" s="3" t="s">
        <v>42</v>
      </c>
      <c r="E272" s="15" t="s">
        <v>7</v>
      </c>
      <c r="F272" s="15" t="s">
        <v>7</v>
      </c>
      <c r="G272" s="10">
        <f t="shared" si="8"/>
        <v>-21</v>
      </c>
      <c r="H272" s="2"/>
    </row>
    <row r="273" spans="1:8" ht="15" customHeight="1">
      <c r="A273" s="4">
        <v>41739</v>
      </c>
      <c r="B273" s="4">
        <v>41760</v>
      </c>
      <c r="C273" s="4">
        <v>41739</v>
      </c>
      <c r="D273" s="3" t="s">
        <v>42</v>
      </c>
      <c r="E273" s="15" t="s">
        <v>7</v>
      </c>
      <c r="F273" s="15" t="s">
        <v>7</v>
      </c>
      <c r="G273" s="10">
        <f t="shared" si="8"/>
        <v>-21</v>
      </c>
      <c r="H273" s="2"/>
    </row>
    <row r="274" spans="1:8" ht="15" customHeight="1">
      <c r="A274" s="4">
        <v>41739</v>
      </c>
      <c r="B274" s="4">
        <v>41760</v>
      </c>
      <c r="C274" s="4">
        <v>41739</v>
      </c>
      <c r="D274" s="3" t="s">
        <v>42</v>
      </c>
      <c r="E274" s="15" t="s">
        <v>7</v>
      </c>
      <c r="F274" s="15" t="s">
        <v>7</v>
      </c>
      <c r="G274" s="10">
        <f t="shared" si="8"/>
        <v>-21</v>
      </c>
      <c r="H274" s="2"/>
    </row>
    <row r="275" spans="1:8" ht="15" customHeight="1">
      <c r="A275" s="4">
        <v>41715</v>
      </c>
      <c r="B275" s="4">
        <v>41736</v>
      </c>
      <c r="C275" s="4">
        <v>41739</v>
      </c>
      <c r="D275" s="3" t="s">
        <v>43</v>
      </c>
      <c r="E275" s="3" t="s">
        <v>6</v>
      </c>
      <c r="F275" s="3" t="s">
        <v>5</v>
      </c>
      <c r="G275" s="10">
        <f t="shared" si="8"/>
        <v>3</v>
      </c>
      <c r="H275" s="2"/>
    </row>
    <row r="276" spans="1:8" ht="15" customHeight="1">
      <c r="A276" s="4">
        <v>41737</v>
      </c>
      <c r="B276" s="4">
        <v>41758</v>
      </c>
      <c r="C276" s="4">
        <v>41737</v>
      </c>
      <c r="D276" s="3" t="s">
        <v>41</v>
      </c>
      <c r="E276" s="3" t="s">
        <v>6</v>
      </c>
      <c r="F276" s="3" t="s">
        <v>6</v>
      </c>
      <c r="G276" s="10">
        <f t="shared" si="8"/>
        <v>-21</v>
      </c>
      <c r="H276" s="2"/>
    </row>
    <row r="277" spans="1:8" ht="15" customHeight="1">
      <c r="A277" s="4">
        <v>41737</v>
      </c>
      <c r="B277" s="4">
        <v>41758</v>
      </c>
      <c r="C277" s="4">
        <v>41737</v>
      </c>
      <c r="D277" s="3" t="s">
        <v>48</v>
      </c>
      <c r="E277" s="3" t="s">
        <v>5</v>
      </c>
      <c r="F277" s="3" t="s">
        <v>6</v>
      </c>
      <c r="G277" s="10">
        <f t="shared" si="8"/>
        <v>-21</v>
      </c>
      <c r="H277" s="2"/>
    </row>
    <row r="278" spans="1:8" ht="15" customHeight="1">
      <c r="A278" s="4">
        <v>41724</v>
      </c>
      <c r="B278" s="4">
        <v>41754</v>
      </c>
      <c r="C278" s="4">
        <v>41737</v>
      </c>
      <c r="D278" s="3" t="s">
        <v>60</v>
      </c>
      <c r="E278" s="3" t="s">
        <v>5</v>
      </c>
      <c r="F278" s="3" t="s">
        <v>5</v>
      </c>
      <c r="G278" s="10">
        <f t="shared" si="8"/>
        <v>-17</v>
      </c>
      <c r="H278" s="2"/>
    </row>
    <row r="279" spans="1:8" ht="15" customHeight="1">
      <c r="A279" s="4">
        <v>41736</v>
      </c>
      <c r="B279" s="4">
        <v>41757</v>
      </c>
      <c r="C279" s="4">
        <v>41736</v>
      </c>
      <c r="D279" s="3" t="s">
        <v>42</v>
      </c>
      <c r="E279" s="15" t="s">
        <v>7</v>
      </c>
      <c r="F279" s="15" t="s">
        <v>7</v>
      </c>
      <c r="G279" s="10">
        <f t="shared" si="8"/>
        <v>-21</v>
      </c>
    </row>
    <row r="280" spans="1:8" ht="15" customHeight="1">
      <c r="A280" s="4">
        <v>41733</v>
      </c>
      <c r="B280" s="4">
        <v>41757</v>
      </c>
      <c r="C280" s="4">
        <v>41736</v>
      </c>
      <c r="D280" s="3" t="s">
        <v>48</v>
      </c>
      <c r="E280" s="3" t="s">
        <v>6</v>
      </c>
      <c r="F280" s="3" t="s">
        <v>6</v>
      </c>
      <c r="G280" s="10">
        <f t="shared" si="8"/>
        <v>-21</v>
      </c>
    </row>
    <row r="281" spans="1:8" ht="15" customHeight="1">
      <c r="A281" s="4">
        <v>41718</v>
      </c>
      <c r="B281" s="4">
        <v>41739</v>
      </c>
      <c r="C281" s="4">
        <v>41733</v>
      </c>
      <c r="D281" s="3" t="s">
        <v>52</v>
      </c>
      <c r="E281" s="3" t="s">
        <v>6</v>
      </c>
      <c r="F281" s="3" t="s">
        <v>5</v>
      </c>
      <c r="G281" s="10">
        <f t="shared" si="8"/>
        <v>-6</v>
      </c>
    </row>
    <row r="282" spans="1:8" ht="15" customHeight="1">
      <c r="A282" s="4">
        <v>41704</v>
      </c>
      <c r="B282" s="4">
        <v>41725</v>
      </c>
      <c r="C282" s="4">
        <v>41733</v>
      </c>
      <c r="D282" s="3" t="s">
        <v>53</v>
      </c>
      <c r="E282" s="3" t="s">
        <v>5</v>
      </c>
      <c r="F282" s="3" t="s">
        <v>6</v>
      </c>
      <c r="G282" s="10">
        <f t="shared" si="8"/>
        <v>8</v>
      </c>
    </row>
    <row r="283" spans="1:8" ht="15" customHeight="1">
      <c r="A283" s="4">
        <v>41701</v>
      </c>
      <c r="B283" s="4">
        <v>41722</v>
      </c>
      <c r="C283" s="4">
        <v>41733</v>
      </c>
      <c r="D283" s="3" t="s">
        <v>53</v>
      </c>
      <c r="E283" s="3" t="s">
        <v>5</v>
      </c>
      <c r="F283" s="3" t="s">
        <v>5</v>
      </c>
      <c r="G283" s="10">
        <f t="shared" si="8"/>
        <v>11</v>
      </c>
    </row>
    <row r="284" spans="1:8" ht="15" customHeight="1">
      <c r="A284" s="4">
        <v>41732</v>
      </c>
      <c r="B284" s="4">
        <v>41753</v>
      </c>
      <c r="C284" s="4">
        <v>41732</v>
      </c>
      <c r="D284" s="3" t="s">
        <v>41</v>
      </c>
      <c r="E284" s="3" t="s">
        <v>6</v>
      </c>
      <c r="F284" s="3" t="s">
        <v>6</v>
      </c>
      <c r="G284" s="10">
        <f t="shared" si="8"/>
        <v>-21</v>
      </c>
    </row>
    <row r="285" spans="1:8" ht="15" customHeight="1">
      <c r="A285" s="4">
        <v>41729</v>
      </c>
      <c r="B285" s="4">
        <v>41750</v>
      </c>
      <c r="C285" s="4">
        <v>41732</v>
      </c>
      <c r="D285" s="3" t="s">
        <v>41</v>
      </c>
      <c r="E285" s="3" t="s">
        <v>6</v>
      </c>
      <c r="F285" s="3" t="s">
        <v>6</v>
      </c>
      <c r="G285" s="10">
        <f t="shared" si="8"/>
        <v>-18</v>
      </c>
    </row>
    <row r="286" spans="1:8" ht="15.75" customHeight="1" thickBot="1">
      <c r="A286" s="12">
        <v>41715</v>
      </c>
      <c r="B286" s="12">
        <v>41736</v>
      </c>
      <c r="C286" s="12">
        <v>41730</v>
      </c>
      <c r="D286" s="11" t="s">
        <v>53</v>
      </c>
      <c r="E286" s="11" t="s">
        <v>5</v>
      </c>
      <c r="F286" s="11" t="s">
        <v>6</v>
      </c>
      <c r="G286" s="13">
        <f t="shared" si="8"/>
        <v>-6</v>
      </c>
    </row>
    <row r="287" spans="1:8" ht="15" customHeight="1">
      <c r="A287" s="8">
        <v>41709</v>
      </c>
      <c r="B287" s="8">
        <v>41730</v>
      </c>
      <c r="C287" s="8">
        <v>41729</v>
      </c>
      <c r="D287" s="7" t="s">
        <v>47</v>
      </c>
      <c r="E287" s="7" t="s">
        <v>5</v>
      </c>
      <c r="F287" s="7" t="s">
        <v>6</v>
      </c>
      <c r="G287" s="9">
        <f t="shared" si="8"/>
        <v>-1</v>
      </c>
    </row>
    <row r="288" spans="1:8" ht="15" customHeight="1">
      <c r="A288" s="4">
        <v>41725</v>
      </c>
      <c r="B288" s="4">
        <v>41755</v>
      </c>
      <c r="C288" s="4">
        <v>41725</v>
      </c>
      <c r="D288" s="3" t="s">
        <v>62</v>
      </c>
      <c r="E288" s="3" t="s">
        <v>6</v>
      </c>
      <c r="F288" s="3" t="s">
        <v>6</v>
      </c>
      <c r="G288" s="10">
        <f t="shared" si="8"/>
        <v>-30</v>
      </c>
    </row>
    <row r="289" spans="1:7" ht="15" customHeight="1">
      <c r="A289" s="4">
        <v>41724</v>
      </c>
      <c r="B289" s="4">
        <v>41745</v>
      </c>
      <c r="C289" s="4">
        <v>41724</v>
      </c>
      <c r="D289" s="3" t="s">
        <v>41</v>
      </c>
      <c r="E289" s="3" t="s">
        <v>5</v>
      </c>
      <c r="F289" s="3" t="s">
        <v>6</v>
      </c>
      <c r="G289" s="10">
        <f t="shared" si="8"/>
        <v>-21</v>
      </c>
    </row>
    <row r="290" spans="1:7" ht="15" customHeight="1">
      <c r="A290" s="4">
        <v>41724</v>
      </c>
      <c r="B290" s="4">
        <v>41754</v>
      </c>
      <c r="C290" s="4">
        <v>41724</v>
      </c>
      <c r="D290" s="3" t="s">
        <v>62</v>
      </c>
      <c r="E290" s="3" t="s">
        <v>6</v>
      </c>
      <c r="F290" s="3" t="s">
        <v>6</v>
      </c>
      <c r="G290" s="10">
        <f t="shared" si="8"/>
        <v>-30</v>
      </c>
    </row>
    <row r="291" spans="1:7" ht="15" customHeight="1">
      <c r="A291" s="4">
        <v>41712</v>
      </c>
      <c r="B291" s="4">
        <v>41733</v>
      </c>
      <c r="C291" s="4">
        <v>41724</v>
      </c>
      <c r="D291" s="3" t="s">
        <v>60</v>
      </c>
      <c r="E291" s="3" t="s">
        <v>5</v>
      </c>
      <c r="F291" s="3" t="s">
        <v>5</v>
      </c>
      <c r="G291" s="10">
        <f t="shared" si="8"/>
        <v>-9</v>
      </c>
    </row>
    <row r="292" spans="1:7" ht="15" customHeight="1">
      <c r="A292" s="4">
        <v>41710</v>
      </c>
      <c r="B292" s="4">
        <v>41731</v>
      </c>
      <c r="C292" s="4">
        <v>41724</v>
      </c>
      <c r="D292" s="3" t="s">
        <v>60</v>
      </c>
      <c r="E292" s="3" t="s">
        <v>5</v>
      </c>
      <c r="F292" s="3" t="s">
        <v>5</v>
      </c>
      <c r="G292" s="10">
        <f t="shared" si="8"/>
        <v>-7</v>
      </c>
    </row>
    <row r="293" spans="1:7" ht="15" customHeight="1">
      <c r="A293" s="4">
        <v>41709</v>
      </c>
      <c r="B293" s="4">
        <v>41730</v>
      </c>
      <c r="C293" s="4">
        <v>41724</v>
      </c>
      <c r="D293" s="3" t="s">
        <v>60</v>
      </c>
      <c r="E293" s="3" t="s">
        <v>5</v>
      </c>
      <c r="F293" s="3" t="s">
        <v>5</v>
      </c>
      <c r="G293" s="10">
        <f t="shared" ref="G293:G356" si="9">C293-B293</f>
        <v>-6</v>
      </c>
    </row>
    <row r="294" spans="1:7" ht="15" customHeight="1">
      <c r="A294" s="4">
        <v>41722</v>
      </c>
      <c r="B294" s="4">
        <v>41743</v>
      </c>
      <c r="C294" s="4">
        <v>41722</v>
      </c>
      <c r="D294" s="3" t="s">
        <v>62</v>
      </c>
      <c r="E294" s="3" t="s">
        <v>5</v>
      </c>
      <c r="F294" s="15" t="s">
        <v>7</v>
      </c>
      <c r="G294" s="10">
        <f t="shared" si="9"/>
        <v>-21</v>
      </c>
    </row>
    <row r="295" spans="1:7" ht="15" customHeight="1">
      <c r="A295" s="4">
        <v>41710</v>
      </c>
      <c r="B295" s="4">
        <v>41731</v>
      </c>
      <c r="C295" s="4">
        <v>41722</v>
      </c>
      <c r="D295" s="3" t="s">
        <v>51</v>
      </c>
      <c r="E295" s="3" t="s">
        <v>6</v>
      </c>
      <c r="F295" s="3" t="s">
        <v>6</v>
      </c>
      <c r="G295" s="10">
        <f t="shared" si="9"/>
        <v>-9</v>
      </c>
    </row>
    <row r="296" spans="1:7" ht="15" customHeight="1">
      <c r="A296" s="4">
        <v>41719</v>
      </c>
      <c r="B296" s="4">
        <v>41740</v>
      </c>
      <c r="C296" s="4">
        <v>41719</v>
      </c>
      <c r="D296" s="3" t="s">
        <v>41</v>
      </c>
      <c r="E296" s="3" t="s">
        <v>6</v>
      </c>
      <c r="F296" s="3" t="s">
        <v>5</v>
      </c>
      <c r="G296" s="10">
        <f t="shared" si="9"/>
        <v>-21</v>
      </c>
    </row>
    <row r="297" spans="1:7" ht="15" customHeight="1">
      <c r="A297" s="4">
        <v>41718</v>
      </c>
      <c r="B297" s="4">
        <v>41739</v>
      </c>
      <c r="C297" s="4">
        <v>41718</v>
      </c>
      <c r="D297" s="3" t="s">
        <v>42</v>
      </c>
      <c r="E297" s="15" t="s">
        <v>7</v>
      </c>
      <c r="F297" s="15" t="s">
        <v>7</v>
      </c>
      <c r="G297" s="10">
        <f t="shared" si="9"/>
        <v>-21</v>
      </c>
    </row>
    <row r="298" spans="1:7" ht="15" customHeight="1">
      <c r="A298" s="4">
        <v>41718</v>
      </c>
      <c r="B298" s="4">
        <v>41739</v>
      </c>
      <c r="C298" s="4">
        <v>41718</v>
      </c>
      <c r="D298" s="3" t="s">
        <v>44</v>
      </c>
      <c r="E298" s="3" t="s">
        <v>6</v>
      </c>
      <c r="F298" s="3" t="s">
        <v>6</v>
      </c>
      <c r="G298" s="10">
        <f t="shared" si="9"/>
        <v>-21</v>
      </c>
    </row>
    <row r="299" spans="1:7" ht="15" customHeight="1">
      <c r="A299" s="4">
        <v>41717</v>
      </c>
      <c r="B299" s="4">
        <v>41747</v>
      </c>
      <c r="C299" s="4">
        <v>41718</v>
      </c>
      <c r="D299" s="3" t="s">
        <v>54</v>
      </c>
      <c r="E299" s="3" t="s">
        <v>5</v>
      </c>
      <c r="F299" s="3" t="s">
        <v>6</v>
      </c>
      <c r="G299" s="10">
        <f t="shared" si="9"/>
        <v>-29</v>
      </c>
    </row>
    <row r="300" spans="1:7" ht="15" customHeight="1">
      <c r="A300" s="4">
        <v>41717</v>
      </c>
      <c r="B300" s="4">
        <v>41738</v>
      </c>
      <c r="C300" s="4">
        <v>41717</v>
      </c>
      <c r="D300" s="3" t="s">
        <v>44</v>
      </c>
      <c r="E300" s="3" t="s">
        <v>6</v>
      </c>
      <c r="F300" s="3" t="s">
        <v>6</v>
      </c>
      <c r="G300" s="10">
        <f t="shared" si="9"/>
        <v>-21</v>
      </c>
    </row>
    <row r="301" spans="1:7" ht="15" customHeight="1">
      <c r="A301" s="4">
        <v>41716</v>
      </c>
      <c r="B301" s="4">
        <v>41737</v>
      </c>
      <c r="C301" s="4">
        <v>41716</v>
      </c>
      <c r="D301" s="3" t="s">
        <v>43</v>
      </c>
      <c r="E301" s="3" t="s">
        <v>6</v>
      </c>
      <c r="F301" s="3" t="s">
        <v>5</v>
      </c>
      <c r="G301" s="10">
        <f t="shared" si="9"/>
        <v>-21</v>
      </c>
    </row>
    <row r="302" spans="1:7" ht="15" customHeight="1">
      <c r="A302" s="4">
        <v>41712</v>
      </c>
      <c r="B302" s="4">
        <v>41733</v>
      </c>
      <c r="C302" s="4">
        <v>41712</v>
      </c>
      <c r="D302" s="3" t="s">
        <v>52</v>
      </c>
      <c r="E302" s="15" t="s">
        <v>7</v>
      </c>
      <c r="F302" s="15" t="s">
        <v>7</v>
      </c>
      <c r="G302" s="10">
        <f t="shared" si="9"/>
        <v>-21</v>
      </c>
    </row>
    <row r="303" spans="1:7" ht="15" customHeight="1">
      <c r="A303" s="4">
        <v>41712</v>
      </c>
      <c r="B303" s="4">
        <v>41733</v>
      </c>
      <c r="C303" s="4">
        <v>41712</v>
      </c>
      <c r="D303" s="3" t="s">
        <v>42</v>
      </c>
      <c r="E303" s="15" t="s">
        <v>7</v>
      </c>
      <c r="F303" s="15" t="s">
        <v>7</v>
      </c>
      <c r="G303" s="10">
        <f t="shared" si="9"/>
        <v>-21</v>
      </c>
    </row>
    <row r="304" spans="1:7" ht="15" customHeight="1">
      <c r="A304" s="4">
        <v>41705</v>
      </c>
      <c r="B304" s="4">
        <v>41726</v>
      </c>
      <c r="C304" s="4">
        <v>41712</v>
      </c>
      <c r="D304" s="3" t="s">
        <v>60</v>
      </c>
      <c r="E304" s="3" t="s">
        <v>5</v>
      </c>
      <c r="F304" s="3" t="s">
        <v>5</v>
      </c>
      <c r="G304" s="10">
        <f t="shared" si="9"/>
        <v>-14</v>
      </c>
    </row>
    <row r="305" spans="1:7" ht="15" customHeight="1">
      <c r="A305" s="4">
        <v>41698</v>
      </c>
      <c r="B305" s="4">
        <v>41719</v>
      </c>
      <c r="C305" s="4">
        <v>41712</v>
      </c>
      <c r="D305" s="3" t="s">
        <v>60</v>
      </c>
      <c r="E305" s="3" t="s">
        <v>5</v>
      </c>
      <c r="F305" s="3" t="s">
        <v>5</v>
      </c>
      <c r="G305" s="10">
        <f t="shared" si="9"/>
        <v>-7</v>
      </c>
    </row>
    <row r="306" spans="1:7" ht="15" customHeight="1">
      <c r="A306" s="4">
        <v>41696</v>
      </c>
      <c r="B306" s="4">
        <v>41717</v>
      </c>
      <c r="C306" s="4">
        <v>41712</v>
      </c>
      <c r="D306" s="3" t="s">
        <v>60</v>
      </c>
      <c r="E306" s="3" t="s">
        <v>5</v>
      </c>
      <c r="F306" s="3" t="s">
        <v>5</v>
      </c>
      <c r="G306" s="10">
        <f t="shared" si="9"/>
        <v>-5</v>
      </c>
    </row>
    <row r="307" spans="1:7" ht="15" customHeight="1">
      <c r="A307" s="4">
        <v>41696</v>
      </c>
      <c r="B307" s="4">
        <v>41717</v>
      </c>
      <c r="C307" s="4">
        <v>41712</v>
      </c>
      <c r="D307" s="3" t="s">
        <v>60</v>
      </c>
      <c r="E307" s="3" t="s">
        <v>5</v>
      </c>
      <c r="F307" s="3" t="s">
        <v>5</v>
      </c>
      <c r="G307" s="10">
        <f t="shared" si="9"/>
        <v>-5</v>
      </c>
    </row>
    <row r="308" spans="1:7" ht="15" customHeight="1">
      <c r="A308" s="4">
        <v>41705</v>
      </c>
      <c r="B308" s="4">
        <v>41726</v>
      </c>
      <c r="C308" s="4">
        <v>41711</v>
      </c>
      <c r="D308" s="3" t="s">
        <v>48</v>
      </c>
      <c r="E308" s="3" t="s">
        <v>5</v>
      </c>
      <c r="F308" s="3" t="s">
        <v>6</v>
      </c>
      <c r="G308" s="10">
        <f t="shared" si="9"/>
        <v>-15</v>
      </c>
    </row>
    <row r="309" spans="1:7" ht="15" customHeight="1">
      <c r="A309" s="4">
        <v>41709</v>
      </c>
      <c r="B309" s="4">
        <v>41730</v>
      </c>
      <c r="C309" s="4">
        <v>41709</v>
      </c>
      <c r="D309" s="3" t="s">
        <v>62</v>
      </c>
      <c r="E309" s="3" t="s">
        <v>5</v>
      </c>
      <c r="F309" s="15" t="s">
        <v>7</v>
      </c>
      <c r="G309" s="10">
        <f t="shared" si="9"/>
        <v>-21</v>
      </c>
    </row>
    <row r="310" spans="1:7">
      <c r="A310" s="4">
        <v>41687</v>
      </c>
      <c r="B310" s="4">
        <v>41708</v>
      </c>
      <c r="C310" s="4">
        <v>41709</v>
      </c>
      <c r="D310" s="3" t="s">
        <v>52</v>
      </c>
      <c r="E310" s="3" t="s">
        <v>6</v>
      </c>
      <c r="F310" s="3" t="s">
        <v>5</v>
      </c>
      <c r="G310" s="10">
        <f t="shared" si="9"/>
        <v>1</v>
      </c>
    </row>
    <row r="311" spans="1:7" ht="15" customHeight="1">
      <c r="A311" s="4">
        <v>41705</v>
      </c>
      <c r="B311" s="4">
        <v>41726</v>
      </c>
      <c r="C311" s="4">
        <v>41705</v>
      </c>
      <c r="D311" s="3" t="s">
        <v>41</v>
      </c>
      <c r="E311" s="3" t="s">
        <v>5</v>
      </c>
      <c r="F311" s="3" t="s">
        <v>6</v>
      </c>
      <c r="G311" s="10">
        <f t="shared" si="9"/>
        <v>-21</v>
      </c>
    </row>
    <row r="312" spans="1:7" ht="15" customHeight="1">
      <c r="A312" s="4">
        <v>41705</v>
      </c>
      <c r="B312" s="4">
        <v>41726</v>
      </c>
      <c r="C312" s="4">
        <v>41705</v>
      </c>
      <c r="D312" s="3" t="s">
        <v>48</v>
      </c>
      <c r="E312" s="3" t="s">
        <v>5</v>
      </c>
      <c r="F312" s="3" t="s">
        <v>6</v>
      </c>
      <c r="G312" s="10">
        <f t="shared" si="9"/>
        <v>-21</v>
      </c>
    </row>
    <row r="313" spans="1:7" ht="15" customHeight="1">
      <c r="A313" s="4">
        <v>41705</v>
      </c>
      <c r="B313" s="4">
        <v>41726</v>
      </c>
      <c r="C313" s="4">
        <v>41705</v>
      </c>
      <c r="D313" s="3" t="s">
        <v>48</v>
      </c>
      <c r="E313" s="3" t="s">
        <v>5</v>
      </c>
      <c r="F313" s="3" t="s">
        <v>6</v>
      </c>
      <c r="G313" s="10">
        <f t="shared" si="9"/>
        <v>-21</v>
      </c>
    </row>
    <row r="314" spans="1:7" ht="15" customHeight="1">
      <c r="A314" s="4">
        <v>41705</v>
      </c>
      <c r="B314" s="4">
        <v>41726</v>
      </c>
      <c r="C314" s="4">
        <v>41705</v>
      </c>
      <c r="D314" s="3" t="s">
        <v>48</v>
      </c>
      <c r="E314" s="3" t="s">
        <v>5</v>
      </c>
      <c r="F314" s="3" t="s">
        <v>6</v>
      </c>
      <c r="G314" s="10">
        <f t="shared" si="9"/>
        <v>-21</v>
      </c>
    </row>
    <row r="315" spans="1:7" ht="15" customHeight="1">
      <c r="A315" s="4">
        <v>41705</v>
      </c>
      <c r="B315" s="4">
        <v>41726</v>
      </c>
      <c r="C315" s="4">
        <v>41705</v>
      </c>
      <c r="D315" s="3" t="s">
        <v>48</v>
      </c>
      <c r="E315" s="3" t="s">
        <v>5</v>
      </c>
      <c r="F315" s="3" t="s">
        <v>6</v>
      </c>
      <c r="G315" s="10">
        <f t="shared" si="9"/>
        <v>-21</v>
      </c>
    </row>
    <row r="316" spans="1:7" ht="15" customHeight="1">
      <c r="A316" s="4">
        <v>41663</v>
      </c>
      <c r="B316" s="4">
        <v>41684</v>
      </c>
      <c r="C316" s="4">
        <v>41705</v>
      </c>
      <c r="D316" s="3" t="s">
        <v>54</v>
      </c>
      <c r="E316" s="3" t="s">
        <v>5</v>
      </c>
      <c r="F316" s="3" t="s">
        <v>6</v>
      </c>
      <c r="G316" s="10">
        <f t="shared" si="9"/>
        <v>21</v>
      </c>
    </row>
    <row r="317" spans="1:7" ht="15" customHeight="1">
      <c r="A317" s="4">
        <v>41704</v>
      </c>
      <c r="B317" s="4">
        <v>41725</v>
      </c>
      <c r="C317" s="4">
        <v>41704</v>
      </c>
      <c r="D317" s="3" t="s">
        <v>42</v>
      </c>
      <c r="E317" s="15" t="s">
        <v>7</v>
      </c>
      <c r="F317" s="15" t="s">
        <v>7</v>
      </c>
      <c r="G317" s="10">
        <f t="shared" si="9"/>
        <v>-21</v>
      </c>
    </row>
    <row r="318" spans="1:7" ht="15" customHeight="1">
      <c r="A318" s="4">
        <v>41704</v>
      </c>
      <c r="B318" s="4">
        <v>41725</v>
      </c>
      <c r="C318" s="4">
        <v>41704</v>
      </c>
      <c r="D318" s="3" t="s">
        <v>42</v>
      </c>
      <c r="E318" s="15" t="s">
        <v>7</v>
      </c>
      <c r="F318" s="15" t="s">
        <v>7</v>
      </c>
      <c r="G318" s="10">
        <f t="shared" si="9"/>
        <v>-21</v>
      </c>
    </row>
    <row r="319" spans="1:7" ht="15" customHeight="1">
      <c r="A319" s="4">
        <v>41694</v>
      </c>
      <c r="B319" s="4">
        <v>41715</v>
      </c>
      <c r="C319" s="4">
        <v>41704</v>
      </c>
      <c r="D319" s="3" t="s">
        <v>53</v>
      </c>
      <c r="E319" s="3" t="s">
        <v>5</v>
      </c>
      <c r="F319" s="3" t="s">
        <v>6</v>
      </c>
      <c r="G319" s="10">
        <f t="shared" si="9"/>
        <v>-11</v>
      </c>
    </row>
    <row r="320" spans="1:7" ht="15" customHeight="1">
      <c r="A320" s="4">
        <v>41688</v>
      </c>
      <c r="B320" s="4">
        <v>41709</v>
      </c>
      <c r="C320" s="4">
        <v>41704</v>
      </c>
      <c r="D320" s="3" t="s">
        <v>53</v>
      </c>
      <c r="E320" s="3" t="s">
        <v>6</v>
      </c>
      <c r="F320" s="3" t="s">
        <v>6</v>
      </c>
      <c r="G320" s="10">
        <f t="shared" si="9"/>
        <v>-5</v>
      </c>
    </row>
    <row r="321" spans="1:7" ht="15" customHeight="1">
      <c r="A321" s="4">
        <v>41687</v>
      </c>
      <c r="B321" s="4">
        <v>41708</v>
      </c>
      <c r="C321" s="4">
        <v>41704</v>
      </c>
      <c r="D321" s="3" t="s">
        <v>53</v>
      </c>
      <c r="E321" s="3" t="s">
        <v>5</v>
      </c>
      <c r="F321" s="3" t="s">
        <v>6</v>
      </c>
      <c r="G321" s="10">
        <f t="shared" si="9"/>
        <v>-4</v>
      </c>
    </row>
    <row r="322" spans="1:7" ht="15" customHeight="1">
      <c r="A322" s="4">
        <v>41703</v>
      </c>
      <c r="B322" s="4">
        <v>41724</v>
      </c>
      <c r="C322" s="4">
        <v>41703</v>
      </c>
      <c r="D322" s="3" t="s">
        <v>41</v>
      </c>
      <c r="E322" s="15" t="s">
        <v>7</v>
      </c>
      <c r="F322" s="15" t="s">
        <v>7</v>
      </c>
      <c r="G322" s="10">
        <f t="shared" si="9"/>
        <v>-21</v>
      </c>
    </row>
    <row r="323" spans="1:7" ht="15" customHeight="1">
      <c r="A323" s="4">
        <v>41660</v>
      </c>
      <c r="B323" s="4">
        <v>41681</v>
      </c>
      <c r="C323" s="4">
        <v>41702</v>
      </c>
      <c r="D323" s="3" t="s">
        <v>48</v>
      </c>
      <c r="E323" s="3" t="s">
        <v>5</v>
      </c>
      <c r="F323" s="3" t="s">
        <v>6</v>
      </c>
      <c r="G323" s="10">
        <f t="shared" si="9"/>
        <v>21</v>
      </c>
    </row>
    <row r="324" spans="1:7" ht="15" customHeight="1">
      <c r="A324" s="4">
        <v>41695</v>
      </c>
      <c r="B324" s="4">
        <v>41716</v>
      </c>
      <c r="C324" s="4">
        <v>41701</v>
      </c>
      <c r="D324" s="3" t="s">
        <v>60</v>
      </c>
      <c r="E324" s="3" t="s">
        <v>5</v>
      </c>
      <c r="F324" s="3" t="s">
        <v>5</v>
      </c>
      <c r="G324" s="10">
        <f t="shared" si="9"/>
        <v>-15</v>
      </c>
    </row>
    <row r="325" spans="1:7" ht="15" customHeight="1">
      <c r="A325" s="4">
        <v>41695</v>
      </c>
      <c r="B325" s="4">
        <v>41716</v>
      </c>
      <c r="C325" s="4">
        <v>41701</v>
      </c>
      <c r="D325" s="3" t="s">
        <v>60</v>
      </c>
      <c r="E325" s="3" t="s">
        <v>5</v>
      </c>
      <c r="F325" s="3" t="s">
        <v>5</v>
      </c>
      <c r="G325" s="10">
        <f t="shared" si="9"/>
        <v>-15</v>
      </c>
    </row>
    <row r="326" spans="1:7" ht="15" customHeight="1">
      <c r="A326" s="4">
        <v>41691</v>
      </c>
      <c r="B326" s="4">
        <v>41712</v>
      </c>
      <c r="C326" s="4">
        <v>41701</v>
      </c>
      <c r="D326" s="3" t="s">
        <v>42</v>
      </c>
      <c r="E326" s="3" t="s">
        <v>6</v>
      </c>
      <c r="F326" s="3" t="s">
        <v>6</v>
      </c>
      <c r="G326" s="10">
        <f t="shared" si="9"/>
        <v>-11</v>
      </c>
    </row>
    <row r="327" spans="1:7" ht="15" customHeight="1">
      <c r="A327" s="4">
        <v>41663</v>
      </c>
      <c r="B327" s="4">
        <v>41684</v>
      </c>
      <c r="C327" s="4">
        <v>41701</v>
      </c>
      <c r="D327" s="3" t="s">
        <v>44</v>
      </c>
      <c r="E327" s="3" t="s">
        <v>5</v>
      </c>
      <c r="F327" s="3" t="s">
        <v>5</v>
      </c>
      <c r="G327" s="10">
        <f t="shared" si="9"/>
        <v>17</v>
      </c>
    </row>
    <row r="328" spans="1:7" ht="15" customHeight="1">
      <c r="A328" s="4">
        <v>41648</v>
      </c>
      <c r="B328" s="4">
        <v>41669</v>
      </c>
      <c r="C328" s="4">
        <v>41701</v>
      </c>
      <c r="D328" s="3" t="s">
        <v>54</v>
      </c>
      <c r="E328" s="3" t="s">
        <v>5</v>
      </c>
      <c r="F328" s="3" t="s">
        <v>5</v>
      </c>
      <c r="G328" s="10">
        <f t="shared" si="9"/>
        <v>32</v>
      </c>
    </row>
    <row r="329" spans="1:7" ht="15.75" customHeight="1" thickBot="1">
      <c r="A329" s="12">
        <v>41485</v>
      </c>
      <c r="B329" s="12">
        <v>41506</v>
      </c>
      <c r="C329" s="12">
        <v>41701</v>
      </c>
      <c r="D329" s="11" t="s">
        <v>48</v>
      </c>
      <c r="E329" s="11" t="s">
        <v>5</v>
      </c>
      <c r="F329" s="11" t="s">
        <v>5</v>
      </c>
      <c r="G329" s="13">
        <f t="shared" si="9"/>
        <v>195</v>
      </c>
    </row>
    <row r="330" spans="1:7" ht="15" customHeight="1">
      <c r="A330" s="8">
        <v>41698</v>
      </c>
      <c r="B330" s="8">
        <v>41719</v>
      </c>
      <c r="C330" s="8">
        <v>41698</v>
      </c>
      <c r="D330" s="7" t="s">
        <v>48</v>
      </c>
      <c r="E330" s="7" t="s">
        <v>5</v>
      </c>
      <c r="F330" s="7" t="s">
        <v>6</v>
      </c>
      <c r="G330" s="9">
        <f t="shared" si="9"/>
        <v>-21</v>
      </c>
    </row>
    <row r="331" spans="1:7" ht="15" customHeight="1">
      <c r="A331" s="4">
        <v>41691</v>
      </c>
      <c r="B331" s="4">
        <v>41712</v>
      </c>
      <c r="C331" s="4">
        <v>41696</v>
      </c>
      <c r="D331" s="3" t="s">
        <v>60</v>
      </c>
      <c r="E331" s="3" t="s">
        <v>5</v>
      </c>
      <c r="F331" s="3" t="s">
        <v>5</v>
      </c>
      <c r="G331" s="10">
        <f t="shared" si="9"/>
        <v>-16</v>
      </c>
    </row>
    <row r="332" spans="1:7" ht="15" customHeight="1">
      <c r="A332" s="4">
        <v>41691</v>
      </c>
      <c r="B332" s="4">
        <v>41712</v>
      </c>
      <c r="C332" s="4">
        <v>41696</v>
      </c>
      <c r="D332" s="3" t="s">
        <v>60</v>
      </c>
      <c r="E332" s="3" t="s">
        <v>5</v>
      </c>
      <c r="F332" s="3" t="s">
        <v>5</v>
      </c>
      <c r="G332" s="10">
        <f t="shared" si="9"/>
        <v>-16</v>
      </c>
    </row>
    <row r="333" spans="1:7" ht="15" customHeight="1">
      <c r="A333" s="4">
        <v>41691</v>
      </c>
      <c r="B333" s="4">
        <v>41712</v>
      </c>
      <c r="C333" s="4">
        <v>41696</v>
      </c>
      <c r="D333" s="3" t="s">
        <v>60</v>
      </c>
      <c r="E333" s="3" t="s">
        <v>5</v>
      </c>
      <c r="F333" s="3" t="s">
        <v>5</v>
      </c>
      <c r="G333" s="10">
        <f t="shared" si="9"/>
        <v>-16</v>
      </c>
    </row>
    <row r="334" spans="1:7" ht="15" customHeight="1">
      <c r="A334" s="4">
        <v>41689</v>
      </c>
      <c r="B334" s="4">
        <v>41710</v>
      </c>
      <c r="C334" s="4">
        <v>41696</v>
      </c>
      <c r="D334" s="3" t="s">
        <v>60</v>
      </c>
      <c r="E334" s="3" t="s">
        <v>5</v>
      </c>
      <c r="F334" s="3" t="s">
        <v>5</v>
      </c>
      <c r="G334" s="10">
        <f t="shared" si="9"/>
        <v>-14</v>
      </c>
    </row>
    <row r="335" spans="1:7" ht="15" customHeight="1">
      <c r="A335" s="4">
        <v>41695</v>
      </c>
      <c r="B335" s="4">
        <v>41716</v>
      </c>
      <c r="C335" s="4">
        <v>41695</v>
      </c>
      <c r="D335" s="3" t="s">
        <v>48</v>
      </c>
      <c r="E335" s="3" t="s">
        <v>5</v>
      </c>
      <c r="F335" s="3" t="s">
        <v>6</v>
      </c>
      <c r="G335" s="10">
        <f t="shared" si="9"/>
        <v>-21</v>
      </c>
    </row>
    <row r="336" spans="1:7" ht="15" customHeight="1">
      <c r="A336" s="4">
        <v>41695</v>
      </c>
      <c r="B336" s="4">
        <v>41716</v>
      </c>
      <c r="C336" s="4">
        <v>41695</v>
      </c>
      <c r="D336" s="3" t="s">
        <v>51</v>
      </c>
      <c r="E336" s="15" t="s">
        <v>7</v>
      </c>
      <c r="F336" s="15" t="s">
        <v>7</v>
      </c>
      <c r="G336" s="10">
        <f t="shared" si="9"/>
        <v>-21</v>
      </c>
    </row>
    <row r="337" spans="1:7" ht="15" customHeight="1">
      <c r="A337" s="4">
        <v>41695</v>
      </c>
      <c r="B337" s="4">
        <v>41716</v>
      </c>
      <c r="C337" s="4">
        <v>41695</v>
      </c>
      <c r="D337" s="3" t="s">
        <v>48</v>
      </c>
      <c r="E337" s="3" t="s">
        <v>5</v>
      </c>
      <c r="F337" s="3" t="s">
        <v>6</v>
      </c>
      <c r="G337" s="10">
        <f t="shared" si="9"/>
        <v>-21</v>
      </c>
    </row>
    <row r="338" spans="1:7" ht="15" customHeight="1">
      <c r="A338" s="4">
        <v>41688</v>
      </c>
      <c r="B338" s="4">
        <v>41718</v>
      </c>
      <c r="C338" s="4">
        <v>41695</v>
      </c>
      <c r="D338" s="3" t="s">
        <v>60</v>
      </c>
      <c r="E338" s="3" t="s">
        <v>5</v>
      </c>
      <c r="F338" s="3" t="s">
        <v>5</v>
      </c>
      <c r="G338" s="10">
        <f t="shared" si="9"/>
        <v>-23</v>
      </c>
    </row>
    <row r="339" spans="1:7" ht="15" customHeight="1">
      <c r="A339" s="4">
        <v>41677</v>
      </c>
      <c r="B339" s="4">
        <v>41698</v>
      </c>
      <c r="C339" s="4">
        <v>41695</v>
      </c>
      <c r="D339" s="3" t="s">
        <v>42</v>
      </c>
      <c r="E339" s="3" t="s">
        <v>6</v>
      </c>
      <c r="F339" s="3" t="s">
        <v>6</v>
      </c>
      <c r="G339" s="10">
        <f t="shared" si="9"/>
        <v>-3</v>
      </c>
    </row>
    <row r="340" spans="1:7" ht="15" customHeight="1">
      <c r="A340" s="4">
        <v>41682</v>
      </c>
      <c r="B340" s="4">
        <v>41703</v>
      </c>
      <c r="C340" s="4">
        <v>41694</v>
      </c>
      <c r="D340" s="3" t="s">
        <v>47</v>
      </c>
      <c r="E340" s="3" t="s">
        <v>5</v>
      </c>
      <c r="F340" s="3" t="s">
        <v>6</v>
      </c>
      <c r="G340" s="10">
        <f t="shared" si="9"/>
        <v>-9</v>
      </c>
    </row>
    <row r="341" spans="1:7" ht="15" customHeight="1">
      <c r="A341" s="4">
        <v>41674</v>
      </c>
      <c r="B341" s="4">
        <v>41695</v>
      </c>
      <c r="C341" s="4">
        <v>41694</v>
      </c>
      <c r="D341" s="3" t="s">
        <v>60</v>
      </c>
      <c r="E341" s="3" t="s">
        <v>5</v>
      </c>
      <c r="F341" s="3" t="s">
        <v>5</v>
      </c>
      <c r="G341" s="10">
        <f t="shared" si="9"/>
        <v>-1</v>
      </c>
    </row>
    <row r="342" spans="1:7" ht="15" customHeight="1">
      <c r="A342" s="4">
        <v>41619</v>
      </c>
      <c r="B342" s="4">
        <v>41640</v>
      </c>
      <c r="C342" s="4">
        <v>41694</v>
      </c>
      <c r="D342" s="3" t="s">
        <v>43</v>
      </c>
      <c r="E342" s="3" t="s">
        <v>6</v>
      </c>
      <c r="F342" s="3" t="s">
        <v>5</v>
      </c>
      <c r="G342" s="10">
        <f t="shared" si="9"/>
        <v>54</v>
      </c>
    </row>
    <row r="343" spans="1:7" ht="15" customHeight="1">
      <c r="A343" s="4">
        <v>41612</v>
      </c>
      <c r="B343" s="4">
        <v>41633</v>
      </c>
      <c r="C343" s="4">
        <v>41694</v>
      </c>
      <c r="D343" s="3" t="s">
        <v>43</v>
      </c>
      <c r="E343" s="3" t="s">
        <v>6</v>
      </c>
      <c r="F343" s="3" t="s">
        <v>6</v>
      </c>
      <c r="G343" s="10">
        <f t="shared" si="9"/>
        <v>61</v>
      </c>
    </row>
    <row r="344" spans="1:7" ht="15" customHeight="1">
      <c r="A344" s="4">
        <v>41689</v>
      </c>
      <c r="B344" s="4">
        <v>41710</v>
      </c>
      <c r="C344" s="4">
        <v>41691</v>
      </c>
      <c r="D344" s="3" t="s">
        <v>41</v>
      </c>
      <c r="E344" s="3" t="s">
        <v>6</v>
      </c>
      <c r="F344" s="3" t="s">
        <v>5</v>
      </c>
      <c r="G344" s="10">
        <f t="shared" si="9"/>
        <v>-19</v>
      </c>
    </row>
    <row r="345" spans="1:7" ht="15" customHeight="1">
      <c r="A345" s="4">
        <v>41688</v>
      </c>
      <c r="B345" s="4">
        <v>41709</v>
      </c>
      <c r="C345" s="4">
        <v>41691</v>
      </c>
      <c r="D345" s="3" t="s">
        <v>53</v>
      </c>
      <c r="E345" s="3" t="s">
        <v>5</v>
      </c>
      <c r="F345" s="3" t="s">
        <v>6</v>
      </c>
      <c r="G345" s="10">
        <f t="shared" si="9"/>
        <v>-18</v>
      </c>
    </row>
    <row r="346" spans="1:7" ht="15" customHeight="1">
      <c r="A346" s="4">
        <v>41677</v>
      </c>
      <c r="B346" s="4">
        <v>41707</v>
      </c>
      <c r="C346" s="4">
        <v>41691</v>
      </c>
      <c r="D346" s="3" t="s">
        <v>54</v>
      </c>
      <c r="E346" s="3" t="s">
        <v>5</v>
      </c>
      <c r="F346" s="3" t="s">
        <v>5</v>
      </c>
      <c r="G346" s="10">
        <f t="shared" si="9"/>
        <v>-16</v>
      </c>
    </row>
    <row r="347" spans="1:7" ht="15" customHeight="1">
      <c r="A347" s="4">
        <v>41662</v>
      </c>
      <c r="B347" s="4">
        <v>41683</v>
      </c>
      <c r="C347" s="4">
        <v>41691</v>
      </c>
      <c r="D347" s="3" t="s">
        <v>41</v>
      </c>
      <c r="E347" s="3" t="s">
        <v>6</v>
      </c>
      <c r="F347" s="3" t="s">
        <v>5</v>
      </c>
      <c r="G347" s="10">
        <f t="shared" si="9"/>
        <v>8</v>
      </c>
    </row>
    <row r="348" spans="1:7" ht="15" customHeight="1">
      <c r="A348" s="4">
        <v>41647</v>
      </c>
      <c r="B348" s="4">
        <v>41668</v>
      </c>
      <c r="C348" s="4">
        <v>41691</v>
      </c>
      <c r="D348" s="3" t="s">
        <v>41</v>
      </c>
      <c r="E348" s="3" t="s">
        <v>6</v>
      </c>
      <c r="F348" s="3" t="s">
        <v>6</v>
      </c>
      <c r="G348" s="10">
        <f t="shared" si="9"/>
        <v>23</v>
      </c>
    </row>
    <row r="349" spans="1:7" ht="15" customHeight="1">
      <c r="A349" s="4">
        <v>41641</v>
      </c>
      <c r="B349" s="4">
        <v>41662</v>
      </c>
      <c r="C349" s="4">
        <v>41691</v>
      </c>
      <c r="D349" s="3" t="s">
        <v>41</v>
      </c>
      <c r="E349" s="3" t="s">
        <v>6</v>
      </c>
      <c r="F349" s="3" t="s">
        <v>5</v>
      </c>
      <c r="G349" s="10">
        <f t="shared" si="9"/>
        <v>29</v>
      </c>
    </row>
    <row r="350" spans="1:7" ht="15" customHeight="1">
      <c r="A350" s="4">
        <v>41690</v>
      </c>
      <c r="B350" s="4">
        <v>41711</v>
      </c>
      <c r="C350" s="4">
        <v>41690</v>
      </c>
      <c r="D350" s="3" t="s">
        <v>41</v>
      </c>
      <c r="E350" s="15" t="s">
        <v>7</v>
      </c>
      <c r="F350" s="15" t="s">
        <v>7</v>
      </c>
      <c r="G350" s="10">
        <f t="shared" si="9"/>
        <v>-21</v>
      </c>
    </row>
    <row r="351" spans="1:7" ht="15" customHeight="1">
      <c r="A351" s="4">
        <v>41689</v>
      </c>
      <c r="B351" s="4">
        <v>41710</v>
      </c>
      <c r="C351" s="4">
        <v>41690</v>
      </c>
      <c r="D351" s="3" t="s">
        <v>41</v>
      </c>
      <c r="E351" s="3" t="s">
        <v>6</v>
      </c>
      <c r="F351" s="3" t="s">
        <v>6</v>
      </c>
      <c r="G351" s="10">
        <f t="shared" si="9"/>
        <v>-20</v>
      </c>
    </row>
    <row r="352" spans="1:7" ht="15" customHeight="1">
      <c r="A352" s="4">
        <v>41663</v>
      </c>
      <c r="B352" s="4">
        <v>41684</v>
      </c>
      <c r="C352" s="4">
        <v>41689</v>
      </c>
      <c r="D352" s="3" t="s">
        <v>41</v>
      </c>
      <c r="E352" s="3" t="s">
        <v>5</v>
      </c>
      <c r="F352" s="3" t="s">
        <v>5</v>
      </c>
      <c r="G352" s="10">
        <f t="shared" si="9"/>
        <v>5</v>
      </c>
    </row>
    <row r="353" spans="1:7" ht="15" customHeight="1">
      <c r="A353" s="4">
        <v>41688</v>
      </c>
      <c r="B353" s="4">
        <v>41709</v>
      </c>
      <c r="C353" s="4">
        <v>41688</v>
      </c>
      <c r="D353" s="3" t="s">
        <v>60</v>
      </c>
      <c r="E353" s="3" t="s">
        <v>5</v>
      </c>
      <c r="F353" s="3" t="s">
        <v>5</v>
      </c>
      <c r="G353" s="10">
        <f t="shared" si="9"/>
        <v>-21</v>
      </c>
    </row>
    <row r="354" spans="1:7" ht="15" customHeight="1">
      <c r="A354" s="4">
        <v>41684</v>
      </c>
      <c r="B354" s="4">
        <v>41705</v>
      </c>
      <c r="C354" s="4">
        <v>41687</v>
      </c>
      <c r="D354" s="3" t="s">
        <v>60</v>
      </c>
      <c r="E354" s="3" t="s">
        <v>5</v>
      </c>
      <c r="F354" s="3" t="s">
        <v>5</v>
      </c>
      <c r="G354" s="10">
        <f t="shared" si="9"/>
        <v>-18</v>
      </c>
    </row>
    <row r="355" spans="1:7" ht="15" customHeight="1">
      <c r="A355" s="4">
        <v>41684</v>
      </c>
      <c r="B355" s="4">
        <v>41705</v>
      </c>
      <c r="C355" s="4">
        <v>41687</v>
      </c>
      <c r="D355" s="3" t="s">
        <v>60</v>
      </c>
      <c r="E355" s="3" t="s">
        <v>5</v>
      </c>
      <c r="F355" s="3" t="s">
        <v>5</v>
      </c>
      <c r="G355" s="10">
        <f t="shared" si="9"/>
        <v>-18</v>
      </c>
    </row>
    <row r="356" spans="1:7" ht="15" customHeight="1">
      <c r="A356" s="4">
        <v>41684</v>
      </c>
      <c r="B356" s="4">
        <v>41705</v>
      </c>
      <c r="C356" s="4">
        <v>41687</v>
      </c>
      <c r="D356" s="3" t="s">
        <v>60</v>
      </c>
      <c r="E356" s="3" t="s">
        <v>5</v>
      </c>
      <c r="F356" s="3" t="s">
        <v>5</v>
      </c>
      <c r="G356" s="10">
        <f t="shared" si="9"/>
        <v>-18</v>
      </c>
    </row>
    <row r="357" spans="1:7" ht="15" customHeight="1">
      <c r="A357" s="4">
        <v>41683</v>
      </c>
      <c r="B357" s="4">
        <v>41704</v>
      </c>
      <c r="C357" s="4">
        <v>41687</v>
      </c>
      <c r="D357" s="3" t="s">
        <v>60</v>
      </c>
      <c r="E357" s="3" t="s">
        <v>5</v>
      </c>
      <c r="F357" s="3" t="s">
        <v>5</v>
      </c>
      <c r="G357" s="10">
        <f t="shared" ref="G357:G423" si="10">C357-B357</f>
        <v>-17</v>
      </c>
    </row>
    <row r="358" spans="1:7" ht="15" customHeight="1">
      <c r="A358" s="4">
        <v>41682</v>
      </c>
      <c r="B358" s="4">
        <v>41703</v>
      </c>
      <c r="C358" s="4">
        <v>41687</v>
      </c>
      <c r="D358" s="3" t="s">
        <v>54</v>
      </c>
      <c r="E358" s="3" t="s">
        <v>5</v>
      </c>
      <c r="F358" s="3" t="s">
        <v>6</v>
      </c>
      <c r="G358" s="10">
        <f t="shared" si="10"/>
        <v>-16</v>
      </c>
    </row>
    <row r="359" spans="1:7" ht="15" customHeight="1">
      <c r="A359" s="4">
        <v>41674</v>
      </c>
      <c r="B359" s="4">
        <v>41695</v>
      </c>
      <c r="C359" s="4">
        <v>41687</v>
      </c>
      <c r="D359" s="3" t="s">
        <v>47</v>
      </c>
      <c r="E359" s="3" t="s">
        <v>5</v>
      </c>
      <c r="F359" s="3" t="s">
        <v>6</v>
      </c>
      <c r="G359" s="10">
        <f t="shared" si="10"/>
        <v>-8</v>
      </c>
    </row>
    <row r="360" spans="1:7" ht="15" customHeight="1">
      <c r="A360" s="4">
        <v>41674</v>
      </c>
      <c r="B360" s="4">
        <v>41695</v>
      </c>
      <c r="C360" s="4">
        <v>41687</v>
      </c>
      <c r="D360" s="3" t="s">
        <v>60</v>
      </c>
      <c r="E360" s="3" t="s">
        <v>5</v>
      </c>
      <c r="F360" s="3" t="s">
        <v>5</v>
      </c>
      <c r="G360" s="10">
        <f t="shared" si="10"/>
        <v>-8</v>
      </c>
    </row>
    <row r="361" spans="1:7" ht="15" customHeight="1">
      <c r="A361" s="4">
        <v>41674</v>
      </c>
      <c r="B361" s="4">
        <v>41695</v>
      </c>
      <c r="C361" s="4">
        <v>41687</v>
      </c>
      <c r="D361" s="3" t="s">
        <v>60</v>
      </c>
      <c r="E361" s="3" t="s">
        <v>5</v>
      </c>
      <c r="F361" s="3" t="s">
        <v>5</v>
      </c>
      <c r="G361" s="10">
        <f t="shared" si="10"/>
        <v>-8</v>
      </c>
    </row>
    <row r="362" spans="1:7" ht="15" customHeight="1">
      <c r="A362" s="4">
        <v>41673</v>
      </c>
      <c r="B362" s="4">
        <v>41694</v>
      </c>
      <c r="C362" s="4">
        <v>41687</v>
      </c>
      <c r="D362" s="3" t="s">
        <v>60</v>
      </c>
      <c r="E362" s="3" t="s">
        <v>5</v>
      </c>
      <c r="F362" s="3" t="s">
        <v>5</v>
      </c>
      <c r="G362" s="10">
        <f t="shared" si="10"/>
        <v>-7</v>
      </c>
    </row>
    <row r="363" spans="1:7" ht="15" customHeight="1">
      <c r="A363" s="4">
        <v>41673</v>
      </c>
      <c r="B363" s="4">
        <v>41703</v>
      </c>
      <c r="C363" s="4">
        <v>41687</v>
      </c>
      <c r="D363" s="3" t="s">
        <v>60</v>
      </c>
      <c r="E363" s="3" t="s">
        <v>5</v>
      </c>
      <c r="F363" s="3" t="s">
        <v>5</v>
      </c>
      <c r="G363" s="10">
        <f t="shared" si="10"/>
        <v>-16</v>
      </c>
    </row>
    <row r="364" spans="1:7" ht="15" customHeight="1">
      <c r="A364" s="4">
        <v>41670</v>
      </c>
      <c r="B364" s="4">
        <v>41691</v>
      </c>
      <c r="C364" s="4">
        <v>41687</v>
      </c>
      <c r="D364" s="3" t="s">
        <v>60</v>
      </c>
      <c r="E364" s="3" t="s">
        <v>5</v>
      </c>
      <c r="F364" s="3" t="s">
        <v>5</v>
      </c>
      <c r="G364" s="10">
        <f t="shared" si="10"/>
        <v>-4</v>
      </c>
    </row>
    <row r="365" spans="1:7" ht="15" customHeight="1">
      <c r="A365" s="4">
        <v>41670</v>
      </c>
      <c r="B365" s="4">
        <v>41691</v>
      </c>
      <c r="C365" s="4">
        <v>41687</v>
      </c>
      <c r="D365" s="3" t="s">
        <v>60</v>
      </c>
      <c r="E365" s="3" t="s">
        <v>5</v>
      </c>
      <c r="F365" s="3" t="s">
        <v>5</v>
      </c>
      <c r="G365" s="10">
        <f t="shared" si="10"/>
        <v>-4</v>
      </c>
    </row>
    <row r="366" spans="1:7" ht="15" customHeight="1">
      <c r="A366" s="4">
        <v>41670</v>
      </c>
      <c r="B366" s="4">
        <v>41691</v>
      </c>
      <c r="C366" s="4">
        <v>41687</v>
      </c>
      <c r="D366" s="3" t="s">
        <v>60</v>
      </c>
      <c r="E366" s="3" t="s">
        <v>5</v>
      </c>
      <c r="F366" s="3" t="s">
        <v>5</v>
      </c>
      <c r="G366" s="10">
        <f t="shared" si="10"/>
        <v>-4</v>
      </c>
    </row>
    <row r="367" spans="1:7" ht="15" customHeight="1">
      <c r="A367" s="4">
        <v>41668</v>
      </c>
      <c r="B367" s="4">
        <v>41689</v>
      </c>
      <c r="C367" s="4">
        <v>41687</v>
      </c>
      <c r="D367" s="3" t="s">
        <v>51</v>
      </c>
      <c r="E367" s="3" t="s">
        <v>6</v>
      </c>
      <c r="F367" s="3" t="s">
        <v>6</v>
      </c>
      <c r="G367" s="10">
        <f t="shared" si="10"/>
        <v>-2</v>
      </c>
    </row>
    <row r="368" spans="1:7" ht="15" customHeight="1">
      <c r="A368" s="4">
        <v>41653</v>
      </c>
      <c r="B368" s="4">
        <v>41674</v>
      </c>
      <c r="C368" s="4">
        <v>41687</v>
      </c>
      <c r="D368" s="3" t="s">
        <v>51</v>
      </c>
      <c r="E368" s="3" t="s">
        <v>6</v>
      </c>
      <c r="F368" s="3" t="s">
        <v>5</v>
      </c>
      <c r="G368" s="10">
        <f t="shared" si="10"/>
        <v>13</v>
      </c>
    </row>
    <row r="369" spans="1:7" ht="15" customHeight="1">
      <c r="A369" s="4">
        <v>41684</v>
      </c>
      <c r="B369" s="4">
        <v>41705</v>
      </c>
      <c r="C369" s="4">
        <v>41684</v>
      </c>
      <c r="D369" s="3" t="s">
        <v>51</v>
      </c>
      <c r="E369" s="15" t="s">
        <v>7</v>
      </c>
      <c r="F369" s="15" t="s">
        <v>7</v>
      </c>
      <c r="G369" s="10">
        <f t="shared" si="10"/>
        <v>-21</v>
      </c>
    </row>
    <row r="370" spans="1:7" ht="15" customHeight="1">
      <c r="A370" s="4">
        <v>41680</v>
      </c>
      <c r="B370" s="4">
        <v>41701</v>
      </c>
      <c r="C370" s="4">
        <v>41684</v>
      </c>
      <c r="D370" s="3" t="s">
        <v>51</v>
      </c>
      <c r="E370" s="3" t="s">
        <v>6</v>
      </c>
      <c r="F370" s="3" t="s">
        <v>6</v>
      </c>
      <c r="G370" s="10">
        <f t="shared" si="10"/>
        <v>-17</v>
      </c>
    </row>
    <row r="371" spans="1:7">
      <c r="A371" s="4">
        <v>41663</v>
      </c>
      <c r="B371" s="4">
        <v>41684</v>
      </c>
      <c r="C371" s="4">
        <v>41684</v>
      </c>
      <c r="D371" s="3" t="s">
        <v>41</v>
      </c>
      <c r="E371" s="3" t="s">
        <v>6</v>
      </c>
      <c r="F371" s="3" t="s">
        <v>5</v>
      </c>
      <c r="G371" s="10">
        <f t="shared" si="10"/>
        <v>0</v>
      </c>
    </row>
    <row r="372" spans="1:7" ht="15" customHeight="1">
      <c r="A372" s="4">
        <v>41683</v>
      </c>
      <c r="B372" s="4">
        <v>41704</v>
      </c>
      <c r="C372" s="4">
        <v>41683</v>
      </c>
      <c r="D372" s="3" t="s">
        <v>41</v>
      </c>
      <c r="E372" s="3" t="s">
        <v>6</v>
      </c>
      <c r="F372" s="3" t="s">
        <v>5</v>
      </c>
      <c r="G372" s="10">
        <f t="shared" si="10"/>
        <v>-21</v>
      </c>
    </row>
    <row r="373" spans="1:7" ht="15" customHeight="1">
      <c r="A373" s="4">
        <v>41669</v>
      </c>
      <c r="B373" s="4">
        <v>41690</v>
      </c>
      <c r="C373" s="4">
        <v>41683</v>
      </c>
      <c r="D373" s="3" t="s">
        <v>60</v>
      </c>
      <c r="E373" s="3" t="s">
        <v>5</v>
      </c>
      <c r="F373" s="3" t="s">
        <v>5</v>
      </c>
      <c r="G373" s="10">
        <f t="shared" si="10"/>
        <v>-7</v>
      </c>
    </row>
    <row r="374" spans="1:7" ht="15" customHeight="1">
      <c r="A374" s="4">
        <v>41645</v>
      </c>
      <c r="B374" s="4">
        <v>41666</v>
      </c>
      <c r="C374" s="4">
        <v>41683</v>
      </c>
      <c r="D374" s="3" t="s">
        <v>58</v>
      </c>
      <c r="E374" s="3" t="s">
        <v>6</v>
      </c>
      <c r="F374" s="3" t="s">
        <v>6</v>
      </c>
      <c r="G374" s="10">
        <f t="shared" si="10"/>
        <v>17</v>
      </c>
    </row>
    <row r="375" spans="1:7" ht="15" customHeight="1">
      <c r="A375" s="4">
        <v>41591</v>
      </c>
      <c r="B375" s="4">
        <v>41612</v>
      </c>
      <c r="C375" s="4">
        <v>41682</v>
      </c>
      <c r="D375" s="3" t="s">
        <v>58</v>
      </c>
      <c r="E375" s="3" t="s">
        <v>6</v>
      </c>
      <c r="F375" s="3" t="s">
        <v>5</v>
      </c>
      <c r="G375" s="10">
        <f t="shared" si="10"/>
        <v>70</v>
      </c>
    </row>
    <row r="376" spans="1:7" ht="15" customHeight="1">
      <c r="A376" s="4">
        <v>41586</v>
      </c>
      <c r="B376" s="4">
        <v>41607</v>
      </c>
      <c r="C376" s="4">
        <v>41682</v>
      </c>
      <c r="D376" s="3" t="s">
        <v>58</v>
      </c>
      <c r="E376" s="3" t="s">
        <v>6</v>
      </c>
      <c r="F376" s="3" t="s">
        <v>5</v>
      </c>
      <c r="G376" s="10">
        <f t="shared" si="10"/>
        <v>75</v>
      </c>
    </row>
    <row r="377" spans="1:7" ht="15" customHeight="1">
      <c r="A377" s="4">
        <v>41682</v>
      </c>
      <c r="B377" s="4">
        <v>41703</v>
      </c>
      <c r="C377" s="4">
        <v>41682</v>
      </c>
      <c r="D377" s="3" t="s">
        <v>62</v>
      </c>
      <c r="E377" s="15" t="s">
        <v>7</v>
      </c>
      <c r="F377" s="15" t="s">
        <v>7</v>
      </c>
      <c r="G377" s="10">
        <f t="shared" si="10"/>
        <v>-21</v>
      </c>
    </row>
    <row r="378" spans="1:7" ht="15" customHeight="1">
      <c r="A378" s="4">
        <v>41682</v>
      </c>
      <c r="B378" s="4">
        <v>41703</v>
      </c>
      <c r="C378" s="4">
        <v>41682</v>
      </c>
      <c r="D378" s="3" t="s">
        <v>41</v>
      </c>
      <c r="E378" s="3" t="s">
        <v>6</v>
      </c>
      <c r="F378" s="3" t="s">
        <v>6</v>
      </c>
      <c r="G378" s="10">
        <f t="shared" si="10"/>
        <v>-21</v>
      </c>
    </row>
    <row r="379" spans="1:7" ht="15" customHeight="1">
      <c r="A379" s="4">
        <v>41682</v>
      </c>
      <c r="B379" s="4">
        <v>41703</v>
      </c>
      <c r="C379" s="4">
        <v>41682</v>
      </c>
      <c r="D379" s="3" t="s">
        <v>62</v>
      </c>
      <c r="E379" s="15" t="s">
        <v>7</v>
      </c>
      <c r="F379" s="15" t="s">
        <v>7</v>
      </c>
      <c r="G379" s="10">
        <f t="shared" si="10"/>
        <v>-21</v>
      </c>
    </row>
    <row r="380" spans="1:7" ht="15" customHeight="1">
      <c r="A380" s="4">
        <v>41682</v>
      </c>
      <c r="B380" s="4">
        <v>41703</v>
      </c>
      <c r="C380" s="4">
        <v>41682</v>
      </c>
      <c r="D380" s="3" t="s">
        <v>62</v>
      </c>
      <c r="E380" s="15" t="s">
        <v>7</v>
      </c>
      <c r="F380" s="15" t="s">
        <v>7</v>
      </c>
      <c r="G380" s="10">
        <f t="shared" si="10"/>
        <v>-21</v>
      </c>
    </row>
    <row r="381" spans="1:7" ht="15" customHeight="1">
      <c r="A381" s="4">
        <v>41667</v>
      </c>
      <c r="B381" s="4">
        <v>41688</v>
      </c>
      <c r="C381" s="4">
        <v>41682</v>
      </c>
      <c r="D381" s="3" t="s">
        <v>41</v>
      </c>
      <c r="E381" s="3" t="s">
        <v>5</v>
      </c>
      <c r="F381" s="3" t="s">
        <v>5</v>
      </c>
      <c r="G381" s="10">
        <f t="shared" si="10"/>
        <v>-6</v>
      </c>
    </row>
    <row r="382" spans="1:7" ht="15" customHeight="1">
      <c r="A382" s="4">
        <v>41663</v>
      </c>
      <c r="B382" s="4">
        <v>41684</v>
      </c>
      <c r="C382" s="4">
        <v>41682</v>
      </c>
      <c r="D382" s="3" t="s">
        <v>47</v>
      </c>
      <c r="E382" s="3" t="s">
        <v>6</v>
      </c>
      <c r="F382" s="3" t="s">
        <v>6</v>
      </c>
      <c r="G382" s="10">
        <f t="shared" si="10"/>
        <v>-2</v>
      </c>
    </row>
    <row r="383" spans="1:7" ht="15" customHeight="1">
      <c r="A383" s="4">
        <v>41663</v>
      </c>
      <c r="B383" s="4">
        <v>41684</v>
      </c>
      <c r="C383" s="4">
        <v>41681</v>
      </c>
      <c r="D383" s="3" t="s">
        <v>42</v>
      </c>
      <c r="E383" s="3" t="s">
        <v>6</v>
      </c>
      <c r="F383" s="3" t="s">
        <v>6</v>
      </c>
      <c r="G383" s="10">
        <f t="shared" si="10"/>
        <v>-3</v>
      </c>
    </row>
    <row r="384" spans="1:7" ht="15" customHeight="1">
      <c r="A384" s="4">
        <v>41661</v>
      </c>
      <c r="B384" s="4">
        <v>41691</v>
      </c>
      <c r="C384" s="4">
        <v>41681</v>
      </c>
      <c r="D384" s="3" t="s">
        <v>62</v>
      </c>
      <c r="E384" s="3" t="s">
        <v>5</v>
      </c>
      <c r="F384" s="3" t="s">
        <v>6</v>
      </c>
      <c r="G384" s="10">
        <f t="shared" si="10"/>
        <v>-10</v>
      </c>
    </row>
    <row r="385" spans="1:7" ht="15" customHeight="1">
      <c r="A385" s="4">
        <v>41680</v>
      </c>
      <c r="B385" s="4">
        <v>41701</v>
      </c>
      <c r="C385" s="4">
        <v>41680</v>
      </c>
      <c r="D385" s="3" t="s">
        <v>42</v>
      </c>
      <c r="E385" s="15" t="s">
        <v>7</v>
      </c>
      <c r="F385" s="15" t="s">
        <v>7</v>
      </c>
      <c r="G385" s="10">
        <f t="shared" si="10"/>
        <v>-21</v>
      </c>
    </row>
    <row r="386" spans="1:7" ht="15" customHeight="1">
      <c r="A386" s="4">
        <v>41662</v>
      </c>
      <c r="B386" s="4">
        <v>41683</v>
      </c>
      <c r="C386" s="4">
        <v>41680</v>
      </c>
      <c r="D386" s="3" t="s">
        <v>42</v>
      </c>
      <c r="E386" s="3" t="s">
        <v>6</v>
      </c>
      <c r="F386" s="3" t="s">
        <v>6</v>
      </c>
      <c r="G386" s="10">
        <f t="shared" si="10"/>
        <v>-3</v>
      </c>
    </row>
    <row r="387" spans="1:7" ht="15" customHeight="1">
      <c r="A387" s="4">
        <v>41677</v>
      </c>
      <c r="B387" s="4">
        <v>41698</v>
      </c>
      <c r="C387" s="4">
        <v>41677</v>
      </c>
      <c r="D387" s="3" t="s">
        <v>48</v>
      </c>
      <c r="E387" s="3" t="s">
        <v>5</v>
      </c>
      <c r="F387" s="3" t="s">
        <v>6</v>
      </c>
      <c r="G387" s="10">
        <f t="shared" si="10"/>
        <v>-21</v>
      </c>
    </row>
    <row r="388" spans="1:7" ht="15" customHeight="1">
      <c r="A388" s="4">
        <v>41652</v>
      </c>
      <c r="B388" s="4">
        <v>41673</v>
      </c>
      <c r="C388" s="4">
        <v>41677</v>
      </c>
      <c r="D388" s="3" t="s">
        <v>42</v>
      </c>
      <c r="E388" s="3" t="s">
        <v>6</v>
      </c>
      <c r="F388" s="3" t="s">
        <v>6</v>
      </c>
      <c r="G388" s="10">
        <f t="shared" si="10"/>
        <v>4</v>
      </c>
    </row>
    <row r="389" spans="1:7" ht="15" customHeight="1">
      <c r="A389" s="4">
        <v>41606</v>
      </c>
      <c r="B389" s="4">
        <v>41627</v>
      </c>
      <c r="C389" s="4">
        <v>41677</v>
      </c>
      <c r="D389" s="3" t="s">
        <v>43</v>
      </c>
      <c r="E389" s="3" t="s">
        <v>6</v>
      </c>
      <c r="F389" s="3" t="s">
        <v>5</v>
      </c>
      <c r="G389" s="10">
        <f t="shared" si="10"/>
        <v>50</v>
      </c>
    </row>
    <row r="390" spans="1:7" ht="15" customHeight="1">
      <c r="A390" s="4">
        <v>41676</v>
      </c>
      <c r="B390" s="4">
        <v>41697</v>
      </c>
      <c r="C390" s="4">
        <v>41676</v>
      </c>
      <c r="D390" s="3" t="s">
        <v>62</v>
      </c>
      <c r="E390" s="3" t="s">
        <v>5</v>
      </c>
      <c r="F390" s="3" t="s">
        <v>6</v>
      </c>
      <c r="G390" s="10">
        <f t="shared" si="10"/>
        <v>-21</v>
      </c>
    </row>
    <row r="391" spans="1:7" ht="15" customHeight="1">
      <c r="A391" s="4">
        <v>41673</v>
      </c>
      <c r="B391" s="4">
        <v>41703</v>
      </c>
      <c r="C391" s="4">
        <v>41676</v>
      </c>
      <c r="D391" s="3" t="s">
        <v>60</v>
      </c>
      <c r="E391" s="3" t="s">
        <v>5</v>
      </c>
      <c r="F391" s="3" t="s">
        <v>5</v>
      </c>
      <c r="G391" s="10">
        <f t="shared" si="10"/>
        <v>-27</v>
      </c>
    </row>
    <row r="392" spans="1:7" ht="15" customHeight="1">
      <c r="A392" s="4">
        <v>41670</v>
      </c>
      <c r="B392" s="4">
        <v>41691</v>
      </c>
      <c r="C392" s="4">
        <v>41676</v>
      </c>
      <c r="D392" s="3" t="s">
        <v>60</v>
      </c>
      <c r="E392" s="3" t="s">
        <v>5</v>
      </c>
      <c r="F392" s="3" t="s">
        <v>5</v>
      </c>
      <c r="G392" s="10">
        <f t="shared" si="10"/>
        <v>-15</v>
      </c>
    </row>
    <row r="393" spans="1:7" ht="15" customHeight="1">
      <c r="A393" s="4">
        <v>41670</v>
      </c>
      <c r="B393" s="4">
        <v>41691</v>
      </c>
      <c r="C393" s="4">
        <v>41676</v>
      </c>
      <c r="D393" s="3" t="s">
        <v>60</v>
      </c>
      <c r="E393" s="3" t="s">
        <v>5</v>
      </c>
      <c r="F393" s="3" t="s">
        <v>5</v>
      </c>
      <c r="G393" s="10">
        <f t="shared" si="10"/>
        <v>-15</v>
      </c>
    </row>
    <row r="394" spans="1:7" ht="15" customHeight="1">
      <c r="A394" s="4">
        <v>41670</v>
      </c>
      <c r="B394" s="4">
        <v>41691</v>
      </c>
      <c r="C394" s="4">
        <v>41676</v>
      </c>
      <c r="D394" s="3" t="s">
        <v>60</v>
      </c>
      <c r="E394" s="3" t="s">
        <v>5</v>
      </c>
      <c r="F394" s="3" t="s">
        <v>5</v>
      </c>
      <c r="G394" s="10">
        <f t="shared" si="10"/>
        <v>-15</v>
      </c>
    </row>
    <row r="395" spans="1:7" ht="15" customHeight="1">
      <c r="A395" s="4">
        <v>41670</v>
      </c>
      <c r="B395" s="4">
        <v>41691</v>
      </c>
      <c r="C395" s="4">
        <v>41676</v>
      </c>
      <c r="D395" s="3" t="s">
        <v>60</v>
      </c>
      <c r="E395" s="3" t="s">
        <v>5</v>
      </c>
      <c r="F395" s="3" t="s">
        <v>5</v>
      </c>
      <c r="G395" s="10">
        <f t="shared" si="10"/>
        <v>-15</v>
      </c>
    </row>
    <row r="396" spans="1:7" ht="15" customHeight="1">
      <c r="A396" s="4">
        <v>41670</v>
      </c>
      <c r="B396" s="4">
        <v>41691</v>
      </c>
      <c r="C396" s="4">
        <v>41676</v>
      </c>
      <c r="D396" s="3" t="s">
        <v>60</v>
      </c>
      <c r="E396" s="3" t="s">
        <v>5</v>
      </c>
      <c r="F396" s="3" t="s">
        <v>5</v>
      </c>
      <c r="G396" s="10">
        <f t="shared" si="10"/>
        <v>-15</v>
      </c>
    </row>
    <row r="397" spans="1:7" ht="15" customHeight="1">
      <c r="A397" s="4">
        <v>41669</v>
      </c>
      <c r="B397" s="4">
        <v>41690</v>
      </c>
      <c r="C397" s="4">
        <v>41676</v>
      </c>
      <c r="D397" s="3" t="s">
        <v>60</v>
      </c>
      <c r="E397" s="3" t="s">
        <v>5</v>
      </c>
      <c r="F397" s="3" t="s">
        <v>5</v>
      </c>
      <c r="G397" s="10">
        <f t="shared" si="10"/>
        <v>-14</v>
      </c>
    </row>
    <row r="398" spans="1:7" ht="15" customHeight="1">
      <c r="A398" s="4">
        <v>41675</v>
      </c>
      <c r="B398" s="4">
        <v>41696</v>
      </c>
      <c r="C398" s="4">
        <v>41675</v>
      </c>
      <c r="D398" s="3" t="s">
        <v>41</v>
      </c>
      <c r="E398" s="3" t="s">
        <v>5</v>
      </c>
      <c r="F398" s="15" t="s">
        <v>7</v>
      </c>
      <c r="G398" s="10">
        <f t="shared" si="10"/>
        <v>-21</v>
      </c>
    </row>
    <row r="399" spans="1:7" ht="15" customHeight="1">
      <c r="A399" s="4">
        <v>41675</v>
      </c>
      <c r="B399" s="4">
        <v>41696</v>
      </c>
      <c r="C399" s="4">
        <v>41675</v>
      </c>
      <c r="D399" s="3" t="s">
        <v>48</v>
      </c>
      <c r="E399" s="3" t="s">
        <v>5</v>
      </c>
      <c r="F399" s="3" t="s">
        <v>6</v>
      </c>
      <c r="G399" s="10">
        <f t="shared" si="10"/>
        <v>-21</v>
      </c>
    </row>
    <row r="400" spans="1:7" ht="15" customHeight="1">
      <c r="A400" s="4">
        <v>41526</v>
      </c>
      <c r="B400" s="4">
        <v>41547</v>
      </c>
      <c r="C400" s="4">
        <v>41675</v>
      </c>
      <c r="D400" s="3" t="s">
        <v>41</v>
      </c>
      <c r="E400" s="3" t="s">
        <v>6</v>
      </c>
      <c r="F400" s="3" t="s">
        <v>5</v>
      </c>
      <c r="G400" s="10">
        <f t="shared" si="10"/>
        <v>128</v>
      </c>
    </row>
    <row r="401" spans="1:7" ht="15" customHeight="1">
      <c r="A401" s="4">
        <v>41674</v>
      </c>
      <c r="B401" s="4">
        <v>41695</v>
      </c>
      <c r="C401" s="4">
        <v>41674</v>
      </c>
      <c r="D401" s="3" t="s">
        <v>62</v>
      </c>
      <c r="E401" s="3" t="s">
        <v>5</v>
      </c>
      <c r="F401" s="15" t="s">
        <v>7</v>
      </c>
      <c r="G401" s="10">
        <f t="shared" si="10"/>
        <v>-21</v>
      </c>
    </row>
    <row r="402" spans="1:7" ht="15" customHeight="1">
      <c r="A402" s="4">
        <v>41674</v>
      </c>
      <c r="B402" s="4">
        <v>41695</v>
      </c>
      <c r="C402" s="4">
        <v>41674</v>
      </c>
      <c r="D402" s="3" t="s">
        <v>54</v>
      </c>
      <c r="E402" s="15" t="s">
        <v>7</v>
      </c>
      <c r="F402" s="15" t="s">
        <v>7</v>
      </c>
      <c r="G402" s="10">
        <f t="shared" si="10"/>
        <v>-21</v>
      </c>
    </row>
    <row r="403" spans="1:7" ht="15" customHeight="1">
      <c r="A403" s="4">
        <v>41610</v>
      </c>
      <c r="B403" s="4">
        <v>41631</v>
      </c>
      <c r="C403" s="4">
        <v>41674</v>
      </c>
      <c r="D403" s="3" t="s">
        <v>43</v>
      </c>
      <c r="E403" s="3" t="s">
        <v>6</v>
      </c>
      <c r="F403" s="3" t="s">
        <v>5</v>
      </c>
      <c r="G403" s="10">
        <f t="shared" si="10"/>
        <v>43</v>
      </c>
    </row>
    <row r="404" spans="1:7" ht="15" customHeight="1">
      <c r="A404" s="4">
        <v>41670</v>
      </c>
      <c r="B404" s="4">
        <v>41700</v>
      </c>
      <c r="C404" s="4">
        <v>41673</v>
      </c>
      <c r="D404" s="3" t="s">
        <v>42</v>
      </c>
      <c r="E404" s="3" t="s">
        <v>6</v>
      </c>
      <c r="F404" s="3" t="s">
        <v>6</v>
      </c>
      <c r="G404" s="10">
        <f t="shared" si="10"/>
        <v>-27</v>
      </c>
    </row>
    <row r="405" spans="1:7" ht="15" customHeight="1">
      <c r="A405" s="4">
        <v>41659</v>
      </c>
      <c r="B405" s="4">
        <v>41680</v>
      </c>
      <c r="C405" s="4">
        <v>41673</v>
      </c>
      <c r="D405" s="3" t="s">
        <v>47</v>
      </c>
      <c r="E405" s="3" t="s">
        <v>6</v>
      </c>
      <c r="F405" s="3" t="s">
        <v>6</v>
      </c>
      <c r="G405" s="10">
        <f t="shared" si="10"/>
        <v>-7</v>
      </c>
    </row>
    <row r="406" spans="1:7" ht="15" customHeight="1">
      <c r="A406" s="4">
        <v>41653</v>
      </c>
      <c r="B406" s="4">
        <v>41674</v>
      </c>
      <c r="C406" s="4">
        <v>41673</v>
      </c>
      <c r="D406" s="3" t="s">
        <v>47</v>
      </c>
      <c r="E406" s="3" t="s">
        <v>6</v>
      </c>
      <c r="F406" s="3" t="s">
        <v>6</v>
      </c>
      <c r="G406" s="10">
        <f t="shared" si="10"/>
        <v>-1</v>
      </c>
    </row>
    <row r="407" spans="1:7" ht="15" customHeight="1">
      <c r="A407" s="4">
        <v>41631</v>
      </c>
      <c r="B407" s="4">
        <v>41652</v>
      </c>
      <c r="C407" s="4">
        <v>41673</v>
      </c>
      <c r="D407" s="3" t="s">
        <v>53</v>
      </c>
      <c r="E407" s="3" t="s">
        <v>5</v>
      </c>
      <c r="F407" s="3" t="s">
        <v>6</v>
      </c>
      <c r="G407" s="10">
        <f t="shared" si="10"/>
        <v>21</v>
      </c>
    </row>
    <row r="408" spans="1:7" ht="15" customHeight="1">
      <c r="A408" s="4">
        <v>41610</v>
      </c>
      <c r="B408" s="4">
        <v>41631</v>
      </c>
      <c r="C408" s="4">
        <v>41673</v>
      </c>
      <c r="D408" s="3" t="s">
        <v>62</v>
      </c>
      <c r="E408" s="3" t="s">
        <v>5</v>
      </c>
      <c r="F408" s="3" t="s">
        <v>5</v>
      </c>
      <c r="G408" s="10">
        <f t="shared" si="10"/>
        <v>42</v>
      </c>
    </row>
    <row r="409" spans="1:7" ht="15.75" customHeight="1" thickBot="1">
      <c r="A409" s="12">
        <v>41541</v>
      </c>
      <c r="B409" s="12">
        <v>41562</v>
      </c>
      <c r="C409" s="12">
        <v>41673</v>
      </c>
      <c r="D409" s="11" t="s">
        <v>43</v>
      </c>
      <c r="E409" s="11" t="s">
        <v>6</v>
      </c>
      <c r="F409" s="11" t="s">
        <v>5</v>
      </c>
      <c r="G409" s="13">
        <f t="shared" si="10"/>
        <v>111</v>
      </c>
    </row>
    <row r="410" spans="1:7" ht="15" customHeight="1">
      <c r="A410" s="8">
        <v>41621</v>
      </c>
      <c r="B410" s="8">
        <v>41642</v>
      </c>
      <c r="C410" s="8">
        <v>41670</v>
      </c>
      <c r="D410" s="7" t="s">
        <v>44</v>
      </c>
      <c r="E410" s="7" t="s">
        <v>5</v>
      </c>
      <c r="F410" s="7" t="s">
        <v>5</v>
      </c>
      <c r="G410" s="9">
        <f t="shared" si="10"/>
        <v>28</v>
      </c>
    </row>
    <row r="411" spans="1:7" ht="15" customHeight="1">
      <c r="A411" s="4">
        <v>41586</v>
      </c>
      <c r="B411" s="4">
        <v>41607</v>
      </c>
      <c r="C411" s="4">
        <v>41670</v>
      </c>
      <c r="D411" s="3" t="s">
        <v>44</v>
      </c>
      <c r="E411" s="3" t="s">
        <v>6</v>
      </c>
      <c r="F411" s="3" t="s">
        <v>5</v>
      </c>
      <c r="G411" s="10">
        <f t="shared" si="10"/>
        <v>63</v>
      </c>
    </row>
    <row r="412" spans="1:7" ht="15" customHeight="1">
      <c r="A412" s="4">
        <v>41668</v>
      </c>
      <c r="B412" s="4">
        <v>41689</v>
      </c>
      <c r="C412" s="4">
        <v>41668</v>
      </c>
      <c r="D412" s="3" t="s">
        <v>41</v>
      </c>
      <c r="E412" s="3" t="s">
        <v>6</v>
      </c>
      <c r="F412" s="3" t="s">
        <v>6</v>
      </c>
      <c r="G412" s="10">
        <f t="shared" si="10"/>
        <v>-21</v>
      </c>
    </row>
    <row r="413" spans="1:7" ht="15" customHeight="1">
      <c r="A413" s="4">
        <v>41668</v>
      </c>
      <c r="B413" s="4">
        <v>41689</v>
      </c>
      <c r="C413" s="4">
        <v>41668</v>
      </c>
      <c r="D413" s="3" t="s">
        <v>41</v>
      </c>
      <c r="E413" s="15" t="s">
        <v>7</v>
      </c>
      <c r="F413" s="15" t="s">
        <v>7</v>
      </c>
      <c r="G413" s="10">
        <f t="shared" si="10"/>
        <v>-21</v>
      </c>
    </row>
    <row r="414" spans="1:7" ht="15" customHeight="1">
      <c r="A414" s="4">
        <v>41668</v>
      </c>
      <c r="B414" s="4">
        <v>41689</v>
      </c>
      <c r="C414" s="4">
        <v>41668</v>
      </c>
      <c r="D414" s="3" t="s">
        <v>41</v>
      </c>
      <c r="E414" s="15" t="s">
        <v>7</v>
      </c>
      <c r="F414" s="15" t="s">
        <v>7</v>
      </c>
      <c r="G414" s="10">
        <f t="shared" si="10"/>
        <v>-21</v>
      </c>
    </row>
    <row r="415" spans="1:7" ht="15" customHeight="1">
      <c r="A415" s="4">
        <v>41656</v>
      </c>
      <c r="B415" s="4">
        <v>41677</v>
      </c>
      <c r="C415" s="4">
        <v>41668</v>
      </c>
      <c r="D415" s="3" t="s">
        <v>60</v>
      </c>
      <c r="E415" s="3" t="s">
        <v>5</v>
      </c>
      <c r="F415" s="3" t="s">
        <v>5</v>
      </c>
      <c r="G415" s="10">
        <f t="shared" si="10"/>
        <v>-9</v>
      </c>
    </row>
    <row r="416" spans="1:7" ht="15" customHeight="1">
      <c r="A416" s="4">
        <v>41654</v>
      </c>
      <c r="B416" s="4">
        <v>41675</v>
      </c>
      <c r="C416" s="4">
        <v>41668</v>
      </c>
      <c r="D416" s="3" t="s">
        <v>60</v>
      </c>
      <c r="E416" s="3" t="s">
        <v>5</v>
      </c>
      <c r="F416" s="3" t="s">
        <v>5</v>
      </c>
      <c r="G416" s="10">
        <f t="shared" si="10"/>
        <v>-7</v>
      </c>
    </row>
    <row r="417" spans="1:7" ht="15" customHeight="1">
      <c r="A417" s="4">
        <v>41654</v>
      </c>
      <c r="B417" s="4">
        <v>41675</v>
      </c>
      <c r="C417" s="4">
        <v>41668</v>
      </c>
      <c r="D417" s="3" t="s">
        <v>60</v>
      </c>
      <c r="E417" s="3" t="s">
        <v>5</v>
      </c>
      <c r="F417" s="3" t="s">
        <v>5</v>
      </c>
      <c r="G417" s="10">
        <f t="shared" si="10"/>
        <v>-7</v>
      </c>
    </row>
    <row r="418" spans="1:7" ht="15" customHeight="1">
      <c r="A418" s="4">
        <v>41654</v>
      </c>
      <c r="B418" s="4">
        <v>41675</v>
      </c>
      <c r="C418" s="4">
        <v>41668</v>
      </c>
      <c r="D418" s="3" t="s">
        <v>60</v>
      </c>
      <c r="E418" s="3" t="s">
        <v>5</v>
      </c>
      <c r="F418" s="3" t="s">
        <v>5</v>
      </c>
      <c r="G418" s="10">
        <f t="shared" si="10"/>
        <v>-7</v>
      </c>
    </row>
    <row r="419" spans="1:7" ht="15" customHeight="1">
      <c r="A419" s="4">
        <v>41654</v>
      </c>
      <c r="B419" s="4">
        <v>41675</v>
      </c>
      <c r="C419" s="4">
        <v>41668</v>
      </c>
      <c r="D419" s="3" t="s">
        <v>60</v>
      </c>
      <c r="E419" s="3" t="s">
        <v>5</v>
      </c>
      <c r="F419" s="3" t="s">
        <v>5</v>
      </c>
      <c r="G419" s="10">
        <f t="shared" si="10"/>
        <v>-7</v>
      </c>
    </row>
    <row r="420" spans="1:7" ht="15" customHeight="1">
      <c r="A420" s="4">
        <v>41654</v>
      </c>
      <c r="B420" s="4">
        <v>41675</v>
      </c>
      <c r="C420" s="4">
        <v>41668</v>
      </c>
      <c r="D420" s="3" t="s">
        <v>60</v>
      </c>
      <c r="E420" s="3" t="s">
        <v>5</v>
      </c>
      <c r="F420" s="3" t="s">
        <v>5</v>
      </c>
      <c r="G420" s="10">
        <f t="shared" si="10"/>
        <v>-7</v>
      </c>
    </row>
    <row r="421" spans="1:7" ht="15" customHeight="1">
      <c r="A421" s="4">
        <v>41652</v>
      </c>
      <c r="B421" s="4">
        <v>41673</v>
      </c>
      <c r="C421" s="4">
        <v>41668</v>
      </c>
      <c r="D421" s="3" t="s">
        <v>60</v>
      </c>
      <c r="E421" s="3" t="s">
        <v>5</v>
      </c>
      <c r="F421" s="3" t="s">
        <v>5</v>
      </c>
      <c r="G421" s="10">
        <f t="shared" si="10"/>
        <v>-5</v>
      </c>
    </row>
    <row r="422" spans="1:7" ht="15" customHeight="1">
      <c r="A422" s="4">
        <v>41648</v>
      </c>
      <c r="B422" s="4">
        <v>41669</v>
      </c>
      <c r="C422" s="4">
        <v>41668</v>
      </c>
      <c r="D422" s="3" t="s">
        <v>60</v>
      </c>
      <c r="E422" s="3" t="s">
        <v>5</v>
      </c>
      <c r="F422" s="3" t="s">
        <v>5</v>
      </c>
      <c r="G422" s="10">
        <f t="shared" si="10"/>
        <v>-1</v>
      </c>
    </row>
    <row r="423" spans="1:7" ht="15" customHeight="1">
      <c r="A423" s="4">
        <v>41641</v>
      </c>
      <c r="B423" s="4">
        <v>41662</v>
      </c>
      <c r="C423" s="4">
        <v>41668</v>
      </c>
      <c r="D423" s="3" t="s">
        <v>41</v>
      </c>
      <c r="E423" s="3" t="s">
        <v>6</v>
      </c>
      <c r="F423" s="3" t="s">
        <v>5</v>
      </c>
      <c r="G423" s="10">
        <f t="shared" si="10"/>
        <v>6</v>
      </c>
    </row>
    <row r="424" spans="1:7" ht="15" customHeight="1">
      <c r="A424" s="4">
        <v>41667</v>
      </c>
      <c r="B424" s="4">
        <v>41688</v>
      </c>
      <c r="C424" s="4">
        <v>41667</v>
      </c>
      <c r="D424" s="3" t="s">
        <v>51</v>
      </c>
      <c r="E424" s="3" t="s">
        <v>6</v>
      </c>
      <c r="F424" s="3" t="s">
        <v>6</v>
      </c>
      <c r="G424" s="10">
        <f t="shared" ref="G424:G432" si="11">C424-B424</f>
        <v>-21</v>
      </c>
    </row>
    <row r="425" spans="1:7" ht="15" customHeight="1">
      <c r="A425" s="4">
        <v>41662</v>
      </c>
      <c r="B425" s="4">
        <v>41683</v>
      </c>
      <c r="C425" s="4">
        <v>41667</v>
      </c>
      <c r="D425" s="3" t="s">
        <v>48</v>
      </c>
      <c r="E425" s="3" t="s">
        <v>6</v>
      </c>
      <c r="F425" s="3" t="s">
        <v>6</v>
      </c>
      <c r="G425" s="10">
        <f t="shared" si="11"/>
        <v>-16</v>
      </c>
    </row>
    <row r="426" spans="1:7" ht="15" customHeight="1">
      <c r="A426" s="4">
        <v>41659</v>
      </c>
      <c r="B426" s="4">
        <v>41680</v>
      </c>
      <c r="C426" s="4">
        <v>41667</v>
      </c>
      <c r="D426" s="3" t="s">
        <v>52</v>
      </c>
      <c r="E426" s="3" t="s">
        <v>6</v>
      </c>
      <c r="F426" s="3" t="s">
        <v>6</v>
      </c>
      <c r="G426" s="10">
        <f t="shared" si="11"/>
        <v>-13</v>
      </c>
    </row>
    <row r="427" spans="1:7" ht="15" customHeight="1">
      <c r="A427" s="4">
        <v>41653</v>
      </c>
      <c r="B427" s="4">
        <v>41683</v>
      </c>
      <c r="C427" s="4">
        <v>41667</v>
      </c>
      <c r="D427" s="3" t="s">
        <v>60</v>
      </c>
      <c r="E427" s="3" t="s">
        <v>5</v>
      </c>
      <c r="F427" s="3" t="s">
        <v>5</v>
      </c>
      <c r="G427" s="10">
        <f t="shared" si="11"/>
        <v>-16</v>
      </c>
    </row>
    <row r="428" spans="1:7" ht="15" customHeight="1">
      <c r="A428" s="4">
        <v>41649</v>
      </c>
      <c r="B428" s="4">
        <v>41679</v>
      </c>
      <c r="C428" s="4">
        <v>41667</v>
      </c>
      <c r="D428" s="3" t="s">
        <v>60</v>
      </c>
      <c r="E428" s="3" t="s">
        <v>5</v>
      </c>
      <c r="F428" s="3" t="s">
        <v>5</v>
      </c>
      <c r="G428" s="10">
        <f t="shared" si="11"/>
        <v>-12</v>
      </c>
    </row>
    <row r="429" spans="1:7" ht="15" customHeight="1">
      <c r="A429" s="4">
        <v>41648</v>
      </c>
      <c r="B429" s="4">
        <v>41678</v>
      </c>
      <c r="C429" s="4">
        <v>41667</v>
      </c>
      <c r="D429" s="3" t="s">
        <v>60</v>
      </c>
      <c r="E429" s="3" t="s">
        <v>5</v>
      </c>
      <c r="F429" s="3" t="s">
        <v>5</v>
      </c>
      <c r="G429" s="10">
        <f t="shared" si="11"/>
        <v>-11</v>
      </c>
    </row>
    <row r="430" spans="1:7" ht="15" customHeight="1">
      <c r="A430" s="4">
        <v>41666</v>
      </c>
      <c r="B430" s="4">
        <v>41696</v>
      </c>
      <c r="C430" s="4">
        <v>41666</v>
      </c>
      <c r="D430" s="3" t="s">
        <v>53</v>
      </c>
      <c r="E430" s="3" t="s">
        <v>6</v>
      </c>
      <c r="F430" s="3" t="s">
        <v>6</v>
      </c>
      <c r="G430" s="10">
        <f t="shared" si="11"/>
        <v>-30</v>
      </c>
    </row>
    <row r="431" spans="1:7" ht="15" customHeight="1">
      <c r="A431" s="4">
        <v>41666</v>
      </c>
      <c r="B431" s="4">
        <v>41687</v>
      </c>
      <c r="C431" s="4">
        <v>41666</v>
      </c>
      <c r="D431" s="3" t="s">
        <v>41</v>
      </c>
      <c r="E431" s="15" t="s">
        <v>7</v>
      </c>
      <c r="F431" s="15" t="s">
        <v>7</v>
      </c>
      <c r="G431" s="10">
        <f t="shared" si="11"/>
        <v>-21</v>
      </c>
    </row>
    <row r="432" spans="1:7" ht="15" customHeight="1">
      <c r="A432" s="4">
        <v>41561</v>
      </c>
      <c r="B432" s="4">
        <v>41582</v>
      </c>
      <c r="C432" s="4">
        <v>41662</v>
      </c>
      <c r="D432" s="3" t="s">
        <v>58</v>
      </c>
      <c r="E432" s="15" t="s">
        <v>6</v>
      </c>
      <c r="F432" s="15" t="s">
        <v>5</v>
      </c>
      <c r="G432" s="10">
        <f t="shared" si="11"/>
        <v>80</v>
      </c>
    </row>
    <row r="433" spans="1:7" ht="15" customHeight="1">
      <c r="A433" s="4">
        <v>41662</v>
      </c>
      <c r="B433" s="4">
        <v>41683</v>
      </c>
      <c r="C433" s="4">
        <v>41662</v>
      </c>
      <c r="D433" s="3" t="s">
        <v>42</v>
      </c>
      <c r="E433" s="3" t="s">
        <v>6</v>
      </c>
      <c r="F433" s="3" t="s">
        <v>6</v>
      </c>
      <c r="G433" s="10">
        <f t="shared" ref="G433:G464" si="12">C433-B433</f>
        <v>-21</v>
      </c>
    </row>
    <row r="434" spans="1:7" ht="15" customHeight="1">
      <c r="A434" s="4">
        <v>41662</v>
      </c>
      <c r="B434" s="4">
        <v>41683</v>
      </c>
      <c r="C434" s="4">
        <v>41662</v>
      </c>
      <c r="D434" s="3" t="s">
        <v>42</v>
      </c>
      <c r="E434" s="3" t="s">
        <v>6</v>
      </c>
      <c r="F434" s="3" t="s">
        <v>6</v>
      </c>
      <c r="G434" s="10">
        <f t="shared" si="12"/>
        <v>-21</v>
      </c>
    </row>
    <row r="435" spans="1:7" ht="15" customHeight="1">
      <c r="A435" s="4">
        <v>41625</v>
      </c>
      <c r="B435" s="4">
        <v>41646</v>
      </c>
      <c r="C435" s="4">
        <v>41662</v>
      </c>
      <c r="D435" s="3" t="s">
        <v>41</v>
      </c>
      <c r="E435" s="3" t="s">
        <v>6</v>
      </c>
      <c r="F435" s="3" t="s">
        <v>6</v>
      </c>
      <c r="G435" s="10">
        <f t="shared" si="12"/>
        <v>16</v>
      </c>
    </row>
    <row r="436" spans="1:7" ht="15" customHeight="1">
      <c r="A436" s="4">
        <v>41618</v>
      </c>
      <c r="B436" s="4">
        <v>41648</v>
      </c>
      <c r="C436" s="4">
        <v>41662</v>
      </c>
      <c r="D436" s="3" t="s">
        <v>48</v>
      </c>
      <c r="E436" s="3" t="s">
        <v>5</v>
      </c>
      <c r="F436" s="3" t="s">
        <v>6</v>
      </c>
      <c r="G436" s="10">
        <f t="shared" si="12"/>
        <v>14</v>
      </c>
    </row>
    <row r="437" spans="1:7" ht="15" customHeight="1">
      <c r="A437" s="4">
        <v>41600</v>
      </c>
      <c r="B437" s="4">
        <v>41621</v>
      </c>
      <c r="C437" s="4">
        <v>41662</v>
      </c>
      <c r="D437" s="3" t="s">
        <v>48</v>
      </c>
      <c r="E437" s="3" t="s">
        <v>5</v>
      </c>
      <c r="F437" s="3" t="s">
        <v>6</v>
      </c>
      <c r="G437" s="10">
        <f t="shared" si="12"/>
        <v>41</v>
      </c>
    </row>
    <row r="438" spans="1:7" ht="15" customHeight="1">
      <c r="A438" s="4">
        <v>41660</v>
      </c>
      <c r="B438" s="4">
        <v>41681</v>
      </c>
      <c r="C438" s="4">
        <v>41660</v>
      </c>
      <c r="D438" s="3" t="s">
        <v>41</v>
      </c>
      <c r="E438" s="15" t="s">
        <v>7</v>
      </c>
      <c r="F438" s="15" t="s">
        <v>7</v>
      </c>
      <c r="G438" s="10">
        <f t="shared" si="12"/>
        <v>-21</v>
      </c>
    </row>
    <row r="439" spans="1:7" ht="15" customHeight="1">
      <c r="A439" s="4">
        <v>41656</v>
      </c>
      <c r="B439" s="4">
        <v>41686</v>
      </c>
      <c r="C439" s="4">
        <v>41660</v>
      </c>
      <c r="D439" s="3" t="s">
        <v>48</v>
      </c>
      <c r="E439" s="3" t="s">
        <v>5</v>
      </c>
      <c r="F439" s="3" t="s">
        <v>6</v>
      </c>
      <c r="G439" s="10">
        <f t="shared" si="12"/>
        <v>-26</v>
      </c>
    </row>
    <row r="440" spans="1:7" ht="15" customHeight="1">
      <c r="A440" s="4">
        <v>41656</v>
      </c>
      <c r="B440" s="4">
        <v>41677</v>
      </c>
      <c r="C440" s="4">
        <v>41660</v>
      </c>
      <c r="D440" s="3" t="s">
        <v>48</v>
      </c>
      <c r="E440" s="3" t="s">
        <v>5</v>
      </c>
      <c r="F440" s="3" t="s">
        <v>6</v>
      </c>
      <c r="G440" s="10">
        <f t="shared" si="12"/>
        <v>-17</v>
      </c>
    </row>
    <row r="441" spans="1:7" ht="15" customHeight="1">
      <c r="A441" s="4">
        <v>41645</v>
      </c>
      <c r="B441" s="4">
        <v>41666</v>
      </c>
      <c r="C441" s="4">
        <v>41660</v>
      </c>
      <c r="D441" s="3" t="s">
        <v>62</v>
      </c>
      <c r="E441" s="3" t="s">
        <v>6</v>
      </c>
      <c r="F441" s="3" t="s">
        <v>5</v>
      </c>
      <c r="G441" s="10">
        <f t="shared" si="12"/>
        <v>-6</v>
      </c>
    </row>
    <row r="442" spans="1:7" ht="15" customHeight="1">
      <c r="A442" s="4">
        <v>41634</v>
      </c>
      <c r="B442" s="4">
        <v>41664</v>
      </c>
      <c r="C442" s="4">
        <v>41660</v>
      </c>
      <c r="D442" s="3" t="s">
        <v>48</v>
      </c>
      <c r="E442" s="3" t="s">
        <v>5</v>
      </c>
      <c r="F442" s="3" t="s">
        <v>6</v>
      </c>
      <c r="G442" s="10">
        <f t="shared" si="12"/>
        <v>-4</v>
      </c>
    </row>
    <row r="443" spans="1:7" ht="15" customHeight="1">
      <c r="A443" s="4">
        <v>41619</v>
      </c>
      <c r="B443" s="4">
        <v>41640</v>
      </c>
      <c r="C443" s="4">
        <v>41660</v>
      </c>
      <c r="D443" s="3" t="s">
        <v>48</v>
      </c>
      <c r="E443" s="3" t="s">
        <v>5</v>
      </c>
      <c r="F443" s="3" t="s">
        <v>6</v>
      </c>
      <c r="G443" s="10">
        <f t="shared" si="12"/>
        <v>20</v>
      </c>
    </row>
    <row r="444" spans="1:7" ht="15" customHeight="1">
      <c r="A444" s="4">
        <v>41585</v>
      </c>
      <c r="B444" s="4">
        <v>41606</v>
      </c>
      <c r="C444" s="4">
        <v>41660</v>
      </c>
      <c r="D444" s="3" t="s">
        <v>53</v>
      </c>
      <c r="E444" s="3" t="s">
        <v>5</v>
      </c>
      <c r="F444" s="3" t="s">
        <v>6</v>
      </c>
      <c r="G444" s="10">
        <f t="shared" si="12"/>
        <v>54</v>
      </c>
    </row>
    <row r="445" spans="1:7" ht="15" customHeight="1">
      <c r="A445" s="4">
        <v>41593</v>
      </c>
      <c r="B445" s="4">
        <v>41614</v>
      </c>
      <c r="C445" s="4">
        <v>41659</v>
      </c>
      <c r="D445" s="3" t="s">
        <v>43</v>
      </c>
      <c r="E445" s="3" t="s">
        <v>5</v>
      </c>
      <c r="F445" s="3" t="s">
        <v>5</v>
      </c>
      <c r="G445" s="10">
        <f t="shared" si="12"/>
        <v>45</v>
      </c>
    </row>
    <row r="446" spans="1:7" ht="15" customHeight="1">
      <c r="A446" s="4">
        <v>41592</v>
      </c>
      <c r="B446" s="4">
        <v>41613</v>
      </c>
      <c r="C446" s="4">
        <v>41659</v>
      </c>
      <c r="D446" s="3" t="s">
        <v>43</v>
      </c>
      <c r="E446" s="3" t="s">
        <v>6</v>
      </c>
      <c r="F446" s="3" t="s">
        <v>5</v>
      </c>
      <c r="G446" s="10">
        <f t="shared" si="12"/>
        <v>46</v>
      </c>
    </row>
    <row r="447" spans="1:7" ht="15" customHeight="1">
      <c r="A447" s="4">
        <v>41656</v>
      </c>
      <c r="B447" s="4">
        <v>41677</v>
      </c>
      <c r="C447" s="4">
        <v>41656</v>
      </c>
      <c r="D447" s="3" t="s">
        <v>51</v>
      </c>
      <c r="E447" s="3" t="s">
        <v>6</v>
      </c>
      <c r="F447" s="3" t="s">
        <v>6</v>
      </c>
      <c r="G447" s="10">
        <f t="shared" si="12"/>
        <v>-21</v>
      </c>
    </row>
    <row r="448" spans="1:7" ht="15" customHeight="1">
      <c r="A448" s="4">
        <v>41656</v>
      </c>
      <c r="B448" s="4">
        <v>41677</v>
      </c>
      <c r="C448" s="4">
        <v>41656</v>
      </c>
      <c r="D448" s="3" t="s">
        <v>51</v>
      </c>
      <c r="E448" s="3" t="s">
        <v>6</v>
      </c>
      <c r="F448" s="3" t="s">
        <v>6</v>
      </c>
      <c r="G448" s="10">
        <f t="shared" si="12"/>
        <v>-21</v>
      </c>
    </row>
    <row r="449" spans="1:7" ht="15" customHeight="1">
      <c r="A449" s="4">
        <v>41647</v>
      </c>
      <c r="B449" s="4">
        <v>41677</v>
      </c>
      <c r="C449" s="4">
        <v>41654</v>
      </c>
      <c r="D449" s="3" t="s">
        <v>62</v>
      </c>
      <c r="E449" s="3" t="s">
        <v>5</v>
      </c>
      <c r="F449" s="3" t="s">
        <v>5</v>
      </c>
      <c r="G449" s="10">
        <f t="shared" si="12"/>
        <v>-23</v>
      </c>
    </row>
    <row r="450" spans="1:7" ht="15" customHeight="1">
      <c r="A450" s="4">
        <v>41647</v>
      </c>
      <c r="B450" s="4">
        <v>41677</v>
      </c>
      <c r="C450" s="4">
        <v>41654</v>
      </c>
      <c r="D450" s="3" t="s">
        <v>62</v>
      </c>
      <c r="E450" s="3" t="s">
        <v>5</v>
      </c>
      <c r="F450" s="3" t="s">
        <v>5</v>
      </c>
      <c r="G450" s="10">
        <f t="shared" si="12"/>
        <v>-23</v>
      </c>
    </row>
    <row r="451" spans="1:7" ht="15" customHeight="1">
      <c r="A451" s="4">
        <v>41626</v>
      </c>
      <c r="B451" s="4">
        <v>41647</v>
      </c>
      <c r="C451" s="4">
        <v>41654</v>
      </c>
      <c r="D451" s="3" t="s">
        <v>51</v>
      </c>
      <c r="E451" s="3" t="s">
        <v>6</v>
      </c>
      <c r="F451" s="3" t="s">
        <v>6</v>
      </c>
      <c r="G451" s="10">
        <f t="shared" si="12"/>
        <v>7</v>
      </c>
    </row>
    <row r="452" spans="1:7" ht="15" customHeight="1">
      <c r="A452" s="4">
        <v>41621</v>
      </c>
      <c r="B452" s="4">
        <v>41651</v>
      </c>
      <c r="C452" s="4">
        <v>41654</v>
      </c>
      <c r="D452" s="3" t="s">
        <v>53</v>
      </c>
      <c r="E452" s="3" t="s">
        <v>5</v>
      </c>
      <c r="F452" s="3" t="s">
        <v>6</v>
      </c>
      <c r="G452" s="10">
        <f t="shared" si="12"/>
        <v>3</v>
      </c>
    </row>
    <row r="453" spans="1:7" ht="15" customHeight="1">
      <c r="A453" s="4">
        <v>41619</v>
      </c>
      <c r="B453" s="4">
        <v>41640</v>
      </c>
      <c r="C453" s="4">
        <v>41654</v>
      </c>
      <c r="D453" s="3" t="s">
        <v>47</v>
      </c>
      <c r="E453" s="3" t="s">
        <v>6</v>
      </c>
      <c r="F453" s="3" t="s">
        <v>6</v>
      </c>
      <c r="G453" s="10">
        <f t="shared" si="12"/>
        <v>14</v>
      </c>
    </row>
    <row r="454" spans="1:7" ht="15" customHeight="1">
      <c r="A454" s="4">
        <v>41653</v>
      </c>
      <c r="B454" s="4">
        <v>41674</v>
      </c>
      <c r="C454" s="4">
        <v>41653</v>
      </c>
      <c r="D454" s="3" t="s">
        <v>60</v>
      </c>
      <c r="E454" s="3" t="s">
        <v>5</v>
      </c>
      <c r="F454" s="3" t="s">
        <v>5</v>
      </c>
      <c r="G454" s="10">
        <f t="shared" si="12"/>
        <v>-21</v>
      </c>
    </row>
    <row r="455" spans="1:7" ht="15" customHeight="1">
      <c r="A455" s="4">
        <v>41642</v>
      </c>
      <c r="B455" s="4">
        <v>41663</v>
      </c>
      <c r="C455" s="4">
        <v>41653</v>
      </c>
      <c r="D455" s="3" t="s">
        <v>41</v>
      </c>
      <c r="E455" s="3" t="s">
        <v>5</v>
      </c>
      <c r="F455" s="3" t="s">
        <v>6</v>
      </c>
      <c r="G455" s="10">
        <f t="shared" si="12"/>
        <v>-10</v>
      </c>
    </row>
    <row r="456" spans="1:7" ht="15" customHeight="1">
      <c r="A456" s="4">
        <v>41652</v>
      </c>
      <c r="B456" s="4">
        <v>41673</v>
      </c>
      <c r="C456" s="4">
        <v>41652</v>
      </c>
      <c r="D456" s="3" t="s">
        <v>42</v>
      </c>
      <c r="E456" s="3" t="s">
        <v>6</v>
      </c>
      <c r="F456" s="3" t="s">
        <v>6</v>
      </c>
      <c r="G456" s="10">
        <f t="shared" si="12"/>
        <v>-21</v>
      </c>
    </row>
    <row r="457" spans="1:7" ht="15" customHeight="1">
      <c r="A457" s="4">
        <v>41652</v>
      </c>
      <c r="B457" s="4">
        <v>41673</v>
      </c>
      <c r="C457" s="4">
        <v>41652</v>
      </c>
      <c r="D457" s="3" t="s">
        <v>42</v>
      </c>
      <c r="E457" s="3" t="s">
        <v>6</v>
      </c>
      <c r="F457" s="3" t="s">
        <v>6</v>
      </c>
      <c r="G457" s="10">
        <f t="shared" si="12"/>
        <v>-21</v>
      </c>
    </row>
    <row r="458" spans="1:7" ht="15" customHeight="1">
      <c r="A458" s="4">
        <v>41502</v>
      </c>
      <c r="B458" s="4">
        <v>41523</v>
      </c>
      <c r="C458" s="4">
        <v>41652</v>
      </c>
      <c r="D458" s="3" t="s">
        <v>46</v>
      </c>
      <c r="E458" s="3" t="s">
        <v>6</v>
      </c>
      <c r="F458" s="3" t="s">
        <v>6</v>
      </c>
      <c r="G458" s="10">
        <f t="shared" si="12"/>
        <v>129</v>
      </c>
    </row>
    <row r="459" spans="1:7" ht="15" customHeight="1">
      <c r="A459" s="4">
        <v>41649</v>
      </c>
      <c r="B459" s="4">
        <v>41670</v>
      </c>
      <c r="C459" s="4">
        <v>41649</v>
      </c>
      <c r="D459" s="3" t="s">
        <v>51</v>
      </c>
      <c r="E459" s="15" t="s">
        <v>7</v>
      </c>
      <c r="F459" s="15" t="s">
        <v>7</v>
      </c>
      <c r="G459" s="10">
        <f t="shared" si="12"/>
        <v>-21</v>
      </c>
    </row>
    <row r="460" spans="1:7" ht="15" customHeight="1">
      <c r="A460" s="4">
        <v>41646</v>
      </c>
      <c r="B460" s="4">
        <v>41667</v>
      </c>
      <c r="C460" s="4">
        <v>41646</v>
      </c>
      <c r="D460" s="3" t="s">
        <v>54</v>
      </c>
      <c r="E460" s="15" t="s">
        <v>7</v>
      </c>
      <c r="F460" s="15" t="s">
        <v>7</v>
      </c>
      <c r="G460" s="10">
        <f t="shared" si="12"/>
        <v>-21</v>
      </c>
    </row>
    <row r="461" spans="1:7" ht="15" customHeight="1">
      <c r="A461" s="4">
        <v>41646</v>
      </c>
      <c r="B461" s="4">
        <v>41676</v>
      </c>
      <c r="C461" s="4">
        <v>41646</v>
      </c>
      <c r="D461" s="3" t="s">
        <v>42</v>
      </c>
      <c r="E461" s="3" t="s">
        <v>6</v>
      </c>
      <c r="F461" s="3" t="s">
        <v>6</v>
      </c>
      <c r="G461" s="10">
        <f t="shared" si="12"/>
        <v>-30</v>
      </c>
    </row>
    <row r="462" spans="1:7" ht="15" customHeight="1">
      <c r="A462" s="4">
        <v>41645</v>
      </c>
      <c r="B462" s="4">
        <v>41666</v>
      </c>
      <c r="C462" s="4">
        <v>41645</v>
      </c>
      <c r="D462" s="3" t="s">
        <v>42</v>
      </c>
      <c r="E462" s="15" t="s">
        <v>7</v>
      </c>
      <c r="F462" s="15" t="s">
        <v>7</v>
      </c>
      <c r="G462" s="10">
        <f t="shared" si="12"/>
        <v>-21</v>
      </c>
    </row>
    <row r="463" spans="1:7" ht="15" customHeight="1">
      <c r="A463" s="4">
        <v>41585</v>
      </c>
      <c r="B463" s="4">
        <v>41615</v>
      </c>
      <c r="C463" s="4">
        <v>41645</v>
      </c>
      <c r="D463" s="3" t="s">
        <v>54</v>
      </c>
      <c r="E463" s="3" t="s">
        <v>6</v>
      </c>
      <c r="F463" s="3" t="s">
        <v>6</v>
      </c>
      <c r="G463" s="10">
        <f t="shared" si="12"/>
        <v>30</v>
      </c>
    </row>
    <row r="464" spans="1:7" ht="15.75" customHeight="1" thickBot="1">
      <c r="A464" s="12">
        <v>41642</v>
      </c>
      <c r="B464" s="12">
        <v>41663</v>
      </c>
      <c r="C464" s="12">
        <v>41642</v>
      </c>
      <c r="D464" s="11" t="s">
        <v>62</v>
      </c>
      <c r="E464" s="11" t="s">
        <v>5</v>
      </c>
      <c r="F464" s="11" t="s">
        <v>6</v>
      </c>
      <c r="G464" s="13">
        <f t="shared" si="12"/>
        <v>-21</v>
      </c>
    </row>
  </sheetData>
  <autoFilter ref="A1:AI464"/>
  <sortState ref="A2:J321">
    <sortCondition descending="1" ref="C2:C321"/>
  </sortState>
  <conditionalFormatting sqref="E2:F464">
    <cfRule type="cellIs" dxfId="6" priority="67" operator="equal">
      <formula>"KO"</formula>
    </cfRule>
    <cfRule type="cellIs" dxfId="5" priority="68" operator="equal">
      <formula>"OK"</formula>
    </cfRule>
  </conditionalFormatting>
  <conditionalFormatting sqref="G2:G464">
    <cfRule type="cellIs" dxfId="4" priority="65" operator="lessThan">
      <formula>1</formula>
    </cfRule>
    <cfRule type="cellIs" dxfId="3" priority="66" operator="greaterThan">
      <formula>0</formula>
    </cfRule>
  </conditionalFormatting>
  <conditionalFormatting sqref="E2:F464">
    <cfRule type="expression" dxfId="2" priority="12">
      <formula>"KO - REL"</formula>
    </cfRule>
  </conditionalFormatting>
  <conditionalFormatting sqref="E1:F1048576">
    <cfRule type="cellIs" dxfId="1" priority="11" operator="equal">
      <formula>"KO - REL"</formula>
    </cfRule>
  </conditionalFormatting>
  <pageMargins left="0.7" right="0.7" top="0.75" bottom="0.75" header="0.3" footer="0.3"/>
  <pageSetup paperSize="9" scale="8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27"/>
  <sheetViews>
    <sheetView tabSelected="1" workbookViewId="0">
      <selection activeCell="B2" sqref="B2"/>
    </sheetView>
  </sheetViews>
  <sheetFormatPr baseColWidth="10" defaultRowHeight="15"/>
  <cols>
    <col min="1" max="1" width="15.140625" customWidth="1"/>
    <col min="2" max="2" width="21.85546875" customWidth="1"/>
    <col min="3" max="3" width="11.42578125" customWidth="1"/>
    <col min="4" max="4" width="15" customWidth="1"/>
    <col min="5" max="5" width="11.85546875" customWidth="1"/>
    <col min="6" max="6" width="13" customWidth="1"/>
    <col min="7" max="7" width="23.42578125" customWidth="1"/>
    <col min="8" max="8" width="17" customWidth="1"/>
  </cols>
  <sheetData>
    <row r="1" spans="1:8" ht="30.75" customHeight="1" thickBot="1">
      <c r="A1" s="76" t="s">
        <v>8</v>
      </c>
      <c r="B1" s="73" t="s">
        <v>9</v>
      </c>
      <c r="C1" s="52" t="s">
        <v>65</v>
      </c>
      <c r="D1" s="52" t="s">
        <v>66</v>
      </c>
      <c r="E1" s="52" t="s">
        <v>67</v>
      </c>
      <c r="F1" s="52" t="s">
        <v>68</v>
      </c>
      <c r="G1" s="52" t="s">
        <v>10</v>
      </c>
      <c r="H1" s="53" t="s">
        <v>18</v>
      </c>
    </row>
    <row r="2" spans="1:8">
      <c r="A2" s="77" t="s">
        <v>11</v>
      </c>
      <c r="B2" s="74">
        <f>COUNTIFS('Base de données'!C:C,"&gt;=01/01",'Base de données'!C:C,"&lt;01/02")</f>
        <v>0</v>
      </c>
      <c r="C2" s="69">
        <f>COUNTIFS('Base de données'!E:E,"OK",'Base de données'!C:C,"&gt;=01/01",'Base de données'!C:C,"&lt;01/02")+COUNTIFS('Base de données'!E:E,"KO - REL",'Base de données'!C:C,"&gt;=01/01",'Base de données'!C:C,"&lt;01/02")</f>
        <v>0</v>
      </c>
      <c r="D2" s="67" t="str">
        <f>IF(B2=0,"",C2/B2)</f>
        <v/>
      </c>
      <c r="E2" s="71">
        <f>COUNTIFS('Base de données'!F:F,"OK",'Base de données'!C:C,"&gt;=01/01",'Base de données'!C:C,"&lt;01/02")+COUNTIFS('Base de données'!F:F,"KO - REL",'Base de données'!C:C,"&gt;=01/01",'Base de données'!C:C,"&lt;01/02")</f>
        <v>0</v>
      </c>
      <c r="F2" s="70" t="str">
        <f>IF(B2=0,"",E2/B2)</f>
        <v/>
      </c>
      <c r="G2" s="69">
        <f>COUNTIFS('Base de données'!G:G,"&lt;=0",'Base de données'!C:C,"&gt;=01/01",'Base de données'!C:C,"&lt;01/02")</f>
        <v>0</v>
      </c>
      <c r="H2" s="72" t="str">
        <f>IF(B2=0,"",G2/B2)</f>
        <v/>
      </c>
    </row>
    <row r="3" spans="1:8">
      <c r="A3" s="78" t="s">
        <v>12</v>
      </c>
      <c r="B3" s="46">
        <f>COUNTIFS('Base de données'!C:C,"&gt;=01/02",'Base de données'!C:C,"&lt;01/03")</f>
        <v>0</v>
      </c>
      <c r="C3" s="16">
        <f>COUNTIFS('Base de données'!E:E,"OK",'Base de données'!C:C,"&gt;=01/02",'Base de données'!C:C,"&lt;01/03")+COUNTIFS('Base de données'!E:E,"KO - REL",'Base de données'!C:C,"&gt;=01/02",'Base de données'!C:C,"&lt;01/03")</f>
        <v>0</v>
      </c>
      <c r="D3" s="67" t="str">
        <f t="shared" ref="D3:D12" si="0">IF(B3=0,"",C3/B3)</f>
        <v/>
      </c>
      <c r="E3" s="43">
        <f>COUNTIFS('Base de données'!F:F,"OK",'Base de données'!C:C,"&gt;=01/02",'Base de données'!C:C,"&lt;01/03")+COUNTIFS('Base de données'!F:F,"KO - REL",'Base de données'!C:C,"&gt;=01/02",'Base de données'!C:C,"&lt;01/03")</f>
        <v>0</v>
      </c>
      <c r="F3" s="70" t="str">
        <f t="shared" ref="F3:F13" si="1">IF(B3=0,"",E3/B3)</f>
        <v/>
      </c>
      <c r="G3" s="16">
        <f>COUNTIFS('Base de données'!G:G,"&lt;=0",'Base de données'!C:C,"&gt;=01/02",'Base de données'!C:C,"&lt;01/03")</f>
        <v>0</v>
      </c>
      <c r="H3" s="72" t="str">
        <f t="shared" ref="H3:H13" si="2">IF(B3=0,"",G3/B3)</f>
        <v/>
      </c>
    </row>
    <row r="4" spans="1:8">
      <c r="A4" s="78" t="s">
        <v>13</v>
      </c>
      <c r="B4" s="46">
        <f>COUNTIFS('Base de données'!C:C,"&gt;=01/03",'Base de données'!C:C,"&lt;01/04")</f>
        <v>0</v>
      </c>
      <c r="C4" s="16">
        <f>COUNTIFS('Base de données'!E:E,"OK",'Base de données'!C:C,"&gt;=01/03",'Base de données'!C:C,"&lt;01/04")+COUNTIFS('Base de données'!E:E,"KO - REL",'Base de données'!C:C,"&gt;=01/03",'Base de données'!C:C,"&lt;01/04")</f>
        <v>0</v>
      </c>
      <c r="D4" s="67" t="str">
        <f t="shared" si="0"/>
        <v/>
      </c>
      <c r="E4" s="43">
        <f>COUNTIFS('Base de données'!F:F,"OK",'Base de données'!C:C,"&gt;=01/03",'Base de données'!C:C,"&lt;01/04")+COUNTIFS('Base de données'!F:F,"KO - REL",'Base de données'!C:C,"&gt;=01/03",'Base de données'!C:C,"&lt;01/04")</f>
        <v>0</v>
      </c>
      <c r="F4" s="70" t="str">
        <f t="shared" si="1"/>
        <v/>
      </c>
      <c r="G4" s="16">
        <f>COUNTIFS('Base de données'!G:G,"&lt;=0",'Base de données'!C:C,"&gt;=01/03",'Base de données'!C:C,"&lt;01/04")</f>
        <v>0</v>
      </c>
      <c r="H4" s="72" t="str">
        <f t="shared" si="2"/>
        <v/>
      </c>
    </row>
    <row r="5" spans="1:8">
      <c r="A5" s="78" t="s">
        <v>14</v>
      </c>
      <c r="B5" s="46">
        <f>COUNTIFS('Base de données'!C:C,"&gt;=01/04",'Base de données'!C:C,"&lt;01/05")</f>
        <v>0</v>
      </c>
      <c r="C5" s="16">
        <f>COUNTIFS('Base de données'!E:E,"OK",'Base de données'!C:C,"&gt;=01/04",'Base de données'!C:C,"&lt;01/05")+COUNTIFS('Base de données'!E:E,"KO - REL",'Base de données'!C:C,"&gt;=01/04",'Base de données'!C:C,"&lt;01/05")</f>
        <v>0</v>
      </c>
      <c r="D5" s="67" t="str">
        <f t="shared" si="0"/>
        <v/>
      </c>
      <c r="E5" s="43">
        <f>COUNTIFS('Base de données'!F:F,"OK",'Base de données'!C:C,"&gt;=01/04",'Base de données'!C:C,"&lt;01/05")+COUNTIFS('Base de données'!F:F,"KO - REL",'Base de données'!C:C,"&gt;=01/04",'Base de données'!C:C,"&lt;01/05")</f>
        <v>0</v>
      </c>
      <c r="F5" s="70" t="str">
        <f t="shared" si="1"/>
        <v/>
      </c>
      <c r="G5" s="16">
        <f>COUNTIFS('Base de données'!G:G,"&lt;=0",'Base de données'!C:C,"&gt;=01/04",'Base de données'!C:C,"&lt;01/05")</f>
        <v>0</v>
      </c>
      <c r="H5" s="72" t="str">
        <f t="shared" si="2"/>
        <v/>
      </c>
    </row>
    <row r="6" spans="1:8">
      <c r="A6" s="78" t="s">
        <v>15</v>
      </c>
      <c r="B6" s="46">
        <f>COUNTIFS('Base de données'!C:C,"&gt;=01/05",'Base de données'!C:C,"&lt;01/06")</f>
        <v>0</v>
      </c>
      <c r="C6" s="16">
        <f>COUNTIFS('Base de données'!E:E,"OK",'Base de données'!C:C,"&gt;=01/05",'Base de données'!C:C,"&lt;01/06")+COUNTIFS('Base de données'!E:E,"KO - REL",'Base de données'!C:C,"&gt;=01/05",'Base de données'!C:C,"&lt;01/06")</f>
        <v>0</v>
      </c>
      <c r="D6" s="67" t="str">
        <f t="shared" si="0"/>
        <v/>
      </c>
      <c r="E6" s="43">
        <f>COUNTIFS('Base de données'!F:F,"OK",'Base de données'!C:C,"&gt;=01/05",'Base de données'!C:C,"&lt;01/06")+COUNTIFS('Base de données'!F:F,"KO - REL",'Base de données'!C:C,"&gt;=01/05",'Base de données'!C:C,"&lt;01/06")</f>
        <v>0</v>
      </c>
      <c r="F6" s="70" t="str">
        <f t="shared" si="1"/>
        <v/>
      </c>
      <c r="G6" s="16">
        <f>COUNTIFS('Base de données'!G:G,"&lt;=0",'Base de données'!C:C,"&gt;=01/05",'Base de données'!C:C,"&lt;01/06")</f>
        <v>0</v>
      </c>
      <c r="H6" s="72" t="str">
        <f t="shared" si="2"/>
        <v/>
      </c>
    </row>
    <row r="7" spans="1:8">
      <c r="A7" s="78" t="s">
        <v>16</v>
      </c>
      <c r="B7" s="46">
        <f>COUNTIFS('Base de données'!C:C,"&gt;=01/06",'Base de données'!C:C,"&lt;01/07")</f>
        <v>0</v>
      </c>
      <c r="C7" s="16">
        <f>COUNTIFS('Base de données'!E:E,"OK",'Base de données'!C:C,"&gt;=01/06",'Base de données'!C:C,"&lt;01/07")+COUNTIFS('Base de données'!E:E,"KO - REL",'Base de données'!C:C,"&gt;=01/06",'Base de données'!C:C,"&lt;01/07")</f>
        <v>0</v>
      </c>
      <c r="D7" s="67" t="str">
        <f t="shared" si="0"/>
        <v/>
      </c>
      <c r="E7" s="43">
        <f>COUNTIFS('Base de données'!F:F,"OK",'Base de données'!C:C,"&gt;=01/06",'Base de données'!C:C,"&lt;01/07")+COUNTIFS('Base de données'!F:F,"KO - REL",'Base de données'!C:C,"&gt;=01/06",'Base de données'!C:C,"&lt;01/07")</f>
        <v>0</v>
      </c>
      <c r="F7" s="70" t="str">
        <f t="shared" si="1"/>
        <v/>
      </c>
      <c r="G7" s="16">
        <f>COUNTIFS('Base de données'!G:G,"&lt;=0",'Base de données'!C:C,"&gt;=01/06",'Base de données'!C:C,"&lt;01/07")</f>
        <v>0</v>
      </c>
      <c r="H7" s="72" t="str">
        <f t="shared" si="2"/>
        <v/>
      </c>
    </row>
    <row r="8" spans="1:8">
      <c r="A8" s="78" t="s">
        <v>27</v>
      </c>
      <c r="B8" s="46">
        <f>COUNTIFS('Base de données'!C:C,"&gt;=01/07",'Base de données'!C:C,"&lt;01/08")</f>
        <v>0</v>
      </c>
      <c r="C8" s="16">
        <f>COUNTIFS('Base de données'!E:E,"OK",'Base de données'!C:C,"&gt;=01/07",'Base de données'!C:C,"&lt;01/08")+COUNTIFS('Base de données'!E:E,"KO - REL",'Base de données'!C:C,"&gt;=01/07",'Base de données'!C:C,"&lt;01/08")</f>
        <v>0</v>
      </c>
      <c r="D8" s="67" t="str">
        <f t="shared" si="0"/>
        <v/>
      </c>
      <c r="E8" s="43">
        <f>COUNTIFS('Base de données'!F:F,"OK",'Base de données'!C:C,"&gt;=01/07",'Base de données'!C:C,"&lt;01/08")+COUNTIFS('Base de données'!F:F,"KO - REL",'Base de données'!C:C,"&gt;=01/07",'Base de données'!C:C,"&lt;01/08")</f>
        <v>0</v>
      </c>
      <c r="F8" s="70" t="str">
        <f t="shared" si="1"/>
        <v/>
      </c>
      <c r="G8" s="16">
        <f>COUNTIFS('Base de données'!G:G,"&lt;=0",'Base de données'!C:C,"&gt;=01/07",'Base de données'!C:C,"&lt;01/08")</f>
        <v>0</v>
      </c>
      <c r="H8" s="72" t="str">
        <f t="shared" si="2"/>
        <v/>
      </c>
    </row>
    <row r="9" spans="1:8">
      <c r="A9" s="78" t="s">
        <v>28</v>
      </c>
      <c r="B9" s="46">
        <f>COUNTIFS('Base de données'!C:C,"&gt;=01/08",'Base de données'!C:C,"&lt;01/09")</f>
        <v>0</v>
      </c>
      <c r="C9" s="16">
        <f>COUNTIFS('Base de données'!E:E,"OK",'Base de données'!C:C,"&gt;=01/08",'Base de données'!C:C,"&lt;01/09")+COUNTIFS('Base de données'!E:E,"KO - REL",'Base de données'!C:C,"&gt;=01/08",'Base de données'!C:C,"&lt;01/09")</f>
        <v>0</v>
      </c>
      <c r="D9" s="67" t="str">
        <f t="shared" si="0"/>
        <v/>
      </c>
      <c r="E9" s="43">
        <f>COUNTIFS('Base de données'!F:F,"OK",'Base de données'!C:C,"&gt;=01/08",'Base de données'!C:C,"&lt;01/09")+COUNTIFS('Base de données'!F:F,"KO - REL",'Base de données'!C:C,"&gt;=01/08",'Base de données'!C:C,"&lt;01/09")</f>
        <v>0</v>
      </c>
      <c r="F9" s="70" t="str">
        <f t="shared" si="1"/>
        <v/>
      </c>
      <c r="G9" s="16">
        <f>COUNTIFS('Base de données'!G:G,"&lt;=0",'Base de données'!C:C,"&gt;=01/08",'Base de données'!C:C,"&lt;01/09")</f>
        <v>0</v>
      </c>
      <c r="H9" s="72" t="str">
        <f t="shared" si="2"/>
        <v/>
      </c>
    </row>
    <row r="10" spans="1:8">
      <c r="A10" s="78" t="s">
        <v>33</v>
      </c>
      <c r="B10" s="46">
        <f>COUNTIFS('Base de données'!C:C,"&gt;=01/09",'Base de données'!C:C,"&lt;01/10")</f>
        <v>0</v>
      </c>
      <c r="C10" s="16">
        <f>COUNTIFS('Base de données'!E:E,"OK",'Base de données'!C:C,"&gt;=01/09",'Base de données'!C:C,"&lt;01/10")+COUNTIFS('Base de données'!E:E,"KO - REL",'Base de données'!C:C,"&gt;=01/09",'Base de données'!C:C,"&lt;01/10")</f>
        <v>0</v>
      </c>
      <c r="D10" s="67" t="str">
        <f t="shared" si="0"/>
        <v/>
      </c>
      <c r="E10" s="43">
        <f>COUNTIFS('Base de données'!F:F,"OK",'Base de données'!C:C,"&gt;=01/09",'Base de données'!C:C,"&lt;01/10")+COUNTIFS('Base de données'!F:F,"KO - REL",'Base de données'!C:C,"&gt;=01/09",'Base de données'!C:C,"&lt;01/10")</f>
        <v>0</v>
      </c>
      <c r="F10" s="70" t="str">
        <f t="shared" si="1"/>
        <v/>
      </c>
      <c r="G10" s="16">
        <f>COUNTIFS('Base de données'!G:G,"&lt;=0",'Base de données'!C:C,"&gt;=01/09",'Base de données'!C:C,"&lt;01/10")</f>
        <v>0</v>
      </c>
      <c r="H10" s="72" t="str">
        <f t="shared" si="2"/>
        <v/>
      </c>
    </row>
    <row r="11" spans="1:8">
      <c r="A11" s="78" t="s">
        <v>37</v>
      </c>
      <c r="B11" s="46">
        <f>COUNTIFS('Base de données'!C:C,"&gt;=01/10",'Base de données'!C:C,"&lt;01/11")</f>
        <v>0</v>
      </c>
      <c r="C11" s="16">
        <f>COUNTIFS('Base de données'!E:E,"OK",'Base de données'!C:C,"&gt;=01/10",'Base de données'!C:C,"&lt;01/11")+COUNTIFS('Base de données'!E:E,"KO - REL",'Base de données'!C:C,"&gt;=01/10",'Base de données'!C:C,"&lt;01/11")</f>
        <v>0</v>
      </c>
      <c r="D11" s="67" t="str">
        <f t="shared" si="0"/>
        <v/>
      </c>
      <c r="E11" s="43">
        <f>COUNTIFS('Base de données'!F:F,"OK",'Base de données'!C:C,"&gt;=01/10",'Base de données'!C:C,"&lt;01/11")+COUNTIFS('Base de données'!F:F,"KO - REL",'Base de données'!C:C,"&gt;=01/10",'Base de données'!C:C,"&lt;01/11")</f>
        <v>0</v>
      </c>
      <c r="F11" s="70" t="str">
        <f t="shared" si="1"/>
        <v/>
      </c>
      <c r="G11" s="16">
        <f>COUNTIFS('Base de données'!G:G,"&lt;=0",'Base de données'!C:C,"&gt;=01/10",'Base de données'!C:C,"&lt;01/11")</f>
        <v>0</v>
      </c>
      <c r="H11" s="72" t="str">
        <f t="shared" si="2"/>
        <v/>
      </c>
    </row>
    <row r="12" spans="1:8">
      <c r="A12" s="78" t="s">
        <v>38</v>
      </c>
      <c r="B12" s="46">
        <f>COUNTIFS('Base de données'!C:C,"&gt;=01/11",'Base de données'!C:C,"&lt;01/12")</f>
        <v>0</v>
      </c>
      <c r="C12" s="16">
        <f>COUNTIFS('Base de données'!E:E,"OK",'Base de données'!C:C,"&gt;=01/11",'Base de données'!C:C,"&lt;01/12")+COUNTIFS('Base de données'!E:E,"KO - REL",'Base de données'!C:C,"&gt;=01/11",'Base de données'!C:C,"&lt;01/12")</f>
        <v>0</v>
      </c>
      <c r="D12" s="67" t="str">
        <f t="shared" si="0"/>
        <v/>
      </c>
      <c r="E12" s="43">
        <f>COUNTIFS('Base de données'!F:F,"OK",'Base de données'!C:C,"&gt;=01/11",'Base de données'!C:C,"&lt;01/12")+COUNTIFS('Base de données'!F:F,"KO - REL",'Base de données'!C:C,"&gt;=01/11",'Base de données'!C:C,"&lt;01/12")</f>
        <v>0</v>
      </c>
      <c r="F12" s="70" t="str">
        <f t="shared" si="1"/>
        <v/>
      </c>
      <c r="G12" s="16">
        <f>COUNTIFS('Base de données'!G:G,"&lt;=0",'Base de données'!C:C,"&gt;=01/11",'Base de données'!C:C,"&lt;01/12")</f>
        <v>0</v>
      </c>
      <c r="H12" s="72" t="str">
        <f t="shared" si="2"/>
        <v/>
      </c>
    </row>
    <row r="13" spans="1:8" ht="15.75" thickBot="1">
      <c r="A13" s="79" t="s">
        <v>39</v>
      </c>
      <c r="B13" s="75">
        <f>COUNTIFS('Base de données'!C:C,"&gt;=01/12",'Base de données'!C:C,"&lt;=31/12")</f>
        <v>0</v>
      </c>
      <c r="C13" s="66">
        <f>COUNTIFS('Base de données'!E:E,"OK",'Base de données'!C:C,"&gt;=01/12",'Base de données'!C:C,"&lt;=31/12")+COUNTIFS('Base de données'!E:E,"KO - REL",'Base de données'!C:C,"&gt;=01/12",'Base de données'!C:C,"&lt;=31/12")</f>
        <v>0</v>
      </c>
      <c r="D13" s="67" t="str">
        <f>IF(B13=0,"",C13/B13)</f>
        <v/>
      </c>
      <c r="E13" s="68">
        <f>COUNTIFS('Base de données'!F:F,"OK",'Base de données'!C:C,"&gt;=01/12",'Base de données'!C:C,"&lt;=31/12")+COUNTIFS('Base de données'!F:F,"KO - REL",'Base de données'!C:C,"&gt;=01/12",'Base de données'!C:C,"&lt;=31/12")</f>
        <v>0</v>
      </c>
      <c r="F13" s="70" t="str">
        <f t="shared" si="1"/>
        <v/>
      </c>
      <c r="G13" s="66">
        <f>COUNTIFS('Base de données'!G:G,"&lt;=0",'Base de données'!C:C,"&gt;=01/12",'Base de données'!C:C,"&lt;=31/12")</f>
        <v>0</v>
      </c>
      <c r="H13" s="72" t="str">
        <f t="shared" si="2"/>
        <v/>
      </c>
    </row>
    <row r="14" spans="1:8" ht="15.75" thickBot="1">
      <c r="A14" s="80" t="s">
        <v>17</v>
      </c>
      <c r="B14" s="60">
        <f>SUM(B2:B13)</f>
        <v>0</v>
      </c>
      <c r="C14" s="63">
        <f>SUM(C2:C13)</f>
        <v>0</v>
      </c>
      <c r="D14" s="61" t="e">
        <f>C14/B14</f>
        <v>#DIV/0!</v>
      </c>
      <c r="E14" s="62">
        <f>SUM(E2:E13)</f>
        <v>0</v>
      </c>
      <c r="F14" s="61" t="e">
        <f>E14/B14</f>
        <v>#DIV/0!</v>
      </c>
      <c r="G14" s="63">
        <f>SUM(G2:G13)</f>
        <v>0</v>
      </c>
      <c r="H14" s="64" t="e">
        <f t="shared" ref="H14" si="3">G14/B14</f>
        <v>#DIV/0!</v>
      </c>
    </row>
    <row r="19" spans="2:6">
      <c r="F19" s="44"/>
    </row>
    <row r="21" spans="2:6">
      <c r="C21" s="41"/>
    </row>
    <row r="22" spans="2:6">
      <c r="F22" s="44"/>
    </row>
    <row r="24" spans="2:6">
      <c r="C24" s="2"/>
    </row>
    <row r="25" spans="2:6">
      <c r="B25" s="44"/>
    </row>
    <row r="27" spans="2:6">
      <c r="B27" s="4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W136"/>
  <sheetViews>
    <sheetView zoomScale="85" zoomScaleNormal="85" workbookViewId="0">
      <selection activeCell="B4" sqref="B4"/>
    </sheetView>
  </sheetViews>
  <sheetFormatPr baseColWidth="10" defaultRowHeight="15"/>
  <cols>
    <col min="1" max="1" width="38.5703125" bestFit="1" customWidth="1"/>
    <col min="2" max="3" width="14" customWidth="1"/>
    <col min="7" max="7" width="12.140625" customWidth="1"/>
    <col min="8" max="8" width="12.28515625" customWidth="1"/>
    <col min="9" max="9" width="12.5703125" customWidth="1"/>
    <col min="10" max="10" width="12.140625" customWidth="1"/>
    <col min="14" max="14" width="12.140625" customWidth="1"/>
    <col min="15" max="15" width="12.42578125" customWidth="1"/>
    <col min="16" max="17" width="12.28515625" customWidth="1"/>
    <col min="18" max="19" width="11.42578125" customWidth="1"/>
    <col min="21" max="21" width="12.5703125" customWidth="1"/>
    <col min="22" max="22" width="12.28515625" customWidth="1"/>
    <col min="23" max="23" width="0.42578125" customWidth="1"/>
  </cols>
  <sheetData>
    <row r="1" spans="1:23" ht="15.75" thickBot="1">
      <c r="A1" s="18"/>
      <c r="B1" s="82" t="s">
        <v>20</v>
      </c>
      <c r="C1" s="83"/>
      <c r="D1" s="84"/>
      <c r="E1" s="84"/>
      <c r="F1" s="84"/>
      <c r="G1" s="84"/>
      <c r="H1" s="85"/>
      <c r="I1" s="89" t="s">
        <v>21</v>
      </c>
      <c r="J1" s="90"/>
      <c r="K1" s="91"/>
      <c r="L1" s="91"/>
      <c r="M1" s="91"/>
      <c r="N1" s="91"/>
      <c r="O1" s="92"/>
      <c r="P1" s="90" t="s">
        <v>22</v>
      </c>
      <c r="Q1" s="90"/>
      <c r="R1" s="91"/>
      <c r="S1" s="91"/>
      <c r="T1" s="91"/>
      <c r="U1" s="91"/>
      <c r="V1" s="92"/>
      <c r="W1" s="48"/>
    </row>
    <row r="2" spans="1:23" ht="60.75" thickBot="1">
      <c r="A2" s="47" t="s">
        <v>19</v>
      </c>
      <c r="B2" s="51" t="s">
        <v>9</v>
      </c>
      <c r="C2" s="52" t="s">
        <v>65</v>
      </c>
      <c r="D2" s="52" t="s">
        <v>66</v>
      </c>
      <c r="E2" s="52" t="s">
        <v>67</v>
      </c>
      <c r="F2" s="52" t="s">
        <v>68</v>
      </c>
      <c r="G2" s="52" t="s">
        <v>10</v>
      </c>
      <c r="H2" s="53" t="s">
        <v>18</v>
      </c>
      <c r="I2" s="51" t="s">
        <v>9</v>
      </c>
      <c r="J2" s="52" t="s">
        <v>65</v>
      </c>
      <c r="K2" s="52" t="s">
        <v>66</v>
      </c>
      <c r="L2" s="52" t="s">
        <v>67</v>
      </c>
      <c r="M2" s="52" t="s">
        <v>68</v>
      </c>
      <c r="N2" s="52" t="s">
        <v>10</v>
      </c>
      <c r="O2" s="53" t="s">
        <v>18</v>
      </c>
      <c r="P2" s="51" t="s">
        <v>9</v>
      </c>
      <c r="Q2" s="52" t="s">
        <v>65</v>
      </c>
      <c r="R2" s="52" t="s">
        <v>66</v>
      </c>
      <c r="S2" s="52" t="s">
        <v>67</v>
      </c>
      <c r="T2" s="52" t="s">
        <v>68</v>
      </c>
      <c r="U2" s="52" t="s">
        <v>10</v>
      </c>
      <c r="V2" s="53" t="s">
        <v>18</v>
      </c>
      <c r="W2" s="49"/>
    </row>
    <row r="3" spans="1:23">
      <c r="A3" s="54" t="s">
        <v>40</v>
      </c>
      <c r="B3" s="25">
        <f>COUNTIFS('Base de données'!D:D,A3,'Base de données'!C:C,"&gt;=01/01",'Base de données'!C:C,"&lt;01/02")</f>
        <v>0</v>
      </c>
      <c r="C3" s="27">
        <f>COUNTIFS('Base de données'!D:D,A3,'Base de données'!E:E,"OK",'Base de données'!C:C,"&gt;=01/01",'Base de données'!C:C,"&lt;01/02")+COUNTIFS('Base de données'!D:D,A3,'Base de données'!E:E,"KO - REL",'Base de données'!C:C,"&gt;=01/01",'Base de données'!C:C,"&lt;01/02")</f>
        <v>0</v>
      </c>
      <c r="D3" s="26" t="str">
        <f>IF(B3=0,"",C3/B3)</f>
        <v/>
      </c>
      <c r="E3" s="45">
        <f>COUNTIFS('Base de données'!D:D,A3,'Base de données'!F:F,"OK",'Base de données'!C:C,"&gt;=01/01",'Base de données'!C:C,"&lt;01/02")+COUNTIFS('Base de données'!D:D,A3,'Base de données'!F:F,"KO - REL",'Base de données'!C:C,"&gt;=01/01",'Base de données'!C:C,"&lt;01/02")</f>
        <v>0</v>
      </c>
      <c r="F3" s="26" t="str">
        <f>IF(B3=0,"",E3/B3)</f>
        <v/>
      </c>
      <c r="G3" s="27">
        <f>COUNTIFS('Base de données'!D:D,A3,'Base de données'!G:G,"&lt;=0",'Base de données'!C:C,"&gt;=01/01",'Base de données'!C:C,"&lt;01/02")</f>
        <v>0</v>
      </c>
      <c r="H3" s="28" t="str">
        <f>IF(B3=0,"",G3/B3)</f>
        <v/>
      </c>
      <c r="I3" s="25">
        <f>COUNTIFS('Base de données'!D:D,A3,'Base de données'!C:C,"&gt;=01/02",'Base de données'!C:C,"&lt;01/03")</f>
        <v>0</v>
      </c>
      <c r="J3" s="27">
        <f>COUNTIFS('Base de données'!D:D,A3,'Base de données'!E:E,"OK",'Base de données'!C:C,"&gt;=01/02",'Base de données'!C:C,"&lt;01/03")+COUNTIFS('Base de données'!D:D,A3,'Base de données'!E:E,"KO - REL",'Base de données'!C:C,"&gt;=01/02",'Base de données'!C:C,"&lt;01/03")</f>
        <v>0</v>
      </c>
      <c r="K3" s="26" t="str">
        <f>IF(I3=0,"",J3/I3)</f>
        <v/>
      </c>
      <c r="L3" s="45">
        <f>COUNTIFS('Base de données'!D:D,A3,'Base de données'!F:F,"OK",'Base de données'!C:C,"&gt;=01/02",'Base de données'!C:C,"&lt;01/03")+COUNTIFS('Base de données'!D:D,A3,'Base de données'!F:F,"KO - REL",'Base de données'!C:C,"&gt;=01/02",'Base de données'!C:C,"&lt;01/03")</f>
        <v>0</v>
      </c>
      <c r="M3" s="26" t="str">
        <f>IF(I3=0,"",L3/I3)</f>
        <v/>
      </c>
      <c r="N3" s="27">
        <f>COUNTIFS('Base de données'!D:D,A3,'Base de données'!G:G,"&lt;=0",'Base de données'!C:C,"&gt;=01/02",'Base de données'!C:C,"&lt;01/03")</f>
        <v>0</v>
      </c>
      <c r="O3" s="28" t="str">
        <f>IF(I3=0,"",N3/I3)</f>
        <v/>
      </c>
      <c r="P3" s="25">
        <f>COUNTIFS('Base de données'!D:D,A3,'Base de données'!C:C,"&gt;=01/03",'Base de données'!C:C,"&lt;01/04")</f>
        <v>0</v>
      </c>
      <c r="Q3" s="27">
        <f>COUNTIFS('Base de données'!D:D,A3,'Base de données'!E:E,"OK",'Base de données'!C:C,"&gt;=01/03",'Base de données'!C:C,"&lt;01/04")+COUNTIFS('Base de données'!D:D,A3,'Base de données'!E:E,"KO - REL",'Base de données'!C:C,"&gt;=01/03",'Base de données'!C:C,"&lt;01/04")</f>
        <v>0</v>
      </c>
      <c r="R3" s="26" t="str">
        <f>IF(P3=0,"",Q3/P3)</f>
        <v/>
      </c>
      <c r="S3" s="45">
        <f>COUNTIFS('Base de données'!D:D,A3,'Base de données'!F:F,"OK",'Base de données'!C:C,"&gt;=01/03",'Base de données'!C:C,"&lt;01/04")+COUNTIFS('Base de données'!D:D,A3,'Base de données'!F:F,"KO - REL",'Base de données'!C:C,"&gt;=01/03",'Base de données'!C:C,"&lt;01/04")</f>
        <v>0</v>
      </c>
      <c r="T3" s="26" t="str">
        <f>IF(P3=0,"",S3/P3)</f>
        <v/>
      </c>
      <c r="U3" s="27">
        <f>COUNTIFS('Base de données'!D:D,A3,'Base de données'!G:G,"&lt;=0",'Base de données'!C:C,"&gt;=01/03",'Base de données'!C:C,"&lt;01/04")</f>
        <v>0</v>
      </c>
      <c r="V3" s="28" t="str">
        <f>IF(P3=0,"",U3/P3)</f>
        <v/>
      </c>
      <c r="W3" s="49"/>
    </row>
    <row r="4" spans="1:23">
      <c r="A4" s="54" t="s">
        <v>41</v>
      </c>
      <c r="B4" s="19">
        <f>COUNTIFS('Base de données'!D:D,A4,'Base de données'!C:C,"&gt;=01/01",'Base de données'!C:C,"&lt;01/02")</f>
        <v>0</v>
      </c>
      <c r="C4" s="16">
        <f>COUNTIFS('Base de données'!D:D,A4,'Base de données'!E:E,"OK",'Base de données'!C:C,"&gt;=01/01",'Base de données'!C:C,"&lt;01/02")+COUNTIFS('Base de données'!D:D,A4,'Base de données'!E:E,"KO - REL",'Base de données'!C:C,"&gt;=01/01",'Base de données'!C:C,"&lt;01/02")</f>
        <v>0</v>
      </c>
      <c r="D4" s="17" t="str">
        <f t="shared" ref="D4:D25" si="0">IF(B4=0,"",C4/B4)</f>
        <v/>
      </c>
      <c r="E4" s="43">
        <f>COUNTIFS('Base de données'!D:D,A4,'Base de données'!F:F,"OK",'Base de données'!C:C,"&gt;=01/01",'Base de données'!C:C,"&lt;01/02")+COUNTIFS('Base de données'!D:D,A4,'Base de données'!F:F,"KO - REL",'Base de données'!C:C,"&gt;=01/01",'Base de données'!C:C,"&lt;01/02")</f>
        <v>0</v>
      </c>
      <c r="F4" s="17" t="str">
        <f t="shared" ref="F4:F25" si="1">IF(B4=0,"",E4/B4)</f>
        <v/>
      </c>
      <c r="G4" s="16">
        <f>COUNTIFS('Base de données'!D:D,A4,'Base de données'!G:G,"&lt;=0",'Base de données'!C:C,"&gt;=01/01",'Base de données'!C:C,"&lt;01/02")</f>
        <v>0</v>
      </c>
      <c r="H4" s="23" t="str">
        <f t="shared" ref="H4:H25" si="2">IF(B4=0,"",G4/B4)</f>
        <v/>
      </c>
      <c r="I4" s="19">
        <f>COUNTIFS('Base de données'!D:D,A4,'Base de données'!C:C,"&gt;=01/02",'Base de données'!C:C,"&lt;01/03")</f>
        <v>0</v>
      </c>
      <c r="J4" s="16">
        <f>COUNTIFS('Base de données'!D:D,A4,'Base de données'!E:E,"OK",'Base de données'!C:C,"&gt;=01/02",'Base de données'!C:C,"&lt;01/03")+COUNTIFS('Base de données'!D:D,A4,'Base de données'!E:E,"KO - REL",'Base de données'!C:C,"&gt;=01/02",'Base de données'!C:C,"&lt;01/03")</f>
        <v>0</v>
      </c>
      <c r="K4" s="17" t="str">
        <f t="shared" ref="K4:K25" si="3">IF(I4=0,"",J4/I4)</f>
        <v/>
      </c>
      <c r="L4" s="43">
        <f>COUNTIFS('Base de données'!D:D,A4,'Base de données'!F:F,"OK",'Base de données'!C:C,"&gt;=01/02",'Base de données'!C:C,"&lt;01/03")+COUNTIFS('Base de données'!D:D,A4,'Base de données'!F:F,"KO - REL",'Base de données'!C:C,"&gt;=01/02",'Base de données'!C:C,"&lt;01/03")</f>
        <v>0</v>
      </c>
      <c r="M4" s="17" t="str">
        <f t="shared" ref="M4:M25" si="4">IF(I4=0,"",L4/I4)</f>
        <v/>
      </c>
      <c r="N4" s="16">
        <f>COUNTIFS('Base de données'!D:D,A4,'Base de données'!G:G,"&lt;=0",'Base de données'!C:C,"&gt;=01/02",'Base de données'!C:C,"&lt;01/03")</f>
        <v>0</v>
      </c>
      <c r="O4" s="23" t="str">
        <f t="shared" ref="O4:O25" si="5">IF(I4=0,"",N4/I4)</f>
        <v/>
      </c>
      <c r="P4" s="19">
        <f>COUNTIFS('Base de données'!D:D,A4,'Base de données'!C:C,"&gt;=01/03",'Base de données'!C:C,"&lt;01/04")</f>
        <v>0</v>
      </c>
      <c r="Q4" s="16">
        <f>COUNTIFS('Base de données'!D:D,A4,'Base de données'!E:E,"OK",'Base de données'!C:C,"&gt;=01/03",'Base de données'!C:C,"&lt;01/04")+COUNTIFS('Base de données'!D:D,A4,'Base de données'!E:E,"KO - REL",'Base de données'!C:C,"&gt;=01/03",'Base de données'!C:C,"&lt;01/04")</f>
        <v>0</v>
      </c>
      <c r="R4" s="17" t="str">
        <f t="shared" ref="R4:R25" si="6">IF(P4=0,"",Q4/P4)</f>
        <v/>
      </c>
      <c r="S4" s="43">
        <f>COUNTIFS('Base de données'!D:D,A4,'Base de données'!F:F,"OK",'Base de données'!C:C,"&gt;=01/03",'Base de données'!C:C,"&lt;01/04")+COUNTIFS('Base de données'!D:D,A4,'Base de données'!F:F,"KO - REL",'Base de données'!C:C,"&gt;=01/03",'Base de données'!C:C,"&lt;01/04")</f>
        <v>0</v>
      </c>
      <c r="T4" s="17" t="str">
        <f t="shared" ref="T4:T25" si="7">IF(P4=0,"",S4/P4)</f>
        <v/>
      </c>
      <c r="U4" s="16">
        <f>COUNTIFS('Base de données'!D:D,A4,'Base de données'!G:G,"&lt;=0",'Base de données'!C:C,"&gt;=01/03",'Base de données'!C:C,"&lt;01/04")</f>
        <v>0</v>
      </c>
      <c r="V4" s="23" t="str">
        <f t="shared" ref="V4:V25" si="8">IF(P4=0,"",U4/P4)</f>
        <v/>
      </c>
      <c r="W4" s="49"/>
    </row>
    <row r="5" spans="1:23">
      <c r="A5" s="55" t="s">
        <v>42</v>
      </c>
      <c r="B5" s="19">
        <f>COUNTIFS('Base de données'!D:D,A5,'Base de données'!C:C,"&gt;=01/01",'Base de données'!C:C,"&lt;01/02")</f>
        <v>0</v>
      </c>
      <c r="C5" s="16">
        <f>COUNTIFS('Base de données'!D:D,A5,'Base de données'!E:E,"OK",'Base de données'!C:C,"&gt;=01/01",'Base de données'!C:C,"&lt;01/02")+COUNTIFS('Base de données'!D:D,A5,'Base de données'!E:E,"KO - REL",'Base de données'!C:C,"&gt;=01/01",'Base de données'!C:C,"&lt;01/02")</f>
        <v>0</v>
      </c>
      <c r="D5" s="17" t="str">
        <f t="shared" si="0"/>
        <v/>
      </c>
      <c r="E5" s="43">
        <f>COUNTIFS('Base de données'!D:D,A5,'Base de données'!F:F,"OK",'Base de données'!C:C,"&gt;=01/01",'Base de données'!C:C,"&lt;01/02")+COUNTIFS('Base de données'!D:D,A5,'Base de données'!F:F,"KO - REL",'Base de données'!C:C,"&gt;=01/01",'Base de données'!C:C,"&lt;01/02")</f>
        <v>0</v>
      </c>
      <c r="F5" s="17" t="str">
        <f t="shared" si="1"/>
        <v/>
      </c>
      <c r="G5" s="16">
        <f>COUNTIFS('Base de données'!D:D,A5,'Base de données'!G:G,"&lt;=0",'Base de données'!C:C,"&gt;=01/01",'Base de données'!C:C,"&lt;01/02")</f>
        <v>0</v>
      </c>
      <c r="H5" s="23" t="str">
        <f t="shared" si="2"/>
        <v/>
      </c>
      <c r="I5" s="19">
        <f>COUNTIFS('Base de données'!D:D,A5,'Base de données'!C:C,"&gt;=01/02",'Base de données'!C:C,"&lt;01/03")</f>
        <v>0</v>
      </c>
      <c r="J5" s="16">
        <f>COUNTIFS('Base de données'!D:D,A5,'Base de données'!E:E,"OK",'Base de données'!C:C,"&gt;=01/02",'Base de données'!C:C,"&lt;01/03")+COUNTIFS('Base de données'!D:D,A5,'Base de données'!E:E,"KO - REL",'Base de données'!C:C,"&gt;=01/02",'Base de données'!C:C,"&lt;01/03")</f>
        <v>0</v>
      </c>
      <c r="K5" s="17" t="str">
        <f t="shared" si="3"/>
        <v/>
      </c>
      <c r="L5" s="43">
        <f>COUNTIFS('Base de données'!D:D,A5,'Base de données'!F:F,"OK",'Base de données'!C:C,"&gt;=01/02",'Base de données'!C:C,"&lt;01/03")+COUNTIFS('Base de données'!D:D,A5,'Base de données'!F:F,"KO - REL",'Base de données'!C:C,"&gt;=01/02",'Base de données'!C:C,"&lt;01/03")</f>
        <v>0</v>
      </c>
      <c r="M5" s="17" t="str">
        <f t="shared" si="4"/>
        <v/>
      </c>
      <c r="N5" s="16">
        <f>COUNTIFS('Base de données'!D:D,A5,'Base de données'!G:G,"&lt;=0",'Base de données'!C:C,"&gt;=01/02",'Base de données'!C:C,"&lt;01/03")</f>
        <v>0</v>
      </c>
      <c r="O5" s="23" t="str">
        <f t="shared" si="5"/>
        <v/>
      </c>
      <c r="P5" s="19">
        <f>COUNTIFS('Base de données'!D:D,A5,'Base de données'!C:C,"&gt;=01/03",'Base de données'!C:C,"&lt;01/04")</f>
        <v>0</v>
      </c>
      <c r="Q5" s="16">
        <f>COUNTIFS('Base de données'!D:D,A5,'Base de données'!E:E,"OK",'Base de données'!C:C,"&gt;=01/03",'Base de données'!C:C,"&lt;01/04")+COUNTIFS('Base de données'!D:D,A5,'Base de données'!E:E,"KO - REL",'Base de données'!C:C,"&gt;=01/03",'Base de données'!C:C,"&lt;01/04")</f>
        <v>0</v>
      </c>
      <c r="R5" s="17" t="str">
        <f t="shared" si="6"/>
        <v/>
      </c>
      <c r="S5" s="43">
        <f>COUNTIFS('Base de données'!D:D,A5,'Base de données'!F:F,"OK",'Base de données'!C:C,"&gt;=01/03",'Base de données'!C:C,"&lt;01/04")+COUNTIFS('Base de données'!D:D,A5,'Base de données'!F:F,"KO - REL",'Base de données'!C:C,"&gt;=01/03",'Base de données'!C:C,"&lt;01/04")</f>
        <v>0</v>
      </c>
      <c r="T5" s="17" t="str">
        <f t="shared" si="7"/>
        <v/>
      </c>
      <c r="U5" s="16">
        <f>COUNTIFS('Base de données'!D:D,A5,'Base de données'!G:G,"&lt;=0",'Base de données'!C:C,"&gt;=01/03",'Base de données'!C:C,"&lt;01/04")</f>
        <v>0</v>
      </c>
      <c r="V5" s="23" t="str">
        <f t="shared" si="8"/>
        <v/>
      </c>
      <c r="W5" s="49"/>
    </row>
    <row r="6" spans="1:23">
      <c r="A6" s="55" t="s">
        <v>43</v>
      </c>
      <c r="B6" s="19">
        <f>COUNTIFS('Base de données'!D:D,A6,'Base de données'!C:C,"&gt;=01/01",'Base de données'!C:C,"&lt;01/02")</f>
        <v>0</v>
      </c>
      <c r="C6" s="16">
        <f>COUNTIFS('Base de données'!D:D,A6,'Base de données'!E:E,"OK",'Base de données'!C:C,"&gt;=01/01",'Base de données'!C:C,"&lt;01/02")+COUNTIFS('Base de données'!D:D,A6,'Base de données'!E:E,"KO - REL",'Base de données'!C:C,"&gt;=01/01",'Base de données'!C:C,"&lt;01/02")</f>
        <v>0</v>
      </c>
      <c r="D6" s="17" t="str">
        <f t="shared" si="0"/>
        <v/>
      </c>
      <c r="E6" s="43">
        <f>COUNTIFS('Base de données'!D:D,A6,'Base de données'!F:F,"OK",'Base de données'!C:C,"&gt;=01/01",'Base de données'!C:C,"&lt;01/02")+COUNTIFS('Base de données'!D:D,A6,'Base de données'!F:F,"KO - REL",'Base de données'!C:C,"&gt;=01/01",'Base de données'!C:C,"&lt;01/02")</f>
        <v>0</v>
      </c>
      <c r="F6" s="17" t="str">
        <f t="shared" si="1"/>
        <v/>
      </c>
      <c r="G6" s="16">
        <f>COUNTIFS('Base de données'!D:D,A6,'Base de données'!G:G,"&lt;=0",'Base de données'!C:C,"&gt;=01/01",'Base de données'!C:C,"&lt;01/02")</f>
        <v>0</v>
      </c>
      <c r="H6" s="23" t="str">
        <f t="shared" si="2"/>
        <v/>
      </c>
      <c r="I6" s="19">
        <f>COUNTIFS('Base de données'!D:D,A6,'Base de données'!C:C,"&gt;=01/02",'Base de données'!C:C,"&lt;01/03")</f>
        <v>0</v>
      </c>
      <c r="J6" s="16">
        <f>COUNTIFS('Base de données'!D:D,A6,'Base de données'!E:E,"OK",'Base de données'!C:C,"&gt;=01/02",'Base de données'!C:C,"&lt;01/03")+COUNTIFS('Base de données'!D:D,A6,'Base de données'!E:E,"KO - REL",'Base de données'!C:C,"&gt;=01/02",'Base de données'!C:C,"&lt;01/03")</f>
        <v>0</v>
      </c>
      <c r="K6" s="17" t="str">
        <f t="shared" si="3"/>
        <v/>
      </c>
      <c r="L6" s="43">
        <f>COUNTIFS('Base de données'!D:D,A6,'Base de données'!F:F,"OK",'Base de données'!C:C,"&gt;=01/02",'Base de données'!C:C,"&lt;01/03")+COUNTIFS('Base de données'!D:D,A6,'Base de données'!F:F,"KO - REL",'Base de données'!C:C,"&gt;=01/02",'Base de données'!C:C,"&lt;01/03")</f>
        <v>0</v>
      </c>
      <c r="M6" s="17" t="str">
        <f t="shared" si="4"/>
        <v/>
      </c>
      <c r="N6" s="16">
        <f>COUNTIFS('Base de données'!D:D,A6,'Base de données'!G:G,"&lt;=0",'Base de données'!C:C,"&gt;=01/02",'Base de données'!C:C,"&lt;01/03")</f>
        <v>0</v>
      </c>
      <c r="O6" s="23" t="str">
        <f t="shared" si="5"/>
        <v/>
      </c>
      <c r="P6" s="19">
        <f>COUNTIFS('Base de données'!D:D,A6,'Base de données'!C:C,"&gt;=01/03",'Base de données'!C:C,"&lt;01/04")</f>
        <v>0</v>
      </c>
      <c r="Q6" s="16">
        <f>COUNTIFS('Base de données'!D:D,A6,'Base de données'!E:E,"OK",'Base de données'!C:C,"&gt;=01/03",'Base de données'!C:C,"&lt;01/04")+COUNTIFS('Base de données'!D:D,A6,'Base de données'!E:E,"KO - REL",'Base de données'!C:C,"&gt;=01/03",'Base de données'!C:C,"&lt;01/04")</f>
        <v>0</v>
      </c>
      <c r="R6" s="17" t="str">
        <f t="shared" si="6"/>
        <v/>
      </c>
      <c r="S6" s="43">
        <f>COUNTIFS('Base de données'!D:D,A6,'Base de données'!F:F,"OK",'Base de données'!C:C,"&gt;=01/03",'Base de données'!C:C,"&lt;01/04")+COUNTIFS('Base de données'!D:D,A6,'Base de données'!F:F,"KO - REL",'Base de données'!C:C,"&gt;=01/03",'Base de données'!C:C,"&lt;01/04")</f>
        <v>0</v>
      </c>
      <c r="T6" s="17" t="str">
        <f t="shared" si="7"/>
        <v/>
      </c>
      <c r="U6" s="16">
        <f>COUNTIFS('Base de données'!D:D,A6,'Base de données'!G:G,"&lt;=0",'Base de données'!C:C,"&gt;=01/03",'Base de données'!C:C,"&lt;01/04")</f>
        <v>0</v>
      </c>
      <c r="V6" s="23" t="str">
        <f t="shared" si="8"/>
        <v/>
      </c>
      <c r="W6" s="49"/>
    </row>
    <row r="7" spans="1:23">
      <c r="A7" s="55" t="s">
        <v>44</v>
      </c>
      <c r="B7" s="19">
        <f>COUNTIFS('Base de données'!D:D,A7,'Base de données'!C:C,"&gt;=01/01",'Base de données'!C:C,"&lt;01/02")</f>
        <v>0</v>
      </c>
      <c r="C7" s="16">
        <f>COUNTIFS('Base de données'!D:D,A7,'Base de données'!E:E,"OK",'Base de données'!C:C,"&gt;=01/01",'Base de données'!C:C,"&lt;01/02")+COUNTIFS('Base de données'!D:D,A7,'Base de données'!E:E,"KO - REL",'Base de données'!C:C,"&gt;=01/01",'Base de données'!C:C,"&lt;01/02")</f>
        <v>0</v>
      </c>
      <c r="D7" s="17" t="str">
        <f t="shared" si="0"/>
        <v/>
      </c>
      <c r="E7" s="43">
        <f>COUNTIFS('Base de données'!D:D,A7,'Base de données'!F:F,"OK",'Base de données'!C:C,"&gt;=01/01",'Base de données'!C:C,"&lt;01/02")+COUNTIFS('Base de données'!D:D,A7,'Base de données'!F:F,"KO - REL",'Base de données'!C:C,"&gt;=01/01",'Base de données'!C:C,"&lt;01/02")</f>
        <v>0</v>
      </c>
      <c r="F7" s="17" t="str">
        <f t="shared" si="1"/>
        <v/>
      </c>
      <c r="G7" s="16">
        <f>COUNTIFS('Base de données'!D:D,A7,'Base de données'!G:G,"&lt;=0",'Base de données'!C:C,"&gt;=01/01",'Base de données'!C:C,"&lt;01/02")</f>
        <v>0</v>
      </c>
      <c r="H7" s="23" t="str">
        <f t="shared" si="2"/>
        <v/>
      </c>
      <c r="I7" s="19">
        <f>COUNTIFS('Base de données'!D:D,A7,'Base de données'!C:C,"&gt;=01/02",'Base de données'!C:C,"&lt;01/03")</f>
        <v>0</v>
      </c>
      <c r="J7" s="16">
        <f>COUNTIFS('Base de données'!D:D,A7,'Base de données'!E:E,"OK",'Base de données'!C:C,"&gt;=01/02",'Base de données'!C:C,"&lt;01/03")+COUNTIFS('Base de données'!D:D,A7,'Base de données'!E:E,"KO - REL",'Base de données'!C:C,"&gt;=01/02",'Base de données'!C:C,"&lt;01/03")</f>
        <v>0</v>
      </c>
      <c r="K7" s="17" t="str">
        <f t="shared" si="3"/>
        <v/>
      </c>
      <c r="L7" s="43">
        <f>COUNTIFS('Base de données'!D:D,A7,'Base de données'!F:F,"OK",'Base de données'!C:C,"&gt;=01/02",'Base de données'!C:C,"&lt;01/03")+COUNTIFS('Base de données'!D:D,A7,'Base de données'!F:F,"KO - REL",'Base de données'!C:C,"&gt;=01/02",'Base de données'!C:C,"&lt;01/03")</f>
        <v>0</v>
      </c>
      <c r="M7" s="17" t="str">
        <f t="shared" si="4"/>
        <v/>
      </c>
      <c r="N7" s="16">
        <f>COUNTIFS('Base de données'!D:D,A7,'Base de données'!G:G,"&lt;=0",'Base de données'!C:C,"&gt;=01/02",'Base de données'!C:C,"&lt;01/03")</f>
        <v>0</v>
      </c>
      <c r="O7" s="23" t="str">
        <f t="shared" si="5"/>
        <v/>
      </c>
      <c r="P7" s="19">
        <f>COUNTIFS('Base de données'!D:D,A7,'Base de données'!C:C,"&gt;=01/03",'Base de données'!C:C,"&lt;01/04")</f>
        <v>0</v>
      </c>
      <c r="Q7" s="16">
        <f>COUNTIFS('Base de données'!D:D,A7,'Base de données'!E:E,"OK",'Base de données'!C:C,"&gt;=01/03",'Base de données'!C:C,"&lt;01/04")+COUNTIFS('Base de données'!D:D,A7,'Base de données'!E:E,"KO - REL",'Base de données'!C:C,"&gt;=01/03",'Base de données'!C:C,"&lt;01/04")</f>
        <v>0</v>
      </c>
      <c r="R7" s="17" t="str">
        <f t="shared" si="6"/>
        <v/>
      </c>
      <c r="S7" s="43">
        <f>COUNTIFS('Base de données'!D:D,A7,'Base de données'!F:F,"OK",'Base de données'!C:C,"&gt;=01/03",'Base de données'!C:C,"&lt;01/04")+COUNTIFS('Base de données'!D:D,A7,'Base de données'!F:F,"KO - REL",'Base de données'!C:C,"&gt;=01/03",'Base de données'!C:C,"&lt;01/04")</f>
        <v>0</v>
      </c>
      <c r="T7" s="17" t="str">
        <f t="shared" si="7"/>
        <v/>
      </c>
      <c r="U7" s="16">
        <f>COUNTIFS('Base de données'!D:D,A7,'Base de données'!G:G,"&lt;=0",'Base de données'!C:C,"&gt;=01/03",'Base de données'!C:C,"&lt;01/04")</f>
        <v>0</v>
      </c>
      <c r="V7" s="23" t="str">
        <f t="shared" si="8"/>
        <v/>
      </c>
      <c r="W7" s="49"/>
    </row>
    <row r="8" spans="1:23">
      <c r="A8" s="55" t="s">
        <v>45</v>
      </c>
      <c r="B8" s="19">
        <f>COUNTIFS('Base de données'!D:D,A8,'Base de données'!C:C,"&gt;=01/01",'Base de données'!C:C,"&lt;01/02")</f>
        <v>0</v>
      </c>
      <c r="C8" s="16">
        <f>COUNTIFS('Base de données'!D:D,A8,'Base de données'!E:E,"OK",'Base de données'!C:C,"&gt;=01/01",'Base de données'!C:C,"&lt;01/02")+COUNTIFS('Base de données'!D:D,A8,'Base de données'!E:E,"KO - REL",'Base de données'!C:C,"&gt;=01/01",'Base de données'!C:C,"&lt;01/02")</f>
        <v>0</v>
      </c>
      <c r="D8" s="17" t="str">
        <f t="shared" si="0"/>
        <v/>
      </c>
      <c r="E8" s="43">
        <f>COUNTIFS('Base de données'!D:D,A8,'Base de données'!F:F,"OK",'Base de données'!C:C,"&gt;=01/01",'Base de données'!C:C,"&lt;01/02")+COUNTIFS('Base de données'!D:D,A8,'Base de données'!F:F,"KO - REL",'Base de données'!C:C,"&gt;=01/01",'Base de données'!C:C,"&lt;01/02")</f>
        <v>0</v>
      </c>
      <c r="F8" s="17" t="str">
        <f t="shared" si="1"/>
        <v/>
      </c>
      <c r="G8" s="16">
        <f>COUNTIFS('Base de données'!D:D,A8,'Base de données'!G:G,"&lt;=0",'Base de données'!C:C,"&gt;=01/01",'Base de données'!C:C,"&lt;01/02")</f>
        <v>0</v>
      </c>
      <c r="H8" s="23" t="str">
        <f t="shared" si="2"/>
        <v/>
      </c>
      <c r="I8" s="19">
        <f>COUNTIFS('Base de données'!D:D,A8,'Base de données'!C:C,"&gt;=01/02",'Base de données'!C:C,"&lt;01/03")</f>
        <v>0</v>
      </c>
      <c r="J8" s="16">
        <f>COUNTIFS('Base de données'!D:D,A8,'Base de données'!E:E,"OK",'Base de données'!C:C,"&gt;=01/02",'Base de données'!C:C,"&lt;01/03")+COUNTIFS('Base de données'!D:D,A8,'Base de données'!E:E,"KO - REL",'Base de données'!C:C,"&gt;=01/02",'Base de données'!C:C,"&lt;01/03")</f>
        <v>0</v>
      </c>
      <c r="K8" s="17" t="str">
        <f t="shared" si="3"/>
        <v/>
      </c>
      <c r="L8" s="43">
        <f>COUNTIFS('Base de données'!D:D,A8,'Base de données'!F:F,"OK",'Base de données'!C:C,"&gt;=01/02",'Base de données'!C:C,"&lt;01/03")+COUNTIFS('Base de données'!D:D,A8,'Base de données'!F:F,"KO - REL",'Base de données'!C:C,"&gt;=01/02",'Base de données'!C:C,"&lt;01/03")</f>
        <v>0</v>
      </c>
      <c r="M8" s="17" t="str">
        <f t="shared" si="4"/>
        <v/>
      </c>
      <c r="N8" s="16">
        <f>COUNTIFS('Base de données'!D:D,A8,'Base de données'!G:G,"&lt;=0",'Base de données'!C:C,"&gt;=01/02",'Base de données'!C:C,"&lt;01/03")</f>
        <v>0</v>
      </c>
      <c r="O8" s="23" t="str">
        <f t="shared" si="5"/>
        <v/>
      </c>
      <c r="P8" s="19">
        <f>COUNTIFS('Base de données'!D:D,A8,'Base de données'!C:C,"&gt;=01/03",'Base de données'!C:C,"&lt;01/04")</f>
        <v>0</v>
      </c>
      <c r="Q8" s="16">
        <f>COUNTIFS('Base de données'!D:D,A8,'Base de données'!E:E,"OK",'Base de données'!C:C,"&gt;=01/03",'Base de données'!C:C,"&lt;01/04")+COUNTIFS('Base de données'!D:D,A8,'Base de données'!E:E,"KO - REL",'Base de données'!C:C,"&gt;=01/03",'Base de données'!C:C,"&lt;01/04")</f>
        <v>0</v>
      </c>
      <c r="R8" s="17" t="str">
        <f t="shared" si="6"/>
        <v/>
      </c>
      <c r="S8" s="43">
        <f>COUNTIFS('Base de données'!D:D,A8,'Base de données'!F:F,"OK",'Base de données'!C:C,"&gt;=01/03",'Base de données'!C:C,"&lt;01/04")+COUNTIFS('Base de données'!D:D,A8,'Base de données'!F:F,"KO - REL",'Base de données'!C:C,"&gt;=01/03",'Base de données'!C:C,"&lt;01/04")</f>
        <v>0</v>
      </c>
      <c r="T8" s="17" t="str">
        <f t="shared" si="7"/>
        <v/>
      </c>
      <c r="U8" s="16">
        <f>COUNTIFS('Base de données'!D:D,A8,'Base de données'!G:G,"&lt;=0",'Base de données'!C:C,"&gt;=01/03",'Base de données'!C:C,"&lt;01/04")</f>
        <v>0</v>
      </c>
      <c r="V8" s="23" t="str">
        <f t="shared" si="8"/>
        <v/>
      </c>
      <c r="W8" s="49"/>
    </row>
    <row r="9" spans="1:23">
      <c r="A9" s="55" t="s">
        <v>46</v>
      </c>
      <c r="B9" s="19">
        <f>COUNTIFS('Base de données'!D:D,A9,'Base de données'!C:C,"&gt;=01/01",'Base de données'!C:C,"&lt;01/02")</f>
        <v>0</v>
      </c>
      <c r="C9" s="16">
        <f>COUNTIFS('Base de données'!D:D,A9,'Base de données'!E:E,"OK",'Base de données'!C:C,"&gt;=01/01",'Base de données'!C:C,"&lt;01/02")+COUNTIFS('Base de données'!D:D,A9,'Base de données'!E:E,"KO - REL",'Base de données'!C:C,"&gt;=01/01",'Base de données'!C:C,"&lt;01/02")</f>
        <v>0</v>
      </c>
      <c r="D9" s="17" t="str">
        <f t="shared" si="0"/>
        <v/>
      </c>
      <c r="E9" s="43">
        <f>COUNTIFS('Base de données'!D:D,A9,'Base de données'!F:F,"OK",'Base de données'!C:C,"&gt;=01/01",'Base de données'!C:C,"&lt;01/02")+COUNTIFS('Base de données'!D:D,A9,'Base de données'!F:F,"KO - REL",'Base de données'!C:C,"&gt;=01/01",'Base de données'!C:C,"&lt;01/02")</f>
        <v>0</v>
      </c>
      <c r="F9" s="17" t="str">
        <f t="shared" si="1"/>
        <v/>
      </c>
      <c r="G9" s="16">
        <f>COUNTIFS('Base de données'!D:D,A9,'Base de données'!G:G,"&lt;=0",'Base de données'!C:C,"&gt;=01/01",'Base de données'!C:C,"&lt;01/02")</f>
        <v>0</v>
      </c>
      <c r="H9" s="23" t="str">
        <f t="shared" si="2"/>
        <v/>
      </c>
      <c r="I9" s="19">
        <f>COUNTIFS('Base de données'!D:D,A9,'Base de données'!C:C,"&gt;=01/02",'Base de données'!C:C,"&lt;01/03")</f>
        <v>0</v>
      </c>
      <c r="J9" s="16">
        <f>COUNTIFS('Base de données'!D:D,A9,'Base de données'!E:E,"OK",'Base de données'!C:C,"&gt;=01/02",'Base de données'!C:C,"&lt;01/03")+COUNTIFS('Base de données'!D:D,A9,'Base de données'!E:E,"KO - REL",'Base de données'!C:C,"&gt;=01/02",'Base de données'!C:C,"&lt;01/03")</f>
        <v>0</v>
      </c>
      <c r="K9" s="17" t="str">
        <f t="shared" si="3"/>
        <v/>
      </c>
      <c r="L9" s="43">
        <f>COUNTIFS('Base de données'!D:D,A9,'Base de données'!F:F,"OK",'Base de données'!C:C,"&gt;=01/02",'Base de données'!C:C,"&lt;01/03")+COUNTIFS('Base de données'!D:D,A9,'Base de données'!F:F,"KO - REL",'Base de données'!C:C,"&gt;=01/02",'Base de données'!C:C,"&lt;01/03")</f>
        <v>0</v>
      </c>
      <c r="M9" s="17" t="str">
        <f t="shared" si="4"/>
        <v/>
      </c>
      <c r="N9" s="16">
        <f>COUNTIFS('Base de données'!D:D,A9,'Base de données'!G:G,"&lt;=0",'Base de données'!C:C,"&gt;=01/02",'Base de données'!C:C,"&lt;01/03")</f>
        <v>0</v>
      </c>
      <c r="O9" s="23" t="str">
        <f t="shared" si="5"/>
        <v/>
      </c>
      <c r="P9" s="19">
        <f>COUNTIFS('Base de données'!D:D,A9,'Base de données'!C:C,"&gt;=01/03",'Base de données'!C:C,"&lt;01/04")</f>
        <v>0</v>
      </c>
      <c r="Q9" s="16">
        <f>COUNTIFS('Base de données'!D:D,A9,'Base de données'!E:E,"OK",'Base de données'!C:C,"&gt;=01/03",'Base de données'!C:C,"&lt;01/04")+COUNTIFS('Base de données'!D:D,A9,'Base de données'!E:E,"KO - REL",'Base de données'!C:C,"&gt;=01/03",'Base de données'!C:C,"&lt;01/04")</f>
        <v>0</v>
      </c>
      <c r="R9" s="17" t="str">
        <f t="shared" si="6"/>
        <v/>
      </c>
      <c r="S9" s="43">
        <f>COUNTIFS('Base de données'!D:D,A9,'Base de données'!F:F,"OK",'Base de données'!C:C,"&gt;=01/03",'Base de données'!C:C,"&lt;01/04")+COUNTIFS('Base de données'!D:D,A9,'Base de données'!F:F,"KO - REL",'Base de données'!C:C,"&gt;=01/03",'Base de données'!C:C,"&lt;01/04")</f>
        <v>0</v>
      </c>
      <c r="T9" s="17" t="str">
        <f t="shared" si="7"/>
        <v/>
      </c>
      <c r="U9" s="16">
        <f>COUNTIFS('Base de données'!D:D,A9,'Base de données'!G:G,"&lt;=0",'Base de données'!C:C,"&gt;=01/03",'Base de données'!C:C,"&lt;01/04")</f>
        <v>0</v>
      </c>
      <c r="V9" s="23" t="str">
        <f t="shared" si="8"/>
        <v/>
      </c>
      <c r="W9" s="49"/>
    </row>
    <row r="10" spans="1:23">
      <c r="A10" s="55" t="s">
        <v>47</v>
      </c>
      <c r="B10" s="19">
        <f>COUNTIFS('Base de données'!D:D,A10,'Base de données'!C:C,"&gt;=01/01",'Base de données'!C:C,"&lt;01/02")</f>
        <v>0</v>
      </c>
      <c r="C10" s="16">
        <f>COUNTIFS('Base de données'!D:D,A10,'Base de données'!E:E,"OK",'Base de données'!C:C,"&gt;=01/01",'Base de données'!C:C,"&lt;01/02")+COUNTIFS('Base de données'!D:D,A10,'Base de données'!E:E,"KO - REL",'Base de données'!C:C,"&gt;=01/01",'Base de données'!C:C,"&lt;01/02")</f>
        <v>0</v>
      </c>
      <c r="D10" s="17" t="str">
        <f t="shared" si="0"/>
        <v/>
      </c>
      <c r="E10" s="43">
        <f>COUNTIFS('Base de données'!D:D,A10,'Base de données'!F:F,"OK",'Base de données'!C:C,"&gt;=01/01",'Base de données'!C:C,"&lt;01/02")+COUNTIFS('Base de données'!D:D,A10,'Base de données'!F:F,"KO - REL",'Base de données'!C:C,"&gt;=01/01",'Base de données'!C:C,"&lt;01/02")</f>
        <v>0</v>
      </c>
      <c r="F10" s="17" t="str">
        <f t="shared" si="1"/>
        <v/>
      </c>
      <c r="G10" s="16">
        <f>COUNTIFS('Base de données'!D:D,A10,'Base de données'!G:G,"&lt;=0",'Base de données'!C:C,"&gt;=01/01",'Base de données'!C:C,"&lt;01/02")</f>
        <v>0</v>
      </c>
      <c r="H10" s="23" t="str">
        <f t="shared" si="2"/>
        <v/>
      </c>
      <c r="I10" s="19">
        <f>COUNTIFS('Base de données'!D:D,A10,'Base de données'!C:C,"&gt;=01/02",'Base de données'!C:C,"&lt;01/03")</f>
        <v>0</v>
      </c>
      <c r="J10" s="16">
        <f>COUNTIFS('Base de données'!D:D,A10,'Base de données'!E:E,"OK",'Base de données'!C:C,"&gt;=01/02",'Base de données'!C:C,"&lt;01/03")+COUNTIFS('Base de données'!D:D,A10,'Base de données'!E:E,"KO - REL",'Base de données'!C:C,"&gt;=01/02",'Base de données'!C:C,"&lt;01/03")</f>
        <v>0</v>
      </c>
      <c r="K10" s="17" t="str">
        <f t="shared" si="3"/>
        <v/>
      </c>
      <c r="L10" s="43">
        <f>COUNTIFS('Base de données'!D:D,A10,'Base de données'!F:F,"OK",'Base de données'!C:C,"&gt;=01/02",'Base de données'!C:C,"&lt;01/03")+COUNTIFS('Base de données'!D:D,A10,'Base de données'!F:F,"KO - REL",'Base de données'!C:C,"&gt;=01/02",'Base de données'!C:C,"&lt;01/03")</f>
        <v>0</v>
      </c>
      <c r="M10" s="17" t="str">
        <f t="shared" si="4"/>
        <v/>
      </c>
      <c r="N10" s="16">
        <f>COUNTIFS('Base de données'!D:D,A10,'Base de données'!G:G,"&lt;=0",'Base de données'!C:C,"&gt;=01/02",'Base de données'!C:C,"&lt;01/03")</f>
        <v>0</v>
      </c>
      <c r="O10" s="23" t="str">
        <f t="shared" si="5"/>
        <v/>
      </c>
      <c r="P10" s="19">
        <f>COUNTIFS('Base de données'!D:D,A10,'Base de données'!C:C,"&gt;=01/03",'Base de données'!C:C,"&lt;01/04")</f>
        <v>0</v>
      </c>
      <c r="Q10" s="16">
        <f>COUNTIFS('Base de données'!D:D,A10,'Base de données'!E:E,"OK",'Base de données'!C:C,"&gt;=01/03",'Base de données'!C:C,"&lt;01/04")+COUNTIFS('Base de données'!D:D,A10,'Base de données'!E:E,"KO - REL",'Base de données'!C:C,"&gt;=01/03",'Base de données'!C:C,"&lt;01/04")</f>
        <v>0</v>
      </c>
      <c r="R10" s="17" t="str">
        <f t="shared" si="6"/>
        <v/>
      </c>
      <c r="S10" s="43">
        <f>COUNTIFS('Base de données'!D:D,A10,'Base de données'!F:F,"OK",'Base de données'!C:C,"&gt;=01/03",'Base de données'!C:C,"&lt;01/04")+COUNTIFS('Base de données'!D:D,A10,'Base de données'!F:F,"KO - REL",'Base de données'!C:C,"&gt;=01/03",'Base de données'!C:C,"&lt;01/04")</f>
        <v>0</v>
      </c>
      <c r="T10" s="17" t="str">
        <f t="shared" si="7"/>
        <v/>
      </c>
      <c r="U10" s="16">
        <f>COUNTIFS('Base de données'!D:D,A10,'Base de données'!G:G,"&lt;=0",'Base de données'!C:C,"&gt;=01/03",'Base de données'!C:C,"&lt;01/04")</f>
        <v>0</v>
      </c>
      <c r="V10" s="23" t="str">
        <f t="shared" si="8"/>
        <v/>
      </c>
      <c r="W10" s="49"/>
    </row>
    <row r="11" spans="1:23">
      <c r="A11" s="55" t="s">
        <v>48</v>
      </c>
      <c r="B11" s="19">
        <f>COUNTIFS('Base de données'!D:D,A11,'Base de données'!C:C,"&gt;=01/01",'Base de données'!C:C,"&lt;01/02")</f>
        <v>0</v>
      </c>
      <c r="C11" s="16">
        <f>COUNTIFS('Base de données'!D:D,A11,'Base de données'!E:E,"OK",'Base de données'!C:C,"&gt;=01/01",'Base de données'!C:C,"&lt;01/02")+COUNTIFS('Base de données'!D:D,A11,'Base de données'!E:E,"KO - REL",'Base de données'!C:C,"&gt;=01/01",'Base de données'!C:C,"&lt;01/02")</f>
        <v>0</v>
      </c>
      <c r="D11" s="17" t="str">
        <f t="shared" si="0"/>
        <v/>
      </c>
      <c r="E11" s="43">
        <f>COUNTIFS('Base de données'!D:D,A11,'Base de données'!F:F,"OK",'Base de données'!C:C,"&gt;=01/01",'Base de données'!C:C,"&lt;01/02")+COUNTIFS('Base de données'!D:D,A11,'Base de données'!F:F,"KO - REL",'Base de données'!C:C,"&gt;=01/01",'Base de données'!C:C,"&lt;01/02")</f>
        <v>0</v>
      </c>
      <c r="F11" s="17" t="str">
        <f t="shared" si="1"/>
        <v/>
      </c>
      <c r="G11" s="16">
        <f>COUNTIFS('Base de données'!D:D,A11,'Base de données'!G:G,"&lt;=0",'Base de données'!C:C,"&gt;=01/01",'Base de données'!C:C,"&lt;01/02")</f>
        <v>0</v>
      </c>
      <c r="H11" s="23" t="str">
        <f t="shared" si="2"/>
        <v/>
      </c>
      <c r="I11" s="19">
        <f>COUNTIFS('Base de données'!D:D,A11,'Base de données'!C:C,"&gt;=01/02",'Base de données'!C:C,"&lt;01/03")</f>
        <v>0</v>
      </c>
      <c r="J11" s="16">
        <f>COUNTIFS('Base de données'!D:D,A11,'Base de données'!E:E,"OK",'Base de données'!C:C,"&gt;=01/02",'Base de données'!C:C,"&lt;01/03")+COUNTIFS('Base de données'!D:D,A11,'Base de données'!E:E,"KO - REL",'Base de données'!C:C,"&gt;=01/02",'Base de données'!C:C,"&lt;01/03")</f>
        <v>0</v>
      </c>
      <c r="K11" s="17" t="str">
        <f t="shared" si="3"/>
        <v/>
      </c>
      <c r="L11" s="43">
        <f>COUNTIFS('Base de données'!D:D,A11,'Base de données'!F:F,"OK",'Base de données'!C:C,"&gt;=01/02",'Base de données'!C:C,"&lt;01/03")+COUNTIFS('Base de données'!D:D,A11,'Base de données'!F:F,"KO - REL",'Base de données'!C:C,"&gt;=01/02",'Base de données'!C:C,"&lt;01/03")</f>
        <v>0</v>
      </c>
      <c r="M11" s="17" t="str">
        <f t="shared" si="4"/>
        <v/>
      </c>
      <c r="N11" s="16">
        <f>COUNTIFS('Base de données'!D:D,A11,'Base de données'!G:G,"&lt;=0",'Base de données'!C:C,"&gt;=01/02",'Base de données'!C:C,"&lt;01/03")</f>
        <v>0</v>
      </c>
      <c r="O11" s="23" t="str">
        <f t="shared" si="5"/>
        <v/>
      </c>
      <c r="P11" s="19">
        <f>COUNTIFS('Base de données'!D:D,A11,'Base de données'!C:C,"&gt;=01/03",'Base de données'!C:C,"&lt;01/04")</f>
        <v>0</v>
      </c>
      <c r="Q11" s="16">
        <f>COUNTIFS('Base de données'!D:D,A11,'Base de données'!E:E,"OK",'Base de données'!C:C,"&gt;=01/03",'Base de données'!C:C,"&lt;01/04")+COUNTIFS('Base de données'!D:D,A11,'Base de données'!E:E,"KO - REL",'Base de données'!C:C,"&gt;=01/03",'Base de données'!C:C,"&lt;01/04")</f>
        <v>0</v>
      </c>
      <c r="R11" s="17" t="str">
        <f t="shared" si="6"/>
        <v/>
      </c>
      <c r="S11" s="43">
        <f>COUNTIFS('Base de données'!D:D,A11,'Base de données'!F:F,"OK",'Base de données'!C:C,"&gt;=01/03",'Base de données'!C:C,"&lt;01/04")+COUNTIFS('Base de données'!D:D,A11,'Base de données'!F:F,"KO - REL",'Base de données'!C:C,"&gt;=01/03",'Base de données'!C:C,"&lt;01/04")</f>
        <v>0</v>
      </c>
      <c r="T11" s="17" t="str">
        <f t="shared" si="7"/>
        <v/>
      </c>
      <c r="U11" s="16">
        <f>COUNTIFS('Base de données'!D:D,A11,'Base de données'!G:G,"&lt;=0",'Base de données'!C:C,"&gt;=01/03",'Base de données'!C:C,"&lt;01/04")</f>
        <v>0</v>
      </c>
      <c r="V11" s="23" t="str">
        <f t="shared" si="8"/>
        <v/>
      </c>
      <c r="W11" s="49"/>
    </row>
    <row r="12" spans="1:23">
      <c r="A12" s="55" t="s">
        <v>49</v>
      </c>
      <c r="B12" s="19">
        <f>COUNTIFS('Base de données'!D:D,A12,'Base de données'!C:C,"&gt;=01/01",'Base de données'!C:C,"&lt;01/02")</f>
        <v>0</v>
      </c>
      <c r="C12" s="16">
        <f>COUNTIFS('Base de données'!D:D,A12,'Base de données'!E:E,"OK",'Base de données'!C:C,"&gt;=01/01",'Base de données'!C:C,"&lt;01/02")+COUNTIFS('Base de données'!D:D,A12,'Base de données'!E:E,"KO - REL",'Base de données'!C:C,"&gt;=01/01",'Base de données'!C:C,"&lt;01/02")</f>
        <v>0</v>
      </c>
      <c r="D12" s="17" t="str">
        <f t="shared" si="0"/>
        <v/>
      </c>
      <c r="E12" s="43">
        <f>COUNTIFS('Base de données'!D:D,A12,'Base de données'!F:F,"OK",'Base de données'!C:C,"&gt;=01/01",'Base de données'!C:C,"&lt;01/02")+COUNTIFS('Base de données'!D:D,A12,'Base de données'!F:F,"KO - REL",'Base de données'!C:C,"&gt;=01/01",'Base de données'!C:C,"&lt;01/02")</f>
        <v>0</v>
      </c>
      <c r="F12" s="17" t="str">
        <f t="shared" si="1"/>
        <v/>
      </c>
      <c r="G12" s="16">
        <f>COUNTIFS('Base de données'!D:D,A12,'Base de données'!G:G,"&lt;=0",'Base de données'!C:C,"&gt;=01/01",'Base de données'!C:C,"&lt;01/02")</f>
        <v>0</v>
      </c>
      <c r="H12" s="23" t="str">
        <f t="shared" si="2"/>
        <v/>
      </c>
      <c r="I12" s="19">
        <f>COUNTIFS('Base de données'!D:D,A12,'Base de données'!C:C,"&gt;=01/02",'Base de données'!C:C,"&lt;01/03")</f>
        <v>0</v>
      </c>
      <c r="J12" s="16">
        <f>COUNTIFS('Base de données'!D:D,A12,'Base de données'!E:E,"OK",'Base de données'!C:C,"&gt;=01/02",'Base de données'!C:C,"&lt;01/03")+COUNTIFS('Base de données'!D:D,A12,'Base de données'!E:E,"KO - REL",'Base de données'!C:C,"&gt;=01/02",'Base de données'!C:C,"&lt;01/03")</f>
        <v>0</v>
      </c>
      <c r="K12" s="17" t="str">
        <f t="shared" si="3"/>
        <v/>
      </c>
      <c r="L12" s="43">
        <f>COUNTIFS('Base de données'!D:D,A12,'Base de données'!F:F,"OK",'Base de données'!C:C,"&gt;=01/02",'Base de données'!C:C,"&lt;01/03")+COUNTIFS('Base de données'!D:D,A12,'Base de données'!F:F,"KO - REL",'Base de données'!C:C,"&gt;=01/02",'Base de données'!C:C,"&lt;01/03")</f>
        <v>0</v>
      </c>
      <c r="M12" s="17" t="str">
        <f t="shared" si="4"/>
        <v/>
      </c>
      <c r="N12" s="16">
        <f>COUNTIFS('Base de données'!D:D,A12,'Base de données'!G:G,"&lt;=0",'Base de données'!C:C,"&gt;=01/02",'Base de données'!C:C,"&lt;01/03")</f>
        <v>0</v>
      </c>
      <c r="O12" s="23" t="str">
        <f t="shared" si="5"/>
        <v/>
      </c>
      <c r="P12" s="19">
        <f>COUNTIFS('Base de données'!D:D,A12,'Base de données'!C:C,"&gt;=01/03",'Base de données'!C:C,"&lt;01/04")</f>
        <v>0</v>
      </c>
      <c r="Q12" s="16">
        <f>COUNTIFS('Base de données'!D:D,A12,'Base de données'!E:E,"OK",'Base de données'!C:C,"&gt;=01/03",'Base de données'!C:C,"&lt;01/04")+COUNTIFS('Base de données'!D:D,A12,'Base de données'!E:E,"KO - REL",'Base de données'!C:C,"&gt;=01/03",'Base de données'!C:C,"&lt;01/04")</f>
        <v>0</v>
      </c>
      <c r="R12" s="17" t="str">
        <f t="shared" si="6"/>
        <v/>
      </c>
      <c r="S12" s="43">
        <f>COUNTIFS('Base de données'!D:D,A12,'Base de données'!F:F,"OK",'Base de données'!C:C,"&gt;=01/03",'Base de données'!C:C,"&lt;01/04")+COUNTIFS('Base de données'!D:D,A12,'Base de données'!F:F,"KO - REL",'Base de données'!C:C,"&gt;=01/03",'Base de données'!C:C,"&lt;01/04")</f>
        <v>0</v>
      </c>
      <c r="T12" s="17" t="str">
        <f t="shared" si="7"/>
        <v/>
      </c>
      <c r="U12" s="16">
        <f>COUNTIFS('Base de données'!D:D,A12,'Base de données'!G:G,"&lt;=0",'Base de données'!C:C,"&gt;=01/03",'Base de données'!C:C,"&lt;01/04")</f>
        <v>0</v>
      </c>
      <c r="V12" s="23" t="str">
        <f t="shared" si="8"/>
        <v/>
      </c>
      <c r="W12" s="49"/>
    </row>
    <row r="13" spans="1:23">
      <c r="A13" s="55" t="s">
        <v>50</v>
      </c>
      <c r="B13" s="19">
        <f>COUNTIFS('Base de données'!D:D,A13,'Base de données'!C:C,"&gt;=01/01",'Base de données'!C:C,"&lt;01/02")</f>
        <v>0</v>
      </c>
      <c r="C13" s="16">
        <f>COUNTIFS('Base de données'!D:D,A13,'Base de données'!E:E,"OK",'Base de données'!C:C,"&gt;=01/01",'Base de données'!C:C,"&lt;01/02")+COUNTIFS('Base de données'!D:D,A13,'Base de données'!E:E,"KO - REL",'Base de données'!C:C,"&gt;=01/01",'Base de données'!C:C,"&lt;01/02")</f>
        <v>0</v>
      </c>
      <c r="D13" s="17" t="str">
        <f t="shared" si="0"/>
        <v/>
      </c>
      <c r="E13" s="43">
        <f>COUNTIFS('Base de données'!D:D,A13,'Base de données'!F:F,"OK",'Base de données'!C:C,"&gt;=01/01",'Base de données'!C:C,"&lt;01/02")+COUNTIFS('Base de données'!D:D,A13,'Base de données'!F:F,"KO - REL",'Base de données'!C:C,"&gt;=01/01",'Base de données'!C:C,"&lt;01/02")</f>
        <v>0</v>
      </c>
      <c r="F13" s="17" t="str">
        <f t="shared" si="1"/>
        <v/>
      </c>
      <c r="G13" s="16">
        <f>COUNTIFS('Base de données'!D:D,A13,'Base de données'!G:G,"&lt;=0",'Base de données'!C:C,"&gt;=01/01",'Base de données'!C:C,"&lt;01/02")</f>
        <v>0</v>
      </c>
      <c r="H13" s="23" t="str">
        <f t="shared" si="2"/>
        <v/>
      </c>
      <c r="I13" s="19">
        <f>COUNTIFS('Base de données'!D:D,A13,'Base de données'!C:C,"&gt;=01/02",'Base de données'!C:C,"&lt;01/03")</f>
        <v>0</v>
      </c>
      <c r="J13" s="16">
        <f>COUNTIFS('Base de données'!D:D,A13,'Base de données'!E:E,"OK",'Base de données'!C:C,"&gt;=01/02",'Base de données'!C:C,"&lt;01/03")+COUNTIFS('Base de données'!D:D,A13,'Base de données'!E:E,"KO - REL",'Base de données'!C:C,"&gt;=01/02",'Base de données'!C:C,"&lt;01/03")</f>
        <v>0</v>
      </c>
      <c r="K13" s="17" t="str">
        <f t="shared" si="3"/>
        <v/>
      </c>
      <c r="L13" s="43">
        <f>COUNTIFS('Base de données'!D:D,A13,'Base de données'!F:F,"OK",'Base de données'!C:C,"&gt;=01/02",'Base de données'!C:C,"&lt;01/03")+COUNTIFS('Base de données'!D:D,A13,'Base de données'!F:F,"KO - REL",'Base de données'!C:C,"&gt;=01/02",'Base de données'!C:C,"&lt;01/03")</f>
        <v>0</v>
      </c>
      <c r="M13" s="17" t="str">
        <f t="shared" si="4"/>
        <v/>
      </c>
      <c r="N13" s="16">
        <f>COUNTIFS('Base de données'!D:D,A13,'Base de données'!G:G,"&lt;=0",'Base de données'!C:C,"&gt;=01/02",'Base de données'!C:C,"&lt;01/03")</f>
        <v>0</v>
      </c>
      <c r="O13" s="23" t="str">
        <f t="shared" si="5"/>
        <v/>
      </c>
      <c r="P13" s="19">
        <f>COUNTIFS('Base de données'!D:D,A13,'Base de données'!C:C,"&gt;=01/03",'Base de données'!C:C,"&lt;01/04")</f>
        <v>0</v>
      </c>
      <c r="Q13" s="16">
        <f>COUNTIFS('Base de données'!D:D,A13,'Base de données'!E:E,"OK",'Base de données'!C:C,"&gt;=01/03",'Base de données'!C:C,"&lt;01/04")+COUNTIFS('Base de données'!D:D,A13,'Base de données'!E:E,"KO - REL",'Base de données'!C:C,"&gt;=01/03",'Base de données'!C:C,"&lt;01/04")</f>
        <v>0</v>
      </c>
      <c r="R13" s="17" t="str">
        <f t="shared" si="6"/>
        <v/>
      </c>
      <c r="S13" s="43">
        <f>COUNTIFS('Base de données'!D:D,A13,'Base de données'!F:F,"OK",'Base de données'!C:C,"&gt;=01/03",'Base de données'!C:C,"&lt;01/04")+COUNTIFS('Base de données'!D:D,A13,'Base de données'!F:F,"KO - REL",'Base de données'!C:C,"&gt;=01/03",'Base de données'!C:C,"&lt;01/04")</f>
        <v>0</v>
      </c>
      <c r="T13" s="17" t="str">
        <f t="shared" si="7"/>
        <v/>
      </c>
      <c r="U13" s="16">
        <f>COUNTIFS('Base de données'!D:D,A13,'Base de données'!G:G,"&lt;=0",'Base de données'!C:C,"&gt;=01/03",'Base de données'!C:C,"&lt;01/04")</f>
        <v>0</v>
      </c>
      <c r="V13" s="23" t="str">
        <f t="shared" si="8"/>
        <v/>
      </c>
      <c r="W13" s="49"/>
    </row>
    <row r="14" spans="1:23">
      <c r="A14" s="55" t="s">
        <v>51</v>
      </c>
      <c r="B14" s="19">
        <f>COUNTIFS('Base de données'!D:D,A14,'Base de données'!C:C,"&gt;=01/01",'Base de données'!C:C,"&lt;01/02")</f>
        <v>0</v>
      </c>
      <c r="C14" s="16">
        <f>COUNTIFS('Base de données'!D:D,A14,'Base de données'!E:E,"OK",'Base de données'!C:C,"&gt;=01/01",'Base de données'!C:C,"&lt;01/02")+COUNTIFS('Base de données'!D:D,A14,'Base de données'!E:E,"KO - REL",'Base de données'!C:C,"&gt;=01/01",'Base de données'!C:C,"&lt;01/02")</f>
        <v>0</v>
      </c>
      <c r="D14" s="17" t="str">
        <f t="shared" si="0"/>
        <v/>
      </c>
      <c r="E14" s="43">
        <f>COUNTIFS('Base de données'!D:D,A14,'Base de données'!F:F,"OK",'Base de données'!C:C,"&gt;=01/01",'Base de données'!C:C,"&lt;01/02")+COUNTIFS('Base de données'!D:D,A14,'Base de données'!F:F,"KO - REL",'Base de données'!C:C,"&gt;=01/01",'Base de données'!C:C,"&lt;01/02")</f>
        <v>0</v>
      </c>
      <c r="F14" s="17" t="str">
        <f t="shared" si="1"/>
        <v/>
      </c>
      <c r="G14" s="16">
        <f>COUNTIFS('Base de données'!D:D,A14,'Base de données'!G:G,"&lt;=0",'Base de données'!C:C,"&gt;=01/01",'Base de données'!C:C,"&lt;01/02")</f>
        <v>0</v>
      </c>
      <c r="H14" s="23" t="str">
        <f t="shared" si="2"/>
        <v/>
      </c>
      <c r="I14" s="19">
        <f>COUNTIFS('Base de données'!D:D,A14,'Base de données'!C:C,"&gt;=01/02",'Base de données'!C:C,"&lt;01/03")</f>
        <v>0</v>
      </c>
      <c r="J14" s="16">
        <f>COUNTIFS('Base de données'!D:D,A14,'Base de données'!E:E,"OK",'Base de données'!C:C,"&gt;=01/02",'Base de données'!C:C,"&lt;01/03")+COUNTIFS('Base de données'!D:D,A14,'Base de données'!E:E,"KO - REL",'Base de données'!C:C,"&gt;=01/02",'Base de données'!C:C,"&lt;01/03")</f>
        <v>0</v>
      </c>
      <c r="K14" s="17" t="str">
        <f t="shared" si="3"/>
        <v/>
      </c>
      <c r="L14" s="43">
        <f>COUNTIFS('Base de données'!D:D,A14,'Base de données'!F:F,"OK",'Base de données'!C:C,"&gt;=01/02",'Base de données'!C:C,"&lt;01/03")+COUNTIFS('Base de données'!D:D,A14,'Base de données'!F:F,"KO - REL",'Base de données'!C:C,"&gt;=01/02",'Base de données'!C:C,"&lt;01/03")</f>
        <v>0</v>
      </c>
      <c r="M14" s="17" t="str">
        <f t="shared" si="4"/>
        <v/>
      </c>
      <c r="N14" s="16">
        <f>COUNTIFS('Base de données'!D:D,A14,'Base de données'!G:G,"&lt;=0",'Base de données'!C:C,"&gt;=01/02",'Base de données'!C:C,"&lt;01/03")</f>
        <v>0</v>
      </c>
      <c r="O14" s="23" t="str">
        <f t="shared" si="5"/>
        <v/>
      </c>
      <c r="P14" s="19">
        <f>COUNTIFS('Base de données'!D:D,A14,'Base de données'!C:C,"&gt;=01/03",'Base de données'!C:C,"&lt;01/04")</f>
        <v>0</v>
      </c>
      <c r="Q14" s="16">
        <f>COUNTIFS('Base de données'!D:D,A14,'Base de données'!E:E,"OK",'Base de données'!C:C,"&gt;=01/03",'Base de données'!C:C,"&lt;01/04")+COUNTIFS('Base de données'!D:D,A14,'Base de données'!E:E,"KO - REL",'Base de données'!C:C,"&gt;=01/03",'Base de données'!C:C,"&lt;01/04")</f>
        <v>0</v>
      </c>
      <c r="R14" s="17" t="str">
        <f t="shared" si="6"/>
        <v/>
      </c>
      <c r="S14" s="43">
        <f>COUNTIFS('Base de données'!D:D,A14,'Base de données'!F:F,"OK",'Base de données'!C:C,"&gt;=01/03",'Base de données'!C:C,"&lt;01/04")+COUNTIFS('Base de données'!D:D,A14,'Base de données'!F:F,"KO - REL",'Base de données'!C:C,"&gt;=01/03",'Base de données'!C:C,"&lt;01/04")</f>
        <v>0</v>
      </c>
      <c r="T14" s="17" t="str">
        <f t="shared" si="7"/>
        <v/>
      </c>
      <c r="U14" s="16">
        <f>COUNTIFS('Base de données'!D:D,A14,'Base de données'!G:G,"&lt;=0",'Base de données'!C:C,"&gt;=01/03",'Base de données'!C:C,"&lt;01/04")</f>
        <v>0</v>
      </c>
      <c r="V14" s="23" t="str">
        <f t="shared" si="8"/>
        <v/>
      </c>
      <c r="W14" s="49"/>
    </row>
    <row r="15" spans="1:23">
      <c r="A15" s="55" t="s">
        <v>52</v>
      </c>
      <c r="B15" s="19">
        <f>COUNTIFS('Base de données'!D:D,A15,'Base de données'!C:C,"&gt;=01/01",'Base de données'!C:C,"&lt;01/02")</f>
        <v>0</v>
      </c>
      <c r="C15" s="16">
        <f>COUNTIFS('Base de données'!D:D,A15,'Base de données'!E:E,"OK",'Base de données'!C:C,"&gt;=01/01",'Base de données'!C:C,"&lt;01/02")+COUNTIFS('Base de données'!D:D,A15,'Base de données'!E:E,"KO - REL",'Base de données'!C:C,"&gt;=01/01",'Base de données'!C:C,"&lt;01/02")</f>
        <v>0</v>
      </c>
      <c r="D15" s="17" t="str">
        <f t="shared" si="0"/>
        <v/>
      </c>
      <c r="E15" s="43">
        <f>COUNTIFS('Base de données'!D:D,A15,'Base de données'!F:F,"OK",'Base de données'!C:C,"&gt;=01/01",'Base de données'!C:C,"&lt;01/02")+COUNTIFS('Base de données'!D:D,A15,'Base de données'!F:F,"KO - REL",'Base de données'!C:C,"&gt;=01/01",'Base de données'!C:C,"&lt;01/02")</f>
        <v>0</v>
      </c>
      <c r="F15" s="17" t="str">
        <f t="shared" si="1"/>
        <v/>
      </c>
      <c r="G15" s="16">
        <f>COUNTIFS('Base de données'!D:D,A15,'Base de données'!G:G,"&lt;=0",'Base de données'!C:C,"&gt;=01/01",'Base de données'!C:C,"&lt;01/02")</f>
        <v>0</v>
      </c>
      <c r="H15" s="23" t="str">
        <f t="shared" si="2"/>
        <v/>
      </c>
      <c r="I15" s="19">
        <f>COUNTIFS('Base de données'!D:D,A15,'Base de données'!C:C,"&gt;=01/02",'Base de données'!C:C,"&lt;01/03")</f>
        <v>0</v>
      </c>
      <c r="J15" s="16">
        <f>COUNTIFS('Base de données'!D:D,A15,'Base de données'!E:E,"OK",'Base de données'!C:C,"&gt;=01/02",'Base de données'!C:C,"&lt;01/03")+COUNTIFS('Base de données'!D:D,A15,'Base de données'!E:E,"KO - REL",'Base de données'!C:C,"&gt;=01/02",'Base de données'!C:C,"&lt;01/03")</f>
        <v>0</v>
      </c>
      <c r="K15" s="17" t="str">
        <f t="shared" si="3"/>
        <v/>
      </c>
      <c r="L15" s="43">
        <f>COUNTIFS('Base de données'!D:D,A15,'Base de données'!F:F,"OK",'Base de données'!C:C,"&gt;=01/02",'Base de données'!C:C,"&lt;01/03")+COUNTIFS('Base de données'!D:D,A15,'Base de données'!F:F,"KO - REL",'Base de données'!C:C,"&gt;=01/02",'Base de données'!C:C,"&lt;01/03")</f>
        <v>0</v>
      </c>
      <c r="M15" s="17" t="str">
        <f t="shared" si="4"/>
        <v/>
      </c>
      <c r="N15" s="16">
        <f>COUNTIFS('Base de données'!D:D,A15,'Base de données'!G:G,"&lt;=0",'Base de données'!C:C,"&gt;=01/02",'Base de données'!C:C,"&lt;01/03")</f>
        <v>0</v>
      </c>
      <c r="O15" s="23" t="str">
        <f t="shared" si="5"/>
        <v/>
      </c>
      <c r="P15" s="19">
        <f>COUNTIFS('Base de données'!D:D,A15,'Base de données'!C:C,"&gt;=01/03",'Base de données'!C:C,"&lt;01/04")</f>
        <v>0</v>
      </c>
      <c r="Q15" s="16">
        <f>COUNTIFS('Base de données'!D:D,A15,'Base de données'!E:E,"OK",'Base de données'!C:C,"&gt;=01/03",'Base de données'!C:C,"&lt;01/04")+COUNTIFS('Base de données'!D:D,A15,'Base de données'!E:E,"KO - REL",'Base de données'!C:C,"&gt;=01/03",'Base de données'!C:C,"&lt;01/04")</f>
        <v>0</v>
      </c>
      <c r="R15" s="17" t="str">
        <f t="shared" si="6"/>
        <v/>
      </c>
      <c r="S15" s="43">
        <f>COUNTIFS('Base de données'!D:D,A15,'Base de données'!F:F,"OK",'Base de données'!C:C,"&gt;=01/03",'Base de données'!C:C,"&lt;01/04")+COUNTIFS('Base de données'!D:D,A15,'Base de données'!F:F,"KO - REL",'Base de données'!C:C,"&gt;=01/03",'Base de données'!C:C,"&lt;01/04")</f>
        <v>0</v>
      </c>
      <c r="T15" s="17" t="str">
        <f t="shared" si="7"/>
        <v/>
      </c>
      <c r="U15" s="16">
        <f>COUNTIFS('Base de données'!D:D,A15,'Base de données'!G:G,"&lt;=0",'Base de données'!C:C,"&gt;=01/03",'Base de données'!C:C,"&lt;01/04")</f>
        <v>0</v>
      </c>
      <c r="V15" s="23" t="str">
        <f t="shared" si="8"/>
        <v/>
      </c>
      <c r="W15" s="49"/>
    </row>
    <row r="16" spans="1:23">
      <c r="A16" s="55" t="s">
        <v>53</v>
      </c>
      <c r="B16" s="19">
        <f>COUNTIFS('Base de données'!D:D,A16,'Base de données'!C:C,"&gt;=01/01",'Base de données'!C:C,"&lt;01/02")</f>
        <v>0</v>
      </c>
      <c r="C16" s="16">
        <f>COUNTIFS('Base de données'!D:D,A16,'Base de données'!E:E,"OK",'Base de données'!C:C,"&gt;=01/01",'Base de données'!C:C,"&lt;01/02")+COUNTIFS('Base de données'!D:D,A16,'Base de données'!E:E,"KO - REL",'Base de données'!C:C,"&gt;=01/01",'Base de données'!C:C,"&lt;01/02")</f>
        <v>0</v>
      </c>
      <c r="D16" s="17" t="str">
        <f t="shared" si="0"/>
        <v/>
      </c>
      <c r="E16" s="43">
        <f>COUNTIFS('Base de données'!D:D,A16,'Base de données'!F:F,"OK",'Base de données'!C:C,"&gt;=01/01",'Base de données'!C:C,"&lt;01/02")+COUNTIFS('Base de données'!D:D,A16,'Base de données'!F:F,"KO - REL",'Base de données'!C:C,"&gt;=01/01",'Base de données'!C:C,"&lt;01/02")</f>
        <v>0</v>
      </c>
      <c r="F16" s="17" t="str">
        <f t="shared" si="1"/>
        <v/>
      </c>
      <c r="G16" s="16">
        <f>COUNTIFS('Base de données'!D:D,A16,'Base de données'!G:G,"&lt;=0",'Base de données'!C:C,"&gt;=01/01",'Base de données'!C:C,"&lt;01/02")</f>
        <v>0</v>
      </c>
      <c r="H16" s="23" t="str">
        <f t="shared" si="2"/>
        <v/>
      </c>
      <c r="I16" s="19">
        <f>COUNTIFS('Base de données'!D:D,A16,'Base de données'!C:C,"&gt;=01/02",'Base de données'!C:C,"&lt;01/03")</f>
        <v>0</v>
      </c>
      <c r="J16" s="16">
        <f>COUNTIFS('Base de données'!D:D,A16,'Base de données'!E:E,"OK",'Base de données'!C:C,"&gt;=01/02",'Base de données'!C:C,"&lt;01/03")+COUNTIFS('Base de données'!D:D,A16,'Base de données'!E:E,"KO - REL",'Base de données'!C:C,"&gt;=01/02",'Base de données'!C:C,"&lt;01/03")</f>
        <v>0</v>
      </c>
      <c r="K16" s="17" t="str">
        <f t="shared" si="3"/>
        <v/>
      </c>
      <c r="L16" s="43">
        <f>COUNTIFS('Base de données'!D:D,A16,'Base de données'!F:F,"OK",'Base de données'!C:C,"&gt;=01/02",'Base de données'!C:C,"&lt;01/03")+COUNTIFS('Base de données'!D:D,A16,'Base de données'!F:F,"KO - REL",'Base de données'!C:C,"&gt;=01/02",'Base de données'!C:C,"&lt;01/03")</f>
        <v>0</v>
      </c>
      <c r="M16" s="17" t="str">
        <f t="shared" si="4"/>
        <v/>
      </c>
      <c r="N16" s="16">
        <f>COUNTIFS('Base de données'!D:D,A16,'Base de données'!G:G,"&lt;=0",'Base de données'!C:C,"&gt;=01/02",'Base de données'!C:C,"&lt;01/03")</f>
        <v>0</v>
      </c>
      <c r="O16" s="23" t="str">
        <f t="shared" si="5"/>
        <v/>
      </c>
      <c r="P16" s="19">
        <f>COUNTIFS('Base de données'!D:D,A16,'Base de données'!C:C,"&gt;=01/03",'Base de données'!C:C,"&lt;01/04")</f>
        <v>0</v>
      </c>
      <c r="Q16" s="16">
        <f>COUNTIFS('Base de données'!D:D,A16,'Base de données'!E:E,"OK",'Base de données'!C:C,"&gt;=01/03",'Base de données'!C:C,"&lt;01/04")+COUNTIFS('Base de données'!D:D,A16,'Base de données'!E:E,"KO - REL",'Base de données'!C:C,"&gt;=01/03",'Base de données'!C:C,"&lt;01/04")</f>
        <v>0</v>
      </c>
      <c r="R16" s="17" t="str">
        <f t="shared" si="6"/>
        <v/>
      </c>
      <c r="S16" s="43">
        <f>COUNTIFS('Base de données'!D:D,A16,'Base de données'!F:F,"OK",'Base de données'!C:C,"&gt;=01/03",'Base de données'!C:C,"&lt;01/04")+COUNTIFS('Base de données'!D:D,A16,'Base de données'!F:F,"KO - REL",'Base de données'!C:C,"&gt;=01/03",'Base de données'!C:C,"&lt;01/04")</f>
        <v>0</v>
      </c>
      <c r="T16" s="17" t="str">
        <f t="shared" si="7"/>
        <v/>
      </c>
      <c r="U16" s="16">
        <f>COUNTIFS('Base de données'!D:D,A16,'Base de données'!G:G,"&lt;=0",'Base de données'!C:C,"&gt;=01/03",'Base de données'!C:C,"&lt;01/04")</f>
        <v>0</v>
      </c>
      <c r="V16" s="23" t="str">
        <f t="shared" si="8"/>
        <v/>
      </c>
      <c r="W16" s="49"/>
    </row>
    <row r="17" spans="1:23">
      <c r="A17" s="55" t="s">
        <v>54</v>
      </c>
      <c r="B17" s="19">
        <f>COUNTIFS('Base de données'!D:D,A17,'Base de données'!C:C,"&gt;=01/01",'Base de données'!C:C,"&lt;01/02")</f>
        <v>0</v>
      </c>
      <c r="C17" s="16">
        <f>COUNTIFS('Base de données'!D:D,A17,'Base de données'!E:E,"OK",'Base de données'!C:C,"&gt;=01/01",'Base de données'!C:C,"&lt;01/02")+COUNTIFS('Base de données'!D:D,A17,'Base de données'!E:E,"KO - REL",'Base de données'!C:C,"&gt;=01/01",'Base de données'!C:C,"&lt;01/02")</f>
        <v>0</v>
      </c>
      <c r="D17" s="17" t="str">
        <f t="shared" si="0"/>
        <v/>
      </c>
      <c r="E17" s="43">
        <f>COUNTIFS('Base de données'!D:D,A17,'Base de données'!F:F,"OK",'Base de données'!C:C,"&gt;=01/01",'Base de données'!C:C,"&lt;01/02")+COUNTIFS('Base de données'!D:D,A17,'Base de données'!F:F,"KO - REL",'Base de données'!C:C,"&gt;=01/01",'Base de données'!C:C,"&lt;01/02")</f>
        <v>0</v>
      </c>
      <c r="F17" s="17" t="str">
        <f t="shared" si="1"/>
        <v/>
      </c>
      <c r="G17" s="16">
        <f>COUNTIFS('Base de données'!D:D,A17,'Base de données'!G:G,"&lt;=0",'Base de données'!C:C,"&gt;=01/01",'Base de données'!C:C,"&lt;01/02")</f>
        <v>0</v>
      </c>
      <c r="H17" s="23" t="str">
        <f t="shared" si="2"/>
        <v/>
      </c>
      <c r="I17" s="19">
        <f>COUNTIFS('Base de données'!D:D,A17,'Base de données'!C:C,"&gt;=01/02",'Base de données'!C:C,"&lt;01/03")</f>
        <v>0</v>
      </c>
      <c r="J17" s="16">
        <f>COUNTIFS('Base de données'!D:D,A17,'Base de données'!E:E,"OK",'Base de données'!C:C,"&gt;=01/02",'Base de données'!C:C,"&lt;01/03")+COUNTIFS('Base de données'!D:D,A17,'Base de données'!E:E,"KO - REL",'Base de données'!C:C,"&gt;=01/02",'Base de données'!C:C,"&lt;01/03")</f>
        <v>0</v>
      </c>
      <c r="K17" s="17" t="str">
        <f t="shared" si="3"/>
        <v/>
      </c>
      <c r="L17" s="43">
        <f>COUNTIFS('Base de données'!D:D,A17,'Base de données'!F:F,"OK",'Base de données'!C:C,"&gt;=01/02",'Base de données'!C:C,"&lt;01/03")+COUNTIFS('Base de données'!D:D,A17,'Base de données'!F:F,"KO - REL",'Base de données'!C:C,"&gt;=01/02",'Base de données'!C:C,"&lt;01/03")</f>
        <v>0</v>
      </c>
      <c r="M17" s="17" t="str">
        <f t="shared" si="4"/>
        <v/>
      </c>
      <c r="N17" s="16">
        <f>COUNTIFS('Base de données'!D:D,A17,'Base de données'!G:G,"&lt;=0",'Base de données'!C:C,"&gt;=01/02",'Base de données'!C:C,"&lt;01/03")</f>
        <v>0</v>
      </c>
      <c r="O17" s="23" t="str">
        <f t="shared" si="5"/>
        <v/>
      </c>
      <c r="P17" s="19">
        <f>COUNTIFS('Base de données'!D:D,A17,'Base de données'!C:C,"&gt;=01/03",'Base de données'!C:C,"&lt;01/04")</f>
        <v>0</v>
      </c>
      <c r="Q17" s="16">
        <f>COUNTIFS('Base de données'!D:D,A17,'Base de données'!E:E,"OK",'Base de données'!C:C,"&gt;=01/03",'Base de données'!C:C,"&lt;01/04")+COUNTIFS('Base de données'!D:D,A17,'Base de données'!E:E,"KO - REL",'Base de données'!C:C,"&gt;=01/03",'Base de données'!C:C,"&lt;01/04")</f>
        <v>0</v>
      </c>
      <c r="R17" s="17" t="str">
        <f t="shared" si="6"/>
        <v/>
      </c>
      <c r="S17" s="43">
        <f>COUNTIFS('Base de données'!D:D,A17,'Base de données'!F:F,"OK",'Base de données'!C:C,"&gt;=01/03",'Base de données'!C:C,"&lt;01/04")+COUNTIFS('Base de données'!D:D,A17,'Base de données'!F:F,"KO - REL",'Base de données'!C:C,"&gt;=01/03",'Base de données'!C:C,"&lt;01/04")</f>
        <v>0</v>
      </c>
      <c r="T17" s="17" t="str">
        <f t="shared" si="7"/>
        <v/>
      </c>
      <c r="U17" s="16">
        <f>COUNTIFS('Base de données'!D:D,A17,'Base de données'!G:G,"&lt;=0",'Base de données'!C:C,"&gt;=01/03",'Base de données'!C:C,"&lt;01/04")</f>
        <v>0</v>
      </c>
      <c r="V17" s="23" t="str">
        <f t="shared" si="8"/>
        <v/>
      </c>
      <c r="W17" s="49"/>
    </row>
    <row r="18" spans="1:23">
      <c r="A18" s="55" t="s">
        <v>55</v>
      </c>
      <c r="B18" s="19">
        <f>COUNTIFS('Base de données'!D:D,A18,'Base de données'!C:C,"&gt;=01/01",'Base de données'!C:C,"&lt;01/02")</f>
        <v>0</v>
      </c>
      <c r="C18" s="16">
        <f>COUNTIFS('Base de données'!D:D,A18,'Base de données'!E:E,"OK",'Base de données'!C:C,"&gt;=01/01",'Base de données'!C:C,"&lt;01/02")+COUNTIFS('Base de données'!D:D,A18,'Base de données'!E:E,"KO - REL",'Base de données'!C:C,"&gt;=01/01",'Base de données'!C:C,"&lt;01/02")</f>
        <v>0</v>
      </c>
      <c r="D18" s="17" t="str">
        <f t="shared" si="0"/>
        <v/>
      </c>
      <c r="E18" s="43">
        <f>COUNTIFS('Base de données'!D:D,A18,'Base de données'!F:F,"OK",'Base de données'!C:C,"&gt;=01/01",'Base de données'!C:C,"&lt;01/02")+COUNTIFS('Base de données'!D:D,A18,'Base de données'!F:F,"KO - REL",'Base de données'!C:C,"&gt;=01/01",'Base de données'!C:C,"&lt;01/02")</f>
        <v>0</v>
      </c>
      <c r="F18" s="17" t="str">
        <f t="shared" si="1"/>
        <v/>
      </c>
      <c r="G18" s="16">
        <f>COUNTIFS('Base de données'!D:D,A18,'Base de données'!G:G,"&lt;=0",'Base de données'!C:C,"&gt;=01/01",'Base de données'!C:C,"&lt;01/02")</f>
        <v>0</v>
      </c>
      <c r="H18" s="23" t="str">
        <f t="shared" si="2"/>
        <v/>
      </c>
      <c r="I18" s="19">
        <f>COUNTIFS('Base de données'!D:D,A18,'Base de données'!C:C,"&gt;=01/02",'Base de données'!C:C,"&lt;01/03")</f>
        <v>0</v>
      </c>
      <c r="J18" s="16">
        <f>COUNTIFS('Base de données'!D:D,A18,'Base de données'!E:E,"OK",'Base de données'!C:C,"&gt;=01/02",'Base de données'!C:C,"&lt;01/03")+COUNTIFS('Base de données'!D:D,A18,'Base de données'!E:E,"KO - REL",'Base de données'!C:C,"&gt;=01/02",'Base de données'!C:C,"&lt;01/03")</f>
        <v>0</v>
      </c>
      <c r="K18" s="17" t="str">
        <f t="shared" si="3"/>
        <v/>
      </c>
      <c r="L18" s="43">
        <f>COUNTIFS('Base de données'!D:D,A18,'Base de données'!F:F,"OK",'Base de données'!C:C,"&gt;=01/02",'Base de données'!C:C,"&lt;01/03")+COUNTIFS('Base de données'!D:D,A18,'Base de données'!F:F,"KO - REL",'Base de données'!C:C,"&gt;=01/02",'Base de données'!C:C,"&lt;01/03")</f>
        <v>0</v>
      </c>
      <c r="M18" s="17" t="str">
        <f t="shared" si="4"/>
        <v/>
      </c>
      <c r="N18" s="16">
        <f>COUNTIFS('Base de données'!D:D,A18,'Base de données'!G:G,"&lt;=0",'Base de données'!C:C,"&gt;=01/02",'Base de données'!C:C,"&lt;01/03")</f>
        <v>0</v>
      </c>
      <c r="O18" s="23" t="str">
        <f t="shared" si="5"/>
        <v/>
      </c>
      <c r="P18" s="19">
        <f>COUNTIFS('Base de données'!D:D,A18,'Base de données'!C:C,"&gt;=01/03",'Base de données'!C:C,"&lt;01/04")</f>
        <v>0</v>
      </c>
      <c r="Q18" s="16">
        <f>COUNTIFS('Base de données'!D:D,A18,'Base de données'!E:E,"OK",'Base de données'!C:C,"&gt;=01/03",'Base de données'!C:C,"&lt;01/04")+COUNTIFS('Base de données'!D:D,A18,'Base de données'!E:E,"KO - REL",'Base de données'!C:C,"&gt;=01/03",'Base de données'!C:C,"&lt;01/04")</f>
        <v>0</v>
      </c>
      <c r="R18" s="17" t="str">
        <f t="shared" si="6"/>
        <v/>
      </c>
      <c r="S18" s="43">
        <f>COUNTIFS('Base de données'!D:D,A18,'Base de données'!F:F,"OK",'Base de données'!C:C,"&gt;=01/03",'Base de données'!C:C,"&lt;01/04")+COUNTIFS('Base de données'!D:D,A18,'Base de données'!F:F,"KO - REL",'Base de données'!C:C,"&gt;=01/03",'Base de données'!C:C,"&lt;01/04")</f>
        <v>0</v>
      </c>
      <c r="T18" s="17" t="str">
        <f t="shared" si="7"/>
        <v/>
      </c>
      <c r="U18" s="16">
        <f>COUNTIFS('Base de données'!D:D,A18,'Base de données'!G:G,"&lt;=0",'Base de données'!C:C,"&gt;=01/03",'Base de données'!C:C,"&lt;01/04")</f>
        <v>0</v>
      </c>
      <c r="V18" s="23" t="str">
        <f t="shared" si="8"/>
        <v/>
      </c>
      <c r="W18" s="49"/>
    </row>
    <row r="19" spans="1:23">
      <c r="A19" s="55" t="s">
        <v>56</v>
      </c>
      <c r="B19" s="19">
        <f>COUNTIFS('Base de données'!D:D,A19,'Base de données'!C:C,"&gt;=01/01",'Base de données'!C:C,"&lt;01/02")</f>
        <v>0</v>
      </c>
      <c r="C19" s="16">
        <f>COUNTIFS('Base de données'!D:D,A19,'Base de données'!E:E,"OK",'Base de données'!C:C,"&gt;=01/01",'Base de données'!C:C,"&lt;01/02")+COUNTIFS('Base de données'!D:D,A19,'Base de données'!E:E,"KO - REL",'Base de données'!C:C,"&gt;=01/01",'Base de données'!C:C,"&lt;01/02")</f>
        <v>0</v>
      </c>
      <c r="D19" s="17" t="str">
        <f t="shared" si="0"/>
        <v/>
      </c>
      <c r="E19" s="43">
        <f>COUNTIFS('Base de données'!D:D,A19,'Base de données'!F:F,"OK",'Base de données'!C:C,"&gt;=01/01",'Base de données'!C:C,"&lt;01/02")+COUNTIFS('Base de données'!D:D,A19,'Base de données'!F:F,"KO - REL",'Base de données'!C:C,"&gt;=01/01",'Base de données'!C:C,"&lt;01/02")</f>
        <v>0</v>
      </c>
      <c r="F19" s="17" t="str">
        <f t="shared" si="1"/>
        <v/>
      </c>
      <c r="G19" s="16">
        <f>COUNTIFS('Base de données'!D:D,A19,'Base de données'!G:G,"&lt;=0",'Base de données'!C:C,"&gt;=01/01",'Base de données'!C:C,"&lt;01/02")</f>
        <v>0</v>
      </c>
      <c r="H19" s="23" t="str">
        <f t="shared" si="2"/>
        <v/>
      </c>
      <c r="I19" s="19">
        <f>COUNTIFS('Base de données'!D:D,A19,'Base de données'!C:C,"&gt;=01/02",'Base de données'!C:C,"&lt;01/03")</f>
        <v>0</v>
      </c>
      <c r="J19" s="16">
        <f>COUNTIFS('Base de données'!D:D,A19,'Base de données'!E:E,"OK",'Base de données'!C:C,"&gt;=01/02",'Base de données'!C:C,"&lt;01/03")+COUNTIFS('Base de données'!D:D,A19,'Base de données'!E:E,"KO - REL",'Base de données'!C:C,"&gt;=01/02",'Base de données'!C:C,"&lt;01/03")</f>
        <v>0</v>
      </c>
      <c r="K19" s="17" t="str">
        <f t="shared" si="3"/>
        <v/>
      </c>
      <c r="L19" s="43">
        <f>COUNTIFS('Base de données'!D:D,A19,'Base de données'!F:F,"OK",'Base de données'!C:C,"&gt;=01/02",'Base de données'!C:C,"&lt;01/03")+COUNTIFS('Base de données'!D:D,A19,'Base de données'!F:F,"KO - REL",'Base de données'!C:C,"&gt;=01/02",'Base de données'!C:C,"&lt;01/03")</f>
        <v>0</v>
      </c>
      <c r="M19" s="17" t="str">
        <f t="shared" si="4"/>
        <v/>
      </c>
      <c r="N19" s="16">
        <f>COUNTIFS('Base de données'!D:D,A19,'Base de données'!G:G,"&lt;=0",'Base de données'!C:C,"&gt;=01/02",'Base de données'!C:C,"&lt;01/03")</f>
        <v>0</v>
      </c>
      <c r="O19" s="23" t="str">
        <f t="shared" si="5"/>
        <v/>
      </c>
      <c r="P19" s="19">
        <f>COUNTIFS('Base de données'!D:D,A19,'Base de données'!C:C,"&gt;=01/03",'Base de données'!C:C,"&lt;01/04")</f>
        <v>0</v>
      </c>
      <c r="Q19" s="16">
        <f>COUNTIFS('Base de données'!D:D,A19,'Base de données'!E:E,"OK",'Base de données'!C:C,"&gt;=01/03",'Base de données'!C:C,"&lt;01/04")+COUNTIFS('Base de données'!D:D,A19,'Base de données'!E:E,"KO - REL",'Base de données'!C:C,"&gt;=01/03",'Base de données'!C:C,"&lt;01/04")</f>
        <v>0</v>
      </c>
      <c r="R19" s="17" t="str">
        <f t="shared" si="6"/>
        <v/>
      </c>
      <c r="S19" s="43">
        <f>COUNTIFS('Base de données'!D:D,A19,'Base de données'!F:F,"OK",'Base de données'!C:C,"&gt;=01/03",'Base de données'!C:C,"&lt;01/04")+COUNTIFS('Base de données'!D:D,A19,'Base de données'!F:F,"KO - REL",'Base de données'!C:C,"&gt;=01/03",'Base de données'!C:C,"&lt;01/04")</f>
        <v>0</v>
      </c>
      <c r="T19" s="17" t="str">
        <f t="shared" si="7"/>
        <v/>
      </c>
      <c r="U19" s="16">
        <f>COUNTIFS('Base de données'!D:D,A19,'Base de données'!G:G,"&lt;=0",'Base de données'!C:C,"&gt;=01/03",'Base de données'!C:C,"&lt;01/04")</f>
        <v>0</v>
      </c>
      <c r="V19" s="23" t="str">
        <f t="shared" si="8"/>
        <v/>
      </c>
      <c r="W19" s="49"/>
    </row>
    <row r="20" spans="1:23">
      <c r="A20" s="55" t="s">
        <v>57</v>
      </c>
      <c r="B20" s="19">
        <f>COUNTIFS('Base de données'!D:D,A20,'Base de données'!C:C,"&gt;=01/01",'Base de données'!C:C,"&lt;01/02")</f>
        <v>0</v>
      </c>
      <c r="C20" s="16">
        <f>COUNTIFS('Base de données'!D:D,A20,'Base de données'!E:E,"OK",'Base de données'!C:C,"&gt;=01/01",'Base de données'!C:C,"&lt;01/02")+COUNTIFS('Base de données'!D:D,A20,'Base de données'!E:E,"KO - REL",'Base de données'!C:C,"&gt;=01/01",'Base de données'!C:C,"&lt;01/02")</f>
        <v>0</v>
      </c>
      <c r="D20" s="17" t="str">
        <f t="shared" si="0"/>
        <v/>
      </c>
      <c r="E20" s="43">
        <f>COUNTIFS('Base de données'!D:D,A20,'Base de données'!F:F,"OK",'Base de données'!C:C,"&gt;=01/01",'Base de données'!C:C,"&lt;01/02")+COUNTIFS('Base de données'!D:D,A20,'Base de données'!F:F,"KO - REL",'Base de données'!C:C,"&gt;=01/01",'Base de données'!C:C,"&lt;01/02")</f>
        <v>0</v>
      </c>
      <c r="F20" s="17" t="str">
        <f t="shared" si="1"/>
        <v/>
      </c>
      <c r="G20" s="16">
        <f>COUNTIFS('Base de données'!D:D,A20,'Base de données'!G:G,"&lt;=0",'Base de données'!C:C,"&gt;=01/01",'Base de données'!C:C,"&lt;01/02")</f>
        <v>0</v>
      </c>
      <c r="H20" s="23" t="str">
        <f t="shared" si="2"/>
        <v/>
      </c>
      <c r="I20" s="19">
        <f>COUNTIFS('Base de données'!D:D,A20,'Base de données'!C:C,"&gt;=01/02",'Base de données'!C:C,"&lt;01/03")</f>
        <v>0</v>
      </c>
      <c r="J20" s="16">
        <f>COUNTIFS('Base de données'!D:D,A20,'Base de données'!E:E,"OK",'Base de données'!C:C,"&gt;=01/02",'Base de données'!C:C,"&lt;01/03")+COUNTIFS('Base de données'!D:D,A20,'Base de données'!E:E,"KO - REL",'Base de données'!C:C,"&gt;=01/02",'Base de données'!C:C,"&lt;01/03")</f>
        <v>0</v>
      </c>
      <c r="K20" s="17" t="str">
        <f t="shared" si="3"/>
        <v/>
      </c>
      <c r="L20" s="43">
        <f>COUNTIFS('Base de données'!D:D,A20,'Base de données'!F:F,"OK",'Base de données'!C:C,"&gt;=01/02",'Base de données'!C:C,"&lt;01/03")+COUNTIFS('Base de données'!D:D,A20,'Base de données'!F:F,"KO - REL",'Base de données'!C:C,"&gt;=01/02",'Base de données'!C:C,"&lt;01/03")</f>
        <v>0</v>
      </c>
      <c r="M20" s="17" t="str">
        <f t="shared" si="4"/>
        <v/>
      </c>
      <c r="N20" s="16">
        <f>COUNTIFS('Base de données'!D:D,A20,'Base de données'!G:G,"&lt;=0",'Base de données'!C:C,"&gt;=01/02",'Base de données'!C:C,"&lt;01/03")</f>
        <v>0</v>
      </c>
      <c r="O20" s="23" t="str">
        <f t="shared" si="5"/>
        <v/>
      </c>
      <c r="P20" s="19">
        <f>COUNTIFS('Base de données'!D:D,A20,'Base de données'!C:C,"&gt;=01/03",'Base de données'!C:C,"&lt;01/04")</f>
        <v>0</v>
      </c>
      <c r="Q20" s="16">
        <f>COUNTIFS('Base de données'!D:D,A20,'Base de données'!E:E,"OK",'Base de données'!C:C,"&gt;=01/03",'Base de données'!C:C,"&lt;01/04")+COUNTIFS('Base de données'!D:D,A20,'Base de données'!E:E,"KO - REL",'Base de données'!C:C,"&gt;=01/03",'Base de données'!C:C,"&lt;01/04")</f>
        <v>0</v>
      </c>
      <c r="R20" s="17" t="str">
        <f t="shared" si="6"/>
        <v/>
      </c>
      <c r="S20" s="43">
        <f>COUNTIFS('Base de données'!D:D,A20,'Base de données'!F:F,"OK",'Base de données'!C:C,"&gt;=01/03",'Base de données'!C:C,"&lt;01/04")+COUNTIFS('Base de données'!D:D,A20,'Base de données'!F:F,"KO - REL",'Base de données'!C:C,"&gt;=01/03",'Base de données'!C:C,"&lt;01/04")</f>
        <v>0</v>
      </c>
      <c r="T20" s="17" t="str">
        <f t="shared" si="7"/>
        <v/>
      </c>
      <c r="U20" s="16">
        <f>COUNTIFS('Base de données'!D:D,A20,'Base de données'!G:G,"&lt;=0",'Base de données'!C:C,"&gt;=01/03",'Base de données'!C:C,"&lt;01/04")</f>
        <v>0</v>
      </c>
      <c r="V20" s="23" t="str">
        <f t="shared" si="8"/>
        <v/>
      </c>
      <c r="W20" s="49"/>
    </row>
    <row r="21" spans="1:23">
      <c r="A21" s="56" t="s">
        <v>58</v>
      </c>
      <c r="B21" s="19">
        <f>COUNTIFS('Base de données'!D:D,A21,'Base de données'!C:C,"&gt;=01/01",'Base de données'!C:C,"&lt;01/02")</f>
        <v>0</v>
      </c>
      <c r="C21" s="16">
        <f>COUNTIFS('Base de données'!D:D,A21,'Base de données'!E:E,"OK",'Base de données'!C:C,"&gt;=01/01",'Base de données'!C:C,"&lt;01/02")+COUNTIFS('Base de données'!D:D,A21,'Base de données'!E:E,"KO - REL",'Base de données'!C:C,"&gt;=01/01",'Base de données'!C:C,"&lt;01/02")</f>
        <v>0</v>
      </c>
      <c r="D21" s="17" t="str">
        <f t="shared" si="0"/>
        <v/>
      </c>
      <c r="E21" s="43">
        <f>COUNTIFS('Base de données'!D:D,A21,'Base de données'!F:F,"OK",'Base de données'!C:C,"&gt;=01/01",'Base de données'!C:C,"&lt;01/02")+COUNTIFS('Base de données'!D:D,A21,'Base de données'!F:F,"KO - REL",'Base de données'!C:C,"&gt;=01/01",'Base de données'!C:C,"&lt;01/02")</f>
        <v>0</v>
      </c>
      <c r="F21" s="17" t="str">
        <f t="shared" si="1"/>
        <v/>
      </c>
      <c r="G21" s="16">
        <f>COUNTIFS('Base de données'!D:D,A21,'Base de données'!G:G,"&lt;=0",'Base de données'!C:C,"&gt;=01/01",'Base de données'!C:C,"&lt;01/02")</f>
        <v>0</v>
      </c>
      <c r="H21" s="23" t="str">
        <f t="shared" si="2"/>
        <v/>
      </c>
      <c r="I21" s="19">
        <f>COUNTIFS('Base de données'!D:D,A21,'Base de données'!C:C,"&gt;=01/02",'Base de données'!C:C,"&lt;01/03")</f>
        <v>0</v>
      </c>
      <c r="J21" s="16">
        <f>COUNTIFS('Base de données'!D:D,A21,'Base de données'!E:E,"OK",'Base de données'!C:C,"&gt;=01/02",'Base de données'!C:C,"&lt;01/03")+COUNTIFS('Base de données'!D:D,A21,'Base de données'!E:E,"KO - REL",'Base de données'!C:C,"&gt;=01/02",'Base de données'!C:C,"&lt;01/03")</f>
        <v>0</v>
      </c>
      <c r="K21" s="17" t="str">
        <f t="shared" si="3"/>
        <v/>
      </c>
      <c r="L21" s="43">
        <f>COUNTIFS('Base de données'!D:D,A21,'Base de données'!F:F,"OK",'Base de données'!C:C,"&gt;=01/02",'Base de données'!C:C,"&lt;01/03")+COUNTIFS('Base de données'!D:D,A21,'Base de données'!F:F,"KO - REL",'Base de données'!C:C,"&gt;=01/02",'Base de données'!C:C,"&lt;01/03")</f>
        <v>0</v>
      </c>
      <c r="M21" s="17" t="str">
        <f t="shared" si="4"/>
        <v/>
      </c>
      <c r="N21" s="16">
        <f>COUNTIFS('Base de données'!D:D,A21,'Base de données'!G:G,"&lt;=0",'Base de données'!C:C,"&gt;=01/02",'Base de données'!C:C,"&lt;01/03")</f>
        <v>0</v>
      </c>
      <c r="O21" s="23" t="str">
        <f t="shared" si="5"/>
        <v/>
      </c>
      <c r="P21" s="19">
        <f>COUNTIFS('Base de données'!D:D,A21,'Base de données'!C:C,"&gt;=01/03",'Base de données'!C:C,"&lt;01/04")</f>
        <v>0</v>
      </c>
      <c r="Q21" s="16">
        <f>COUNTIFS('Base de données'!D:D,A21,'Base de données'!E:E,"OK",'Base de données'!C:C,"&gt;=01/03",'Base de données'!C:C,"&lt;01/04")+COUNTIFS('Base de données'!D:D,A21,'Base de données'!E:E,"KO - REL",'Base de données'!C:C,"&gt;=01/03",'Base de données'!C:C,"&lt;01/04")</f>
        <v>0</v>
      </c>
      <c r="R21" s="17" t="str">
        <f t="shared" si="6"/>
        <v/>
      </c>
      <c r="S21" s="43">
        <f>COUNTIFS('Base de données'!D:D,A21,'Base de données'!F:F,"OK",'Base de données'!C:C,"&gt;=01/03",'Base de données'!C:C,"&lt;01/04")+COUNTIFS('Base de données'!D:D,A21,'Base de données'!F:F,"KO - REL",'Base de données'!C:C,"&gt;=01/03",'Base de données'!C:C,"&lt;01/04")</f>
        <v>0</v>
      </c>
      <c r="T21" s="17" t="str">
        <f t="shared" si="7"/>
        <v/>
      </c>
      <c r="U21" s="16">
        <f>COUNTIFS('Base de données'!D:D,A21,'Base de données'!G:G,"&lt;=0",'Base de données'!C:C,"&gt;=01/03",'Base de données'!C:C,"&lt;01/04")</f>
        <v>0</v>
      </c>
      <c r="V21" s="23" t="str">
        <f t="shared" si="8"/>
        <v/>
      </c>
      <c r="W21" s="49"/>
    </row>
    <row r="22" spans="1:23">
      <c r="A22" s="55" t="s">
        <v>59</v>
      </c>
      <c r="B22" s="19">
        <f>COUNTIFS('Base de données'!D:D,A22,'Base de données'!C:C,"&gt;=01/01",'Base de données'!C:C,"&lt;01/02")</f>
        <v>0</v>
      </c>
      <c r="C22" s="16">
        <f>COUNTIFS('Base de données'!D:D,A22,'Base de données'!E:E,"OK",'Base de données'!C:C,"&gt;=01/01",'Base de données'!C:C,"&lt;01/02")+COUNTIFS('Base de données'!D:D,A22,'Base de données'!E:E,"KO - REL",'Base de données'!C:C,"&gt;=01/01",'Base de données'!C:C,"&lt;01/02")</f>
        <v>0</v>
      </c>
      <c r="D22" s="17" t="str">
        <f t="shared" si="0"/>
        <v/>
      </c>
      <c r="E22" s="43">
        <f>COUNTIFS('Base de données'!D:D,A22,'Base de données'!F:F,"OK",'Base de données'!C:C,"&gt;=01/01",'Base de données'!C:C,"&lt;01/02")+COUNTIFS('Base de données'!D:D,A22,'Base de données'!F:F,"KO - REL",'Base de données'!C:C,"&gt;=01/01",'Base de données'!C:C,"&lt;01/02")</f>
        <v>0</v>
      </c>
      <c r="F22" s="17" t="str">
        <f t="shared" si="1"/>
        <v/>
      </c>
      <c r="G22" s="16">
        <f>COUNTIFS('Base de données'!D:D,A22,'Base de données'!G:G,"&lt;=0",'Base de données'!C:C,"&gt;=01/01",'Base de données'!C:C,"&lt;01/02")</f>
        <v>0</v>
      </c>
      <c r="H22" s="23" t="str">
        <f t="shared" si="2"/>
        <v/>
      </c>
      <c r="I22" s="19">
        <f>COUNTIFS('Base de données'!D:D,A22,'Base de données'!C:C,"&gt;=01/02",'Base de données'!C:C,"&lt;01/03")</f>
        <v>0</v>
      </c>
      <c r="J22" s="16">
        <f>COUNTIFS('Base de données'!D:D,A22,'Base de données'!E:E,"OK",'Base de données'!C:C,"&gt;=01/02",'Base de données'!C:C,"&lt;01/03")+COUNTIFS('Base de données'!D:D,A22,'Base de données'!E:E,"KO - REL",'Base de données'!C:C,"&gt;=01/02",'Base de données'!C:C,"&lt;01/03")</f>
        <v>0</v>
      </c>
      <c r="K22" s="17" t="str">
        <f t="shared" si="3"/>
        <v/>
      </c>
      <c r="L22" s="43">
        <f>COUNTIFS('Base de données'!D:D,A22,'Base de données'!F:F,"OK",'Base de données'!C:C,"&gt;=01/02",'Base de données'!C:C,"&lt;01/03")+COUNTIFS('Base de données'!D:D,A22,'Base de données'!F:F,"KO - REL",'Base de données'!C:C,"&gt;=01/02",'Base de données'!C:C,"&lt;01/03")</f>
        <v>0</v>
      </c>
      <c r="M22" s="17" t="str">
        <f t="shared" si="4"/>
        <v/>
      </c>
      <c r="N22" s="16">
        <f>COUNTIFS('Base de données'!D:D,A22,'Base de données'!G:G,"&lt;=0",'Base de données'!C:C,"&gt;=01/02",'Base de données'!C:C,"&lt;01/03")</f>
        <v>0</v>
      </c>
      <c r="O22" s="23" t="str">
        <f t="shared" si="5"/>
        <v/>
      </c>
      <c r="P22" s="19">
        <f>COUNTIFS('Base de données'!D:D,A22,'Base de données'!C:C,"&gt;=01/03",'Base de données'!C:C,"&lt;01/04")</f>
        <v>0</v>
      </c>
      <c r="Q22" s="16">
        <f>COUNTIFS('Base de données'!D:D,A22,'Base de données'!E:E,"OK",'Base de données'!C:C,"&gt;=01/03",'Base de données'!C:C,"&lt;01/04")+COUNTIFS('Base de données'!D:D,A22,'Base de données'!E:E,"KO - REL",'Base de données'!C:C,"&gt;=01/03",'Base de données'!C:C,"&lt;01/04")</f>
        <v>0</v>
      </c>
      <c r="R22" s="17" t="str">
        <f t="shared" si="6"/>
        <v/>
      </c>
      <c r="S22" s="43">
        <f>COUNTIFS('Base de données'!D:D,A22,'Base de données'!F:F,"OK",'Base de données'!C:C,"&gt;=01/03",'Base de données'!C:C,"&lt;01/04")+COUNTIFS('Base de données'!D:D,A22,'Base de données'!F:F,"KO - REL",'Base de données'!C:C,"&gt;=01/03",'Base de données'!C:C,"&lt;01/04")</f>
        <v>0</v>
      </c>
      <c r="T22" s="17" t="str">
        <f t="shared" si="7"/>
        <v/>
      </c>
      <c r="U22" s="16">
        <f>COUNTIFS('Base de données'!D:D,A22,'Base de données'!G:G,"&lt;=0",'Base de données'!C:C,"&gt;=01/03",'Base de données'!C:C,"&lt;01/04")</f>
        <v>0</v>
      </c>
      <c r="V22" s="23" t="str">
        <f t="shared" si="8"/>
        <v/>
      </c>
      <c r="W22" s="49"/>
    </row>
    <row r="23" spans="1:23">
      <c r="A23" s="55" t="s">
        <v>60</v>
      </c>
      <c r="B23" s="19">
        <f>COUNTIFS('Base de données'!D:D,A23,'Base de données'!C:C,"&gt;=01/01",'Base de données'!C:C,"&lt;01/02")</f>
        <v>0</v>
      </c>
      <c r="C23" s="16">
        <f>COUNTIFS('Base de données'!D:D,A23,'Base de données'!E:E,"OK",'Base de données'!C:C,"&gt;=01/01",'Base de données'!C:C,"&lt;01/02")+COUNTIFS('Base de données'!D:D,A23,'Base de données'!E:E,"KO - REL",'Base de données'!C:C,"&gt;=01/01",'Base de données'!C:C,"&lt;01/02")</f>
        <v>0</v>
      </c>
      <c r="D23" s="17" t="str">
        <f t="shared" si="0"/>
        <v/>
      </c>
      <c r="E23" s="43">
        <f>COUNTIFS('Base de données'!D:D,A23,'Base de données'!F:F,"OK",'Base de données'!C:C,"&gt;=01/01",'Base de données'!C:C,"&lt;01/02")+COUNTIFS('Base de données'!D:D,A23,'Base de données'!F:F,"KO - REL",'Base de données'!C:C,"&gt;=01/01",'Base de données'!C:C,"&lt;01/02")</f>
        <v>0</v>
      </c>
      <c r="F23" s="17" t="str">
        <f t="shared" si="1"/>
        <v/>
      </c>
      <c r="G23" s="16">
        <f>COUNTIFS('Base de données'!D:D,A23,'Base de données'!G:G,"&lt;=0",'Base de données'!C:C,"&gt;=01/01",'Base de données'!C:C,"&lt;01/02")</f>
        <v>0</v>
      </c>
      <c r="H23" s="23" t="str">
        <f t="shared" si="2"/>
        <v/>
      </c>
      <c r="I23" s="19">
        <f>COUNTIFS('Base de données'!D:D,A23,'Base de données'!C:C,"&gt;=01/02",'Base de données'!C:C,"&lt;01/03")</f>
        <v>0</v>
      </c>
      <c r="J23" s="16">
        <f>COUNTIFS('Base de données'!D:D,A23,'Base de données'!E:E,"OK",'Base de données'!C:C,"&gt;=01/02",'Base de données'!C:C,"&lt;01/03")+COUNTIFS('Base de données'!D:D,A23,'Base de données'!E:E,"KO - REL",'Base de données'!C:C,"&gt;=01/02",'Base de données'!C:C,"&lt;01/03")</f>
        <v>0</v>
      </c>
      <c r="K23" s="17" t="str">
        <f t="shared" si="3"/>
        <v/>
      </c>
      <c r="L23" s="43">
        <f>COUNTIFS('Base de données'!D:D,A23,'Base de données'!F:F,"OK",'Base de données'!C:C,"&gt;=01/02",'Base de données'!C:C,"&lt;01/03")+COUNTIFS('Base de données'!D:D,A23,'Base de données'!F:F,"KO - REL",'Base de données'!C:C,"&gt;=01/02",'Base de données'!C:C,"&lt;01/03")</f>
        <v>0</v>
      </c>
      <c r="M23" s="17" t="str">
        <f t="shared" si="4"/>
        <v/>
      </c>
      <c r="N23" s="16">
        <f>COUNTIFS('Base de données'!D:D,A23,'Base de données'!G:G,"&lt;=0",'Base de données'!C:C,"&gt;=01/02",'Base de données'!C:C,"&lt;01/03")</f>
        <v>0</v>
      </c>
      <c r="O23" s="23" t="str">
        <f t="shared" si="5"/>
        <v/>
      </c>
      <c r="P23" s="19">
        <f>COUNTIFS('Base de données'!D:D,A23,'Base de données'!C:C,"&gt;=01/03",'Base de données'!C:C,"&lt;01/04")</f>
        <v>0</v>
      </c>
      <c r="Q23" s="16">
        <f>COUNTIFS('Base de données'!D:D,A23,'Base de données'!E:E,"OK",'Base de données'!C:C,"&gt;=01/03",'Base de données'!C:C,"&lt;01/04")+COUNTIFS('Base de données'!D:D,A23,'Base de données'!E:E,"KO - REL",'Base de données'!C:C,"&gt;=01/03",'Base de données'!C:C,"&lt;01/04")</f>
        <v>0</v>
      </c>
      <c r="R23" s="17" t="str">
        <f t="shared" si="6"/>
        <v/>
      </c>
      <c r="S23" s="43">
        <f>COUNTIFS('Base de données'!D:D,A23,'Base de données'!F:F,"OK",'Base de données'!C:C,"&gt;=01/03",'Base de données'!C:C,"&lt;01/04")+COUNTIFS('Base de données'!D:D,A23,'Base de données'!F:F,"KO - REL",'Base de données'!C:C,"&gt;=01/03",'Base de données'!C:C,"&lt;01/04")</f>
        <v>0</v>
      </c>
      <c r="T23" s="17" t="str">
        <f t="shared" si="7"/>
        <v/>
      </c>
      <c r="U23" s="16">
        <f>COUNTIFS('Base de données'!D:D,A23,'Base de données'!G:G,"&lt;=0",'Base de données'!C:C,"&gt;=01/03",'Base de données'!C:C,"&lt;01/04")</f>
        <v>0</v>
      </c>
      <c r="V23" s="23" t="str">
        <f t="shared" si="8"/>
        <v/>
      </c>
      <c r="W23" s="49"/>
    </row>
    <row r="24" spans="1:23">
      <c r="A24" s="55" t="s">
        <v>61</v>
      </c>
      <c r="B24" s="19">
        <f>COUNTIFS('Base de données'!D:D,A24,'Base de données'!C:C,"&gt;=01/01",'Base de données'!C:C,"&lt;01/02")</f>
        <v>0</v>
      </c>
      <c r="C24" s="16">
        <f>COUNTIFS('Base de données'!D:D,A24,'Base de données'!E:E,"OK",'Base de données'!C:C,"&gt;=01/01",'Base de données'!C:C,"&lt;01/02")+COUNTIFS('Base de données'!D:D,A24,'Base de données'!E:E,"KO - REL",'Base de données'!C:C,"&gt;=01/01",'Base de données'!C:C,"&lt;01/02")</f>
        <v>0</v>
      </c>
      <c r="D24" s="17" t="str">
        <f t="shared" si="0"/>
        <v/>
      </c>
      <c r="E24" s="43">
        <f>COUNTIFS('Base de données'!D:D,A24,'Base de données'!F:F,"OK",'Base de données'!C:C,"&gt;=01/01",'Base de données'!C:C,"&lt;01/02")+COUNTIFS('Base de données'!D:D,A24,'Base de données'!F:F,"KO - REL",'Base de données'!C:C,"&gt;=01/01",'Base de données'!C:C,"&lt;01/02")</f>
        <v>0</v>
      </c>
      <c r="F24" s="17" t="str">
        <f t="shared" si="1"/>
        <v/>
      </c>
      <c r="G24" s="16">
        <f>COUNTIFS('Base de données'!D:D,A24,'Base de données'!G:G,"&lt;=0",'Base de données'!C:C,"&gt;=01/01",'Base de données'!C:C,"&lt;01/02")</f>
        <v>0</v>
      </c>
      <c r="H24" s="23" t="str">
        <f t="shared" si="2"/>
        <v/>
      </c>
      <c r="I24" s="19">
        <f>COUNTIFS('Base de données'!D:D,A24,'Base de données'!C:C,"&gt;=01/02",'Base de données'!C:C,"&lt;01/03")</f>
        <v>0</v>
      </c>
      <c r="J24" s="16">
        <f>COUNTIFS('Base de données'!D:D,A24,'Base de données'!E:E,"OK",'Base de données'!C:C,"&gt;=01/02",'Base de données'!C:C,"&lt;01/03")+COUNTIFS('Base de données'!D:D,A24,'Base de données'!E:E,"KO - REL",'Base de données'!C:C,"&gt;=01/02",'Base de données'!C:C,"&lt;01/03")</f>
        <v>0</v>
      </c>
      <c r="K24" s="17" t="str">
        <f t="shared" si="3"/>
        <v/>
      </c>
      <c r="L24" s="43">
        <f>COUNTIFS('Base de données'!D:D,A24,'Base de données'!F:F,"OK",'Base de données'!C:C,"&gt;=01/02",'Base de données'!C:C,"&lt;01/03")+COUNTIFS('Base de données'!D:D,A24,'Base de données'!F:F,"KO - REL",'Base de données'!C:C,"&gt;=01/02",'Base de données'!C:C,"&lt;01/03")</f>
        <v>0</v>
      </c>
      <c r="M24" s="17" t="str">
        <f t="shared" si="4"/>
        <v/>
      </c>
      <c r="N24" s="16">
        <f>COUNTIFS('Base de données'!D:D,A24,'Base de données'!G:G,"&lt;=0",'Base de données'!C:C,"&gt;=01/02",'Base de données'!C:C,"&lt;01/03")</f>
        <v>0</v>
      </c>
      <c r="O24" s="23" t="str">
        <f t="shared" si="5"/>
        <v/>
      </c>
      <c r="P24" s="19">
        <f>COUNTIFS('Base de données'!D:D,A24,'Base de données'!C:C,"&gt;=01/03",'Base de données'!C:C,"&lt;01/04")</f>
        <v>0</v>
      </c>
      <c r="Q24" s="16">
        <f>COUNTIFS('Base de données'!D:D,A24,'Base de données'!E:E,"OK",'Base de données'!C:C,"&gt;=01/03",'Base de données'!C:C,"&lt;01/04")+COUNTIFS('Base de données'!D:D,A24,'Base de données'!E:E,"KO - REL",'Base de données'!C:C,"&gt;=01/03",'Base de données'!C:C,"&lt;01/04")</f>
        <v>0</v>
      </c>
      <c r="R24" s="17" t="str">
        <f t="shared" si="6"/>
        <v/>
      </c>
      <c r="S24" s="43">
        <f>COUNTIFS('Base de données'!D:D,A24,'Base de données'!F:F,"OK",'Base de données'!C:C,"&gt;=01/03",'Base de données'!C:C,"&lt;01/04")+COUNTIFS('Base de données'!D:D,A24,'Base de données'!F:F,"KO - REL",'Base de données'!C:C,"&gt;=01/03",'Base de données'!C:C,"&lt;01/04")</f>
        <v>0</v>
      </c>
      <c r="T24" s="17" t="str">
        <f t="shared" si="7"/>
        <v/>
      </c>
      <c r="U24" s="16">
        <f>COUNTIFS('Base de données'!D:D,A24,'Base de données'!G:G,"&lt;=0",'Base de données'!C:C,"&gt;=01/03",'Base de données'!C:C,"&lt;01/04")</f>
        <v>0</v>
      </c>
      <c r="V24" s="23" t="str">
        <f t="shared" si="8"/>
        <v/>
      </c>
      <c r="W24" s="49"/>
    </row>
    <row r="25" spans="1:23" ht="15.75" thickBot="1">
      <c r="A25" s="57" t="s">
        <v>62</v>
      </c>
      <c r="B25" s="20">
        <f>COUNTIFS('Base de données'!D:D,A25,'Base de données'!C:C,"&gt;=01/01",'Base de données'!C:C,"&lt;01/02")</f>
        <v>0</v>
      </c>
      <c r="C25" s="22">
        <f>COUNTIFS('Base de données'!D:D,A25,'Base de données'!E:E,"OK",'Base de données'!C:C,"&gt;=01/01",'Base de données'!C:C,"&lt;01/02")+COUNTIFS('Base de données'!D:D,A25,'Base de données'!E:E,"KO - REL",'Base de données'!C:C,"&gt;=01/01",'Base de données'!C:C,"&lt;01/02")</f>
        <v>0</v>
      </c>
      <c r="D25" s="21" t="str">
        <f t="shared" si="0"/>
        <v/>
      </c>
      <c r="E25" s="30">
        <f>COUNTIFS('Base de données'!D:D,A25,'Base de données'!F:F,"OK",'Base de données'!C:C,"&gt;=01/01",'Base de données'!C:C,"&lt;01/02")+COUNTIFS('Base de données'!D:D,A25,'Base de données'!F:F,"KO - REL",'Base de données'!C:C,"&gt;=01/01",'Base de données'!C:C,"&lt;01/02")</f>
        <v>0</v>
      </c>
      <c r="F25" s="21" t="str">
        <f t="shared" si="1"/>
        <v/>
      </c>
      <c r="G25" s="22">
        <f>COUNTIFS('Base de données'!D:D,A25,'Base de données'!G:G,"&lt;=0",'Base de données'!C:C,"&gt;=01/01",'Base de données'!C:C,"&lt;01/02")</f>
        <v>0</v>
      </c>
      <c r="H25" s="24" t="str">
        <f t="shared" si="2"/>
        <v/>
      </c>
      <c r="I25" s="20">
        <f>COUNTIFS('Base de données'!D:D,A25,'Base de données'!C:C,"&gt;=01/02",'Base de données'!C:C,"&lt;01/03")</f>
        <v>0</v>
      </c>
      <c r="J25" s="22">
        <f>COUNTIFS('Base de données'!D:D,A25,'Base de données'!E:E,"OK",'Base de données'!C:C,"&gt;=01/02",'Base de données'!C:C,"&lt;01/03")+COUNTIFS('Base de données'!D:D,A25,'Base de données'!E:E,"KO - REL",'Base de données'!C:C,"&gt;=01/02",'Base de données'!C:C,"&lt;01/03")</f>
        <v>0</v>
      </c>
      <c r="K25" s="21" t="str">
        <f t="shared" si="3"/>
        <v/>
      </c>
      <c r="L25" s="30">
        <f>COUNTIFS('Base de données'!D:D,A25,'Base de données'!F:F,"OK",'Base de données'!C:C,"&gt;=01/02",'Base de données'!C:C,"&lt;01/03")+COUNTIFS('Base de données'!D:D,A25,'Base de données'!F:F,"KO - REL",'Base de données'!C:C,"&gt;=01/02",'Base de données'!C:C,"&lt;01/03")</f>
        <v>0</v>
      </c>
      <c r="M25" s="21" t="str">
        <f t="shared" si="4"/>
        <v/>
      </c>
      <c r="N25" s="22">
        <f>COUNTIFS('Base de données'!D:D,A25,'Base de données'!G:G,"&lt;=0",'Base de données'!C:C,"&gt;=01/02",'Base de données'!C:C,"&lt;01/03")</f>
        <v>0</v>
      </c>
      <c r="O25" s="24" t="str">
        <f t="shared" si="5"/>
        <v/>
      </c>
      <c r="P25" s="20">
        <f>COUNTIFS('Base de données'!D:D,A25,'Base de données'!C:C,"&gt;=01/03",'Base de données'!C:C,"&lt;01/04")</f>
        <v>0</v>
      </c>
      <c r="Q25" s="22">
        <f>COUNTIFS('Base de données'!D:D,A25,'Base de données'!E:E,"OK",'Base de données'!C:C,"&gt;=01/03",'Base de données'!C:C,"&lt;01/04")+COUNTIFS('Base de données'!D:D,A25,'Base de données'!E:E,"KO - REL",'Base de données'!C:C,"&gt;=01/03",'Base de données'!C:C,"&lt;01/04")</f>
        <v>0</v>
      </c>
      <c r="R25" s="21" t="str">
        <f t="shared" si="6"/>
        <v/>
      </c>
      <c r="S25" s="30">
        <f>COUNTIFS('Base de données'!D:D,A25,'Base de données'!F:F,"OK",'Base de données'!C:C,"&gt;=01/03",'Base de données'!C:C,"&lt;01/04")+COUNTIFS('Base de données'!D:D,A25,'Base de données'!F:F,"KO - REL",'Base de données'!C:C,"&gt;=01/03",'Base de données'!C:C,"&lt;01/04")</f>
        <v>0</v>
      </c>
      <c r="T25" s="21" t="str">
        <f t="shared" si="7"/>
        <v/>
      </c>
      <c r="U25" s="22">
        <f>COUNTIFS('Base de données'!D:D,A25,'Base de données'!G:G,"&lt;=0",'Base de données'!C:C,"&gt;=01/03",'Base de données'!C:C,"&lt;01/04")</f>
        <v>0</v>
      </c>
      <c r="V25" s="24" t="str">
        <f t="shared" si="8"/>
        <v/>
      </c>
      <c r="W25" s="49"/>
    </row>
    <row r="26" spans="1:23" ht="15.75" thickBot="1">
      <c r="A26" s="58" t="s">
        <v>26</v>
      </c>
      <c r="B26" s="59">
        <f>SUM(B3:B25)</f>
        <v>0</v>
      </c>
      <c r="C26" s="60">
        <f>SUM(C3:C25)</f>
        <v>0</v>
      </c>
      <c r="D26" s="61" t="e">
        <f>C26/B26</f>
        <v>#DIV/0!</v>
      </c>
      <c r="E26" s="62">
        <f>SUM(E3:E25)</f>
        <v>0</v>
      </c>
      <c r="F26" s="61" t="e">
        <f>E26/B26</f>
        <v>#DIV/0!</v>
      </c>
      <c r="G26" s="63">
        <f>SUM(G3:G25)</f>
        <v>0</v>
      </c>
      <c r="H26" s="64" t="e">
        <f>G26/B26</f>
        <v>#DIV/0!</v>
      </c>
      <c r="I26" s="59">
        <f>SUM(I3:I25)</f>
        <v>0</v>
      </c>
      <c r="J26" s="60">
        <f>SUM(J3:J25)</f>
        <v>0</v>
      </c>
      <c r="K26" s="61" t="e">
        <f>J26/I26</f>
        <v>#DIV/0!</v>
      </c>
      <c r="L26" s="62">
        <f>SUM(L3:L25)</f>
        <v>0</v>
      </c>
      <c r="M26" s="61" t="e">
        <f>L26/I26</f>
        <v>#DIV/0!</v>
      </c>
      <c r="N26" s="63">
        <f>SUM(N3:N25)</f>
        <v>0</v>
      </c>
      <c r="O26" s="64" t="e">
        <f>N26/I26</f>
        <v>#DIV/0!</v>
      </c>
      <c r="P26" s="59">
        <f>SUM(P3:P25)</f>
        <v>0</v>
      </c>
      <c r="Q26" s="60">
        <f>SUM(Q3:Q25)</f>
        <v>0</v>
      </c>
      <c r="R26" s="61" t="e">
        <f>Q26/P26</f>
        <v>#DIV/0!</v>
      </c>
      <c r="S26" s="62">
        <f>SUM(S3:S25)</f>
        <v>0</v>
      </c>
      <c r="T26" s="61" t="e">
        <f>S26/P26</f>
        <v>#DIV/0!</v>
      </c>
      <c r="U26" s="63">
        <f>SUM(U3:U25)</f>
        <v>0</v>
      </c>
      <c r="V26" s="64" t="e">
        <f>U26/P26</f>
        <v>#DIV/0!</v>
      </c>
      <c r="W26" s="50"/>
    </row>
    <row r="27" spans="1:23" ht="15.75" thickBot="1"/>
    <row r="28" spans="1:23" ht="15.75" thickBot="1">
      <c r="A28" s="18"/>
      <c r="B28" s="82" t="s">
        <v>23</v>
      </c>
      <c r="C28" s="83"/>
      <c r="D28" s="84"/>
      <c r="E28" s="84"/>
      <c r="F28" s="84"/>
      <c r="G28" s="84"/>
      <c r="H28" s="85"/>
      <c r="I28" s="82" t="s">
        <v>24</v>
      </c>
      <c r="J28" s="83"/>
      <c r="K28" s="84"/>
      <c r="L28" s="84"/>
      <c r="M28" s="84"/>
      <c r="N28" s="84"/>
      <c r="O28" s="85"/>
      <c r="P28" s="82" t="s">
        <v>25</v>
      </c>
      <c r="Q28" s="83"/>
      <c r="R28" s="84"/>
      <c r="S28" s="84"/>
      <c r="T28" s="84"/>
      <c r="U28" s="84"/>
      <c r="V28" s="85"/>
      <c r="W28" s="48"/>
    </row>
    <row r="29" spans="1:23" ht="60.75" thickBot="1">
      <c r="A29" s="47" t="s">
        <v>19</v>
      </c>
      <c r="B29" s="51" t="s">
        <v>9</v>
      </c>
      <c r="C29" s="52" t="s">
        <v>65</v>
      </c>
      <c r="D29" s="52" t="s">
        <v>66</v>
      </c>
      <c r="E29" s="52" t="s">
        <v>67</v>
      </c>
      <c r="F29" s="52" t="s">
        <v>68</v>
      </c>
      <c r="G29" s="52" t="s">
        <v>10</v>
      </c>
      <c r="H29" s="53" t="s">
        <v>18</v>
      </c>
      <c r="I29" s="51" t="s">
        <v>9</v>
      </c>
      <c r="J29" s="52" t="s">
        <v>65</v>
      </c>
      <c r="K29" s="52" t="s">
        <v>66</v>
      </c>
      <c r="L29" s="52" t="s">
        <v>67</v>
      </c>
      <c r="M29" s="52" t="s">
        <v>68</v>
      </c>
      <c r="N29" s="52" t="s">
        <v>10</v>
      </c>
      <c r="O29" s="53" t="s">
        <v>18</v>
      </c>
      <c r="P29" s="51" t="s">
        <v>9</v>
      </c>
      <c r="Q29" s="52" t="s">
        <v>65</v>
      </c>
      <c r="R29" s="52" t="s">
        <v>66</v>
      </c>
      <c r="S29" s="52" t="s">
        <v>67</v>
      </c>
      <c r="T29" s="52" t="s">
        <v>68</v>
      </c>
      <c r="U29" s="52" t="s">
        <v>10</v>
      </c>
      <c r="V29" s="53" t="s">
        <v>18</v>
      </c>
      <c r="W29" s="49"/>
    </row>
    <row r="30" spans="1:23">
      <c r="A30" s="54" t="s">
        <v>40</v>
      </c>
      <c r="B30" s="25">
        <f>COUNTIFS('Base de données'!D:D,A30,'Base de données'!C:C,"&gt;=01/04",'Base de données'!C:C,"&lt;01/05")</f>
        <v>0</v>
      </c>
      <c r="C30" s="27">
        <f>COUNTIFS('Base de données'!D:D,A30,'Base de données'!E:E,"OK",'Base de données'!C:C,"&gt;=01/04",'Base de données'!C:C,"&lt;01/05")+COUNTIFS('Base de données'!D:D,A30,'Base de données'!E:E,"KO - REL",'Base de données'!C:C,"&gt;=01/04",'Base de données'!C:C,"&lt;01/05")</f>
        <v>0</v>
      </c>
      <c r="D30" s="26" t="str">
        <f>IF(B30=0,"",C30/B30)</f>
        <v/>
      </c>
      <c r="E30" s="45">
        <f>COUNTIFS('Base de données'!D:D,A30,'Base de données'!F:F,"OK",'Base de données'!C:C,"&gt;=01/04",'Base de données'!C:C,"&lt;01/05")+COUNTIFS('Base de données'!D:D,A30,'Base de données'!F:F,"KO - REL",'Base de données'!C:C,"&gt;=01/04",'Base de données'!C:C,"&lt;01/05")</f>
        <v>0</v>
      </c>
      <c r="F30" s="26" t="str">
        <f>IF(B30=0,"",E30/B30)</f>
        <v/>
      </c>
      <c r="G30" s="27">
        <f>COUNTIFS('Base de données'!D:D,A30,'Base de données'!G:G,"&lt;=0",'Base de données'!C:C,"&gt;=01/04",'Base de données'!C:C,"&lt;01/05")</f>
        <v>0</v>
      </c>
      <c r="H30" s="36" t="str">
        <f>IF(B30=0,"",G30/B30)</f>
        <v/>
      </c>
      <c r="I30" s="25">
        <f>COUNTIFS('Base de données'!D:D,A30,'Base de données'!C:C,"&gt;=01/05",'Base de données'!C:C,"&lt;01/06")</f>
        <v>0</v>
      </c>
      <c r="J30" s="27">
        <f>COUNTIFS('Base de données'!D:D,A30,'Base de données'!E:E,"OK",'Base de données'!C:C,"&gt;=01/05",'Base de données'!C:C,"&lt;01/06")+COUNTIFS('Base de données'!D:D,A30,'Base de données'!E:E,"KO - REL",'Base de données'!C:C,"&gt;=01/05",'Base de données'!C:C,"&lt;01/06")</f>
        <v>0</v>
      </c>
      <c r="K30" s="26" t="str">
        <f>IF(I30=0,"",J30/I30)</f>
        <v/>
      </c>
      <c r="L30" s="45">
        <f>COUNTIFS('Base de données'!D:D,A30,'Base de données'!F:F,"OK",'Base de données'!C:C,"&gt;=01/05",'Base de données'!C:C,"&lt;01/06")+COUNTIFS('Base de données'!D:D,A30,'Base de données'!F:F,"KO - REL",'Base de données'!C:C,"&gt;=01/05",'Base de données'!C:C,"&lt;01/06")</f>
        <v>0</v>
      </c>
      <c r="M30" s="26" t="str">
        <f>IF(I30=0,"",L30/I30)</f>
        <v/>
      </c>
      <c r="N30" s="27">
        <f>COUNTIFS('Base de données'!D:D,A30,'Base de données'!G:G,"&lt;=0",'Base de données'!C:C,"&gt;=01/05",'Base de données'!C:C,"&lt;01/06")</f>
        <v>0</v>
      </c>
      <c r="O30" s="36" t="str">
        <f>IF(I30=0,"",N30/I30)</f>
        <v/>
      </c>
      <c r="P30" s="25">
        <f>COUNTIFS('Base de données'!D:D,A30,'Base de données'!C:C,"&gt;=01/06",'Base de données'!C:C,"&lt;01/07")</f>
        <v>0</v>
      </c>
      <c r="Q30" s="27">
        <f>COUNTIFS('Base de données'!D:D,A30,'Base de données'!E:E,"OK",'Base de données'!C:C,"&gt;=01/06",'Base de données'!C:C,"&lt;01/07")+COUNTIFS('Base de données'!D:D,A30,'Base de données'!E:E,"KO - REL",'Base de données'!C:C,"&gt;=01/06",'Base de données'!C:C,"&lt;01/07")</f>
        <v>0</v>
      </c>
      <c r="R30" s="26" t="str">
        <f>IF(P30=0,"",Q30/P30)</f>
        <v/>
      </c>
      <c r="S30" s="45">
        <f>COUNTIFS('Base de données'!D:D,A30,'Base de données'!F:F,"OK",'Base de données'!C:C,"&gt;=01/06",'Base de données'!C:C,"&lt;01/07")+COUNTIFS('Base de données'!D:D,A30,'Base de données'!F:F,"KO - REL",'Base de données'!C:C,"&gt;=01/06",'Base de données'!C:C,"&lt;01/07")</f>
        <v>0</v>
      </c>
      <c r="T30" s="26" t="str">
        <f>IF(P30=0,"",S30/P30)</f>
        <v/>
      </c>
      <c r="U30" s="27">
        <f>COUNTIFS('Base de données'!D:D,A30,'Base de données'!G:G,"&lt;=0",'Base de données'!C:C,"&gt;=01/06",'Base de données'!C:C,"&lt;01/07")</f>
        <v>0</v>
      </c>
      <c r="V30" s="28" t="str">
        <f>IF(P30=0,"",U30/P30)</f>
        <v/>
      </c>
      <c r="W30" s="49"/>
    </row>
    <row r="31" spans="1:23">
      <c r="A31" s="54" t="s">
        <v>41</v>
      </c>
      <c r="B31" s="19">
        <f>COUNTIFS('Base de données'!D:D,A31,'Base de données'!C:C,"&gt;=01/04",'Base de données'!C:C,"&lt;01/05")</f>
        <v>0</v>
      </c>
      <c r="C31" s="16">
        <f>COUNTIFS('Base de données'!D:D,A31,'Base de données'!E:E,"OK",'Base de données'!C:C,"&gt;=01/04",'Base de données'!C:C,"&lt;01/05")+COUNTIFS('Base de données'!D:D,A31,'Base de données'!E:E,"KO - REL",'Base de données'!C:C,"&gt;=01/04",'Base de données'!C:C,"&lt;01/05")</f>
        <v>0</v>
      </c>
      <c r="D31" s="17" t="str">
        <f t="shared" ref="D31:D52" si="9">IF(B31=0,"",C31/B31)</f>
        <v/>
      </c>
      <c r="E31" s="43">
        <f>COUNTIFS('Base de données'!D:D,A31,'Base de données'!F:F,"OK",'Base de données'!C:C,"&gt;=01/04",'Base de données'!C:C,"&lt;01/05")+COUNTIFS('Base de données'!D:D,A31,'Base de données'!F:F,"KO - REL",'Base de données'!C:C,"&gt;=01/04",'Base de données'!C:C,"&lt;01/05")</f>
        <v>0</v>
      </c>
      <c r="F31" s="17" t="str">
        <f t="shared" ref="F31:F52" si="10">IF(B31=0,"",E31/B31)</f>
        <v/>
      </c>
      <c r="G31" s="16">
        <f>COUNTIFS('Base de données'!D:D,A31,'Base de données'!G:G,"&lt;=0",'Base de données'!C:C,"&gt;=01/04",'Base de données'!C:C,"&lt;01/05")</f>
        <v>0</v>
      </c>
      <c r="H31" s="35" t="str">
        <f t="shared" ref="H31:H52" si="11">IF(B31=0,"",G31/B31)</f>
        <v/>
      </c>
      <c r="I31" s="19">
        <f>COUNTIFS('Base de données'!D:D,A31,'Base de données'!C:C,"&gt;=01/05",'Base de données'!C:C,"&lt;01/06")</f>
        <v>0</v>
      </c>
      <c r="J31" s="16">
        <f>COUNTIFS('Base de données'!D:D,A31,'Base de données'!E:E,"OK",'Base de données'!C:C,"&gt;=01/05",'Base de données'!C:C,"&lt;01/06")+COUNTIFS('Base de données'!D:D,A31,'Base de données'!E:E,"KO - REL",'Base de données'!C:C,"&gt;=01/05",'Base de données'!C:C,"&lt;01/06")</f>
        <v>0</v>
      </c>
      <c r="K31" s="17" t="str">
        <f t="shared" ref="K31:K52" si="12">IF(I31=0,"",J31/I31)</f>
        <v/>
      </c>
      <c r="L31" s="43">
        <f>COUNTIFS('Base de données'!D:D,A31,'Base de données'!F:F,"OK",'Base de données'!C:C,"&gt;=01/05",'Base de données'!C:C,"&lt;01/06")+COUNTIFS('Base de données'!D:D,A31,'Base de données'!F:F,"KO - REL",'Base de données'!C:C,"&gt;=01/05",'Base de données'!C:C,"&lt;01/06")</f>
        <v>0</v>
      </c>
      <c r="M31" s="17" t="str">
        <f t="shared" ref="M31:M52" si="13">IF(I31=0,"",L31/I31)</f>
        <v/>
      </c>
      <c r="N31" s="16">
        <f>COUNTIFS('Base de données'!D:D,A31,'Base de données'!G:G,"&lt;=0",'Base de données'!C:C,"&gt;=01/05",'Base de données'!C:C,"&lt;01/06")</f>
        <v>0</v>
      </c>
      <c r="O31" s="35" t="str">
        <f t="shared" ref="O31:O52" si="14">IF(I31=0,"",N31/I31)</f>
        <v/>
      </c>
      <c r="P31" s="19">
        <f>COUNTIFS('Base de données'!D:D,A31,'Base de données'!C:C,"&gt;=01/06",'Base de données'!C:C,"&lt;01/07")</f>
        <v>0</v>
      </c>
      <c r="Q31" s="16">
        <f>COUNTIFS('Base de données'!D:D,A31,'Base de données'!E:E,"OK",'Base de données'!C:C,"&gt;=01/06",'Base de données'!C:C,"&lt;01/07")+COUNTIFS('Base de données'!D:D,A31,'Base de données'!E:E,"KO - REL",'Base de données'!C:C,"&gt;=01/06",'Base de données'!C:C,"&lt;01/07")</f>
        <v>0</v>
      </c>
      <c r="R31" s="17" t="str">
        <f t="shared" ref="R31:R52" si="15">IF(P31=0,"",Q31/P31)</f>
        <v/>
      </c>
      <c r="S31" s="43">
        <f>COUNTIFS('Base de données'!D:D,A31,'Base de données'!F:F,"OK",'Base de données'!C:C,"&gt;=01/06",'Base de données'!C:C,"&lt;01/07")+COUNTIFS('Base de données'!D:D,A31,'Base de données'!F:F,"KO - REL",'Base de données'!C:C,"&gt;=01/06",'Base de données'!C:C,"&lt;01/07")</f>
        <v>0</v>
      </c>
      <c r="T31" s="17" t="str">
        <f t="shared" ref="T31:T52" si="16">IF(P31=0,"",S31/P31)</f>
        <v/>
      </c>
      <c r="U31" s="16">
        <f>COUNTIFS('Base de données'!D:D,A31,'Base de données'!G:G,"&lt;=0",'Base de données'!C:C,"&gt;=01/06",'Base de données'!C:C,"&lt;01/07")</f>
        <v>0</v>
      </c>
      <c r="V31" s="23" t="str">
        <f t="shared" ref="V31:V52" si="17">IF(P31=0,"",U31/P31)</f>
        <v/>
      </c>
      <c r="W31" s="49"/>
    </row>
    <row r="32" spans="1:23">
      <c r="A32" s="55" t="s">
        <v>42</v>
      </c>
      <c r="B32" s="19">
        <f>COUNTIFS('Base de données'!D:D,A32,'Base de données'!C:C,"&gt;=01/04",'Base de données'!C:C,"&lt;01/05")</f>
        <v>0</v>
      </c>
      <c r="C32" s="16">
        <f>COUNTIFS('Base de données'!D:D,A32,'Base de données'!E:E,"OK",'Base de données'!C:C,"&gt;=01/04",'Base de données'!C:C,"&lt;01/05")+COUNTIFS('Base de données'!D:D,A32,'Base de données'!E:E,"KO - REL",'Base de données'!C:C,"&gt;=01/04",'Base de données'!C:C,"&lt;01/05")</f>
        <v>0</v>
      </c>
      <c r="D32" s="17" t="str">
        <f t="shared" si="9"/>
        <v/>
      </c>
      <c r="E32" s="43">
        <f>COUNTIFS('Base de données'!D:D,A32,'Base de données'!F:F,"OK",'Base de données'!C:C,"&gt;=01/04",'Base de données'!C:C,"&lt;01/05")+COUNTIFS('Base de données'!D:D,A32,'Base de données'!F:F,"KO - REL",'Base de données'!C:C,"&gt;=01/04",'Base de données'!C:C,"&lt;01/05")</f>
        <v>0</v>
      </c>
      <c r="F32" s="17" t="str">
        <f t="shared" si="10"/>
        <v/>
      </c>
      <c r="G32" s="16">
        <f>COUNTIFS('Base de données'!D:D,A32,'Base de données'!G:G,"&lt;=0",'Base de données'!C:C,"&gt;=01/04",'Base de données'!C:C,"&lt;01/05")</f>
        <v>0</v>
      </c>
      <c r="H32" s="35" t="str">
        <f t="shared" si="11"/>
        <v/>
      </c>
      <c r="I32" s="19">
        <f>COUNTIFS('Base de données'!D:D,A32,'Base de données'!C:C,"&gt;=01/05",'Base de données'!C:C,"&lt;01/06")</f>
        <v>0</v>
      </c>
      <c r="J32" s="16">
        <f>COUNTIFS('Base de données'!D:D,A32,'Base de données'!E:E,"OK",'Base de données'!C:C,"&gt;=01/05",'Base de données'!C:C,"&lt;01/06")+COUNTIFS('Base de données'!D:D,A32,'Base de données'!E:E,"KO - REL",'Base de données'!C:C,"&gt;=01/05",'Base de données'!C:C,"&lt;01/06")</f>
        <v>0</v>
      </c>
      <c r="K32" s="17" t="str">
        <f t="shared" si="12"/>
        <v/>
      </c>
      <c r="L32" s="43">
        <f>COUNTIFS('Base de données'!D:D,A32,'Base de données'!F:F,"OK",'Base de données'!C:C,"&gt;=01/05",'Base de données'!C:C,"&lt;01/06")+COUNTIFS('Base de données'!D:D,A32,'Base de données'!F:F,"KO - REL",'Base de données'!C:C,"&gt;=01/05",'Base de données'!C:C,"&lt;01/06")</f>
        <v>0</v>
      </c>
      <c r="M32" s="17" t="str">
        <f t="shared" si="13"/>
        <v/>
      </c>
      <c r="N32" s="16">
        <f>COUNTIFS('Base de données'!D:D,A32,'Base de données'!G:G,"&lt;=0",'Base de données'!C:C,"&gt;=01/05",'Base de données'!C:C,"&lt;01/06")</f>
        <v>0</v>
      </c>
      <c r="O32" s="35" t="str">
        <f t="shared" si="14"/>
        <v/>
      </c>
      <c r="P32" s="19">
        <f>COUNTIFS('Base de données'!D:D,A32,'Base de données'!C:C,"&gt;=01/06",'Base de données'!C:C,"&lt;01/07")</f>
        <v>0</v>
      </c>
      <c r="Q32" s="16">
        <f>COUNTIFS('Base de données'!D:D,A32,'Base de données'!E:E,"OK",'Base de données'!C:C,"&gt;=01/06",'Base de données'!C:C,"&lt;01/07")+COUNTIFS('Base de données'!D:D,A32,'Base de données'!E:E,"KO - REL",'Base de données'!C:C,"&gt;=01/06",'Base de données'!C:C,"&lt;01/07")</f>
        <v>0</v>
      </c>
      <c r="R32" s="17" t="str">
        <f t="shared" si="15"/>
        <v/>
      </c>
      <c r="S32" s="43">
        <f>COUNTIFS('Base de données'!D:D,A32,'Base de données'!F:F,"OK",'Base de données'!C:C,"&gt;=01/06",'Base de données'!C:C,"&lt;01/07")+COUNTIFS('Base de données'!D:D,A32,'Base de données'!F:F,"KO - REL",'Base de données'!C:C,"&gt;=01/06",'Base de données'!C:C,"&lt;01/07")</f>
        <v>0</v>
      </c>
      <c r="T32" s="17" t="str">
        <f t="shared" si="16"/>
        <v/>
      </c>
      <c r="U32" s="16">
        <f>COUNTIFS('Base de données'!D:D,A32,'Base de données'!G:G,"&lt;=0",'Base de données'!C:C,"&gt;=01/06",'Base de données'!C:C,"&lt;01/07")</f>
        <v>0</v>
      </c>
      <c r="V32" s="23" t="str">
        <f t="shared" si="17"/>
        <v/>
      </c>
      <c r="W32" s="49"/>
    </row>
    <row r="33" spans="1:23">
      <c r="A33" s="55" t="s">
        <v>43</v>
      </c>
      <c r="B33" s="19">
        <f>COUNTIFS('Base de données'!D:D,A33,'Base de données'!C:C,"&gt;=01/04",'Base de données'!C:C,"&lt;01/05")</f>
        <v>0</v>
      </c>
      <c r="C33" s="16">
        <f>COUNTIFS('Base de données'!D:D,A33,'Base de données'!E:E,"OK",'Base de données'!C:C,"&gt;=01/04",'Base de données'!C:C,"&lt;01/05")+COUNTIFS('Base de données'!D:D,A33,'Base de données'!E:E,"KO - REL",'Base de données'!C:C,"&gt;=01/04",'Base de données'!C:C,"&lt;01/05")</f>
        <v>0</v>
      </c>
      <c r="D33" s="17" t="str">
        <f t="shared" si="9"/>
        <v/>
      </c>
      <c r="E33" s="43">
        <f>COUNTIFS('Base de données'!D:D,A33,'Base de données'!F:F,"OK",'Base de données'!C:C,"&gt;=01/04",'Base de données'!C:C,"&lt;01/05")+COUNTIFS('Base de données'!D:D,A33,'Base de données'!F:F,"KO - REL",'Base de données'!C:C,"&gt;=01/04",'Base de données'!C:C,"&lt;01/05")</f>
        <v>0</v>
      </c>
      <c r="F33" s="17" t="str">
        <f t="shared" si="10"/>
        <v/>
      </c>
      <c r="G33" s="16">
        <f>COUNTIFS('Base de données'!D:D,A33,'Base de données'!G:G,"&lt;=0",'Base de données'!C:C,"&gt;=01/04",'Base de données'!C:C,"&lt;01/05")</f>
        <v>0</v>
      </c>
      <c r="H33" s="35" t="str">
        <f t="shared" si="11"/>
        <v/>
      </c>
      <c r="I33" s="19">
        <f>COUNTIFS('Base de données'!D:D,A33,'Base de données'!C:C,"&gt;=01/05",'Base de données'!C:C,"&lt;01/06")</f>
        <v>0</v>
      </c>
      <c r="J33" s="16">
        <f>COUNTIFS('Base de données'!D:D,A33,'Base de données'!E:E,"OK",'Base de données'!C:C,"&gt;=01/05",'Base de données'!C:C,"&lt;01/06")+COUNTIFS('Base de données'!D:D,A33,'Base de données'!E:E,"KO - REL",'Base de données'!C:C,"&gt;=01/05",'Base de données'!C:C,"&lt;01/06")</f>
        <v>0</v>
      </c>
      <c r="K33" s="17" t="str">
        <f t="shared" si="12"/>
        <v/>
      </c>
      <c r="L33" s="43">
        <f>COUNTIFS('Base de données'!D:D,A33,'Base de données'!F:F,"OK",'Base de données'!C:C,"&gt;=01/05",'Base de données'!C:C,"&lt;01/06")+COUNTIFS('Base de données'!D:D,A33,'Base de données'!F:F,"KO - REL",'Base de données'!C:C,"&gt;=01/05",'Base de données'!C:C,"&lt;01/06")</f>
        <v>0</v>
      </c>
      <c r="M33" s="17" t="str">
        <f t="shared" si="13"/>
        <v/>
      </c>
      <c r="N33" s="16">
        <f>COUNTIFS('Base de données'!D:D,A33,'Base de données'!G:G,"&lt;=0",'Base de données'!C:C,"&gt;=01/05",'Base de données'!C:C,"&lt;01/06")</f>
        <v>0</v>
      </c>
      <c r="O33" s="35" t="str">
        <f t="shared" si="14"/>
        <v/>
      </c>
      <c r="P33" s="19">
        <f>COUNTIFS('Base de données'!D:D,A33,'Base de données'!C:C,"&gt;=01/06",'Base de données'!C:C,"&lt;01/07")</f>
        <v>0</v>
      </c>
      <c r="Q33" s="16">
        <f>COUNTIFS('Base de données'!D:D,A33,'Base de données'!E:E,"OK",'Base de données'!C:C,"&gt;=01/06",'Base de données'!C:C,"&lt;01/07")+COUNTIFS('Base de données'!D:D,A33,'Base de données'!E:E,"KO - REL",'Base de données'!C:C,"&gt;=01/06",'Base de données'!C:C,"&lt;01/07")</f>
        <v>0</v>
      </c>
      <c r="R33" s="17" t="str">
        <f t="shared" si="15"/>
        <v/>
      </c>
      <c r="S33" s="43">
        <f>COUNTIFS('Base de données'!D:D,A33,'Base de données'!F:F,"OK",'Base de données'!C:C,"&gt;=01/06",'Base de données'!C:C,"&lt;01/07")+COUNTIFS('Base de données'!D:D,A33,'Base de données'!F:F,"KO - REL",'Base de données'!C:C,"&gt;=01/06",'Base de données'!C:C,"&lt;01/07")</f>
        <v>0</v>
      </c>
      <c r="T33" s="17" t="str">
        <f t="shared" si="16"/>
        <v/>
      </c>
      <c r="U33" s="16">
        <f>COUNTIFS('Base de données'!D:D,A33,'Base de données'!G:G,"&lt;=0",'Base de données'!C:C,"&gt;=01/06",'Base de données'!C:C,"&lt;01/07")</f>
        <v>0</v>
      </c>
      <c r="V33" s="23" t="str">
        <f t="shared" si="17"/>
        <v/>
      </c>
      <c r="W33" s="49"/>
    </row>
    <row r="34" spans="1:23">
      <c r="A34" s="55" t="s">
        <v>44</v>
      </c>
      <c r="B34" s="19">
        <f>COUNTIFS('Base de données'!D:D,A34,'Base de données'!C:C,"&gt;=01/04",'Base de données'!C:C,"&lt;01/05")</f>
        <v>0</v>
      </c>
      <c r="C34" s="16">
        <f>COUNTIFS('Base de données'!D:D,A34,'Base de données'!E:E,"OK",'Base de données'!C:C,"&gt;=01/04",'Base de données'!C:C,"&lt;01/05")+COUNTIFS('Base de données'!D:D,A34,'Base de données'!E:E,"KO - REL",'Base de données'!C:C,"&gt;=01/04",'Base de données'!C:C,"&lt;01/05")</f>
        <v>0</v>
      </c>
      <c r="D34" s="17" t="str">
        <f t="shared" si="9"/>
        <v/>
      </c>
      <c r="E34" s="43">
        <f>COUNTIFS('Base de données'!D:D,A34,'Base de données'!F:F,"OK",'Base de données'!C:C,"&gt;=01/04",'Base de données'!C:C,"&lt;01/05")+COUNTIFS('Base de données'!D:D,A34,'Base de données'!F:F,"KO - REL",'Base de données'!C:C,"&gt;=01/04",'Base de données'!C:C,"&lt;01/05")</f>
        <v>0</v>
      </c>
      <c r="F34" s="17" t="str">
        <f t="shared" si="10"/>
        <v/>
      </c>
      <c r="G34" s="16">
        <f>COUNTIFS('Base de données'!D:D,A34,'Base de données'!G:G,"&lt;=0",'Base de données'!C:C,"&gt;=01/04",'Base de données'!C:C,"&lt;01/05")</f>
        <v>0</v>
      </c>
      <c r="H34" s="35" t="str">
        <f t="shared" si="11"/>
        <v/>
      </c>
      <c r="I34" s="19">
        <f>COUNTIFS('Base de données'!D:D,A34,'Base de données'!C:C,"&gt;=01/05",'Base de données'!C:C,"&lt;01/06")</f>
        <v>0</v>
      </c>
      <c r="J34" s="16">
        <f>COUNTIFS('Base de données'!D:D,A34,'Base de données'!E:E,"OK",'Base de données'!C:C,"&gt;=01/05",'Base de données'!C:C,"&lt;01/06")+COUNTIFS('Base de données'!D:D,A34,'Base de données'!E:E,"KO - REL",'Base de données'!C:C,"&gt;=01/05",'Base de données'!C:C,"&lt;01/06")</f>
        <v>0</v>
      </c>
      <c r="K34" s="17" t="str">
        <f t="shared" si="12"/>
        <v/>
      </c>
      <c r="L34" s="43">
        <f>COUNTIFS('Base de données'!D:D,A34,'Base de données'!F:F,"OK",'Base de données'!C:C,"&gt;=01/05",'Base de données'!C:C,"&lt;01/06")+COUNTIFS('Base de données'!D:D,A34,'Base de données'!F:F,"KO - REL",'Base de données'!C:C,"&gt;=01/05",'Base de données'!C:C,"&lt;01/06")</f>
        <v>0</v>
      </c>
      <c r="M34" s="17" t="str">
        <f t="shared" si="13"/>
        <v/>
      </c>
      <c r="N34" s="16">
        <f>COUNTIFS('Base de données'!D:D,A34,'Base de données'!G:G,"&lt;=0",'Base de données'!C:C,"&gt;=01/05",'Base de données'!C:C,"&lt;01/06")</f>
        <v>0</v>
      </c>
      <c r="O34" s="35" t="str">
        <f t="shared" si="14"/>
        <v/>
      </c>
      <c r="P34" s="19">
        <f>COUNTIFS('Base de données'!D:D,A34,'Base de données'!C:C,"&gt;=01/06",'Base de données'!C:C,"&lt;01/07")</f>
        <v>0</v>
      </c>
      <c r="Q34" s="16">
        <f>COUNTIFS('Base de données'!D:D,A34,'Base de données'!E:E,"OK",'Base de données'!C:C,"&gt;=01/06",'Base de données'!C:C,"&lt;01/07")+COUNTIFS('Base de données'!D:D,A34,'Base de données'!E:E,"KO - REL",'Base de données'!C:C,"&gt;=01/06",'Base de données'!C:C,"&lt;01/07")</f>
        <v>0</v>
      </c>
      <c r="R34" s="17" t="str">
        <f t="shared" si="15"/>
        <v/>
      </c>
      <c r="S34" s="43">
        <f>COUNTIFS('Base de données'!D:D,A34,'Base de données'!F:F,"OK",'Base de données'!C:C,"&gt;=01/06",'Base de données'!C:C,"&lt;01/07")+COUNTIFS('Base de données'!D:D,A34,'Base de données'!F:F,"KO - REL",'Base de données'!C:C,"&gt;=01/06",'Base de données'!C:C,"&lt;01/07")</f>
        <v>0</v>
      </c>
      <c r="T34" s="17" t="str">
        <f t="shared" si="16"/>
        <v/>
      </c>
      <c r="U34" s="16">
        <f>COUNTIFS('Base de données'!D:D,A34,'Base de données'!G:G,"&lt;=0",'Base de données'!C:C,"&gt;=01/06",'Base de données'!C:C,"&lt;01/07")</f>
        <v>0</v>
      </c>
      <c r="V34" s="23" t="str">
        <f t="shared" si="17"/>
        <v/>
      </c>
      <c r="W34" s="49"/>
    </row>
    <row r="35" spans="1:23">
      <c r="A35" s="55" t="s">
        <v>45</v>
      </c>
      <c r="B35" s="19">
        <f>COUNTIFS('Base de données'!D:D,A35,'Base de données'!C:C,"&gt;=01/04",'Base de données'!C:C,"&lt;01/05")</f>
        <v>0</v>
      </c>
      <c r="C35" s="16">
        <f>COUNTIFS('Base de données'!D:D,A35,'Base de données'!E:E,"OK",'Base de données'!C:C,"&gt;=01/04",'Base de données'!C:C,"&lt;01/05")+COUNTIFS('Base de données'!D:D,A35,'Base de données'!E:E,"KO - REL",'Base de données'!C:C,"&gt;=01/04",'Base de données'!C:C,"&lt;01/05")</f>
        <v>0</v>
      </c>
      <c r="D35" s="17" t="str">
        <f t="shared" si="9"/>
        <v/>
      </c>
      <c r="E35" s="43">
        <f>COUNTIFS('Base de données'!D:D,A35,'Base de données'!F:F,"OK",'Base de données'!C:C,"&gt;=01/04",'Base de données'!C:C,"&lt;01/05")+COUNTIFS('Base de données'!D:D,A35,'Base de données'!F:F,"KO - REL",'Base de données'!C:C,"&gt;=01/04",'Base de données'!C:C,"&lt;01/05")</f>
        <v>0</v>
      </c>
      <c r="F35" s="17" t="str">
        <f t="shared" si="10"/>
        <v/>
      </c>
      <c r="G35" s="16">
        <f>COUNTIFS('Base de données'!D:D,A35,'Base de données'!G:G,"&lt;=0",'Base de données'!C:C,"&gt;=01/04",'Base de données'!C:C,"&lt;01/05")</f>
        <v>0</v>
      </c>
      <c r="H35" s="35" t="str">
        <f t="shared" si="11"/>
        <v/>
      </c>
      <c r="I35" s="19">
        <f>COUNTIFS('Base de données'!D:D,A35,'Base de données'!C:C,"&gt;=01/05",'Base de données'!C:C,"&lt;01/06")</f>
        <v>0</v>
      </c>
      <c r="J35" s="16">
        <f>COUNTIFS('Base de données'!D:D,A35,'Base de données'!E:E,"OK",'Base de données'!C:C,"&gt;=01/05",'Base de données'!C:C,"&lt;01/06")+COUNTIFS('Base de données'!D:D,A35,'Base de données'!E:E,"KO - REL",'Base de données'!C:C,"&gt;=01/05",'Base de données'!C:C,"&lt;01/06")</f>
        <v>0</v>
      </c>
      <c r="K35" s="17" t="str">
        <f t="shared" si="12"/>
        <v/>
      </c>
      <c r="L35" s="43">
        <f>COUNTIFS('Base de données'!D:D,A35,'Base de données'!F:F,"OK",'Base de données'!C:C,"&gt;=01/05",'Base de données'!C:C,"&lt;01/06")+COUNTIFS('Base de données'!D:D,A35,'Base de données'!F:F,"KO - REL",'Base de données'!C:C,"&gt;=01/05",'Base de données'!C:C,"&lt;01/06")</f>
        <v>0</v>
      </c>
      <c r="M35" s="17" t="str">
        <f t="shared" si="13"/>
        <v/>
      </c>
      <c r="N35" s="16">
        <f>COUNTIFS('Base de données'!D:D,A35,'Base de données'!G:G,"&lt;=0",'Base de données'!C:C,"&gt;=01/05",'Base de données'!C:C,"&lt;01/06")</f>
        <v>0</v>
      </c>
      <c r="O35" s="35" t="str">
        <f t="shared" si="14"/>
        <v/>
      </c>
      <c r="P35" s="19">
        <f>COUNTIFS('Base de données'!D:D,A35,'Base de données'!C:C,"&gt;=01/06",'Base de données'!C:C,"&lt;01/07")</f>
        <v>0</v>
      </c>
      <c r="Q35" s="16">
        <f>COUNTIFS('Base de données'!D:D,A35,'Base de données'!E:E,"OK",'Base de données'!C:C,"&gt;=01/06",'Base de données'!C:C,"&lt;01/07")+COUNTIFS('Base de données'!D:D,A35,'Base de données'!E:E,"KO - REL",'Base de données'!C:C,"&gt;=01/06",'Base de données'!C:C,"&lt;01/07")</f>
        <v>0</v>
      </c>
      <c r="R35" s="17" t="str">
        <f t="shared" si="15"/>
        <v/>
      </c>
      <c r="S35" s="43">
        <f>COUNTIFS('Base de données'!D:D,A35,'Base de données'!F:F,"OK",'Base de données'!C:C,"&gt;=01/06",'Base de données'!C:C,"&lt;01/07")+COUNTIFS('Base de données'!D:D,A35,'Base de données'!F:F,"KO - REL",'Base de données'!C:C,"&gt;=01/06",'Base de données'!C:C,"&lt;01/07")</f>
        <v>0</v>
      </c>
      <c r="T35" s="17" t="str">
        <f t="shared" si="16"/>
        <v/>
      </c>
      <c r="U35" s="16">
        <f>COUNTIFS('Base de données'!D:D,A35,'Base de données'!G:G,"&lt;=0",'Base de données'!C:C,"&gt;=01/06",'Base de données'!C:C,"&lt;01/07")</f>
        <v>0</v>
      </c>
      <c r="V35" s="23" t="str">
        <f t="shared" si="17"/>
        <v/>
      </c>
      <c r="W35" s="49"/>
    </row>
    <row r="36" spans="1:23">
      <c r="A36" s="55" t="s">
        <v>46</v>
      </c>
      <c r="B36" s="19">
        <f>COUNTIFS('Base de données'!D:D,A36,'Base de données'!C:C,"&gt;=01/04",'Base de données'!C:C,"&lt;01/05")</f>
        <v>0</v>
      </c>
      <c r="C36" s="16">
        <f>COUNTIFS('Base de données'!D:D,A36,'Base de données'!E:E,"OK",'Base de données'!C:C,"&gt;=01/04",'Base de données'!C:C,"&lt;01/05")+COUNTIFS('Base de données'!D:D,A36,'Base de données'!E:E,"KO - REL",'Base de données'!C:C,"&gt;=01/04",'Base de données'!C:C,"&lt;01/05")</f>
        <v>0</v>
      </c>
      <c r="D36" s="17" t="str">
        <f t="shared" si="9"/>
        <v/>
      </c>
      <c r="E36" s="43">
        <f>COUNTIFS('Base de données'!D:D,A36,'Base de données'!F:F,"OK",'Base de données'!C:C,"&gt;=01/04",'Base de données'!C:C,"&lt;01/05")+COUNTIFS('Base de données'!D:D,A36,'Base de données'!F:F,"KO - REL",'Base de données'!C:C,"&gt;=01/04",'Base de données'!C:C,"&lt;01/05")</f>
        <v>0</v>
      </c>
      <c r="F36" s="17" t="str">
        <f t="shared" si="10"/>
        <v/>
      </c>
      <c r="G36" s="16">
        <f>COUNTIFS('Base de données'!D:D,A36,'Base de données'!G:G,"&lt;=0",'Base de données'!C:C,"&gt;=01/04",'Base de données'!C:C,"&lt;01/05")</f>
        <v>0</v>
      </c>
      <c r="H36" s="35" t="str">
        <f t="shared" si="11"/>
        <v/>
      </c>
      <c r="I36" s="19">
        <f>COUNTIFS('Base de données'!D:D,A36,'Base de données'!C:C,"&gt;=01/05",'Base de données'!C:C,"&lt;01/06")</f>
        <v>0</v>
      </c>
      <c r="J36" s="16">
        <f>COUNTIFS('Base de données'!D:D,A36,'Base de données'!E:E,"OK",'Base de données'!C:C,"&gt;=01/05",'Base de données'!C:C,"&lt;01/06")+COUNTIFS('Base de données'!D:D,A36,'Base de données'!E:E,"KO - REL",'Base de données'!C:C,"&gt;=01/05",'Base de données'!C:C,"&lt;01/06")</f>
        <v>0</v>
      </c>
      <c r="K36" s="17" t="str">
        <f t="shared" si="12"/>
        <v/>
      </c>
      <c r="L36" s="43">
        <f>COUNTIFS('Base de données'!D:D,A36,'Base de données'!F:F,"OK",'Base de données'!C:C,"&gt;=01/05",'Base de données'!C:C,"&lt;01/06")+COUNTIFS('Base de données'!D:D,A36,'Base de données'!F:F,"KO - REL",'Base de données'!C:C,"&gt;=01/05",'Base de données'!C:C,"&lt;01/06")</f>
        <v>0</v>
      </c>
      <c r="M36" s="17" t="str">
        <f t="shared" si="13"/>
        <v/>
      </c>
      <c r="N36" s="16">
        <f>COUNTIFS('Base de données'!D:D,A36,'Base de données'!G:G,"&lt;=0",'Base de données'!C:C,"&gt;=01/05",'Base de données'!C:C,"&lt;01/06")</f>
        <v>0</v>
      </c>
      <c r="O36" s="35" t="str">
        <f t="shared" si="14"/>
        <v/>
      </c>
      <c r="P36" s="19">
        <f>COUNTIFS('Base de données'!D:D,A36,'Base de données'!C:C,"&gt;=01/06",'Base de données'!C:C,"&lt;01/07")</f>
        <v>0</v>
      </c>
      <c r="Q36" s="16">
        <f>COUNTIFS('Base de données'!D:D,A36,'Base de données'!E:E,"OK",'Base de données'!C:C,"&gt;=01/06",'Base de données'!C:C,"&lt;01/07")+COUNTIFS('Base de données'!D:D,A36,'Base de données'!E:E,"KO - REL",'Base de données'!C:C,"&gt;=01/06",'Base de données'!C:C,"&lt;01/07")</f>
        <v>0</v>
      </c>
      <c r="R36" s="17" t="str">
        <f t="shared" si="15"/>
        <v/>
      </c>
      <c r="S36" s="43">
        <f>COUNTIFS('Base de données'!D:D,A36,'Base de données'!F:F,"OK",'Base de données'!C:C,"&gt;=01/06",'Base de données'!C:C,"&lt;01/07")+COUNTIFS('Base de données'!D:D,A36,'Base de données'!F:F,"KO - REL",'Base de données'!C:C,"&gt;=01/06",'Base de données'!C:C,"&lt;01/07")</f>
        <v>0</v>
      </c>
      <c r="T36" s="17" t="str">
        <f t="shared" si="16"/>
        <v/>
      </c>
      <c r="U36" s="16">
        <f>COUNTIFS('Base de données'!D:D,A36,'Base de données'!G:G,"&lt;=0",'Base de données'!C:C,"&gt;=01/06",'Base de données'!C:C,"&lt;01/07")</f>
        <v>0</v>
      </c>
      <c r="V36" s="23" t="str">
        <f t="shared" si="17"/>
        <v/>
      </c>
      <c r="W36" s="49"/>
    </row>
    <row r="37" spans="1:23">
      <c r="A37" s="55" t="s">
        <v>47</v>
      </c>
      <c r="B37" s="19">
        <f>COUNTIFS('Base de données'!D:D,A37,'Base de données'!C:C,"&gt;=01/04",'Base de données'!C:C,"&lt;01/05")</f>
        <v>0</v>
      </c>
      <c r="C37" s="16">
        <f>COUNTIFS('Base de données'!D:D,A37,'Base de données'!E:E,"OK",'Base de données'!C:C,"&gt;=01/04",'Base de données'!C:C,"&lt;01/05")+COUNTIFS('Base de données'!D:D,A37,'Base de données'!E:E,"KO - REL",'Base de données'!C:C,"&gt;=01/04",'Base de données'!C:C,"&lt;01/05")</f>
        <v>0</v>
      </c>
      <c r="D37" s="17" t="str">
        <f t="shared" si="9"/>
        <v/>
      </c>
      <c r="E37" s="43">
        <f>COUNTIFS('Base de données'!D:D,A37,'Base de données'!F:F,"OK",'Base de données'!C:C,"&gt;=01/04",'Base de données'!C:C,"&lt;01/05")+COUNTIFS('Base de données'!D:D,A37,'Base de données'!F:F,"KO - REL",'Base de données'!C:C,"&gt;=01/04",'Base de données'!C:C,"&lt;01/05")</f>
        <v>0</v>
      </c>
      <c r="F37" s="17" t="str">
        <f t="shared" si="10"/>
        <v/>
      </c>
      <c r="G37" s="16">
        <f>COUNTIFS('Base de données'!D:D,A37,'Base de données'!G:G,"&lt;=0",'Base de données'!C:C,"&gt;=01/04",'Base de données'!C:C,"&lt;01/05")</f>
        <v>0</v>
      </c>
      <c r="H37" s="35" t="str">
        <f t="shared" si="11"/>
        <v/>
      </c>
      <c r="I37" s="19">
        <f>COUNTIFS('Base de données'!D:D,A37,'Base de données'!C:C,"&gt;=01/05",'Base de données'!C:C,"&lt;01/06")</f>
        <v>0</v>
      </c>
      <c r="J37" s="16">
        <f>COUNTIFS('Base de données'!D:D,A37,'Base de données'!E:E,"OK",'Base de données'!C:C,"&gt;=01/05",'Base de données'!C:C,"&lt;01/06")+COUNTIFS('Base de données'!D:D,A37,'Base de données'!E:E,"KO - REL",'Base de données'!C:C,"&gt;=01/05",'Base de données'!C:C,"&lt;01/06")</f>
        <v>0</v>
      </c>
      <c r="K37" s="17" t="str">
        <f t="shared" si="12"/>
        <v/>
      </c>
      <c r="L37" s="43">
        <f>COUNTIFS('Base de données'!D:D,A37,'Base de données'!F:F,"OK",'Base de données'!C:C,"&gt;=01/05",'Base de données'!C:C,"&lt;01/06")+COUNTIFS('Base de données'!D:D,A37,'Base de données'!F:F,"KO - REL",'Base de données'!C:C,"&gt;=01/05",'Base de données'!C:C,"&lt;01/06")</f>
        <v>0</v>
      </c>
      <c r="M37" s="17" t="str">
        <f t="shared" si="13"/>
        <v/>
      </c>
      <c r="N37" s="16">
        <f>COUNTIFS('Base de données'!D:D,A37,'Base de données'!G:G,"&lt;=0",'Base de données'!C:C,"&gt;=01/05",'Base de données'!C:C,"&lt;01/06")</f>
        <v>0</v>
      </c>
      <c r="O37" s="35" t="str">
        <f t="shared" si="14"/>
        <v/>
      </c>
      <c r="P37" s="19">
        <f>COUNTIFS('Base de données'!D:D,A37,'Base de données'!C:C,"&gt;=01/06",'Base de données'!C:C,"&lt;01/07")</f>
        <v>0</v>
      </c>
      <c r="Q37" s="16">
        <f>COUNTIFS('Base de données'!D:D,A37,'Base de données'!E:E,"OK",'Base de données'!C:C,"&gt;=01/06",'Base de données'!C:C,"&lt;01/07")+COUNTIFS('Base de données'!D:D,A37,'Base de données'!E:E,"KO - REL",'Base de données'!C:C,"&gt;=01/06",'Base de données'!C:C,"&lt;01/07")</f>
        <v>0</v>
      </c>
      <c r="R37" s="17" t="str">
        <f t="shared" si="15"/>
        <v/>
      </c>
      <c r="S37" s="43">
        <f>COUNTIFS('Base de données'!D:D,A37,'Base de données'!F:F,"OK",'Base de données'!C:C,"&gt;=01/06",'Base de données'!C:C,"&lt;01/07")+COUNTIFS('Base de données'!D:D,A37,'Base de données'!F:F,"KO - REL",'Base de données'!C:C,"&gt;=01/06",'Base de données'!C:C,"&lt;01/07")</f>
        <v>0</v>
      </c>
      <c r="T37" s="17" t="str">
        <f t="shared" si="16"/>
        <v/>
      </c>
      <c r="U37" s="16">
        <f>COUNTIFS('Base de données'!D:D,A37,'Base de données'!G:G,"&lt;=0",'Base de données'!C:C,"&gt;=01/06",'Base de données'!C:C,"&lt;01/07")</f>
        <v>0</v>
      </c>
      <c r="V37" s="23" t="str">
        <f t="shared" si="17"/>
        <v/>
      </c>
      <c r="W37" s="49"/>
    </row>
    <row r="38" spans="1:23">
      <c r="A38" s="55" t="s">
        <v>48</v>
      </c>
      <c r="B38" s="19">
        <f>COUNTIFS('Base de données'!D:D,A38,'Base de données'!C:C,"&gt;=01/04",'Base de données'!C:C,"&lt;01/05")</f>
        <v>0</v>
      </c>
      <c r="C38" s="16">
        <f>COUNTIFS('Base de données'!D:D,A38,'Base de données'!E:E,"OK",'Base de données'!C:C,"&gt;=01/04",'Base de données'!C:C,"&lt;01/05")+COUNTIFS('Base de données'!D:D,A38,'Base de données'!E:E,"KO - REL",'Base de données'!C:C,"&gt;=01/04",'Base de données'!C:C,"&lt;01/05")</f>
        <v>0</v>
      </c>
      <c r="D38" s="17" t="str">
        <f t="shared" si="9"/>
        <v/>
      </c>
      <c r="E38" s="43">
        <f>COUNTIFS('Base de données'!D:D,A38,'Base de données'!F:F,"OK",'Base de données'!C:C,"&gt;=01/04",'Base de données'!C:C,"&lt;01/05")+COUNTIFS('Base de données'!D:D,A38,'Base de données'!F:F,"KO - REL",'Base de données'!C:C,"&gt;=01/04",'Base de données'!C:C,"&lt;01/05")</f>
        <v>0</v>
      </c>
      <c r="F38" s="17" t="str">
        <f t="shared" si="10"/>
        <v/>
      </c>
      <c r="G38" s="16">
        <f>COUNTIFS('Base de données'!D:D,A38,'Base de données'!G:G,"&lt;=0",'Base de données'!C:C,"&gt;=01/04",'Base de données'!C:C,"&lt;01/05")</f>
        <v>0</v>
      </c>
      <c r="H38" s="35" t="str">
        <f t="shared" si="11"/>
        <v/>
      </c>
      <c r="I38" s="19">
        <f>COUNTIFS('Base de données'!D:D,A38,'Base de données'!C:C,"&gt;=01/05",'Base de données'!C:C,"&lt;01/06")</f>
        <v>0</v>
      </c>
      <c r="J38" s="16">
        <f>COUNTIFS('Base de données'!D:D,A38,'Base de données'!E:E,"OK",'Base de données'!C:C,"&gt;=01/05",'Base de données'!C:C,"&lt;01/06")+COUNTIFS('Base de données'!D:D,A38,'Base de données'!E:E,"KO - REL",'Base de données'!C:C,"&gt;=01/05",'Base de données'!C:C,"&lt;01/06")</f>
        <v>0</v>
      </c>
      <c r="K38" s="17" t="str">
        <f t="shared" si="12"/>
        <v/>
      </c>
      <c r="L38" s="43">
        <f>COUNTIFS('Base de données'!D:D,A38,'Base de données'!F:F,"OK",'Base de données'!C:C,"&gt;=01/05",'Base de données'!C:C,"&lt;01/06")+COUNTIFS('Base de données'!D:D,A38,'Base de données'!F:F,"KO - REL",'Base de données'!C:C,"&gt;=01/05",'Base de données'!C:C,"&lt;01/06")</f>
        <v>0</v>
      </c>
      <c r="M38" s="17" t="str">
        <f t="shared" si="13"/>
        <v/>
      </c>
      <c r="N38" s="16">
        <f>COUNTIFS('Base de données'!D:D,A38,'Base de données'!G:G,"&lt;=0",'Base de données'!C:C,"&gt;=01/05",'Base de données'!C:C,"&lt;01/06")</f>
        <v>0</v>
      </c>
      <c r="O38" s="35" t="str">
        <f t="shared" si="14"/>
        <v/>
      </c>
      <c r="P38" s="19">
        <f>COUNTIFS('Base de données'!D:D,A38,'Base de données'!C:C,"&gt;=01/06",'Base de données'!C:C,"&lt;01/07")</f>
        <v>0</v>
      </c>
      <c r="Q38" s="16">
        <f>COUNTIFS('Base de données'!D:D,A38,'Base de données'!E:E,"OK",'Base de données'!C:C,"&gt;=01/06",'Base de données'!C:C,"&lt;01/07")+COUNTIFS('Base de données'!D:D,A38,'Base de données'!E:E,"KO - REL",'Base de données'!C:C,"&gt;=01/06",'Base de données'!C:C,"&lt;01/07")</f>
        <v>0</v>
      </c>
      <c r="R38" s="17" t="str">
        <f t="shared" si="15"/>
        <v/>
      </c>
      <c r="S38" s="43">
        <f>COUNTIFS('Base de données'!D:D,A38,'Base de données'!F:F,"OK",'Base de données'!C:C,"&gt;=01/06",'Base de données'!C:C,"&lt;01/07")+COUNTIFS('Base de données'!D:D,A38,'Base de données'!F:F,"KO - REL",'Base de données'!C:C,"&gt;=01/06",'Base de données'!C:C,"&lt;01/07")</f>
        <v>0</v>
      </c>
      <c r="T38" s="17" t="str">
        <f t="shared" si="16"/>
        <v/>
      </c>
      <c r="U38" s="16">
        <f>COUNTIFS('Base de données'!D:D,A38,'Base de données'!G:G,"&lt;=0",'Base de données'!C:C,"&gt;=01/06",'Base de données'!C:C,"&lt;01/07")</f>
        <v>0</v>
      </c>
      <c r="V38" s="23" t="str">
        <f t="shared" si="17"/>
        <v/>
      </c>
      <c r="W38" s="49"/>
    </row>
    <row r="39" spans="1:23">
      <c r="A39" s="55" t="s">
        <v>49</v>
      </c>
      <c r="B39" s="19">
        <f>COUNTIFS('Base de données'!D:D,A39,'Base de données'!C:C,"&gt;=01/04",'Base de données'!C:C,"&lt;01/05")</f>
        <v>0</v>
      </c>
      <c r="C39" s="16">
        <f>COUNTIFS('Base de données'!D:D,A39,'Base de données'!E:E,"OK",'Base de données'!C:C,"&gt;=01/04",'Base de données'!C:C,"&lt;01/05")+COUNTIFS('Base de données'!D:D,A39,'Base de données'!E:E,"KO - REL",'Base de données'!C:C,"&gt;=01/04",'Base de données'!C:C,"&lt;01/05")</f>
        <v>0</v>
      </c>
      <c r="D39" s="17" t="str">
        <f t="shared" si="9"/>
        <v/>
      </c>
      <c r="E39" s="43">
        <f>COUNTIFS('Base de données'!D:D,A39,'Base de données'!F:F,"OK",'Base de données'!C:C,"&gt;=01/04",'Base de données'!C:C,"&lt;01/05")+COUNTIFS('Base de données'!D:D,A39,'Base de données'!F:F,"KO - REL",'Base de données'!C:C,"&gt;=01/04",'Base de données'!C:C,"&lt;01/05")</f>
        <v>0</v>
      </c>
      <c r="F39" s="17" t="str">
        <f t="shared" si="10"/>
        <v/>
      </c>
      <c r="G39" s="16">
        <f>COUNTIFS('Base de données'!D:D,A39,'Base de données'!G:G,"&lt;=0",'Base de données'!C:C,"&gt;=01/04",'Base de données'!C:C,"&lt;01/05")</f>
        <v>0</v>
      </c>
      <c r="H39" s="35" t="str">
        <f t="shared" si="11"/>
        <v/>
      </c>
      <c r="I39" s="19">
        <f>COUNTIFS('Base de données'!D:D,A39,'Base de données'!C:C,"&gt;=01/05",'Base de données'!C:C,"&lt;01/06")</f>
        <v>0</v>
      </c>
      <c r="J39" s="16">
        <f>COUNTIFS('Base de données'!D:D,A39,'Base de données'!E:E,"OK",'Base de données'!C:C,"&gt;=01/05",'Base de données'!C:C,"&lt;01/06")+COUNTIFS('Base de données'!D:D,A39,'Base de données'!E:E,"KO - REL",'Base de données'!C:C,"&gt;=01/05",'Base de données'!C:C,"&lt;01/06")</f>
        <v>0</v>
      </c>
      <c r="K39" s="17" t="str">
        <f t="shared" si="12"/>
        <v/>
      </c>
      <c r="L39" s="43">
        <f>COUNTIFS('Base de données'!D:D,A39,'Base de données'!F:F,"OK",'Base de données'!C:C,"&gt;=01/05",'Base de données'!C:C,"&lt;01/06")+COUNTIFS('Base de données'!D:D,A39,'Base de données'!F:F,"KO - REL",'Base de données'!C:C,"&gt;=01/05",'Base de données'!C:C,"&lt;01/06")</f>
        <v>0</v>
      </c>
      <c r="M39" s="17" t="str">
        <f t="shared" si="13"/>
        <v/>
      </c>
      <c r="N39" s="16">
        <f>COUNTIFS('Base de données'!D:D,A39,'Base de données'!G:G,"&lt;=0",'Base de données'!C:C,"&gt;=01/05",'Base de données'!C:C,"&lt;01/06")</f>
        <v>0</v>
      </c>
      <c r="O39" s="35" t="str">
        <f t="shared" si="14"/>
        <v/>
      </c>
      <c r="P39" s="19">
        <f>COUNTIFS('Base de données'!D:D,A39,'Base de données'!C:C,"&gt;=01/06",'Base de données'!C:C,"&lt;01/07")</f>
        <v>0</v>
      </c>
      <c r="Q39" s="16">
        <f>COUNTIFS('Base de données'!D:D,A39,'Base de données'!E:E,"OK",'Base de données'!C:C,"&gt;=01/06",'Base de données'!C:C,"&lt;01/07")+COUNTIFS('Base de données'!D:D,A39,'Base de données'!E:E,"KO - REL",'Base de données'!C:C,"&gt;=01/06",'Base de données'!C:C,"&lt;01/07")</f>
        <v>0</v>
      </c>
      <c r="R39" s="17" t="str">
        <f t="shared" si="15"/>
        <v/>
      </c>
      <c r="S39" s="43">
        <f>COUNTIFS('Base de données'!D:D,A39,'Base de données'!F:F,"OK",'Base de données'!C:C,"&gt;=01/06",'Base de données'!C:C,"&lt;01/07")+COUNTIFS('Base de données'!D:D,A39,'Base de données'!F:F,"KO - REL",'Base de données'!C:C,"&gt;=01/06",'Base de données'!C:C,"&lt;01/07")</f>
        <v>0</v>
      </c>
      <c r="T39" s="17" t="str">
        <f t="shared" si="16"/>
        <v/>
      </c>
      <c r="U39" s="16">
        <f>COUNTIFS('Base de données'!D:D,A39,'Base de données'!G:G,"&lt;=0",'Base de données'!C:C,"&gt;=01/06",'Base de données'!C:C,"&lt;01/07")</f>
        <v>0</v>
      </c>
      <c r="V39" s="23" t="str">
        <f t="shared" si="17"/>
        <v/>
      </c>
      <c r="W39" s="49"/>
    </row>
    <row r="40" spans="1:23">
      <c r="A40" s="55" t="s">
        <v>50</v>
      </c>
      <c r="B40" s="19">
        <f>COUNTIFS('Base de données'!D:D,A40,'Base de données'!C:C,"&gt;=01/04",'Base de données'!C:C,"&lt;01/05")</f>
        <v>0</v>
      </c>
      <c r="C40" s="16">
        <f>COUNTIFS('Base de données'!D:D,A40,'Base de données'!E:E,"OK",'Base de données'!C:C,"&gt;=01/04",'Base de données'!C:C,"&lt;01/05")+COUNTIFS('Base de données'!D:D,A40,'Base de données'!E:E,"KO - REL",'Base de données'!C:C,"&gt;=01/04",'Base de données'!C:C,"&lt;01/05")</f>
        <v>0</v>
      </c>
      <c r="D40" s="17" t="str">
        <f t="shared" si="9"/>
        <v/>
      </c>
      <c r="E40" s="43">
        <f>COUNTIFS('Base de données'!D:D,A40,'Base de données'!F:F,"OK",'Base de données'!C:C,"&gt;=01/04",'Base de données'!C:C,"&lt;01/05")+COUNTIFS('Base de données'!D:D,A40,'Base de données'!F:F,"KO - REL",'Base de données'!C:C,"&gt;=01/04",'Base de données'!C:C,"&lt;01/05")</f>
        <v>0</v>
      </c>
      <c r="F40" s="17" t="str">
        <f t="shared" si="10"/>
        <v/>
      </c>
      <c r="G40" s="16">
        <f>COUNTIFS('Base de données'!D:D,A40,'Base de données'!G:G,"&lt;=0",'Base de données'!C:C,"&gt;=01/04",'Base de données'!C:C,"&lt;01/05")</f>
        <v>0</v>
      </c>
      <c r="H40" s="35" t="str">
        <f t="shared" si="11"/>
        <v/>
      </c>
      <c r="I40" s="19">
        <f>COUNTIFS('Base de données'!D:D,A40,'Base de données'!C:C,"&gt;=01/05",'Base de données'!C:C,"&lt;01/06")</f>
        <v>0</v>
      </c>
      <c r="J40" s="16">
        <f>COUNTIFS('Base de données'!D:D,A40,'Base de données'!E:E,"OK",'Base de données'!C:C,"&gt;=01/05",'Base de données'!C:C,"&lt;01/06")+COUNTIFS('Base de données'!D:D,A40,'Base de données'!E:E,"KO - REL",'Base de données'!C:C,"&gt;=01/05",'Base de données'!C:C,"&lt;01/06")</f>
        <v>0</v>
      </c>
      <c r="K40" s="17" t="str">
        <f t="shared" si="12"/>
        <v/>
      </c>
      <c r="L40" s="43">
        <f>COUNTIFS('Base de données'!D:D,A40,'Base de données'!F:F,"OK",'Base de données'!C:C,"&gt;=01/05",'Base de données'!C:C,"&lt;01/06")+COUNTIFS('Base de données'!D:D,A40,'Base de données'!F:F,"KO - REL",'Base de données'!C:C,"&gt;=01/05",'Base de données'!C:C,"&lt;01/06")</f>
        <v>0</v>
      </c>
      <c r="M40" s="17" t="str">
        <f t="shared" si="13"/>
        <v/>
      </c>
      <c r="N40" s="16">
        <f>COUNTIFS('Base de données'!D:D,A40,'Base de données'!G:G,"&lt;=0",'Base de données'!C:C,"&gt;=01/05",'Base de données'!C:C,"&lt;01/06")</f>
        <v>0</v>
      </c>
      <c r="O40" s="35" t="str">
        <f t="shared" si="14"/>
        <v/>
      </c>
      <c r="P40" s="19">
        <f>COUNTIFS('Base de données'!D:D,A40,'Base de données'!C:C,"&gt;=01/06",'Base de données'!C:C,"&lt;01/07")</f>
        <v>0</v>
      </c>
      <c r="Q40" s="16">
        <f>COUNTIFS('Base de données'!D:D,A40,'Base de données'!E:E,"OK",'Base de données'!C:C,"&gt;=01/06",'Base de données'!C:C,"&lt;01/07")+COUNTIFS('Base de données'!D:D,A40,'Base de données'!E:E,"KO - REL",'Base de données'!C:C,"&gt;=01/06",'Base de données'!C:C,"&lt;01/07")</f>
        <v>0</v>
      </c>
      <c r="R40" s="17" t="str">
        <f t="shared" si="15"/>
        <v/>
      </c>
      <c r="S40" s="43">
        <f>COUNTIFS('Base de données'!D:D,A40,'Base de données'!F:F,"OK",'Base de données'!C:C,"&gt;=01/06",'Base de données'!C:C,"&lt;01/07")+COUNTIFS('Base de données'!D:D,A40,'Base de données'!F:F,"KO - REL",'Base de données'!C:C,"&gt;=01/06",'Base de données'!C:C,"&lt;01/07")</f>
        <v>0</v>
      </c>
      <c r="T40" s="17" t="str">
        <f t="shared" si="16"/>
        <v/>
      </c>
      <c r="U40" s="16">
        <f>COUNTIFS('Base de données'!D:D,A40,'Base de données'!G:G,"&lt;=0",'Base de données'!C:C,"&gt;=01/06",'Base de données'!C:C,"&lt;01/07")</f>
        <v>0</v>
      </c>
      <c r="V40" s="23" t="str">
        <f t="shared" si="17"/>
        <v/>
      </c>
      <c r="W40" s="49"/>
    </row>
    <row r="41" spans="1:23">
      <c r="A41" s="55" t="s">
        <v>51</v>
      </c>
      <c r="B41" s="19">
        <f>COUNTIFS('Base de données'!D:D,A41,'Base de données'!C:C,"&gt;=01/04",'Base de données'!C:C,"&lt;01/05")</f>
        <v>0</v>
      </c>
      <c r="C41" s="16">
        <f>COUNTIFS('Base de données'!D:D,A41,'Base de données'!E:E,"OK",'Base de données'!C:C,"&gt;=01/04",'Base de données'!C:C,"&lt;01/05")+COUNTIFS('Base de données'!D:D,A41,'Base de données'!E:E,"KO - REL",'Base de données'!C:C,"&gt;=01/04",'Base de données'!C:C,"&lt;01/05")</f>
        <v>0</v>
      </c>
      <c r="D41" s="17" t="str">
        <f t="shared" si="9"/>
        <v/>
      </c>
      <c r="E41" s="43">
        <f>COUNTIFS('Base de données'!D:D,A41,'Base de données'!F:F,"OK",'Base de données'!C:C,"&gt;=01/04",'Base de données'!C:C,"&lt;01/05")+COUNTIFS('Base de données'!D:D,A41,'Base de données'!F:F,"KO - REL",'Base de données'!C:C,"&gt;=01/04",'Base de données'!C:C,"&lt;01/05")</f>
        <v>0</v>
      </c>
      <c r="F41" s="17" t="str">
        <f t="shared" si="10"/>
        <v/>
      </c>
      <c r="G41" s="16">
        <f>COUNTIFS('Base de données'!D:D,A41,'Base de données'!G:G,"&lt;=0",'Base de données'!C:C,"&gt;=01/04",'Base de données'!C:C,"&lt;01/05")</f>
        <v>0</v>
      </c>
      <c r="H41" s="35" t="str">
        <f t="shared" si="11"/>
        <v/>
      </c>
      <c r="I41" s="19">
        <f>COUNTIFS('Base de données'!D:D,A41,'Base de données'!C:C,"&gt;=01/05",'Base de données'!C:C,"&lt;01/06")</f>
        <v>0</v>
      </c>
      <c r="J41" s="16">
        <f>COUNTIFS('Base de données'!D:D,A41,'Base de données'!E:E,"OK",'Base de données'!C:C,"&gt;=01/05",'Base de données'!C:C,"&lt;01/06")+COUNTIFS('Base de données'!D:D,A41,'Base de données'!E:E,"KO - REL",'Base de données'!C:C,"&gt;=01/05",'Base de données'!C:C,"&lt;01/06")</f>
        <v>0</v>
      </c>
      <c r="K41" s="17" t="str">
        <f t="shared" si="12"/>
        <v/>
      </c>
      <c r="L41" s="43">
        <f>COUNTIFS('Base de données'!D:D,A41,'Base de données'!F:F,"OK",'Base de données'!C:C,"&gt;=01/05",'Base de données'!C:C,"&lt;01/06")+COUNTIFS('Base de données'!D:D,A41,'Base de données'!F:F,"KO - REL",'Base de données'!C:C,"&gt;=01/05",'Base de données'!C:C,"&lt;01/06")</f>
        <v>0</v>
      </c>
      <c r="M41" s="17" t="str">
        <f t="shared" si="13"/>
        <v/>
      </c>
      <c r="N41" s="16">
        <f>COUNTIFS('Base de données'!D:D,A41,'Base de données'!G:G,"&lt;=0",'Base de données'!C:C,"&gt;=01/05",'Base de données'!C:C,"&lt;01/06")</f>
        <v>0</v>
      </c>
      <c r="O41" s="35" t="str">
        <f t="shared" si="14"/>
        <v/>
      </c>
      <c r="P41" s="19">
        <f>COUNTIFS('Base de données'!D:D,A41,'Base de données'!C:C,"&gt;=01/06",'Base de données'!C:C,"&lt;01/07")</f>
        <v>0</v>
      </c>
      <c r="Q41" s="16">
        <f>COUNTIFS('Base de données'!D:D,A41,'Base de données'!E:E,"OK",'Base de données'!C:C,"&gt;=01/06",'Base de données'!C:C,"&lt;01/07")+COUNTIFS('Base de données'!D:D,A41,'Base de données'!E:E,"KO - REL",'Base de données'!C:C,"&gt;=01/06",'Base de données'!C:C,"&lt;01/07")</f>
        <v>0</v>
      </c>
      <c r="R41" s="17" t="str">
        <f t="shared" si="15"/>
        <v/>
      </c>
      <c r="S41" s="43">
        <f>COUNTIFS('Base de données'!D:D,A41,'Base de données'!F:F,"OK",'Base de données'!C:C,"&gt;=01/06",'Base de données'!C:C,"&lt;01/07")+COUNTIFS('Base de données'!D:D,A41,'Base de données'!F:F,"KO - REL",'Base de données'!C:C,"&gt;=01/06",'Base de données'!C:C,"&lt;01/07")</f>
        <v>0</v>
      </c>
      <c r="T41" s="17" t="str">
        <f t="shared" si="16"/>
        <v/>
      </c>
      <c r="U41" s="16">
        <f>COUNTIFS('Base de données'!D:D,A41,'Base de données'!G:G,"&lt;=0",'Base de données'!C:C,"&gt;=01/06",'Base de données'!C:C,"&lt;01/07")</f>
        <v>0</v>
      </c>
      <c r="V41" s="23" t="str">
        <f t="shared" si="17"/>
        <v/>
      </c>
      <c r="W41" s="49"/>
    </row>
    <row r="42" spans="1:23">
      <c r="A42" s="55" t="s">
        <v>52</v>
      </c>
      <c r="B42" s="19">
        <f>COUNTIFS('Base de données'!D:D,A42,'Base de données'!C:C,"&gt;=01/04",'Base de données'!C:C,"&lt;01/05")</f>
        <v>0</v>
      </c>
      <c r="C42" s="16">
        <f>COUNTIFS('Base de données'!D:D,A42,'Base de données'!E:E,"OK",'Base de données'!C:C,"&gt;=01/04",'Base de données'!C:C,"&lt;01/05")+COUNTIFS('Base de données'!D:D,A42,'Base de données'!E:E,"KO - REL",'Base de données'!C:C,"&gt;=01/04",'Base de données'!C:C,"&lt;01/05")</f>
        <v>0</v>
      </c>
      <c r="D42" s="17" t="str">
        <f t="shared" si="9"/>
        <v/>
      </c>
      <c r="E42" s="43">
        <f>COUNTIFS('Base de données'!D:D,A42,'Base de données'!F:F,"OK",'Base de données'!C:C,"&gt;=01/04",'Base de données'!C:C,"&lt;01/05")+COUNTIFS('Base de données'!D:D,A42,'Base de données'!F:F,"KO - REL",'Base de données'!C:C,"&gt;=01/04",'Base de données'!C:C,"&lt;01/05")</f>
        <v>0</v>
      </c>
      <c r="F42" s="17" t="str">
        <f t="shared" si="10"/>
        <v/>
      </c>
      <c r="G42" s="16">
        <f>COUNTIFS('Base de données'!D:D,A42,'Base de données'!G:G,"&lt;=0",'Base de données'!C:C,"&gt;=01/04",'Base de données'!C:C,"&lt;01/05")</f>
        <v>0</v>
      </c>
      <c r="H42" s="35" t="str">
        <f t="shared" si="11"/>
        <v/>
      </c>
      <c r="I42" s="19">
        <f>COUNTIFS('Base de données'!D:D,A42,'Base de données'!C:C,"&gt;=01/05",'Base de données'!C:C,"&lt;01/06")</f>
        <v>0</v>
      </c>
      <c r="J42" s="16">
        <f>COUNTIFS('Base de données'!D:D,A42,'Base de données'!E:E,"OK",'Base de données'!C:C,"&gt;=01/05",'Base de données'!C:C,"&lt;01/06")+COUNTIFS('Base de données'!D:D,A42,'Base de données'!E:E,"KO - REL",'Base de données'!C:C,"&gt;=01/05",'Base de données'!C:C,"&lt;01/06")</f>
        <v>0</v>
      </c>
      <c r="K42" s="17" t="str">
        <f t="shared" si="12"/>
        <v/>
      </c>
      <c r="L42" s="43">
        <f>COUNTIFS('Base de données'!D:D,A42,'Base de données'!F:F,"OK",'Base de données'!C:C,"&gt;=01/05",'Base de données'!C:C,"&lt;01/06")+COUNTIFS('Base de données'!D:D,A42,'Base de données'!F:F,"KO - REL",'Base de données'!C:C,"&gt;=01/05",'Base de données'!C:C,"&lt;01/06")</f>
        <v>0</v>
      </c>
      <c r="M42" s="17" t="str">
        <f t="shared" si="13"/>
        <v/>
      </c>
      <c r="N42" s="16">
        <f>COUNTIFS('Base de données'!D:D,A42,'Base de données'!G:G,"&lt;=0",'Base de données'!C:C,"&gt;=01/05",'Base de données'!C:C,"&lt;01/06")</f>
        <v>0</v>
      </c>
      <c r="O42" s="35" t="str">
        <f t="shared" si="14"/>
        <v/>
      </c>
      <c r="P42" s="19">
        <f>COUNTIFS('Base de données'!D:D,A42,'Base de données'!C:C,"&gt;=01/06",'Base de données'!C:C,"&lt;01/07")</f>
        <v>0</v>
      </c>
      <c r="Q42" s="16">
        <f>COUNTIFS('Base de données'!D:D,A42,'Base de données'!E:E,"OK",'Base de données'!C:C,"&gt;=01/06",'Base de données'!C:C,"&lt;01/07")+COUNTIFS('Base de données'!D:D,A42,'Base de données'!E:E,"KO - REL",'Base de données'!C:C,"&gt;=01/06",'Base de données'!C:C,"&lt;01/07")</f>
        <v>0</v>
      </c>
      <c r="R42" s="17" t="str">
        <f t="shared" si="15"/>
        <v/>
      </c>
      <c r="S42" s="43">
        <f>COUNTIFS('Base de données'!D:D,A42,'Base de données'!F:F,"OK",'Base de données'!C:C,"&gt;=01/06",'Base de données'!C:C,"&lt;01/07")+COUNTIFS('Base de données'!D:D,A42,'Base de données'!F:F,"KO - REL",'Base de données'!C:C,"&gt;=01/06",'Base de données'!C:C,"&lt;01/07")</f>
        <v>0</v>
      </c>
      <c r="T42" s="17" t="str">
        <f t="shared" si="16"/>
        <v/>
      </c>
      <c r="U42" s="16">
        <f>COUNTIFS('Base de données'!D:D,A42,'Base de données'!G:G,"&lt;=0",'Base de données'!C:C,"&gt;=01/06",'Base de données'!C:C,"&lt;01/07")</f>
        <v>0</v>
      </c>
      <c r="V42" s="23" t="str">
        <f t="shared" si="17"/>
        <v/>
      </c>
      <c r="W42" s="49"/>
    </row>
    <row r="43" spans="1:23">
      <c r="A43" s="55" t="s">
        <v>53</v>
      </c>
      <c r="B43" s="19">
        <f>COUNTIFS('Base de données'!D:D,A43,'Base de données'!C:C,"&gt;=01/04",'Base de données'!C:C,"&lt;01/05")</f>
        <v>0</v>
      </c>
      <c r="C43" s="16">
        <f>COUNTIFS('Base de données'!D:D,A43,'Base de données'!E:E,"OK",'Base de données'!C:C,"&gt;=01/04",'Base de données'!C:C,"&lt;01/05")+COUNTIFS('Base de données'!D:D,A43,'Base de données'!E:E,"KO - REL",'Base de données'!C:C,"&gt;=01/04",'Base de données'!C:C,"&lt;01/05")</f>
        <v>0</v>
      </c>
      <c r="D43" s="17" t="str">
        <f t="shared" si="9"/>
        <v/>
      </c>
      <c r="E43" s="43">
        <f>COUNTIFS('Base de données'!D:D,A43,'Base de données'!F:F,"OK",'Base de données'!C:C,"&gt;=01/04",'Base de données'!C:C,"&lt;01/05")+COUNTIFS('Base de données'!D:D,A43,'Base de données'!F:F,"KO - REL",'Base de données'!C:C,"&gt;=01/04",'Base de données'!C:C,"&lt;01/05")</f>
        <v>0</v>
      </c>
      <c r="F43" s="17" t="str">
        <f t="shared" si="10"/>
        <v/>
      </c>
      <c r="G43" s="16">
        <f>COUNTIFS('Base de données'!D:D,A43,'Base de données'!G:G,"&lt;=0",'Base de données'!C:C,"&gt;=01/04",'Base de données'!C:C,"&lt;01/05")</f>
        <v>0</v>
      </c>
      <c r="H43" s="35" t="str">
        <f t="shared" si="11"/>
        <v/>
      </c>
      <c r="I43" s="19">
        <f>COUNTIFS('Base de données'!D:D,A43,'Base de données'!C:C,"&gt;=01/05",'Base de données'!C:C,"&lt;01/06")</f>
        <v>0</v>
      </c>
      <c r="J43" s="16">
        <f>COUNTIFS('Base de données'!D:D,A43,'Base de données'!E:E,"OK",'Base de données'!C:C,"&gt;=01/05",'Base de données'!C:C,"&lt;01/06")+COUNTIFS('Base de données'!D:D,A43,'Base de données'!E:E,"KO - REL",'Base de données'!C:C,"&gt;=01/05",'Base de données'!C:C,"&lt;01/06")</f>
        <v>0</v>
      </c>
      <c r="K43" s="17" t="str">
        <f t="shared" si="12"/>
        <v/>
      </c>
      <c r="L43" s="43">
        <f>COUNTIFS('Base de données'!D:D,A43,'Base de données'!F:F,"OK",'Base de données'!C:C,"&gt;=01/05",'Base de données'!C:C,"&lt;01/06")+COUNTIFS('Base de données'!D:D,A43,'Base de données'!F:F,"KO - REL",'Base de données'!C:C,"&gt;=01/05",'Base de données'!C:C,"&lt;01/06")</f>
        <v>0</v>
      </c>
      <c r="M43" s="17" t="str">
        <f t="shared" si="13"/>
        <v/>
      </c>
      <c r="N43" s="16">
        <f>COUNTIFS('Base de données'!D:D,A43,'Base de données'!G:G,"&lt;=0",'Base de données'!C:C,"&gt;=01/05",'Base de données'!C:C,"&lt;01/06")</f>
        <v>0</v>
      </c>
      <c r="O43" s="35" t="str">
        <f t="shared" si="14"/>
        <v/>
      </c>
      <c r="P43" s="19">
        <f>COUNTIFS('Base de données'!D:D,A43,'Base de données'!C:C,"&gt;=01/06",'Base de données'!C:C,"&lt;01/07")</f>
        <v>0</v>
      </c>
      <c r="Q43" s="16">
        <f>COUNTIFS('Base de données'!D:D,A43,'Base de données'!E:E,"OK",'Base de données'!C:C,"&gt;=01/06",'Base de données'!C:C,"&lt;01/07")+COUNTIFS('Base de données'!D:D,A43,'Base de données'!E:E,"KO - REL",'Base de données'!C:C,"&gt;=01/06",'Base de données'!C:C,"&lt;01/07")</f>
        <v>0</v>
      </c>
      <c r="R43" s="17" t="str">
        <f t="shared" si="15"/>
        <v/>
      </c>
      <c r="S43" s="43">
        <f>COUNTIFS('Base de données'!D:D,A43,'Base de données'!F:F,"OK",'Base de données'!C:C,"&gt;=01/06",'Base de données'!C:C,"&lt;01/07")+COUNTIFS('Base de données'!D:D,A43,'Base de données'!F:F,"KO - REL",'Base de données'!C:C,"&gt;=01/06",'Base de données'!C:C,"&lt;01/07")</f>
        <v>0</v>
      </c>
      <c r="T43" s="17" t="str">
        <f t="shared" si="16"/>
        <v/>
      </c>
      <c r="U43" s="16">
        <f>COUNTIFS('Base de données'!D:D,A43,'Base de données'!G:G,"&lt;=0",'Base de données'!C:C,"&gt;=01/06",'Base de données'!C:C,"&lt;01/07")</f>
        <v>0</v>
      </c>
      <c r="V43" s="23" t="str">
        <f t="shared" si="17"/>
        <v/>
      </c>
      <c r="W43" s="49"/>
    </row>
    <row r="44" spans="1:23">
      <c r="A44" s="55" t="s">
        <v>54</v>
      </c>
      <c r="B44" s="19">
        <f>COUNTIFS('Base de données'!D:D,A44,'Base de données'!C:C,"&gt;=01/04",'Base de données'!C:C,"&lt;01/05")</f>
        <v>0</v>
      </c>
      <c r="C44" s="16">
        <f>COUNTIFS('Base de données'!D:D,A44,'Base de données'!E:E,"OK",'Base de données'!C:C,"&gt;=01/04",'Base de données'!C:C,"&lt;01/05")+COUNTIFS('Base de données'!D:D,A44,'Base de données'!E:E,"KO - REL",'Base de données'!C:C,"&gt;=01/04",'Base de données'!C:C,"&lt;01/05")</f>
        <v>0</v>
      </c>
      <c r="D44" s="17" t="str">
        <f t="shared" si="9"/>
        <v/>
      </c>
      <c r="E44" s="43">
        <f>COUNTIFS('Base de données'!D:D,A44,'Base de données'!F:F,"OK",'Base de données'!C:C,"&gt;=01/04",'Base de données'!C:C,"&lt;01/05")+COUNTIFS('Base de données'!D:D,A44,'Base de données'!F:F,"KO - REL",'Base de données'!C:C,"&gt;=01/04",'Base de données'!C:C,"&lt;01/05")</f>
        <v>0</v>
      </c>
      <c r="F44" s="17" t="str">
        <f t="shared" si="10"/>
        <v/>
      </c>
      <c r="G44" s="16">
        <f>COUNTIFS('Base de données'!D:D,A44,'Base de données'!G:G,"&lt;=0",'Base de données'!C:C,"&gt;=01/04",'Base de données'!C:C,"&lt;01/05")</f>
        <v>0</v>
      </c>
      <c r="H44" s="35" t="str">
        <f t="shared" si="11"/>
        <v/>
      </c>
      <c r="I44" s="19">
        <f>COUNTIFS('Base de données'!D:D,A44,'Base de données'!C:C,"&gt;=01/05",'Base de données'!C:C,"&lt;01/06")</f>
        <v>0</v>
      </c>
      <c r="J44" s="16">
        <f>COUNTIFS('Base de données'!D:D,A44,'Base de données'!E:E,"OK",'Base de données'!C:C,"&gt;=01/05",'Base de données'!C:C,"&lt;01/06")+COUNTIFS('Base de données'!D:D,A44,'Base de données'!E:E,"KO - REL",'Base de données'!C:C,"&gt;=01/05",'Base de données'!C:C,"&lt;01/06")</f>
        <v>0</v>
      </c>
      <c r="K44" s="17" t="str">
        <f t="shared" si="12"/>
        <v/>
      </c>
      <c r="L44" s="43">
        <f>COUNTIFS('Base de données'!D:D,A44,'Base de données'!F:F,"OK",'Base de données'!C:C,"&gt;=01/05",'Base de données'!C:C,"&lt;01/06")+COUNTIFS('Base de données'!D:D,A44,'Base de données'!F:F,"KO - REL",'Base de données'!C:C,"&gt;=01/05",'Base de données'!C:C,"&lt;01/06")</f>
        <v>0</v>
      </c>
      <c r="M44" s="17" t="str">
        <f t="shared" si="13"/>
        <v/>
      </c>
      <c r="N44" s="16">
        <f>COUNTIFS('Base de données'!D:D,A44,'Base de données'!G:G,"&lt;=0",'Base de données'!C:C,"&gt;=01/05",'Base de données'!C:C,"&lt;01/06")</f>
        <v>0</v>
      </c>
      <c r="O44" s="35" t="str">
        <f t="shared" si="14"/>
        <v/>
      </c>
      <c r="P44" s="19">
        <f>COUNTIFS('Base de données'!D:D,A44,'Base de données'!C:C,"&gt;=01/06",'Base de données'!C:C,"&lt;01/07")</f>
        <v>0</v>
      </c>
      <c r="Q44" s="16">
        <f>COUNTIFS('Base de données'!D:D,A44,'Base de données'!E:E,"OK",'Base de données'!C:C,"&gt;=01/06",'Base de données'!C:C,"&lt;01/07")+COUNTIFS('Base de données'!D:D,A44,'Base de données'!E:E,"KO - REL",'Base de données'!C:C,"&gt;=01/06",'Base de données'!C:C,"&lt;01/07")</f>
        <v>0</v>
      </c>
      <c r="R44" s="17" t="str">
        <f t="shared" si="15"/>
        <v/>
      </c>
      <c r="S44" s="43">
        <f>COUNTIFS('Base de données'!D:D,A44,'Base de données'!F:F,"OK",'Base de données'!C:C,"&gt;=01/06",'Base de données'!C:C,"&lt;01/07")+COUNTIFS('Base de données'!D:D,A44,'Base de données'!F:F,"KO - REL",'Base de données'!C:C,"&gt;=01/06",'Base de données'!C:C,"&lt;01/07")</f>
        <v>0</v>
      </c>
      <c r="T44" s="17" t="str">
        <f t="shared" si="16"/>
        <v/>
      </c>
      <c r="U44" s="16">
        <f>COUNTIFS('Base de données'!D:D,A44,'Base de données'!G:G,"&lt;=0",'Base de données'!C:C,"&gt;=01/06",'Base de données'!C:C,"&lt;01/07")</f>
        <v>0</v>
      </c>
      <c r="V44" s="23" t="str">
        <f t="shared" si="17"/>
        <v/>
      </c>
      <c r="W44" s="49"/>
    </row>
    <row r="45" spans="1:23">
      <c r="A45" s="55" t="s">
        <v>55</v>
      </c>
      <c r="B45" s="19">
        <f>COUNTIFS('Base de données'!D:D,A45,'Base de données'!C:C,"&gt;=01/04",'Base de données'!C:C,"&lt;01/05")</f>
        <v>0</v>
      </c>
      <c r="C45" s="16">
        <f>COUNTIFS('Base de données'!D:D,A45,'Base de données'!E:E,"OK",'Base de données'!C:C,"&gt;=01/04",'Base de données'!C:C,"&lt;01/05")+COUNTIFS('Base de données'!D:D,A45,'Base de données'!E:E,"KO - REL",'Base de données'!C:C,"&gt;=01/04",'Base de données'!C:C,"&lt;01/05")</f>
        <v>0</v>
      </c>
      <c r="D45" s="17" t="str">
        <f t="shared" si="9"/>
        <v/>
      </c>
      <c r="E45" s="43">
        <f>COUNTIFS('Base de données'!D:D,A45,'Base de données'!F:F,"OK",'Base de données'!C:C,"&gt;=01/04",'Base de données'!C:C,"&lt;01/05")+COUNTIFS('Base de données'!D:D,A45,'Base de données'!F:F,"KO - REL",'Base de données'!C:C,"&gt;=01/04",'Base de données'!C:C,"&lt;01/05")</f>
        <v>0</v>
      </c>
      <c r="F45" s="17" t="str">
        <f t="shared" si="10"/>
        <v/>
      </c>
      <c r="G45" s="16">
        <f>COUNTIFS('Base de données'!D:D,A45,'Base de données'!G:G,"&lt;=0",'Base de données'!C:C,"&gt;=01/04",'Base de données'!C:C,"&lt;01/05")</f>
        <v>0</v>
      </c>
      <c r="H45" s="35" t="str">
        <f t="shared" si="11"/>
        <v/>
      </c>
      <c r="I45" s="19">
        <f>COUNTIFS('Base de données'!D:D,A45,'Base de données'!C:C,"&gt;=01/05",'Base de données'!C:C,"&lt;01/06")</f>
        <v>0</v>
      </c>
      <c r="J45" s="16">
        <f>COUNTIFS('Base de données'!D:D,A45,'Base de données'!E:E,"OK",'Base de données'!C:C,"&gt;=01/05",'Base de données'!C:C,"&lt;01/06")+COUNTIFS('Base de données'!D:D,A45,'Base de données'!E:E,"KO - REL",'Base de données'!C:C,"&gt;=01/05",'Base de données'!C:C,"&lt;01/06")</f>
        <v>0</v>
      </c>
      <c r="K45" s="17" t="str">
        <f t="shared" si="12"/>
        <v/>
      </c>
      <c r="L45" s="43">
        <f>COUNTIFS('Base de données'!D:D,A45,'Base de données'!F:F,"OK",'Base de données'!C:C,"&gt;=01/05",'Base de données'!C:C,"&lt;01/06")+COUNTIFS('Base de données'!D:D,A45,'Base de données'!F:F,"KO - REL",'Base de données'!C:C,"&gt;=01/05",'Base de données'!C:C,"&lt;01/06")</f>
        <v>0</v>
      </c>
      <c r="M45" s="17" t="str">
        <f t="shared" si="13"/>
        <v/>
      </c>
      <c r="N45" s="16">
        <f>COUNTIFS('Base de données'!D:D,A45,'Base de données'!G:G,"&lt;=0",'Base de données'!C:C,"&gt;=01/05",'Base de données'!C:C,"&lt;01/06")</f>
        <v>0</v>
      </c>
      <c r="O45" s="35" t="str">
        <f t="shared" si="14"/>
        <v/>
      </c>
      <c r="P45" s="19">
        <f>COUNTIFS('Base de données'!D:D,A45,'Base de données'!C:C,"&gt;=01/06",'Base de données'!C:C,"&lt;01/07")</f>
        <v>0</v>
      </c>
      <c r="Q45" s="16">
        <f>COUNTIFS('Base de données'!D:D,A45,'Base de données'!E:E,"OK",'Base de données'!C:C,"&gt;=01/06",'Base de données'!C:C,"&lt;01/07")+COUNTIFS('Base de données'!D:D,A45,'Base de données'!E:E,"KO - REL",'Base de données'!C:C,"&gt;=01/06",'Base de données'!C:C,"&lt;01/07")</f>
        <v>0</v>
      </c>
      <c r="R45" s="17" t="str">
        <f t="shared" si="15"/>
        <v/>
      </c>
      <c r="S45" s="43">
        <f>COUNTIFS('Base de données'!D:D,A45,'Base de données'!F:F,"OK",'Base de données'!C:C,"&gt;=01/06",'Base de données'!C:C,"&lt;01/07")+COUNTIFS('Base de données'!D:D,A45,'Base de données'!F:F,"KO - REL",'Base de données'!C:C,"&gt;=01/06",'Base de données'!C:C,"&lt;01/07")</f>
        <v>0</v>
      </c>
      <c r="T45" s="17" t="str">
        <f t="shared" si="16"/>
        <v/>
      </c>
      <c r="U45" s="16">
        <f>COUNTIFS('Base de données'!D:D,A45,'Base de données'!G:G,"&lt;=0",'Base de données'!C:C,"&gt;=01/06",'Base de données'!C:C,"&lt;01/07")</f>
        <v>0</v>
      </c>
      <c r="V45" s="23" t="str">
        <f t="shared" si="17"/>
        <v/>
      </c>
      <c r="W45" s="49"/>
    </row>
    <row r="46" spans="1:23">
      <c r="A46" s="55" t="s">
        <v>56</v>
      </c>
      <c r="B46" s="19">
        <f>COUNTIFS('Base de données'!D:D,A46,'Base de données'!C:C,"&gt;=01/04",'Base de données'!C:C,"&lt;01/05")</f>
        <v>0</v>
      </c>
      <c r="C46" s="16">
        <f>COUNTIFS('Base de données'!D:D,A46,'Base de données'!E:E,"OK",'Base de données'!C:C,"&gt;=01/04",'Base de données'!C:C,"&lt;01/05")+COUNTIFS('Base de données'!D:D,A46,'Base de données'!E:E,"KO - REL",'Base de données'!C:C,"&gt;=01/04",'Base de données'!C:C,"&lt;01/05")</f>
        <v>0</v>
      </c>
      <c r="D46" s="17" t="str">
        <f t="shared" si="9"/>
        <v/>
      </c>
      <c r="E46" s="43">
        <f>COUNTIFS('Base de données'!D:D,A46,'Base de données'!F:F,"OK",'Base de données'!C:C,"&gt;=01/04",'Base de données'!C:C,"&lt;01/05")+COUNTIFS('Base de données'!D:D,A46,'Base de données'!F:F,"KO - REL",'Base de données'!C:C,"&gt;=01/04",'Base de données'!C:C,"&lt;01/05")</f>
        <v>0</v>
      </c>
      <c r="F46" s="17" t="str">
        <f t="shared" si="10"/>
        <v/>
      </c>
      <c r="G46" s="16">
        <f>COUNTIFS('Base de données'!D:D,A46,'Base de données'!G:G,"&lt;=0",'Base de données'!C:C,"&gt;=01/04",'Base de données'!C:C,"&lt;01/05")</f>
        <v>0</v>
      </c>
      <c r="H46" s="35" t="str">
        <f t="shared" si="11"/>
        <v/>
      </c>
      <c r="I46" s="19">
        <f>COUNTIFS('Base de données'!D:D,A46,'Base de données'!C:C,"&gt;=01/05",'Base de données'!C:C,"&lt;01/06")</f>
        <v>0</v>
      </c>
      <c r="J46" s="16">
        <f>COUNTIFS('Base de données'!D:D,A46,'Base de données'!E:E,"OK",'Base de données'!C:C,"&gt;=01/05",'Base de données'!C:C,"&lt;01/06")+COUNTIFS('Base de données'!D:D,A46,'Base de données'!E:E,"KO - REL",'Base de données'!C:C,"&gt;=01/05",'Base de données'!C:C,"&lt;01/06")</f>
        <v>0</v>
      </c>
      <c r="K46" s="17" t="str">
        <f t="shared" si="12"/>
        <v/>
      </c>
      <c r="L46" s="43">
        <f>COUNTIFS('Base de données'!D:D,A46,'Base de données'!F:F,"OK",'Base de données'!C:C,"&gt;=01/05",'Base de données'!C:C,"&lt;01/06")+COUNTIFS('Base de données'!D:D,A46,'Base de données'!F:F,"KO - REL",'Base de données'!C:C,"&gt;=01/05",'Base de données'!C:C,"&lt;01/06")</f>
        <v>0</v>
      </c>
      <c r="M46" s="17" t="str">
        <f t="shared" si="13"/>
        <v/>
      </c>
      <c r="N46" s="16">
        <f>COUNTIFS('Base de données'!D:D,A46,'Base de données'!G:G,"&lt;=0",'Base de données'!C:C,"&gt;=01/05",'Base de données'!C:C,"&lt;01/06")</f>
        <v>0</v>
      </c>
      <c r="O46" s="35" t="str">
        <f t="shared" si="14"/>
        <v/>
      </c>
      <c r="P46" s="19">
        <f>COUNTIFS('Base de données'!D:D,A46,'Base de données'!C:C,"&gt;=01/06",'Base de données'!C:C,"&lt;01/07")</f>
        <v>0</v>
      </c>
      <c r="Q46" s="16">
        <f>COUNTIFS('Base de données'!D:D,A46,'Base de données'!E:E,"OK",'Base de données'!C:C,"&gt;=01/06",'Base de données'!C:C,"&lt;01/07")+COUNTIFS('Base de données'!D:D,A46,'Base de données'!E:E,"KO - REL",'Base de données'!C:C,"&gt;=01/06",'Base de données'!C:C,"&lt;01/07")</f>
        <v>0</v>
      </c>
      <c r="R46" s="17" t="str">
        <f t="shared" si="15"/>
        <v/>
      </c>
      <c r="S46" s="43">
        <f>COUNTIFS('Base de données'!D:D,A46,'Base de données'!F:F,"OK",'Base de données'!C:C,"&gt;=01/06",'Base de données'!C:C,"&lt;01/07")+COUNTIFS('Base de données'!D:D,A46,'Base de données'!F:F,"KO - REL",'Base de données'!C:C,"&gt;=01/06",'Base de données'!C:C,"&lt;01/07")</f>
        <v>0</v>
      </c>
      <c r="T46" s="17" t="str">
        <f t="shared" si="16"/>
        <v/>
      </c>
      <c r="U46" s="16">
        <f>COUNTIFS('Base de données'!D:D,A46,'Base de données'!G:G,"&lt;=0",'Base de données'!C:C,"&gt;=01/06",'Base de données'!C:C,"&lt;01/07")</f>
        <v>0</v>
      </c>
      <c r="V46" s="23" t="str">
        <f t="shared" si="17"/>
        <v/>
      </c>
      <c r="W46" s="49"/>
    </row>
    <row r="47" spans="1:23">
      <c r="A47" s="55" t="s">
        <v>57</v>
      </c>
      <c r="B47" s="19">
        <f>COUNTIFS('Base de données'!D:D,A47,'Base de données'!C:C,"&gt;=01/04",'Base de données'!C:C,"&lt;01/05")</f>
        <v>0</v>
      </c>
      <c r="C47" s="16">
        <f>COUNTIFS('Base de données'!D:D,A47,'Base de données'!E:E,"OK",'Base de données'!C:C,"&gt;=01/04",'Base de données'!C:C,"&lt;01/05")+COUNTIFS('Base de données'!D:D,A47,'Base de données'!E:E,"KO - REL",'Base de données'!C:C,"&gt;=01/04",'Base de données'!C:C,"&lt;01/05")</f>
        <v>0</v>
      </c>
      <c r="D47" s="17" t="str">
        <f t="shared" si="9"/>
        <v/>
      </c>
      <c r="E47" s="43">
        <f>COUNTIFS('Base de données'!D:D,A47,'Base de données'!F:F,"OK",'Base de données'!C:C,"&gt;=01/04",'Base de données'!C:C,"&lt;01/05")+COUNTIFS('Base de données'!D:D,A47,'Base de données'!F:F,"KO - REL",'Base de données'!C:C,"&gt;=01/04",'Base de données'!C:C,"&lt;01/05")</f>
        <v>0</v>
      </c>
      <c r="F47" s="17" t="str">
        <f t="shared" si="10"/>
        <v/>
      </c>
      <c r="G47" s="16">
        <f>COUNTIFS('Base de données'!D:D,A47,'Base de données'!G:G,"&lt;=0",'Base de données'!C:C,"&gt;=01/04",'Base de données'!C:C,"&lt;01/05")</f>
        <v>0</v>
      </c>
      <c r="H47" s="35" t="str">
        <f t="shared" si="11"/>
        <v/>
      </c>
      <c r="I47" s="19">
        <f>COUNTIFS('Base de données'!D:D,A47,'Base de données'!C:C,"&gt;=01/05",'Base de données'!C:C,"&lt;01/06")</f>
        <v>0</v>
      </c>
      <c r="J47" s="16">
        <f>COUNTIFS('Base de données'!D:D,A47,'Base de données'!E:E,"OK",'Base de données'!C:C,"&gt;=01/05",'Base de données'!C:C,"&lt;01/06")+COUNTIFS('Base de données'!D:D,A47,'Base de données'!E:E,"KO - REL",'Base de données'!C:C,"&gt;=01/05",'Base de données'!C:C,"&lt;01/06")</f>
        <v>0</v>
      </c>
      <c r="K47" s="17" t="str">
        <f t="shared" si="12"/>
        <v/>
      </c>
      <c r="L47" s="43">
        <f>COUNTIFS('Base de données'!D:D,A47,'Base de données'!F:F,"OK",'Base de données'!C:C,"&gt;=01/05",'Base de données'!C:C,"&lt;01/06")+COUNTIFS('Base de données'!D:D,A47,'Base de données'!F:F,"KO - REL",'Base de données'!C:C,"&gt;=01/05",'Base de données'!C:C,"&lt;01/06")</f>
        <v>0</v>
      </c>
      <c r="M47" s="17" t="str">
        <f t="shared" si="13"/>
        <v/>
      </c>
      <c r="N47" s="16">
        <f>COUNTIFS('Base de données'!D:D,A47,'Base de données'!G:G,"&lt;=0",'Base de données'!C:C,"&gt;=01/05",'Base de données'!C:C,"&lt;01/06")</f>
        <v>0</v>
      </c>
      <c r="O47" s="35" t="str">
        <f t="shared" si="14"/>
        <v/>
      </c>
      <c r="P47" s="19">
        <f>COUNTIFS('Base de données'!D:D,A47,'Base de données'!C:C,"&gt;=01/06",'Base de données'!C:C,"&lt;01/07")</f>
        <v>0</v>
      </c>
      <c r="Q47" s="16">
        <f>COUNTIFS('Base de données'!D:D,A47,'Base de données'!E:E,"OK",'Base de données'!C:C,"&gt;=01/06",'Base de données'!C:C,"&lt;01/07")+COUNTIFS('Base de données'!D:D,A47,'Base de données'!E:E,"KO - REL",'Base de données'!C:C,"&gt;=01/06",'Base de données'!C:C,"&lt;01/07")</f>
        <v>0</v>
      </c>
      <c r="R47" s="17" t="str">
        <f t="shared" si="15"/>
        <v/>
      </c>
      <c r="S47" s="43">
        <f>COUNTIFS('Base de données'!D:D,A47,'Base de données'!F:F,"OK",'Base de données'!C:C,"&gt;=01/06",'Base de données'!C:C,"&lt;01/07")+COUNTIFS('Base de données'!D:D,A47,'Base de données'!F:F,"KO - REL",'Base de données'!C:C,"&gt;=01/06",'Base de données'!C:C,"&lt;01/07")</f>
        <v>0</v>
      </c>
      <c r="T47" s="17" t="str">
        <f t="shared" si="16"/>
        <v/>
      </c>
      <c r="U47" s="16">
        <f>COUNTIFS('Base de données'!D:D,A47,'Base de données'!G:G,"&lt;=0",'Base de données'!C:C,"&gt;=01/06",'Base de données'!C:C,"&lt;01/07")</f>
        <v>0</v>
      </c>
      <c r="V47" s="23" t="str">
        <f t="shared" si="17"/>
        <v/>
      </c>
      <c r="W47" s="49"/>
    </row>
    <row r="48" spans="1:23">
      <c r="A48" s="56" t="s">
        <v>58</v>
      </c>
      <c r="B48" s="19">
        <f>COUNTIFS('Base de données'!D:D,A48,'Base de données'!C:C,"&gt;=01/04",'Base de données'!C:C,"&lt;01/05")</f>
        <v>0</v>
      </c>
      <c r="C48" s="16">
        <f>COUNTIFS('Base de données'!D:D,A48,'Base de données'!E:E,"OK",'Base de données'!C:C,"&gt;=01/04",'Base de données'!C:C,"&lt;01/05")+COUNTIFS('Base de données'!D:D,A48,'Base de données'!E:E,"KO - REL",'Base de données'!C:C,"&gt;=01/04",'Base de données'!C:C,"&lt;01/05")</f>
        <v>0</v>
      </c>
      <c r="D48" s="17" t="str">
        <f t="shared" si="9"/>
        <v/>
      </c>
      <c r="E48" s="43">
        <f>COUNTIFS('Base de données'!D:D,A48,'Base de données'!F:F,"OK",'Base de données'!C:C,"&gt;=01/04",'Base de données'!C:C,"&lt;01/05")+COUNTIFS('Base de données'!D:D,A48,'Base de données'!F:F,"KO - REL",'Base de données'!C:C,"&gt;=01/04",'Base de données'!C:C,"&lt;01/05")</f>
        <v>0</v>
      </c>
      <c r="F48" s="17" t="str">
        <f t="shared" si="10"/>
        <v/>
      </c>
      <c r="G48" s="16">
        <f>COUNTIFS('Base de données'!D:D,A48,'Base de données'!G:G,"&lt;=0",'Base de données'!C:C,"&gt;=01/04",'Base de données'!C:C,"&lt;01/05")</f>
        <v>0</v>
      </c>
      <c r="H48" s="35" t="str">
        <f t="shared" si="11"/>
        <v/>
      </c>
      <c r="I48" s="19">
        <f>COUNTIFS('Base de données'!D:D,A48,'Base de données'!C:C,"&gt;=01/05",'Base de données'!C:C,"&lt;01/06")</f>
        <v>0</v>
      </c>
      <c r="J48" s="16">
        <f>COUNTIFS('Base de données'!D:D,A48,'Base de données'!E:E,"OK",'Base de données'!C:C,"&gt;=01/05",'Base de données'!C:C,"&lt;01/06")+COUNTIFS('Base de données'!D:D,A48,'Base de données'!E:E,"KO - REL",'Base de données'!C:C,"&gt;=01/05",'Base de données'!C:C,"&lt;01/06")</f>
        <v>0</v>
      </c>
      <c r="K48" s="17" t="str">
        <f t="shared" si="12"/>
        <v/>
      </c>
      <c r="L48" s="43">
        <f>COUNTIFS('Base de données'!D:D,A48,'Base de données'!F:F,"OK",'Base de données'!C:C,"&gt;=01/05",'Base de données'!C:C,"&lt;01/06")+COUNTIFS('Base de données'!D:D,A48,'Base de données'!F:F,"KO - REL",'Base de données'!C:C,"&gt;=01/05",'Base de données'!C:C,"&lt;01/06")</f>
        <v>0</v>
      </c>
      <c r="M48" s="17" t="str">
        <f t="shared" si="13"/>
        <v/>
      </c>
      <c r="N48" s="16">
        <f>COUNTIFS('Base de données'!D:D,A48,'Base de données'!G:G,"&lt;=0",'Base de données'!C:C,"&gt;=01/05",'Base de données'!C:C,"&lt;01/06")</f>
        <v>0</v>
      </c>
      <c r="O48" s="35" t="str">
        <f t="shared" si="14"/>
        <v/>
      </c>
      <c r="P48" s="19">
        <f>COUNTIFS('Base de données'!D:D,A48,'Base de données'!C:C,"&gt;=01/06",'Base de données'!C:C,"&lt;01/07")</f>
        <v>0</v>
      </c>
      <c r="Q48" s="16">
        <f>COUNTIFS('Base de données'!D:D,A48,'Base de données'!E:E,"OK",'Base de données'!C:C,"&gt;=01/06",'Base de données'!C:C,"&lt;01/07")+COUNTIFS('Base de données'!D:D,A48,'Base de données'!E:E,"KO - REL",'Base de données'!C:C,"&gt;=01/06",'Base de données'!C:C,"&lt;01/07")</f>
        <v>0</v>
      </c>
      <c r="R48" s="17" t="str">
        <f t="shared" si="15"/>
        <v/>
      </c>
      <c r="S48" s="43">
        <f>COUNTIFS('Base de données'!D:D,A48,'Base de données'!F:F,"OK",'Base de données'!C:C,"&gt;=01/06",'Base de données'!C:C,"&lt;01/07")+COUNTIFS('Base de données'!D:D,A48,'Base de données'!F:F,"KO - REL",'Base de données'!C:C,"&gt;=01/06",'Base de données'!C:C,"&lt;01/07")</f>
        <v>0</v>
      </c>
      <c r="T48" s="17" t="str">
        <f t="shared" si="16"/>
        <v/>
      </c>
      <c r="U48" s="16">
        <f>COUNTIFS('Base de données'!D:D,A48,'Base de données'!G:G,"&lt;=0",'Base de données'!C:C,"&gt;=01/06",'Base de données'!C:C,"&lt;01/07")</f>
        <v>0</v>
      </c>
      <c r="V48" s="23" t="str">
        <f t="shared" si="17"/>
        <v/>
      </c>
      <c r="W48" s="49"/>
    </row>
    <row r="49" spans="1:23">
      <c r="A49" s="55" t="s">
        <v>59</v>
      </c>
      <c r="B49" s="19">
        <f>COUNTIFS('Base de données'!D:D,A49,'Base de données'!C:C,"&gt;=01/04",'Base de données'!C:C,"&lt;01/05")</f>
        <v>0</v>
      </c>
      <c r="C49" s="16">
        <f>COUNTIFS('Base de données'!D:D,A49,'Base de données'!E:E,"OK",'Base de données'!C:C,"&gt;=01/04",'Base de données'!C:C,"&lt;01/05")+COUNTIFS('Base de données'!D:D,A49,'Base de données'!E:E,"KO - REL",'Base de données'!C:C,"&gt;=01/04",'Base de données'!C:C,"&lt;01/05")</f>
        <v>0</v>
      </c>
      <c r="D49" s="17" t="str">
        <f t="shared" si="9"/>
        <v/>
      </c>
      <c r="E49" s="43">
        <f>COUNTIFS('Base de données'!D:D,A49,'Base de données'!F:F,"OK",'Base de données'!C:C,"&gt;=01/04",'Base de données'!C:C,"&lt;01/05")+COUNTIFS('Base de données'!D:D,A49,'Base de données'!F:F,"KO - REL",'Base de données'!C:C,"&gt;=01/04",'Base de données'!C:C,"&lt;01/05")</f>
        <v>0</v>
      </c>
      <c r="F49" s="17" t="str">
        <f t="shared" si="10"/>
        <v/>
      </c>
      <c r="G49" s="16">
        <f>COUNTIFS('Base de données'!D:D,A49,'Base de données'!G:G,"&lt;=0",'Base de données'!C:C,"&gt;=01/04",'Base de données'!C:C,"&lt;01/05")</f>
        <v>0</v>
      </c>
      <c r="H49" s="35" t="str">
        <f t="shared" si="11"/>
        <v/>
      </c>
      <c r="I49" s="19">
        <f>COUNTIFS('Base de données'!D:D,A49,'Base de données'!C:C,"&gt;=01/05",'Base de données'!C:C,"&lt;01/06")</f>
        <v>0</v>
      </c>
      <c r="J49" s="16">
        <f>COUNTIFS('Base de données'!D:D,A49,'Base de données'!E:E,"OK",'Base de données'!C:C,"&gt;=01/05",'Base de données'!C:C,"&lt;01/06")+COUNTIFS('Base de données'!D:D,A49,'Base de données'!E:E,"KO - REL",'Base de données'!C:C,"&gt;=01/05",'Base de données'!C:C,"&lt;01/06")</f>
        <v>0</v>
      </c>
      <c r="K49" s="17" t="str">
        <f t="shared" si="12"/>
        <v/>
      </c>
      <c r="L49" s="43">
        <f>COUNTIFS('Base de données'!D:D,A49,'Base de données'!F:F,"OK",'Base de données'!C:C,"&gt;=01/05",'Base de données'!C:C,"&lt;01/06")+COUNTIFS('Base de données'!D:D,A49,'Base de données'!F:F,"KO - REL",'Base de données'!C:C,"&gt;=01/05",'Base de données'!C:C,"&lt;01/06")</f>
        <v>0</v>
      </c>
      <c r="M49" s="17" t="str">
        <f t="shared" si="13"/>
        <v/>
      </c>
      <c r="N49" s="16">
        <f>COUNTIFS('Base de données'!D:D,A49,'Base de données'!G:G,"&lt;=0",'Base de données'!C:C,"&gt;=01/05",'Base de données'!C:C,"&lt;01/06")</f>
        <v>0</v>
      </c>
      <c r="O49" s="35" t="str">
        <f t="shared" si="14"/>
        <v/>
      </c>
      <c r="P49" s="19">
        <f>COUNTIFS('Base de données'!D:D,A49,'Base de données'!C:C,"&gt;=01/06",'Base de données'!C:C,"&lt;01/07")</f>
        <v>0</v>
      </c>
      <c r="Q49" s="16">
        <f>COUNTIFS('Base de données'!D:D,A49,'Base de données'!E:E,"OK",'Base de données'!C:C,"&gt;=01/06",'Base de données'!C:C,"&lt;01/07")+COUNTIFS('Base de données'!D:D,A49,'Base de données'!E:E,"KO - REL",'Base de données'!C:C,"&gt;=01/06",'Base de données'!C:C,"&lt;01/07")</f>
        <v>0</v>
      </c>
      <c r="R49" s="17" t="str">
        <f t="shared" si="15"/>
        <v/>
      </c>
      <c r="S49" s="43">
        <f>COUNTIFS('Base de données'!D:D,A49,'Base de données'!F:F,"OK",'Base de données'!C:C,"&gt;=01/06",'Base de données'!C:C,"&lt;01/07")+COUNTIFS('Base de données'!D:D,A49,'Base de données'!F:F,"KO - REL",'Base de données'!C:C,"&gt;=01/06",'Base de données'!C:C,"&lt;01/07")</f>
        <v>0</v>
      </c>
      <c r="T49" s="17" t="str">
        <f t="shared" si="16"/>
        <v/>
      </c>
      <c r="U49" s="16">
        <f>COUNTIFS('Base de données'!D:D,A49,'Base de données'!G:G,"&lt;=0",'Base de données'!C:C,"&gt;=01/06",'Base de données'!C:C,"&lt;01/07")</f>
        <v>0</v>
      </c>
      <c r="V49" s="23" t="str">
        <f t="shared" si="17"/>
        <v/>
      </c>
      <c r="W49" s="49"/>
    </row>
    <row r="50" spans="1:23">
      <c r="A50" s="55" t="s">
        <v>60</v>
      </c>
      <c r="B50" s="19">
        <f>COUNTIFS('Base de données'!D:D,A50,'Base de données'!C:C,"&gt;=01/04",'Base de données'!C:C,"&lt;01/05")</f>
        <v>0</v>
      </c>
      <c r="C50" s="16">
        <f>COUNTIFS('Base de données'!D:D,A50,'Base de données'!E:E,"OK",'Base de données'!C:C,"&gt;=01/04",'Base de données'!C:C,"&lt;01/05")+COUNTIFS('Base de données'!D:D,A50,'Base de données'!E:E,"KO - REL",'Base de données'!C:C,"&gt;=01/04",'Base de données'!C:C,"&lt;01/05")</f>
        <v>0</v>
      </c>
      <c r="D50" s="17" t="str">
        <f t="shared" si="9"/>
        <v/>
      </c>
      <c r="E50" s="43">
        <f>COUNTIFS('Base de données'!D:D,A50,'Base de données'!F:F,"OK",'Base de données'!C:C,"&gt;=01/04",'Base de données'!C:C,"&lt;01/05")+COUNTIFS('Base de données'!D:D,A50,'Base de données'!F:F,"KO - REL",'Base de données'!C:C,"&gt;=01/04",'Base de données'!C:C,"&lt;01/05")</f>
        <v>0</v>
      </c>
      <c r="F50" s="17" t="str">
        <f t="shared" si="10"/>
        <v/>
      </c>
      <c r="G50" s="16">
        <f>COUNTIFS('Base de données'!D:D,A50,'Base de données'!G:G,"&lt;=0",'Base de données'!C:C,"&gt;=01/04",'Base de données'!C:C,"&lt;01/05")</f>
        <v>0</v>
      </c>
      <c r="H50" s="35" t="str">
        <f t="shared" si="11"/>
        <v/>
      </c>
      <c r="I50" s="19">
        <f>COUNTIFS('Base de données'!D:D,A50,'Base de données'!C:C,"&gt;=01/05",'Base de données'!C:C,"&lt;01/06")</f>
        <v>0</v>
      </c>
      <c r="J50" s="16">
        <f>COUNTIFS('Base de données'!D:D,A50,'Base de données'!E:E,"OK",'Base de données'!C:C,"&gt;=01/05",'Base de données'!C:C,"&lt;01/06")+COUNTIFS('Base de données'!D:D,A50,'Base de données'!E:E,"KO - REL",'Base de données'!C:C,"&gt;=01/05",'Base de données'!C:C,"&lt;01/06")</f>
        <v>0</v>
      </c>
      <c r="K50" s="17" t="str">
        <f t="shared" si="12"/>
        <v/>
      </c>
      <c r="L50" s="43">
        <f>COUNTIFS('Base de données'!D:D,A50,'Base de données'!F:F,"OK",'Base de données'!C:C,"&gt;=01/05",'Base de données'!C:C,"&lt;01/06")+COUNTIFS('Base de données'!D:D,A50,'Base de données'!F:F,"KO - REL",'Base de données'!C:C,"&gt;=01/05",'Base de données'!C:C,"&lt;01/06")</f>
        <v>0</v>
      </c>
      <c r="M50" s="17" t="str">
        <f t="shared" si="13"/>
        <v/>
      </c>
      <c r="N50" s="16">
        <f>COUNTIFS('Base de données'!D:D,A50,'Base de données'!G:G,"&lt;=0",'Base de données'!C:C,"&gt;=01/05",'Base de données'!C:C,"&lt;01/06")</f>
        <v>0</v>
      </c>
      <c r="O50" s="35" t="str">
        <f t="shared" si="14"/>
        <v/>
      </c>
      <c r="P50" s="19">
        <f>COUNTIFS('Base de données'!D:D,A50,'Base de données'!C:C,"&gt;=01/06",'Base de données'!C:C,"&lt;01/07")</f>
        <v>0</v>
      </c>
      <c r="Q50" s="16">
        <f>COUNTIFS('Base de données'!D:D,A50,'Base de données'!E:E,"OK",'Base de données'!C:C,"&gt;=01/06",'Base de données'!C:C,"&lt;01/07")+COUNTIFS('Base de données'!D:D,A50,'Base de données'!E:E,"KO - REL",'Base de données'!C:C,"&gt;=01/06",'Base de données'!C:C,"&lt;01/07")</f>
        <v>0</v>
      </c>
      <c r="R50" s="17" t="str">
        <f t="shared" si="15"/>
        <v/>
      </c>
      <c r="S50" s="43">
        <f>COUNTIFS('Base de données'!D:D,A50,'Base de données'!F:F,"OK",'Base de données'!C:C,"&gt;=01/06",'Base de données'!C:C,"&lt;01/07")+COUNTIFS('Base de données'!D:D,A50,'Base de données'!F:F,"KO - REL",'Base de données'!C:C,"&gt;=01/06",'Base de données'!C:C,"&lt;01/07")</f>
        <v>0</v>
      </c>
      <c r="T50" s="17" t="str">
        <f t="shared" si="16"/>
        <v/>
      </c>
      <c r="U50" s="16">
        <f>COUNTIFS('Base de données'!D:D,A50,'Base de données'!G:G,"&lt;=0",'Base de données'!C:C,"&gt;=01/06",'Base de données'!C:C,"&lt;01/07")</f>
        <v>0</v>
      </c>
      <c r="V50" s="23" t="str">
        <f t="shared" si="17"/>
        <v/>
      </c>
      <c r="W50" s="49"/>
    </row>
    <row r="51" spans="1:23">
      <c r="A51" s="55" t="s">
        <v>61</v>
      </c>
      <c r="B51" s="19">
        <f>COUNTIFS('Base de données'!D:D,A51,'Base de données'!C:C,"&gt;=01/04",'Base de données'!C:C,"&lt;01/05")</f>
        <v>0</v>
      </c>
      <c r="C51" s="16">
        <f>COUNTIFS('Base de données'!D:D,A51,'Base de données'!E:E,"OK",'Base de données'!C:C,"&gt;=01/04",'Base de données'!C:C,"&lt;01/05")+COUNTIFS('Base de données'!D:D,A51,'Base de données'!E:E,"KO - REL",'Base de données'!C:C,"&gt;=01/04",'Base de données'!C:C,"&lt;01/05")</f>
        <v>0</v>
      </c>
      <c r="D51" s="17" t="str">
        <f t="shared" si="9"/>
        <v/>
      </c>
      <c r="E51" s="43">
        <f>COUNTIFS('Base de données'!D:D,A51,'Base de données'!F:F,"OK",'Base de données'!C:C,"&gt;=01/04",'Base de données'!C:C,"&lt;01/05")+COUNTIFS('Base de données'!D:D,A51,'Base de données'!F:F,"KO - REL",'Base de données'!C:C,"&gt;=01/04",'Base de données'!C:C,"&lt;01/05")</f>
        <v>0</v>
      </c>
      <c r="F51" s="17" t="str">
        <f t="shared" si="10"/>
        <v/>
      </c>
      <c r="G51" s="16">
        <f>COUNTIFS('Base de données'!D:D,A51,'Base de données'!G:G,"&lt;=0",'Base de données'!C:C,"&gt;=01/04",'Base de données'!C:C,"&lt;01/05")</f>
        <v>0</v>
      </c>
      <c r="H51" s="35" t="str">
        <f t="shared" si="11"/>
        <v/>
      </c>
      <c r="I51" s="19">
        <f>COUNTIFS('Base de données'!D:D,A51,'Base de données'!C:C,"&gt;=01/05",'Base de données'!C:C,"&lt;01/06")</f>
        <v>0</v>
      </c>
      <c r="J51" s="16">
        <f>COUNTIFS('Base de données'!D:D,A51,'Base de données'!E:E,"OK",'Base de données'!C:C,"&gt;=01/05",'Base de données'!C:C,"&lt;01/06")+COUNTIFS('Base de données'!D:D,A51,'Base de données'!E:E,"KO - REL",'Base de données'!C:C,"&gt;=01/05",'Base de données'!C:C,"&lt;01/06")</f>
        <v>0</v>
      </c>
      <c r="K51" s="17" t="str">
        <f t="shared" si="12"/>
        <v/>
      </c>
      <c r="L51" s="43">
        <f>COUNTIFS('Base de données'!D:D,A51,'Base de données'!F:F,"OK",'Base de données'!C:C,"&gt;=01/05",'Base de données'!C:C,"&lt;01/06")+COUNTIFS('Base de données'!D:D,A51,'Base de données'!F:F,"KO - REL",'Base de données'!C:C,"&gt;=01/05",'Base de données'!C:C,"&lt;01/06")</f>
        <v>0</v>
      </c>
      <c r="M51" s="17" t="str">
        <f t="shared" si="13"/>
        <v/>
      </c>
      <c r="N51" s="16">
        <f>COUNTIFS('Base de données'!D:D,A51,'Base de données'!G:G,"&lt;=0",'Base de données'!C:C,"&gt;=01/05",'Base de données'!C:C,"&lt;01/06")</f>
        <v>0</v>
      </c>
      <c r="O51" s="35" t="str">
        <f t="shared" si="14"/>
        <v/>
      </c>
      <c r="P51" s="19">
        <f>COUNTIFS('Base de données'!D:D,A51,'Base de données'!C:C,"&gt;=01/06",'Base de données'!C:C,"&lt;01/07")</f>
        <v>0</v>
      </c>
      <c r="Q51" s="16">
        <f>COUNTIFS('Base de données'!D:D,A51,'Base de données'!E:E,"OK",'Base de données'!C:C,"&gt;=01/06",'Base de données'!C:C,"&lt;01/07")+COUNTIFS('Base de données'!D:D,A51,'Base de données'!E:E,"KO - REL",'Base de données'!C:C,"&gt;=01/06",'Base de données'!C:C,"&lt;01/07")</f>
        <v>0</v>
      </c>
      <c r="R51" s="17" t="str">
        <f t="shared" si="15"/>
        <v/>
      </c>
      <c r="S51" s="43">
        <f>COUNTIFS('Base de données'!D:D,A51,'Base de données'!F:F,"OK",'Base de données'!C:C,"&gt;=01/06",'Base de données'!C:C,"&lt;01/07")+COUNTIFS('Base de données'!D:D,A51,'Base de données'!F:F,"KO - REL",'Base de données'!C:C,"&gt;=01/06",'Base de données'!C:C,"&lt;01/07")</f>
        <v>0</v>
      </c>
      <c r="T51" s="17" t="str">
        <f t="shared" si="16"/>
        <v/>
      </c>
      <c r="U51" s="16">
        <f>COUNTIFS('Base de données'!D:D,A51,'Base de données'!G:G,"&lt;=0",'Base de données'!C:C,"&gt;=01/06",'Base de données'!C:C,"&lt;01/07")</f>
        <v>0</v>
      </c>
      <c r="V51" s="23" t="str">
        <f t="shared" si="17"/>
        <v/>
      </c>
      <c r="W51" s="49"/>
    </row>
    <row r="52" spans="1:23" ht="15.75" thickBot="1">
      <c r="A52" s="57" t="s">
        <v>62</v>
      </c>
      <c r="B52" s="20">
        <f>COUNTIFS('Base de données'!D:D,A52,'Base de données'!C:C,"&gt;=01/04",'Base de données'!C:C,"&lt;01/05")</f>
        <v>0</v>
      </c>
      <c r="C52" s="22">
        <f>COUNTIFS('Base de données'!D:D,A52,'Base de données'!E:E,"OK",'Base de données'!C:C,"&gt;=01/04",'Base de données'!C:C,"&lt;01/05")+COUNTIFS('Base de données'!D:D,A52,'Base de données'!E:E,"KO - REL",'Base de données'!C:C,"&gt;=01/04",'Base de données'!C:C,"&lt;01/05")</f>
        <v>0</v>
      </c>
      <c r="D52" s="21" t="str">
        <f t="shared" si="9"/>
        <v/>
      </c>
      <c r="E52" s="30">
        <f>COUNTIFS('Base de données'!D:D,A52,'Base de données'!F:F,"OK",'Base de données'!C:C,"&gt;=01/04",'Base de données'!C:C,"&lt;01/05")+COUNTIFS('Base de données'!D:D,A52,'Base de données'!F:F,"KO - REL",'Base de données'!C:C,"&gt;=01/04",'Base de données'!C:C,"&lt;01/05")</f>
        <v>0</v>
      </c>
      <c r="F52" s="21" t="str">
        <f t="shared" si="10"/>
        <v/>
      </c>
      <c r="G52" s="22">
        <f>COUNTIFS('Base de données'!D:D,A52,'Base de données'!G:G,"&lt;=0",'Base de données'!C:C,"&gt;=01/04",'Base de données'!C:C,"&lt;01/05")</f>
        <v>0</v>
      </c>
      <c r="H52" s="37" t="str">
        <f t="shared" si="11"/>
        <v/>
      </c>
      <c r="I52" s="20">
        <f>COUNTIFS('Base de données'!D:D,A52,'Base de données'!C:C,"&gt;=01/05",'Base de données'!C:C,"&lt;01/06")</f>
        <v>0</v>
      </c>
      <c r="J52" s="22">
        <f>COUNTIFS('Base de données'!D:D,A52,'Base de données'!E:E,"OK",'Base de données'!C:C,"&gt;=01/05",'Base de données'!C:C,"&lt;01/06")+COUNTIFS('Base de données'!D:D,A52,'Base de données'!E:E,"KO - REL",'Base de données'!C:C,"&gt;=01/05",'Base de données'!C:C,"&lt;01/06")</f>
        <v>0</v>
      </c>
      <c r="K52" s="21" t="str">
        <f t="shared" si="12"/>
        <v/>
      </c>
      <c r="L52" s="30">
        <f>COUNTIFS('Base de données'!D:D,A25,'Base de données'!F:F,"OK",'Base de données'!C:C,"&gt;=01/05",'Base de données'!C:C,"&lt;01/06")+COUNTIFS('Base de données'!D:D,A25,'Base de données'!F:F,"KO - REL",'Base de données'!C:C,"&gt;=01/05",'Base de données'!C:C,"&lt;01/06")</f>
        <v>0</v>
      </c>
      <c r="M52" s="21" t="str">
        <f t="shared" si="13"/>
        <v/>
      </c>
      <c r="N52" s="22">
        <f>COUNTIFS('Base de données'!D:D,A52,'Base de données'!G:G,"&lt;=0",'Base de données'!C:C,"&gt;=01/05",'Base de données'!C:C,"&lt;01/06")</f>
        <v>0</v>
      </c>
      <c r="O52" s="37" t="str">
        <f t="shared" si="14"/>
        <v/>
      </c>
      <c r="P52" s="20">
        <f>COUNTIFS('Base de données'!D:D,A52,'Base de données'!C:C,"&gt;=01/06",'Base de données'!C:C,"&lt;01/07")</f>
        <v>0</v>
      </c>
      <c r="Q52" s="22">
        <f>COUNTIFS('Base de données'!D:D,A52,'Base de données'!E:E,"OK",'Base de données'!C:C,"&gt;=01/06",'Base de données'!C:C,"&lt;01/07")+COUNTIFS('Base de données'!D:D,A52,'Base de données'!E:E,"KO - REL",'Base de données'!C:C,"&gt;=01/06",'Base de données'!C:C,"&lt;01/07")</f>
        <v>0</v>
      </c>
      <c r="R52" s="21" t="str">
        <f t="shared" si="15"/>
        <v/>
      </c>
      <c r="S52" s="30">
        <f>COUNTIFS('Base de données'!D:D,A52,'Base de données'!F:F,"OK",'Base de données'!C:C,"&gt;=01/06",'Base de données'!C:C,"&lt;01/07")+COUNTIFS('Base de données'!D:D,A52,'Base de données'!F:F,"KO - REL",'Base de données'!C:C,"&gt;=01/06",'Base de données'!C:C,"&lt;01/07")</f>
        <v>0</v>
      </c>
      <c r="T52" s="21" t="str">
        <f t="shared" si="16"/>
        <v/>
      </c>
      <c r="U52" s="22">
        <f>COUNTIFS('Base de données'!D:D,A52,'Base de données'!G:G,"&lt;=0",'Base de données'!C:C,"&gt;=01/06",'Base de données'!C:C,"&lt;01/07")</f>
        <v>0</v>
      </c>
      <c r="V52" s="24" t="str">
        <f t="shared" si="17"/>
        <v/>
      </c>
      <c r="W52" s="49"/>
    </row>
    <row r="53" spans="1:23" ht="15.75" thickBot="1">
      <c r="A53" s="58" t="s">
        <v>26</v>
      </c>
      <c r="B53" s="59">
        <f>SUM(B30:B52)</f>
        <v>0</v>
      </c>
      <c r="C53" s="60">
        <f>SUM(C30:C52)</f>
        <v>0</v>
      </c>
      <c r="D53" s="61" t="e">
        <f>C53/B53</f>
        <v>#DIV/0!</v>
      </c>
      <c r="E53" s="62">
        <f>SUM(E30:E52)</f>
        <v>0</v>
      </c>
      <c r="F53" s="61" t="e">
        <f>E53/B53</f>
        <v>#DIV/0!</v>
      </c>
      <c r="G53" s="63">
        <f>SUM(G30:G52)</f>
        <v>0</v>
      </c>
      <c r="H53" s="64" t="e">
        <f>G53/B53</f>
        <v>#DIV/0!</v>
      </c>
      <c r="I53" s="59">
        <f>SUM(I30:I52)</f>
        <v>0</v>
      </c>
      <c r="J53" s="60">
        <f>SUM(J30:J52)</f>
        <v>0</v>
      </c>
      <c r="K53" s="61" t="e">
        <f>J53/I53</f>
        <v>#DIV/0!</v>
      </c>
      <c r="L53" s="62">
        <f>SUM(L30:L52)</f>
        <v>0</v>
      </c>
      <c r="M53" s="61" t="e">
        <f>L53/I53</f>
        <v>#DIV/0!</v>
      </c>
      <c r="N53" s="63">
        <f>SUM(N30:N52)</f>
        <v>0</v>
      </c>
      <c r="O53" s="64" t="e">
        <f>N53/I53</f>
        <v>#DIV/0!</v>
      </c>
      <c r="P53" s="59">
        <f>SUM(P30:P52)</f>
        <v>0</v>
      </c>
      <c r="Q53" s="60">
        <f>SUM(Q30:Q52)</f>
        <v>0</v>
      </c>
      <c r="R53" s="61" t="e">
        <f>Q53/P53</f>
        <v>#DIV/0!</v>
      </c>
      <c r="S53" s="62">
        <f>SUM(S30:S52)</f>
        <v>0</v>
      </c>
      <c r="T53" s="61" t="e">
        <f>S53/P53</f>
        <v>#DIV/0!</v>
      </c>
      <c r="U53" s="63">
        <f>SUM(U30:U52)</f>
        <v>0</v>
      </c>
      <c r="V53" s="64" t="e">
        <f>U53/P53</f>
        <v>#DIV/0!</v>
      </c>
      <c r="W53" s="50"/>
    </row>
    <row r="54" spans="1:23" ht="15.75" thickBot="1"/>
    <row r="55" spans="1:23" ht="15.75" thickBot="1">
      <c r="A55" s="18"/>
      <c r="B55" s="82" t="s">
        <v>30</v>
      </c>
      <c r="C55" s="83"/>
      <c r="D55" s="84"/>
      <c r="E55" s="84"/>
      <c r="F55" s="84"/>
      <c r="G55" s="84"/>
      <c r="H55" s="85"/>
      <c r="I55" s="82" t="s">
        <v>31</v>
      </c>
      <c r="J55" s="83"/>
      <c r="K55" s="84"/>
      <c r="L55" s="84"/>
      <c r="M55" s="84"/>
      <c r="N55" s="84"/>
      <c r="O55" s="85"/>
      <c r="P55" s="82" t="s">
        <v>32</v>
      </c>
      <c r="Q55" s="83"/>
      <c r="R55" s="84"/>
      <c r="S55" s="84"/>
      <c r="T55" s="84"/>
      <c r="U55" s="84"/>
      <c r="V55" s="85"/>
      <c r="W55" s="48"/>
    </row>
    <row r="56" spans="1:23" ht="60.75" thickBot="1">
      <c r="A56" s="47" t="s">
        <v>19</v>
      </c>
      <c r="B56" s="51" t="s">
        <v>9</v>
      </c>
      <c r="C56" s="52" t="s">
        <v>65</v>
      </c>
      <c r="D56" s="52" t="s">
        <v>66</v>
      </c>
      <c r="E56" s="52" t="s">
        <v>67</v>
      </c>
      <c r="F56" s="52" t="s">
        <v>68</v>
      </c>
      <c r="G56" s="52" t="s">
        <v>10</v>
      </c>
      <c r="H56" s="53" t="s">
        <v>18</v>
      </c>
      <c r="I56" s="51" t="s">
        <v>9</v>
      </c>
      <c r="J56" s="52" t="s">
        <v>65</v>
      </c>
      <c r="K56" s="52" t="s">
        <v>66</v>
      </c>
      <c r="L56" s="52" t="s">
        <v>67</v>
      </c>
      <c r="M56" s="52" t="s">
        <v>68</v>
      </c>
      <c r="N56" s="52" t="s">
        <v>10</v>
      </c>
      <c r="O56" s="53" t="s">
        <v>18</v>
      </c>
      <c r="P56" s="51" t="s">
        <v>9</v>
      </c>
      <c r="Q56" s="52" t="s">
        <v>65</v>
      </c>
      <c r="R56" s="52" t="s">
        <v>66</v>
      </c>
      <c r="S56" s="52" t="s">
        <v>67</v>
      </c>
      <c r="T56" s="52" t="s">
        <v>68</v>
      </c>
      <c r="U56" s="52" t="s">
        <v>10</v>
      </c>
      <c r="V56" s="53" t="s">
        <v>18</v>
      </c>
      <c r="W56" s="49"/>
    </row>
    <row r="57" spans="1:23">
      <c r="A57" s="54" t="s">
        <v>40</v>
      </c>
      <c r="B57" s="25">
        <f>COUNTIFS('Base de données'!D:D,A57,'Base de données'!C:C,"&gt;=01/07",'Base de données'!C:C,"&lt;01/08")</f>
        <v>0</v>
      </c>
      <c r="C57" s="27">
        <f>COUNTIFS('Base de données'!D:D,A57,'Base de données'!E:E,"OK",'Base de données'!C:C,"&gt;=01/07",'Base de données'!C:C,"&lt;01/08")+COUNTIFS('Base de données'!D:D,A57,'Base de données'!E:E,"KO - REL",'Base de données'!C:C,"&gt;=01/07",'Base de données'!C:C,"&lt;01/08")</f>
        <v>0</v>
      </c>
      <c r="D57" s="26" t="str">
        <f>IF(B57=0,"",C57/B57)</f>
        <v/>
      </c>
      <c r="E57" s="45">
        <f>COUNTIFS('Base de données'!D:D,A57,'Base de données'!F:F,"OK",'Base de données'!C:C,"&gt;=01/07",'Base de données'!C:C,"&lt;01/08")+COUNTIFS('Base de données'!D:D,A57,'Base de données'!F:F,"KO - REL",'Base de données'!C:C,"&gt;=01/07",'Base de données'!C:C,"&lt;01/08")</f>
        <v>0</v>
      </c>
      <c r="F57" s="26" t="str">
        <f>IF(B57=0,"",E57/B57)</f>
        <v/>
      </c>
      <c r="G57" s="27">
        <f>COUNTIFS('Base de données'!D:D,A57,'Base de données'!G:G,"&lt;=0",'Base de données'!C:C,"&gt;=01/07",'Base de données'!C:C,"&lt;01/08")</f>
        <v>0</v>
      </c>
      <c r="H57" s="36" t="str">
        <f>IF(B57=0,"",G57/B57)</f>
        <v/>
      </c>
      <c r="I57" s="25">
        <f>COUNTIFS('Base de données'!D:D,A57,'Base de données'!C:C,"&gt;=01/08",'Base de données'!C:C,"&lt;01/09")</f>
        <v>0</v>
      </c>
      <c r="J57" s="27">
        <f>COUNTIFS('Base de données'!D:D,A57,'Base de données'!E:E,"OK",'Base de données'!C:C,"&gt;=01/08",'Base de données'!C:C,"&lt;01/09")+COUNTIFS('Base de données'!D:D,A57,'Base de données'!E:E,"KO - REL",'Base de données'!C:C,"&gt;=01/08",'Base de données'!C:C,"&lt;01/09")</f>
        <v>0</v>
      </c>
      <c r="K57" s="26" t="str">
        <f>IF(I57=0,"",J57/I57)</f>
        <v/>
      </c>
      <c r="L57" s="45">
        <f>COUNTIFS('Base de données'!D:D,A57,'Base de données'!F:F,"OK",'Base de données'!C:C,"&gt;=01/08",'Base de données'!C:C,"&lt;01/09")+COUNTIFS('Base de données'!D:D,A57,'Base de données'!F:F,"KO - REL",'Base de données'!C:C,"&gt;=01/08",'Base de données'!C:C,"&lt;01/09")</f>
        <v>0</v>
      </c>
      <c r="M57" s="26" t="str">
        <f>IF(I57=0,"",L57/I57)</f>
        <v/>
      </c>
      <c r="N57" s="27">
        <f>COUNTIFS('Base de données'!D:D,A57,'Base de données'!G:G,"&lt;=0",'Base de données'!C:C,"&gt;=01/08",'Base de données'!C:C,"&lt;01/09")</f>
        <v>0</v>
      </c>
      <c r="O57" s="36" t="str">
        <f>IF(I57=0,"",N57/I57)</f>
        <v/>
      </c>
      <c r="P57" s="25">
        <f>COUNTIFS('Base de données'!D:D,A57,'Base de données'!C:C,"&gt;=01/09",'Base de données'!C:C,"&lt;01/10")</f>
        <v>0</v>
      </c>
      <c r="Q57" s="27">
        <f>COUNTIFS('Base de données'!D:D,A57,'Base de données'!E:E,"OK",'Base de données'!C:C,"&gt;=01/09",'Base de données'!C:C,"&lt;01/10")+COUNTIFS('Base de données'!D:D,A57,'Base de données'!E:E,"KO - REL",'Base de données'!C:C,"&gt;=01/09",'Base de données'!C:C,"&lt;01/10")</f>
        <v>0</v>
      </c>
      <c r="R57" s="26" t="str">
        <f>IF(P57=0,"",Q57/P57)</f>
        <v/>
      </c>
      <c r="S57" s="45">
        <f>COUNTIFS('Base de données'!D:D,A57,'Base de données'!F:F,"OK",'Base de données'!C:C,"&gt;=01/09",'Base de données'!C:C,"&lt;01/10")+COUNTIFS('Base de données'!D:D,A57,'Base de données'!F:F,"KO - REL",'Base de données'!C:C,"&gt;=01/09",'Base de données'!C:C,"&lt;01/10")</f>
        <v>0</v>
      </c>
      <c r="T57" s="26" t="str">
        <f>IF(P57=0,"",S57/P57)</f>
        <v/>
      </c>
      <c r="U57" s="27">
        <f>COUNTIFS('Base de données'!D:D,A57,'Base de données'!G:G,"&lt;=0",'Base de données'!C:C,"&gt;=01/09",'Base de données'!C:C,"&lt;01/10")</f>
        <v>0</v>
      </c>
      <c r="V57" s="28" t="str">
        <f>IF(P57=0,"",U57/P57)</f>
        <v/>
      </c>
      <c r="W57" s="49"/>
    </row>
    <row r="58" spans="1:23">
      <c r="A58" s="54" t="s">
        <v>41</v>
      </c>
      <c r="B58" s="19">
        <f>COUNTIFS('Base de données'!D:D,A58,'Base de données'!C:C,"&gt;=01/07",'Base de données'!C:C,"&lt;01/08")</f>
        <v>0</v>
      </c>
      <c r="C58" s="16">
        <f>COUNTIFS('Base de données'!D:D,A58,'Base de données'!E:E,"OK",'Base de données'!C:C,"&gt;=01/07",'Base de données'!C:C,"&lt;01/08")+COUNTIFS('Base de données'!D:D,A58,'Base de données'!E:E,"KO - REL",'Base de données'!C:C,"&gt;=01/07",'Base de données'!C:C,"&lt;01/08")</f>
        <v>0</v>
      </c>
      <c r="D58" s="17" t="str">
        <f t="shared" ref="D58:D79" si="18">IF(B58=0,"",C58/B58)</f>
        <v/>
      </c>
      <c r="E58" s="43">
        <f>COUNTIFS('Base de données'!D:D,A58,'Base de données'!F:F,"OK",'Base de données'!C:C,"&gt;=01/07",'Base de données'!C:C,"&lt;01/08")+COUNTIFS('Base de données'!D:D,A58,'Base de données'!F:F,"KO - REL",'Base de données'!C:C,"&gt;=01/07",'Base de données'!C:C,"&lt;01/08")</f>
        <v>0</v>
      </c>
      <c r="F58" s="17" t="str">
        <f t="shared" ref="F58:F79" si="19">IF(B58=0,"",E58/B58)</f>
        <v/>
      </c>
      <c r="G58" s="16">
        <f>COUNTIFS('Base de données'!D:D,A58,'Base de données'!G:G,"&lt;=0",'Base de données'!C:C,"&gt;=01/07",'Base de données'!C:C,"&lt;01/08")</f>
        <v>0</v>
      </c>
      <c r="H58" s="35" t="str">
        <f t="shared" ref="H58:H79" si="20">IF(B58=0,"",G58/B58)</f>
        <v/>
      </c>
      <c r="I58" s="19">
        <f>COUNTIFS('Base de données'!D:D,A58,'Base de données'!C:C,"&gt;=01/08",'Base de données'!C:C,"&lt;01/09")</f>
        <v>0</v>
      </c>
      <c r="J58" s="16">
        <f>COUNTIFS('Base de données'!D:D,A58,'Base de données'!E:E,"OK",'Base de données'!C:C,"&gt;=01/08",'Base de données'!C:C,"&lt;01/09")+COUNTIFS('Base de données'!D:D,A58,'Base de données'!E:E,"KO - REL",'Base de données'!C:C,"&gt;=01/08",'Base de données'!C:C,"&lt;01/09")</f>
        <v>0</v>
      </c>
      <c r="K58" s="17" t="str">
        <f t="shared" ref="K58:K79" si="21">IF(I58=0,"",J58/I58)</f>
        <v/>
      </c>
      <c r="L58" s="43">
        <f>COUNTIFS('Base de données'!D:D,A58,'Base de données'!F:F,"OK",'Base de données'!C:C,"&gt;=01/08",'Base de données'!C:C,"&lt;01/09")+COUNTIFS('Base de données'!D:D,A58,'Base de données'!F:F,"KO - REL",'Base de données'!C:C,"&gt;=01/08",'Base de données'!C:C,"&lt;01/09")</f>
        <v>0</v>
      </c>
      <c r="M58" s="17" t="str">
        <f t="shared" ref="M58:M79" si="22">IF(I58=0,"",L58/I58)</f>
        <v/>
      </c>
      <c r="N58" s="16">
        <f>COUNTIFS('Base de données'!D:D,A58,'Base de données'!G:G,"&lt;=0",'Base de données'!C:C,"&gt;=01/08",'Base de données'!C:C,"&lt;01/09")</f>
        <v>0</v>
      </c>
      <c r="O58" s="35" t="str">
        <f t="shared" ref="O58:O79" si="23">IF(I58=0,"",N58/I58)</f>
        <v/>
      </c>
      <c r="P58" s="19">
        <f>COUNTIFS('Base de données'!D:D,A58,'Base de données'!C:C,"&gt;=01/09",'Base de données'!C:C,"&lt;01/10")</f>
        <v>0</v>
      </c>
      <c r="Q58" s="16">
        <f>COUNTIFS('Base de données'!D:D,A58,'Base de données'!E:E,"OK",'Base de données'!C:C,"&gt;=01/09",'Base de données'!C:C,"&lt;01/10")+COUNTIFS('Base de données'!D:D,A58,'Base de données'!E:E,"KO - REL",'Base de données'!C:C,"&gt;=01/09",'Base de données'!C:C,"&lt;01/10")</f>
        <v>0</v>
      </c>
      <c r="R58" s="17" t="str">
        <f t="shared" ref="R58:R79" si="24">IF(P58=0,"",Q58/P58)</f>
        <v/>
      </c>
      <c r="S58" s="43">
        <f>COUNTIFS('Base de données'!D:D,A58,'Base de données'!F:F,"OK",'Base de données'!C:C,"&gt;=01/09",'Base de données'!C:C,"&lt;01/10")+COUNTIFS('Base de données'!D:D,A58,'Base de données'!F:F,"KO - REL",'Base de données'!C:C,"&gt;=01/09",'Base de données'!C:C,"&lt;01/10")</f>
        <v>0</v>
      </c>
      <c r="T58" s="17" t="str">
        <f t="shared" ref="T58:T79" si="25">IF(P58=0,"",S58/P58)</f>
        <v/>
      </c>
      <c r="U58" s="16">
        <f>COUNTIFS('Base de données'!D:D,A58,'Base de données'!G:G,"&lt;=0",'Base de données'!C:C,"&gt;=01/09",'Base de données'!C:C,"&lt;01/10")</f>
        <v>0</v>
      </c>
      <c r="V58" s="23" t="str">
        <f t="shared" ref="V58:V79" si="26">IF(P58=0,"",U58/P58)</f>
        <v/>
      </c>
      <c r="W58" s="49"/>
    </row>
    <row r="59" spans="1:23">
      <c r="A59" s="55" t="s">
        <v>42</v>
      </c>
      <c r="B59" s="19">
        <f>COUNTIFS('Base de données'!D:D,A59,'Base de données'!C:C,"&gt;=01/07",'Base de données'!C:C,"&lt;01/08")</f>
        <v>0</v>
      </c>
      <c r="C59" s="16">
        <f>COUNTIFS('Base de données'!D:D,A59,'Base de données'!E:E,"OK",'Base de données'!C:C,"&gt;=01/07",'Base de données'!C:C,"&lt;01/08")+COUNTIFS('Base de données'!D:D,A59,'Base de données'!E:E,"KO - REL",'Base de données'!C:C,"&gt;=01/07",'Base de données'!C:C,"&lt;01/08")</f>
        <v>0</v>
      </c>
      <c r="D59" s="17" t="str">
        <f t="shared" si="18"/>
        <v/>
      </c>
      <c r="E59" s="43">
        <f>COUNTIFS('Base de données'!D:D,A59,'Base de données'!F:F,"OK",'Base de données'!C:C,"&gt;=01/07",'Base de données'!C:C,"&lt;01/08")+COUNTIFS('Base de données'!D:D,A59,'Base de données'!F:F,"KO - REL",'Base de données'!C:C,"&gt;=01/07",'Base de données'!C:C,"&lt;01/08")</f>
        <v>0</v>
      </c>
      <c r="F59" s="17" t="str">
        <f t="shared" si="19"/>
        <v/>
      </c>
      <c r="G59" s="16">
        <f>COUNTIFS('Base de données'!D:D,A59,'Base de données'!G:G,"&lt;=0",'Base de données'!C:C,"&gt;=01/07",'Base de données'!C:C,"&lt;01/08")</f>
        <v>0</v>
      </c>
      <c r="H59" s="35" t="str">
        <f t="shared" si="20"/>
        <v/>
      </c>
      <c r="I59" s="19">
        <f>COUNTIFS('Base de données'!D:D,A59,'Base de données'!C:C,"&gt;=01/08",'Base de données'!C:C,"&lt;01/09")</f>
        <v>0</v>
      </c>
      <c r="J59" s="16">
        <f>COUNTIFS('Base de données'!D:D,A59,'Base de données'!E:E,"OK",'Base de données'!C:C,"&gt;=01/08",'Base de données'!C:C,"&lt;01/09")+COUNTIFS('Base de données'!D:D,A59,'Base de données'!E:E,"KO - REL",'Base de données'!C:C,"&gt;=01/08",'Base de données'!C:C,"&lt;01/09")</f>
        <v>0</v>
      </c>
      <c r="K59" s="17" t="str">
        <f t="shared" si="21"/>
        <v/>
      </c>
      <c r="L59" s="43">
        <f>COUNTIFS('Base de données'!D:D,A59,'Base de données'!F:F,"OK",'Base de données'!C:C,"&gt;=01/08",'Base de données'!C:C,"&lt;01/09")+COUNTIFS('Base de données'!D:D,A59,'Base de données'!F:F,"KO - REL",'Base de données'!C:C,"&gt;=01/08",'Base de données'!C:C,"&lt;01/09")</f>
        <v>0</v>
      </c>
      <c r="M59" s="17" t="str">
        <f t="shared" si="22"/>
        <v/>
      </c>
      <c r="N59" s="16">
        <f>COUNTIFS('Base de données'!D:D,A59,'Base de données'!G:G,"&lt;=0",'Base de données'!C:C,"&gt;=01/08",'Base de données'!C:C,"&lt;01/09")</f>
        <v>0</v>
      </c>
      <c r="O59" s="35" t="str">
        <f t="shared" si="23"/>
        <v/>
      </c>
      <c r="P59" s="19">
        <f>COUNTIFS('Base de données'!D:D,A59,'Base de données'!C:C,"&gt;=01/09",'Base de données'!C:C,"&lt;01/10")</f>
        <v>0</v>
      </c>
      <c r="Q59" s="16">
        <f>COUNTIFS('Base de données'!D:D,A59,'Base de données'!E:E,"OK",'Base de données'!C:C,"&gt;=01/09",'Base de données'!C:C,"&lt;01/10")+COUNTIFS('Base de données'!D:D,A59,'Base de données'!E:E,"KO - REL",'Base de données'!C:C,"&gt;=01/09",'Base de données'!C:C,"&lt;01/10")</f>
        <v>0</v>
      </c>
      <c r="R59" s="17" t="str">
        <f t="shared" si="24"/>
        <v/>
      </c>
      <c r="S59" s="43">
        <f>COUNTIFS('Base de données'!D:D,A59,'Base de données'!F:F,"OK",'Base de données'!C:C,"&gt;=01/09",'Base de données'!C:C,"&lt;01/10")+COUNTIFS('Base de données'!D:D,A59,'Base de données'!F:F,"KO - REL",'Base de données'!C:C,"&gt;=01/09",'Base de données'!C:C,"&lt;01/10")</f>
        <v>0</v>
      </c>
      <c r="T59" s="17" t="str">
        <f t="shared" si="25"/>
        <v/>
      </c>
      <c r="U59" s="16">
        <f>COUNTIFS('Base de données'!D:D,A59,'Base de données'!G:G,"&lt;=0",'Base de données'!C:C,"&gt;=01/09",'Base de données'!C:C,"&lt;01/10")</f>
        <v>0</v>
      </c>
      <c r="V59" s="23" t="str">
        <f t="shared" si="26"/>
        <v/>
      </c>
      <c r="W59" s="49"/>
    </row>
    <row r="60" spans="1:23">
      <c r="A60" s="55" t="s">
        <v>43</v>
      </c>
      <c r="B60" s="19">
        <f>COUNTIFS('Base de données'!D:D,A60,'Base de données'!C:C,"&gt;=01/07",'Base de données'!C:C,"&lt;01/08")</f>
        <v>0</v>
      </c>
      <c r="C60" s="16">
        <f>COUNTIFS('Base de données'!D:D,A60,'Base de données'!E:E,"OK",'Base de données'!C:C,"&gt;=01/07",'Base de données'!C:C,"&lt;01/08")+COUNTIFS('Base de données'!D:D,A60,'Base de données'!E:E,"KO - REL",'Base de données'!C:C,"&gt;=01/07",'Base de données'!C:C,"&lt;01/08")</f>
        <v>0</v>
      </c>
      <c r="D60" s="17" t="str">
        <f t="shared" si="18"/>
        <v/>
      </c>
      <c r="E60" s="43">
        <f>COUNTIFS('Base de données'!D:D,A60,'Base de données'!F:F,"OK",'Base de données'!C:C,"&gt;=01/07",'Base de données'!C:C,"&lt;01/08")+COUNTIFS('Base de données'!D:D,A60,'Base de données'!F:F,"KO - REL",'Base de données'!C:C,"&gt;=01/07",'Base de données'!C:C,"&lt;01/08")</f>
        <v>0</v>
      </c>
      <c r="F60" s="17" t="str">
        <f t="shared" si="19"/>
        <v/>
      </c>
      <c r="G60" s="16">
        <f>COUNTIFS('Base de données'!D:D,A60,'Base de données'!G:G,"&lt;=0",'Base de données'!C:C,"&gt;=01/07",'Base de données'!C:C,"&lt;01/08")</f>
        <v>0</v>
      </c>
      <c r="H60" s="35" t="str">
        <f t="shared" si="20"/>
        <v/>
      </c>
      <c r="I60" s="19">
        <f>COUNTIFS('Base de données'!D:D,A60,'Base de données'!C:C,"&gt;=01/08",'Base de données'!C:C,"&lt;01/09")</f>
        <v>0</v>
      </c>
      <c r="J60" s="16">
        <f>COUNTIFS('Base de données'!D:D,A60,'Base de données'!E:E,"OK",'Base de données'!C:C,"&gt;=01/08",'Base de données'!C:C,"&lt;01/09")+COUNTIFS('Base de données'!D:D,A60,'Base de données'!E:E,"KO - REL",'Base de données'!C:C,"&gt;=01/08",'Base de données'!C:C,"&lt;01/09")</f>
        <v>0</v>
      </c>
      <c r="K60" s="17" t="str">
        <f t="shared" si="21"/>
        <v/>
      </c>
      <c r="L60" s="43">
        <f>COUNTIFS('Base de données'!D:D,A60,'Base de données'!F:F,"OK",'Base de données'!C:C,"&gt;=01/08",'Base de données'!C:C,"&lt;01/09")+COUNTIFS('Base de données'!D:D,A60,'Base de données'!F:F,"KO - REL",'Base de données'!C:C,"&gt;=01/08",'Base de données'!C:C,"&lt;01/09")</f>
        <v>0</v>
      </c>
      <c r="M60" s="17" t="str">
        <f t="shared" si="22"/>
        <v/>
      </c>
      <c r="N60" s="16">
        <f>COUNTIFS('Base de données'!D:D,A60,'Base de données'!G:G,"&lt;=0",'Base de données'!C:C,"&gt;=01/08",'Base de données'!C:C,"&lt;01/09")</f>
        <v>0</v>
      </c>
      <c r="O60" s="35" t="str">
        <f t="shared" si="23"/>
        <v/>
      </c>
      <c r="P60" s="19">
        <f>COUNTIFS('Base de données'!D:D,A60,'Base de données'!C:C,"&gt;=01/09",'Base de données'!C:C,"&lt;01/10")</f>
        <v>0</v>
      </c>
      <c r="Q60" s="16">
        <f>COUNTIFS('Base de données'!D:D,A60,'Base de données'!E:E,"OK",'Base de données'!C:C,"&gt;=01/09",'Base de données'!C:C,"&lt;01/10")+COUNTIFS('Base de données'!D:D,A60,'Base de données'!E:E,"KO - REL",'Base de données'!C:C,"&gt;=01/09",'Base de données'!C:C,"&lt;01/10")</f>
        <v>0</v>
      </c>
      <c r="R60" s="17" t="str">
        <f t="shared" si="24"/>
        <v/>
      </c>
      <c r="S60" s="43">
        <f>COUNTIFS('Base de données'!D:D,A60,'Base de données'!F:F,"OK",'Base de données'!C:C,"&gt;=01/09",'Base de données'!C:C,"&lt;01/10")+COUNTIFS('Base de données'!D:D,A60,'Base de données'!F:F,"KO - REL",'Base de données'!C:C,"&gt;=01/09",'Base de données'!C:C,"&lt;01/10")</f>
        <v>0</v>
      </c>
      <c r="T60" s="17" t="str">
        <f t="shared" si="25"/>
        <v/>
      </c>
      <c r="U60" s="16">
        <f>COUNTIFS('Base de données'!D:D,A60,'Base de données'!G:G,"&lt;=0",'Base de données'!C:C,"&gt;=01/09",'Base de données'!C:C,"&lt;01/10")</f>
        <v>0</v>
      </c>
      <c r="V60" s="23" t="str">
        <f t="shared" si="26"/>
        <v/>
      </c>
      <c r="W60" s="49"/>
    </row>
    <row r="61" spans="1:23">
      <c r="A61" s="55" t="s">
        <v>44</v>
      </c>
      <c r="B61" s="19">
        <f>COUNTIFS('Base de données'!D:D,A61,'Base de données'!C:C,"&gt;=01/07",'Base de données'!C:C,"&lt;01/08")</f>
        <v>0</v>
      </c>
      <c r="C61" s="16">
        <f>COUNTIFS('Base de données'!D:D,A61,'Base de données'!E:E,"OK",'Base de données'!C:C,"&gt;=01/07",'Base de données'!C:C,"&lt;01/08")+COUNTIFS('Base de données'!D:D,A61,'Base de données'!E:E,"KO - REL",'Base de données'!C:C,"&gt;=01/07",'Base de données'!C:C,"&lt;01/08")</f>
        <v>0</v>
      </c>
      <c r="D61" s="17" t="str">
        <f t="shared" si="18"/>
        <v/>
      </c>
      <c r="E61" s="43">
        <f>COUNTIFS('Base de données'!D:D,A61,'Base de données'!F:F,"OK",'Base de données'!C:C,"&gt;=01/07",'Base de données'!C:C,"&lt;01/08")+COUNTIFS('Base de données'!D:D,A61,'Base de données'!F:F,"KO - REL",'Base de données'!C:C,"&gt;=01/07",'Base de données'!C:C,"&lt;01/08")</f>
        <v>0</v>
      </c>
      <c r="F61" s="17" t="str">
        <f t="shared" si="19"/>
        <v/>
      </c>
      <c r="G61" s="16">
        <f>COUNTIFS('Base de données'!D:D,A61,'Base de données'!G:G,"&lt;=0",'Base de données'!C:C,"&gt;=01/07",'Base de données'!C:C,"&lt;01/08")</f>
        <v>0</v>
      </c>
      <c r="H61" s="35" t="str">
        <f t="shared" si="20"/>
        <v/>
      </c>
      <c r="I61" s="19">
        <f>COUNTIFS('Base de données'!D:D,A61,'Base de données'!C:C,"&gt;=01/08",'Base de données'!C:C,"&lt;01/09")</f>
        <v>0</v>
      </c>
      <c r="J61" s="16">
        <f>COUNTIFS('Base de données'!D:D,A61,'Base de données'!E:E,"OK",'Base de données'!C:C,"&gt;=01/08",'Base de données'!C:C,"&lt;01/09")+COUNTIFS('Base de données'!D:D,A61,'Base de données'!E:E,"KO - REL",'Base de données'!C:C,"&gt;=01/08",'Base de données'!C:C,"&lt;01/09")</f>
        <v>0</v>
      </c>
      <c r="K61" s="17" t="str">
        <f t="shared" si="21"/>
        <v/>
      </c>
      <c r="L61" s="43">
        <f>COUNTIFS('Base de données'!D:D,A61,'Base de données'!F:F,"OK",'Base de données'!C:C,"&gt;=01/08",'Base de données'!C:C,"&lt;01/09")+COUNTIFS('Base de données'!D:D,A61,'Base de données'!F:F,"KO - REL",'Base de données'!C:C,"&gt;=01/08",'Base de données'!C:C,"&lt;01/09")</f>
        <v>0</v>
      </c>
      <c r="M61" s="17" t="str">
        <f t="shared" si="22"/>
        <v/>
      </c>
      <c r="N61" s="16">
        <f>COUNTIFS('Base de données'!D:D,A61,'Base de données'!G:G,"&lt;=0",'Base de données'!C:C,"&gt;=01/08",'Base de données'!C:C,"&lt;01/09")</f>
        <v>0</v>
      </c>
      <c r="O61" s="35" t="str">
        <f t="shared" si="23"/>
        <v/>
      </c>
      <c r="P61" s="19">
        <f>COUNTIFS('Base de données'!D:D,A61,'Base de données'!C:C,"&gt;=01/09",'Base de données'!C:C,"&lt;01/10")</f>
        <v>0</v>
      </c>
      <c r="Q61" s="16">
        <f>COUNTIFS('Base de données'!D:D,A61,'Base de données'!E:E,"OK",'Base de données'!C:C,"&gt;=01/09",'Base de données'!C:C,"&lt;01/10")+COUNTIFS('Base de données'!D:D,A61,'Base de données'!E:E,"KO - REL",'Base de données'!C:C,"&gt;=01/09",'Base de données'!C:C,"&lt;01/10")</f>
        <v>0</v>
      </c>
      <c r="R61" s="17" t="str">
        <f t="shared" si="24"/>
        <v/>
      </c>
      <c r="S61" s="43">
        <f>COUNTIFS('Base de données'!D:D,A61,'Base de données'!F:F,"OK",'Base de données'!C:C,"&gt;=01/09",'Base de données'!C:C,"&lt;01/10")+COUNTIFS('Base de données'!D:D,A61,'Base de données'!F:F,"KO - REL",'Base de données'!C:C,"&gt;=01/09",'Base de données'!C:C,"&lt;01/10")</f>
        <v>0</v>
      </c>
      <c r="T61" s="17" t="str">
        <f t="shared" si="25"/>
        <v/>
      </c>
      <c r="U61" s="16">
        <f>COUNTIFS('Base de données'!D:D,A61,'Base de données'!G:G,"&lt;=0",'Base de données'!C:C,"&gt;=01/09",'Base de données'!C:C,"&lt;01/10")</f>
        <v>0</v>
      </c>
      <c r="V61" s="23" t="str">
        <f t="shared" si="26"/>
        <v/>
      </c>
      <c r="W61" s="49"/>
    </row>
    <row r="62" spans="1:23">
      <c r="A62" s="55" t="s">
        <v>45</v>
      </c>
      <c r="B62" s="19">
        <f>COUNTIFS('Base de données'!D:D,A62,'Base de données'!C:C,"&gt;=01/07",'Base de données'!C:C,"&lt;01/08")</f>
        <v>0</v>
      </c>
      <c r="C62" s="16">
        <f>COUNTIFS('Base de données'!D:D,A62,'Base de données'!E:E,"OK",'Base de données'!C:C,"&gt;=01/07",'Base de données'!C:C,"&lt;01/08")+COUNTIFS('Base de données'!D:D,A62,'Base de données'!E:E,"KO - REL",'Base de données'!C:C,"&gt;=01/07",'Base de données'!C:C,"&lt;01/08")</f>
        <v>0</v>
      </c>
      <c r="D62" s="17" t="str">
        <f t="shared" si="18"/>
        <v/>
      </c>
      <c r="E62" s="43">
        <f>COUNTIFS('Base de données'!D:D,A62,'Base de données'!F:F,"OK",'Base de données'!C:C,"&gt;=01/07",'Base de données'!C:C,"&lt;01/08")+COUNTIFS('Base de données'!D:D,A62,'Base de données'!F:F,"KO - REL",'Base de données'!C:C,"&gt;=01/07",'Base de données'!C:C,"&lt;01/08")</f>
        <v>0</v>
      </c>
      <c r="F62" s="17" t="str">
        <f t="shared" si="19"/>
        <v/>
      </c>
      <c r="G62" s="16">
        <f>COUNTIFS('Base de données'!D:D,A62,'Base de données'!G:G,"&lt;=0",'Base de données'!C:C,"&gt;=01/07",'Base de données'!C:C,"&lt;01/08")</f>
        <v>0</v>
      </c>
      <c r="H62" s="35" t="str">
        <f t="shared" si="20"/>
        <v/>
      </c>
      <c r="I62" s="19">
        <f>COUNTIFS('Base de données'!D:D,A62,'Base de données'!C:C,"&gt;=01/08",'Base de données'!C:C,"&lt;01/09")</f>
        <v>0</v>
      </c>
      <c r="J62" s="16">
        <f>COUNTIFS('Base de données'!D:D,A62,'Base de données'!E:E,"OK",'Base de données'!C:C,"&gt;=01/08",'Base de données'!C:C,"&lt;01/09")+COUNTIFS('Base de données'!D:D,A62,'Base de données'!E:E,"KO - REL",'Base de données'!C:C,"&gt;=01/08",'Base de données'!C:C,"&lt;01/09")</f>
        <v>0</v>
      </c>
      <c r="K62" s="17" t="str">
        <f t="shared" si="21"/>
        <v/>
      </c>
      <c r="L62" s="43">
        <f>COUNTIFS('Base de données'!D:D,A62,'Base de données'!F:F,"OK",'Base de données'!C:C,"&gt;=01/08",'Base de données'!C:C,"&lt;01/09")+COUNTIFS('Base de données'!D:D,A62,'Base de données'!F:F,"KO - REL",'Base de données'!C:C,"&gt;=01/08",'Base de données'!C:C,"&lt;01/09")</f>
        <v>0</v>
      </c>
      <c r="M62" s="17" t="str">
        <f t="shared" si="22"/>
        <v/>
      </c>
      <c r="N62" s="16">
        <f>COUNTIFS('Base de données'!D:D,A62,'Base de données'!G:G,"&lt;=0",'Base de données'!C:C,"&gt;=01/08",'Base de données'!C:C,"&lt;01/09")</f>
        <v>0</v>
      </c>
      <c r="O62" s="35" t="str">
        <f t="shared" si="23"/>
        <v/>
      </c>
      <c r="P62" s="19">
        <f>COUNTIFS('Base de données'!D:D,A62,'Base de données'!C:C,"&gt;=01/09",'Base de données'!C:C,"&lt;01/10")</f>
        <v>0</v>
      </c>
      <c r="Q62" s="16">
        <f>COUNTIFS('Base de données'!D:D,A62,'Base de données'!E:E,"OK",'Base de données'!C:C,"&gt;=01/09",'Base de données'!C:C,"&lt;01/10")+COUNTIFS('Base de données'!D:D,A62,'Base de données'!E:E,"KO - REL",'Base de données'!C:C,"&gt;=01/09",'Base de données'!C:C,"&lt;01/10")</f>
        <v>0</v>
      </c>
      <c r="R62" s="17" t="str">
        <f t="shared" si="24"/>
        <v/>
      </c>
      <c r="S62" s="43">
        <f>COUNTIFS('Base de données'!D:D,A62,'Base de données'!F:F,"OK",'Base de données'!C:C,"&gt;=01/09",'Base de données'!C:C,"&lt;01/10")+COUNTIFS('Base de données'!D:D,A62,'Base de données'!F:F,"KO - REL",'Base de données'!C:C,"&gt;=01/09",'Base de données'!C:C,"&lt;01/10")</f>
        <v>0</v>
      </c>
      <c r="T62" s="17" t="str">
        <f t="shared" si="25"/>
        <v/>
      </c>
      <c r="U62" s="16">
        <f>COUNTIFS('Base de données'!D:D,A62,'Base de données'!G:G,"&lt;=0",'Base de données'!C:C,"&gt;=01/09",'Base de données'!C:C,"&lt;01/10")</f>
        <v>0</v>
      </c>
      <c r="V62" s="23" t="str">
        <f t="shared" si="26"/>
        <v/>
      </c>
      <c r="W62" s="49"/>
    </row>
    <row r="63" spans="1:23">
      <c r="A63" s="55" t="s">
        <v>46</v>
      </c>
      <c r="B63" s="19">
        <f>COUNTIFS('Base de données'!D:D,A63,'Base de données'!C:C,"&gt;=01/07",'Base de données'!C:C,"&lt;01/08")</f>
        <v>0</v>
      </c>
      <c r="C63" s="16">
        <f>COUNTIFS('Base de données'!D:D,A63,'Base de données'!E:E,"OK",'Base de données'!C:C,"&gt;=01/07",'Base de données'!C:C,"&lt;01/08")+COUNTIFS('Base de données'!D:D,A63,'Base de données'!E:E,"KO - REL",'Base de données'!C:C,"&gt;=01/07",'Base de données'!C:C,"&lt;01/08")</f>
        <v>0</v>
      </c>
      <c r="D63" s="17" t="str">
        <f t="shared" si="18"/>
        <v/>
      </c>
      <c r="E63" s="43">
        <f>COUNTIFS('Base de données'!D:D,A63,'Base de données'!F:F,"OK",'Base de données'!C:C,"&gt;=01/07",'Base de données'!C:C,"&lt;01/08")+COUNTIFS('Base de données'!D:D,A63,'Base de données'!F:F,"KO - REL",'Base de données'!C:C,"&gt;=01/07",'Base de données'!C:C,"&lt;01/08")</f>
        <v>0</v>
      </c>
      <c r="F63" s="17" t="str">
        <f t="shared" si="19"/>
        <v/>
      </c>
      <c r="G63" s="16">
        <f>COUNTIFS('Base de données'!D:D,A63,'Base de données'!G:G,"&lt;=0",'Base de données'!C:C,"&gt;=01/07",'Base de données'!C:C,"&lt;01/08")</f>
        <v>0</v>
      </c>
      <c r="H63" s="35" t="str">
        <f t="shared" si="20"/>
        <v/>
      </c>
      <c r="I63" s="19">
        <f>COUNTIFS('Base de données'!D:D,A63,'Base de données'!C:C,"&gt;=01/08",'Base de données'!C:C,"&lt;01/09")</f>
        <v>0</v>
      </c>
      <c r="J63" s="16">
        <f>COUNTIFS('Base de données'!D:D,A63,'Base de données'!E:E,"OK",'Base de données'!C:C,"&gt;=01/08",'Base de données'!C:C,"&lt;01/09")+COUNTIFS('Base de données'!D:D,A63,'Base de données'!E:E,"KO - REL",'Base de données'!C:C,"&gt;=01/08",'Base de données'!C:C,"&lt;01/09")</f>
        <v>0</v>
      </c>
      <c r="K63" s="17" t="str">
        <f t="shared" si="21"/>
        <v/>
      </c>
      <c r="L63" s="43">
        <f>COUNTIFS('Base de données'!D:D,A63,'Base de données'!F:F,"OK",'Base de données'!C:C,"&gt;=01/08",'Base de données'!C:C,"&lt;01/09")+COUNTIFS('Base de données'!D:D,A63,'Base de données'!F:F,"KO - REL",'Base de données'!C:C,"&gt;=01/08",'Base de données'!C:C,"&lt;01/09")</f>
        <v>0</v>
      </c>
      <c r="M63" s="17" t="str">
        <f t="shared" si="22"/>
        <v/>
      </c>
      <c r="N63" s="16">
        <f>COUNTIFS('Base de données'!D:D,A63,'Base de données'!G:G,"&lt;=0",'Base de données'!C:C,"&gt;=01/08",'Base de données'!C:C,"&lt;01/09")</f>
        <v>0</v>
      </c>
      <c r="O63" s="35" t="str">
        <f t="shared" si="23"/>
        <v/>
      </c>
      <c r="P63" s="19">
        <f>COUNTIFS('Base de données'!D:D,A63,'Base de données'!C:C,"&gt;=01/09",'Base de données'!C:C,"&lt;01/10")</f>
        <v>0</v>
      </c>
      <c r="Q63" s="16">
        <f>COUNTIFS('Base de données'!D:D,A63,'Base de données'!E:E,"OK",'Base de données'!C:C,"&gt;=01/09",'Base de données'!C:C,"&lt;01/10")+COUNTIFS('Base de données'!D:D,A63,'Base de données'!E:E,"KO - REL",'Base de données'!C:C,"&gt;=01/09",'Base de données'!C:C,"&lt;01/10")</f>
        <v>0</v>
      </c>
      <c r="R63" s="17" t="str">
        <f t="shared" si="24"/>
        <v/>
      </c>
      <c r="S63" s="43">
        <f>COUNTIFS('Base de données'!D:D,A63,'Base de données'!F:F,"OK",'Base de données'!C:C,"&gt;=01/09",'Base de données'!C:C,"&lt;01/10")+COUNTIFS('Base de données'!D:D,A63,'Base de données'!F:F,"KO - REL",'Base de données'!C:C,"&gt;=01/09",'Base de données'!C:C,"&lt;01/10")</f>
        <v>0</v>
      </c>
      <c r="T63" s="17" t="str">
        <f t="shared" si="25"/>
        <v/>
      </c>
      <c r="U63" s="16">
        <f>COUNTIFS('Base de données'!D:D,A63,'Base de données'!G:G,"&lt;=0",'Base de données'!C:C,"&gt;=01/09",'Base de données'!C:C,"&lt;01/10")</f>
        <v>0</v>
      </c>
      <c r="V63" s="23" t="str">
        <f t="shared" si="26"/>
        <v/>
      </c>
      <c r="W63" s="49"/>
    </row>
    <row r="64" spans="1:23">
      <c r="A64" s="55" t="s">
        <v>47</v>
      </c>
      <c r="B64" s="19">
        <f>COUNTIFS('Base de données'!D:D,A64,'Base de données'!C:C,"&gt;=01/07",'Base de données'!C:C,"&lt;01/08")</f>
        <v>0</v>
      </c>
      <c r="C64" s="16">
        <f>COUNTIFS('Base de données'!D:D,A64,'Base de données'!E:E,"OK",'Base de données'!C:C,"&gt;=01/07",'Base de données'!C:C,"&lt;01/08")+COUNTIFS('Base de données'!D:D,A64,'Base de données'!E:E,"KO - REL",'Base de données'!C:C,"&gt;=01/07",'Base de données'!C:C,"&lt;01/08")</f>
        <v>0</v>
      </c>
      <c r="D64" s="17" t="str">
        <f t="shared" si="18"/>
        <v/>
      </c>
      <c r="E64" s="43">
        <f>COUNTIFS('Base de données'!D:D,A64,'Base de données'!F:F,"OK",'Base de données'!C:C,"&gt;=01/07",'Base de données'!C:C,"&lt;01/08")+COUNTIFS('Base de données'!D:D,A64,'Base de données'!F:F,"KO - REL",'Base de données'!C:C,"&gt;=01/07",'Base de données'!C:C,"&lt;01/08")</f>
        <v>0</v>
      </c>
      <c r="F64" s="17" t="str">
        <f t="shared" si="19"/>
        <v/>
      </c>
      <c r="G64" s="16">
        <f>COUNTIFS('Base de données'!D:D,A64,'Base de données'!G:G,"&lt;=0",'Base de données'!C:C,"&gt;=01/07",'Base de données'!C:C,"&lt;01/08")</f>
        <v>0</v>
      </c>
      <c r="H64" s="35" t="str">
        <f t="shared" si="20"/>
        <v/>
      </c>
      <c r="I64" s="19">
        <f>COUNTIFS('Base de données'!D:D,A64,'Base de données'!C:C,"&gt;=01/08",'Base de données'!C:C,"&lt;01/09")</f>
        <v>0</v>
      </c>
      <c r="J64" s="16">
        <f>COUNTIFS('Base de données'!D:D,A64,'Base de données'!E:E,"OK",'Base de données'!C:C,"&gt;=01/08",'Base de données'!C:C,"&lt;01/09")+COUNTIFS('Base de données'!D:D,A64,'Base de données'!E:E,"KO - REL",'Base de données'!C:C,"&gt;=01/08",'Base de données'!C:C,"&lt;01/09")</f>
        <v>0</v>
      </c>
      <c r="K64" s="17" t="str">
        <f t="shared" si="21"/>
        <v/>
      </c>
      <c r="L64" s="43">
        <f>COUNTIFS('Base de données'!D:D,A64,'Base de données'!F:F,"OK",'Base de données'!C:C,"&gt;=01/08",'Base de données'!C:C,"&lt;01/09")+COUNTIFS('Base de données'!D:D,A64,'Base de données'!F:F,"KO - REL",'Base de données'!C:C,"&gt;=01/08",'Base de données'!C:C,"&lt;01/09")</f>
        <v>0</v>
      </c>
      <c r="M64" s="17" t="str">
        <f t="shared" si="22"/>
        <v/>
      </c>
      <c r="N64" s="16">
        <f>COUNTIFS('Base de données'!D:D,A64,'Base de données'!G:G,"&lt;=0",'Base de données'!C:C,"&gt;=01/08",'Base de données'!C:C,"&lt;01/09")</f>
        <v>0</v>
      </c>
      <c r="O64" s="35" t="str">
        <f t="shared" si="23"/>
        <v/>
      </c>
      <c r="P64" s="19">
        <f>COUNTIFS('Base de données'!D:D,A64,'Base de données'!C:C,"&gt;=01/09",'Base de données'!C:C,"&lt;01/10")</f>
        <v>0</v>
      </c>
      <c r="Q64" s="16">
        <f>COUNTIFS('Base de données'!D:D,A64,'Base de données'!E:E,"OK",'Base de données'!C:C,"&gt;=01/09",'Base de données'!C:C,"&lt;01/10")+COUNTIFS('Base de données'!D:D,A64,'Base de données'!E:E,"KO - REL",'Base de données'!C:C,"&gt;=01/09",'Base de données'!C:C,"&lt;01/10")</f>
        <v>0</v>
      </c>
      <c r="R64" s="17" t="str">
        <f t="shared" si="24"/>
        <v/>
      </c>
      <c r="S64" s="43">
        <f>COUNTIFS('Base de données'!D:D,A64,'Base de données'!F:F,"OK",'Base de données'!C:C,"&gt;=01/09",'Base de données'!C:C,"&lt;01/10")+COUNTIFS('Base de données'!D:D,A64,'Base de données'!F:F,"KO - REL",'Base de données'!C:C,"&gt;=01/09",'Base de données'!C:C,"&lt;01/10")</f>
        <v>0</v>
      </c>
      <c r="T64" s="17" t="str">
        <f t="shared" si="25"/>
        <v/>
      </c>
      <c r="U64" s="16">
        <f>COUNTIFS('Base de données'!D:D,A64,'Base de données'!G:G,"&lt;=0",'Base de données'!C:C,"&gt;=01/09",'Base de données'!C:C,"&lt;01/10")</f>
        <v>0</v>
      </c>
      <c r="V64" s="23" t="str">
        <f t="shared" si="26"/>
        <v/>
      </c>
      <c r="W64" s="49"/>
    </row>
    <row r="65" spans="1:23">
      <c r="A65" s="55" t="s">
        <v>48</v>
      </c>
      <c r="B65" s="19">
        <f>COUNTIFS('Base de données'!D:D,A65,'Base de données'!C:C,"&gt;=01/07",'Base de données'!C:C,"&lt;01/08")</f>
        <v>0</v>
      </c>
      <c r="C65" s="16">
        <f>COUNTIFS('Base de données'!D:D,A65,'Base de données'!E:E,"OK",'Base de données'!C:C,"&gt;=01/07",'Base de données'!C:C,"&lt;01/08")+COUNTIFS('Base de données'!D:D,A65,'Base de données'!E:E,"KO - REL",'Base de données'!C:C,"&gt;=01/07",'Base de données'!C:C,"&lt;01/08")</f>
        <v>0</v>
      </c>
      <c r="D65" s="17" t="str">
        <f t="shared" si="18"/>
        <v/>
      </c>
      <c r="E65" s="43">
        <f>COUNTIFS('Base de données'!D:D,A65,'Base de données'!F:F,"OK",'Base de données'!C:C,"&gt;=01/07",'Base de données'!C:C,"&lt;01/08")+COUNTIFS('Base de données'!D:D,A65,'Base de données'!F:F,"KO - REL",'Base de données'!C:C,"&gt;=01/07",'Base de données'!C:C,"&lt;01/08")</f>
        <v>0</v>
      </c>
      <c r="F65" s="17" t="str">
        <f t="shared" si="19"/>
        <v/>
      </c>
      <c r="G65" s="16">
        <f>COUNTIFS('Base de données'!D:D,A65,'Base de données'!G:G,"&lt;=0",'Base de données'!C:C,"&gt;=01/07",'Base de données'!C:C,"&lt;01/08")</f>
        <v>0</v>
      </c>
      <c r="H65" s="35" t="str">
        <f t="shared" si="20"/>
        <v/>
      </c>
      <c r="I65" s="19">
        <f>COUNTIFS('Base de données'!D:D,A65,'Base de données'!C:C,"&gt;=01/08",'Base de données'!C:C,"&lt;01/09")</f>
        <v>0</v>
      </c>
      <c r="J65" s="16">
        <f>COUNTIFS('Base de données'!D:D,A65,'Base de données'!E:E,"OK",'Base de données'!C:C,"&gt;=01/08",'Base de données'!C:C,"&lt;01/09")+COUNTIFS('Base de données'!D:D,A65,'Base de données'!E:E,"KO - REL",'Base de données'!C:C,"&gt;=01/08",'Base de données'!C:C,"&lt;01/09")</f>
        <v>0</v>
      </c>
      <c r="K65" s="17" t="str">
        <f t="shared" si="21"/>
        <v/>
      </c>
      <c r="L65" s="43">
        <f>COUNTIFS('Base de données'!D:D,A65,'Base de données'!F:F,"OK",'Base de données'!C:C,"&gt;=01/08",'Base de données'!C:C,"&lt;01/09")+COUNTIFS('Base de données'!D:D,A65,'Base de données'!F:F,"KO - REL",'Base de données'!C:C,"&gt;=01/08",'Base de données'!C:C,"&lt;01/09")</f>
        <v>0</v>
      </c>
      <c r="M65" s="17" t="str">
        <f t="shared" si="22"/>
        <v/>
      </c>
      <c r="N65" s="16">
        <f>COUNTIFS('Base de données'!D:D,A65,'Base de données'!G:G,"&lt;=0",'Base de données'!C:C,"&gt;=01/08",'Base de données'!C:C,"&lt;01/09")</f>
        <v>0</v>
      </c>
      <c r="O65" s="35" t="str">
        <f t="shared" si="23"/>
        <v/>
      </c>
      <c r="P65" s="19">
        <f>COUNTIFS('Base de données'!D:D,A65,'Base de données'!C:C,"&gt;=01/09",'Base de données'!C:C,"&lt;01/10")</f>
        <v>0</v>
      </c>
      <c r="Q65" s="16">
        <f>COUNTIFS('Base de données'!D:D,A65,'Base de données'!E:E,"OK",'Base de données'!C:C,"&gt;=01/09",'Base de données'!C:C,"&lt;01/10")+COUNTIFS('Base de données'!D:D,A65,'Base de données'!E:E,"KO - REL",'Base de données'!C:C,"&gt;=01/09",'Base de données'!C:C,"&lt;01/10")</f>
        <v>0</v>
      </c>
      <c r="R65" s="17" t="str">
        <f t="shared" si="24"/>
        <v/>
      </c>
      <c r="S65" s="43">
        <f>COUNTIFS('Base de données'!D:D,A65,'Base de données'!F:F,"OK",'Base de données'!C:C,"&gt;=01/09",'Base de données'!C:C,"&lt;01/10")+COUNTIFS('Base de données'!D:D,A65,'Base de données'!F:F,"KO - REL",'Base de données'!C:C,"&gt;=01/09",'Base de données'!C:C,"&lt;01/10")</f>
        <v>0</v>
      </c>
      <c r="T65" s="17" t="str">
        <f t="shared" si="25"/>
        <v/>
      </c>
      <c r="U65" s="16">
        <f>COUNTIFS('Base de données'!D:D,A65,'Base de données'!G:G,"&lt;=0",'Base de données'!C:C,"&gt;=01/09",'Base de données'!C:C,"&lt;01/10")</f>
        <v>0</v>
      </c>
      <c r="V65" s="23" t="str">
        <f t="shared" si="26"/>
        <v/>
      </c>
      <c r="W65" s="49"/>
    </row>
    <row r="66" spans="1:23">
      <c r="A66" s="55" t="s">
        <v>49</v>
      </c>
      <c r="B66" s="19">
        <f>COUNTIFS('Base de données'!D:D,A66,'Base de données'!C:C,"&gt;=01/07",'Base de données'!C:C,"&lt;01/08")</f>
        <v>0</v>
      </c>
      <c r="C66" s="16">
        <f>COUNTIFS('Base de données'!D:D,A66,'Base de données'!E:E,"OK",'Base de données'!C:C,"&gt;=01/07",'Base de données'!C:C,"&lt;01/08")+COUNTIFS('Base de données'!D:D,A66,'Base de données'!E:E,"KO - REL",'Base de données'!C:C,"&gt;=01/07",'Base de données'!C:C,"&lt;01/08")</f>
        <v>0</v>
      </c>
      <c r="D66" s="17" t="str">
        <f t="shared" si="18"/>
        <v/>
      </c>
      <c r="E66" s="43">
        <f>COUNTIFS('Base de données'!D:D,A66,'Base de données'!F:F,"OK",'Base de données'!C:C,"&gt;=01/07",'Base de données'!C:C,"&lt;01/08")+COUNTIFS('Base de données'!D:D,A66,'Base de données'!F:F,"KO - REL",'Base de données'!C:C,"&gt;=01/07",'Base de données'!C:C,"&lt;01/08")</f>
        <v>0</v>
      </c>
      <c r="F66" s="17" t="str">
        <f t="shared" si="19"/>
        <v/>
      </c>
      <c r="G66" s="16">
        <f>COUNTIFS('Base de données'!D:D,A66,'Base de données'!G:G,"&lt;=0",'Base de données'!C:C,"&gt;=01/07",'Base de données'!C:C,"&lt;01/08")</f>
        <v>0</v>
      </c>
      <c r="H66" s="35" t="str">
        <f t="shared" si="20"/>
        <v/>
      </c>
      <c r="I66" s="19">
        <f>COUNTIFS('Base de données'!D:D,A66,'Base de données'!C:C,"&gt;=01/08",'Base de données'!C:C,"&lt;01/09")</f>
        <v>0</v>
      </c>
      <c r="J66" s="16">
        <f>COUNTIFS('Base de données'!D:D,A66,'Base de données'!E:E,"OK",'Base de données'!C:C,"&gt;=01/08",'Base de données'!C:C,"&lt;01/09")+COUNTIFS('Base de données'!D:D,A66,'Base de données'!E:E,"KO - REL",'Base de données'!C:C,"&gt;=01/08",'Base de données'!C:C,"&lt;01/09")</f>
        <v>0</v>
      </c>
      <c r="K66" s="17" t="str">
        <f t="shared" si="21"/>
        <v/>
      </c>
      <c r="L66" s="43">
        <f>COUNTIFS('Base de données'!D:D,A66,'Base de données'!F:F,"OK",'Base de données'!C:C,"&gt;=01/08",'Base de données'!C:C,"&lt;01/09")+COUNTIFS('Base de données'!D:D,A66,'Base de données'!F:F,"KO - REL",'Base de données'!C:C,"&gt;=01/08",'Base de données'!C:C,"&lt;01/09")</f>
        <v>0</v>
      </c>
      <c r="M66" s="17" t="str">
        <f t="shared" si="22"/>
        <v/>
      </c>
      <c r="N66" s="16">
        <f>COUNTIFS('Base de données'!D:D,A66,'Base de données'!G:G,"&lt;=0",'Base de données'!C:C,"&gt;=01/08",'Base de données'!C:C,"&lt;01/09")</f>
        <v>0</v>
      </c>
      <c r="O66" s="35" t="str">
        <f t="shared" si="23"/>
        <v/>
      </c>
      <c r="P66" s="19">
        <f>COUNTIFS('Base de données'!D:D,A66,'Base de données'!C:C,"&gt;=01/09",'Base de données'!C:C,"&lt;01/10")</f>
        <v>0</v>
      </c>
      <c r="Q66" s="16">
        <f>COUNTIFS('Base de données'!D:D,A66,'Base de données'!E:E,"OK",'Base de données'!C:C,"&gt;=01/09",'Base de données'!C:C,"&lt;01/10")+COUNTIFS('Base de données'!D:D,A66,'Base de données'!E:E,"KO - REL",'Base de données'!C:C,"&gt;=01/09",'Base de données'!C:C,"&lt;01/10")</f>
        <v>0</v>
      </c>
      <c r="R66" s="17" t="str">
        <f t="shared" si="24"/>
        <v/>
      </c>
      <c r="S66" s="43">
        <f>COUNTIFS('Base de données'!D:D,A66,'Base de données'!F:F,"OK",'Base de données'!C:C,"&gt;=01/09",'Base de données'!C:C,"&lt;01/10")+COUNTIFS('Base de données'!D:D,A66,'Base de données'!F:F,"KO - REL",'Base de données'!C:C,"&gt;=01/09",'Base de données'!C:C,"&lt;01/10")</f>
        <v>0</v>
      </c>
      <c r="T66" s="17" t="str">
        <f t="shared" si="25"/>
        <v/>
      </c>
      <c r="U66" s="16">
        <f>COUNTIFS('Base de données'!D:D,A66,'Base de données'!G:G,"&lt;=0",'Base de données'!C:C,"&gt;=01/09",'Base de données'!C:C,"&lt;01/10")</f>
        <v>0</v>
      </c>
      <c r="V66" s="23" t="str">
        <f t="shared" si="26"/>
        <v/>
      </c>
      <c r="W66" s="49"/>
    </row>
    <row r="67" spans="1:23">
      <c r="A67" s="55" t="s">
        <v>50</v>
      </c>
      <c r="B67" s="19">
        <f>COUNTIFS('Base de données'!D:D,A67,'Base de données'!C:C,"&gt;=01/07",'Base de données'!C:C,"&lt;01/08")</f>
        <v>0</v>
      </c>
      <c r="C67" s="16">
        <f>COUNTIFS('Base de données'!D:D,A67,'Base de données'!E:E,"OK",'Base de données'!C:C,"&gt;=01/07",'Base de données'!C:C,"&lt;01/08")+COUNTIFS('Base de données'!D:D,A67,'Base de données'!E:E,"KO - REL",'Base de données'!C:C,"&gt;=01/07",'Base de données'!C:C,"&lt;01/08")</f>
        <v>0</v>
      </c>
      <c r="D67" s="17" t="str">
        <f t="shared" si="18"/>
        <v/>
      </c>
      <c r="E67" s="43">
        <f>COUNTIFS('Base de données'!D:D,A67,'Base de données'!F:F,"OK",'Base de données'!C:C,"&gt;=01/07",'Base de données'!C:C,"&lt;01/08")+COUNTIFS('Base de données'!D:D,A67,'Base de données'!F:F,"KO - REL",'Base de données'!C:C,"&gt;=01/07",'Base de données'!C:C,"&lt;01/08")</f>
        <v>0</v>
      </c>
      <c r="F67" s="17" t="str">
        <f t="shared" si="19"/>
        <v/>
      </c>
      <c r="G67" s="16">
        <f>COUNTIFS('Base de données'!D:D,A67,'Base de données'!G:G,"&lt;=0",'Base de données'!C:C,"&gt;=01/07",'Base de données'!C:C,"&lt;01/08")</f>
        <v>0</v>
      </c>
      <c r="H67" s="35" t="str">
        <f t="shared" si="20"/>
        <v/>
      </c>
      <c r="I67" s="19">
        <f>COUNTIFS('Base de données'!D:D,A67,'Base de données'!C:C,"&gt;=01/08",'Base de données'!C:C,"&lt;01/09")</f>
        <v>0</v>
      </c>
      <c r="J67" s="16">
        <f>COUNTIFS('Base de données'!D:D,A67,'Base de données'!E:E,"OK",'Base de données'!C:C,"&gt;=01/08",'Base de données'!C:C,"&lt;01/09")+COUNTIFS('Base de données'!D:D,A67,'Base de données'!E:E,"KO - REL",'Base de données'!C:C,"&gt;=01/08",'Base de données'!C:C,"&lt;01/09")</f>
        <v>0</v>
      </c>
      <c r="K67" s="17" t="str">
        <f t="shared" si="21"/>
        <v/>
      </c>
      <c r="L67" s="43">
        <f>COUNTIFS('Base de données'!D:D,A67,'Base de données'!F:F,"OK",'Base de données'!C:C,"&gt;=01/08",'Base de données'!C:C,"&lt;01/09")+COUNTIFS('Base de données'!D:D,A67,'Base de données'!F:F,"KO - REL",'Base de données'!C:C,"&gt;=01/08",'Base de données'!C:C,"&lt;01/09")</f>
        <v>0</v>
      </c>
      <c r="M67" s="17" t="str">
        <f t="shared" si="22"/>
        <v/>
      </c>
      <c r="N67" s="16">
        <f>COUNTIFS('Base de données'!D:D,A67,'Base de données'!G:G,"&lt;=0",'Base de données'!C:C,"&gt;=01/08",'Base de données'!C:C,"&lt;01/09")</f>
        <v>0</v>
      </c>
      <c r="O67" s="35" t="str">
        <f t="shared" si="23"/>
        <v/>
      </c>
      <c r="P67" s="19">
        <f>COUNTIFS('Base de données'!D:D,A67,'Base de données'!C:C,"&gt;=01/09",'Base de données'!C:C,"&lt;01/10")</f>
        <v>0</v>
      </c>
      <c r="Q67" s="16">
        <f>COUNTIFS('Base de données'!D:D,A67,'Base de données'!E:E,"OK",'Base de données'!C:C,"&gt;=01/09",'Base de données'!C:C,"&lt;01/10")+COUNTIFS('Base de données'!D:D,A67,'Base de données'!E:E,"KO - REL",'Base de données'!C:C,"&gt;=01/09",'Base de données'!C:C,"&lt;01/10")</f>
        <v>0</v>
      </c>
      <c r="R67" s="17" t="str">
        <f t="shared" si="24"/>
        <v/>
      </c>
      <c r="S67" s="43">
        <f>COUNTIFS('Base de données'!D:D,A67,'Base de données'!F:F,"OK",'Base de données'!C:C,"&gt;=01/09",'Base de données'!C:C,"&lt;01/10")+COUNTIFS('Base de données'!D:D,A67,'Base de données'!F:F,"KO - REL",'Base de données'!C:C,"&gt;=01/09",'Base de données'!C:C,"&lt;01/10")</f>
        <v>0</v>
      </c>
      <c r="T67" s="17" t="str">
        <f t="shared" si="25"/>
        <v/>
      </c>
      <c r="U67" s="16">
        <f>COUNTIFS('Base de données'!D:D,A67,'Base de données'!G:G,"&lt;=0",'Base de données'!C:C,"&gt;=01/09",'Base de données'!C:C,"&lt;01/10")</f>
        <v>0</v>
      </c>
      <c r="V67" s="23" t="str">
        <f t="shared" si="26"/>
        <v/>
      </c>
      <c r="W67" s="49"/>
    </row>
    <row r="68" spans="1:23">
      <c r="A68" s="55" t="s">
        <v>51</v>
      </c>
      <c r="B68" s="19">
        <f>COUNTIFS('Base de données'!D:D,A68,'Base de données'!C:C,"&gt;=01/07",'Base de données'!C:C,"&lt;01/08")</f>
        <v>0</v>
      </c>
      <c r="C68" s="16">
        <f>COUNTIFS('Base de données'!D:D,A68,'Base de données'!E:E,"OK",'Base de données'!C:C,"&gt;=01/07",'Base de données'!C:C,"&lt;01/08")+COUNTIFS('Base de données'!D:D,A68,'Base de données'!E:E,"KO - REL",'Base de données'!C:C,"&gt;=01/07",'Base de données'!C:C,"&lt;01/08")</f>
        <v>0</v>
      </c>
      <c r="D68" s="17" t="str">
        <f t="shared" si="18"/>
        <v/>
      </c>
      <c r="E68" s="43">
        <f>COUNTIFS('Base de données'!D:D,A68,'Base de données'!F:F,"OK",'Base de données'!C:C,"&gt;=01/07",'Base de données'!C:C,"&lt;01/08")+COUNTIFS('Base de données'!D:D,A68,'Base de données'!F:F,"KO - REL",'Base de données'!C:C,"&gt;=01/07",'Base de données'!C:C,"&lt;01/08")</f>
        <v>0</v>
      </c>
      <c r="F68" s="17" t="str">
        <f t="shared" si="19"/>
        <v/>
      </c>
      <c r="G68" s="16">
        <f>COUNTIFS('Base de données'!D:D,A68,'Base de données'!G:G,"&lt;=0",'Base de données'!C:C,"&gt;=01/07",'Base de données'!C:C,"&lt;01/08")</f>
        <v>0</v>
      </c>
      <c r="H68" s="35" t="str">
        <f t="shared" si="20"/>
        <v/>
      </c>
      <c r="I68" s="19">
        <f>COUNTIFS('Base de données'!D:D,A68,'Base de données'!C:C,"&gt;=01/08",'Base de données'!C:C,"&lt;01/09")</f>
        <v>0</v>
      </c>
      <c r="J68" s="16">
        <f>COUNTIFS('Base de données'!D:D,A68,'Base de données'!E:E,"OK",'Base de données'!C:C,"&gt;=01/08",'Base de données'!C:C,"&lt;01/09")+COUNTIFS('Base de données'!D:D,A68,'Base de données'!E:E,"KO - REL",'Base de données'!C:C,"&gt;=01/08",'Base de données'!C:C,"&lt;01/09")</f>
        <v>0</v>
      </c>
      <c r="K68" s="17" t="str">
        <f t="shared" si="21"/>
        <v/>
      </c>
      <c r="L68" s="43">
        <f>COUNTIFS('Base de données'!D:D,A68,'Base de données'!F:F,"OK",'Base de données'!C:C,"&gt;=01/08",'Base de données'!C:C,"&lt;01/09")+COUNTIFS('Base de données'!D:D,A68,'Base de données'!F:F,"KO - REL",'Base de données'!C:C,"&gt;=01/08",'Base de données'!C:C,"&lt;01/09")</f>
        <v>0</v>
      </c>
      <c r="M68" s="17" t="str">
        <f t="shared" si="22"/>
        <v/>
      </c>
      <c r="N68" s="16">
        <f>COUNTIFS('Base de données'!D:D,A68,'Base de données'!G:G,"&lt;=0",'Base de données'!C:C,"&gt;=01/08",'Base de données'!C:C,"&lt;01/09")</f>
        <v>0</v>
      </c>
      <c r="O68" s="35" t="str">
        <f t="shared" si="23"/>
        <v/>
      </c>
      <c r="P68" s="19">
        <f>COUNTIFS('Base de données'!D:D,A68,'Base de données'!C:C,"&gt;=01/09",'Base de données'!C:C,"&lt;01/10")</f>
        <v>0</v>
      </c>
      <c r="Q68" s="16">
        <f>COUNTIFS('Base de données'!D:D,A68,'Base de données'!E:E,"OK",'Base de données'!C:C,"&gt;=01/09",'Base de données'!C:C,"&lt;01/10")+COUNTIFS('Base de données'!D:D,A68,'Base de données'!E:E,"KO - REL",'Base de données'!C:C,"&gt;=01/09",'Base de données'!C:C,"&lt;01/10")</f>
        <v>0</v>
      </c>
      <c r="R68" s="17" t="str">
        <f t="shared" si="24"/>
        <v/>
      </c>
      <c r="S68" s="43">
        <f>COUNTIFS('Base de données'!D:D,A68,'Base de données'!F:F,"OK",'Base de données'!C:C,"&gt;=01/09",'Base de données'!C:C,"&lt;01/10")+COUNTIFS('Base de données'!D:D,A68,'Base de données'!F:F,"KO - REL",'Base de données'!C:C,"&gt;=01/09",'Base de données'!C:C,"&lt;01/10")</f>
        <v>0</v>
      </c>
      <c r="T68" s="17" t="str">
        <f t="shared" si="25"/>
        <v/>
      </c>
      <c r="U68" s="16">
        <f>COUNTIFS('Base de données'!D:D,A68,'Base de données'!G:G,"&lt;=0",'Base de données'!C:C,"&gt;=01/09",'Base de données'!C:C,"&lt;01/10")</f>
        <v>0</v>
      </c>
      <c r="V68" s="23" t="str">
        <f t="shared" si="26"/>
        <v/>
      </c>
      <c r="W68" s="49"/>
    </row>
    <row r="69" spans="1:23">
      <c r="A69" s="55" t="s">
        <v>52</v>
      </c>
      <c r="B69" s="19">
        <f>COUNTIFS('Base de données'!D:D,A69,'Base de données'!C:C,"&gt;=01/07",'Base de données'!C:C,"&lt;01/08")</f>
        <v>0</v>
      </c>
      <c r="C69" s="16">
        <f>COUNTIFS('Base de données'!D:D,A69,'Base de données'!E:E,"OK",'Base de données'!C:C,"&gt;=01/07",'Base de données'!C:C,"&lt;01/08")+COUNTIFS('Base de données'!D:D,A69,'Base de données'!E:E,"KO - REL",'Base de données'!C:C,"&gt;=01/07",'Base de données'!C:C,"&lt;01/08")</f>
        <v>0</v>
      </c>
      <c r="D69" s="17" t="str">
        <f t="shared" si="18"/>
        <v/>
      </c>
      <c r="E69" s="43">
        <f>COUNTIFS('Base de données'!D:D,A69,'Base de données'!F:F,"OK",'Base de données'!C:C,"&gt;=01/07",'Base de données'!C:C,"&lt;01/08")+COUNTIFS('Base de données'!D:D,A69,'Base de données'!F:F,"KO - REL",'Base de données'!C:C,"&gt;=01/07",'Base de données'!C:C,"&lt;01/08")</f>
        <v>0</v>
      </c>
      <c r="F69" s="17" t="str">
        <f t="shared" si="19"/>
        <v/>
      </c>
      <c r="G69" s="16">
        <f>COUNTIFS('Base de données'!D:D,A69,'Base de données'!G:G,"&lt;=0",'Base de données'!C:C,"&gt;=01/07",'Base de données'!C:C,"&lt;01/08")</f>
        <v>0</v>
      </c>
      <c r="H69" s="35" t="str">
        <f t="shared" si="20"/>
        <v/>
      </c>
      <c r="I69" s="19">
        <f>COUNTIFS('Base de données'!D:D,A69,'Base de données'!C:C,"&gt;=01/08",'Base de données'!C:C,"&lt;01/09")</f>
        <v>0</v>
      </c>
      <c r="J69" s="16">
        <f>COUNTIFS('Base de données'!D:D,A69,'Base de données'!E:E,"OK",'Base de données'!C:C,"&gt;=01/08",'Base de données'!C:C,"&lt;01/09")+COUNTIFS('Base de données'!D:D,A69,'Base de données'!E:E,"KO - REL",'Base de données'!C:C,"&gt;=01/08",'Base de données'!C:C,"&lt;01/09")</f>
        <v>0</v>
      </c>
      <c r="K69" s="17" t="str">
        <f t="shared" si="21"/>
        <v/>
      </c>
      <c r="L69" s="43">
        <f>COUNTIFS('Base de données'!D:D,A69,'Base de données'!F:F,"OK",'Base de données'!C:C,"&gt;=01/08",'Base de données'!C:C,"&lt;01/09")+COUNTIFS('Base de données'!D:D,A69,'Base de données'!F:F,"KO - REL",'Base de données'!C:C,"&gt;=01/08",'Base de données'!C:C,"&lt;01/09")</f>
        <v>0</v>
      </c>
      <c r="M69" s="17" t="str">
        <f t="shared" si="22"/>
        <v/>
      </c>
      <c r="N69" s="16">
        <f>COUNTIFS('Base de données'!D:D,A69,'Base de données'!G:G,"&lt;=0",'Base de données'!C:C,"&gt;=01/08",'Base de données'!C:C,"&lt;01/09")</f>
        <v>0</v>
      </c>
      <c r="O69" s="35" t="str">
        <f t="shared" si="23"/>
        <v/>
      </c>
      <c r="P69" s="19">
        <f>COUNTIFS('Base de données'!D:D,A69,'Base de données'!C:C,"&gt;=01/09",'Base de données'!C:C,"&lt;01/10")</f>
        <v>0</v>
      </c>
      <c r="Q69" s="16">
        <f>COUNTIFS('Base de données'!D:D,A69,'Base de données'!E:E,"OK",'Base de données'!C:C,"&gt;=01/09",'Base de données'!C:C,"&lt;01/10")+COUNTIFS('Base de données'!D:D,A69,'Base de données'!E:E,"KO - REL",'Base de données'!C:C,"&gt;=01/09",'Base de données'!C:C,"&lt;01/10")</f>
        <v>0</v>
      </c>
      <c r="R69" s="17" t="str">
        <f t="shared" si="24"/>
        <v/>
      </c>
      <c r="S69" s="43">
        <f>COUNTIFS('Base de données'!D:D,A69,'Base de données'!F:F,"OK",'Base de données'!C:C,"&gt;=01/09",'Base de données'!C:C,"&lt;01/10")+COUNTIFS('Base de données'!D:D,A69,'Base de données'!F:F,"KO - REL",'Base de données'!C:C,"&gt;=01/09",'Base de données'!C:C,"&lt;01/10")</f>
        <v>0</v>
      </c>
      <c r="T69" s="17" t="str">
        <f t="shared" si="25"/>
        <v/>
      </c>
      <c r="U69" s="16">
        <f>COUNTIFS('Base de données'!D:D,A69,'Base de données'!G:G,"&lt;=0",'Base de données'!C:C,"&gt;=01/09",'Base de données'!C:C,"&lt;01/10")</f>
        <v>0</v>
      </c>
      <c r="V69" s="23" t="str">
        <f t="shared" si="26"/>
        <v/>
      </c>
      <c r="W69" s="49"/>
    </row>
    <row r="70" spans="1:23">
      <c r="A70" s="55" t="s">
        <v>53</v>
      </c>
      <c r="B70" s="19">
        <f>COUNTIFS('Base de données'!D:D,A70,'Base de données'!C:C,"&gt;=01/07",'Base de données'!C:C,"&lt;01/08")</f>
        <v>0</v>
      </c>
      <c r="C70" s="16">
        <f>COUNTIFS('Base de données'!D:D,A70,'Base de données'!E:E,"OK",'Base de données'!C:C,"&gt;=01/07",'Base de données'!C:C,"&lt;01/08")+COUNTIFS('Base de données'!D:D,A70,'Base de données'!E:E,"KO - REL",'Base de données'!C:C,"&gt;=01/07",'Base de données'!C:C,"&lt;01/08")</f>
        <v>0</v>
      </c>
      <c r="D70" s="17" t="str">
        <f t="shared" si="18"/>
        <v/>
      </c>
      <c r="E70" s="43">
        <f>COUNTIFS('Base de données'!D:D,A70,'Base de données'!F:F,"OK",'Base de données'!C:C,"&gt;=01/07",'Base de données'!C:C,"&lt;01/08")+COUNTIFS('Base de données'!D:D,A70,'Base de données'!F:F,"KO - REL",'Base de données'!C:C,"&gt;=01/07",'Base de données'!C:C,"&lt;01/08")</f>
        <v>0</v>
      </c>
      <c r="F70" s="17" t="str">
        <f t="shared" si="19"/>
        <v/>
      </c>
      <c r="G70" s="16">
        <f>COUNTIFS('Base de données'!D:D,A70,'Base de données'!G:G,"&lt;=0",'Base de données'!C:C,"&gt;=01/07",'Base de données'!C:C,"&lt;01/08")</f>
        <v>0</v>
      </c>
      <c r="H70" s="35" t="str">
        <f t="shared" si="20"/>
        <v/>
      </c>
      <c r="I70" s="19">
        <f>COUNTIFS('Base de données'!D:D,A70,'Base de données'!C:C,"&gt;=01/08",'Base de données'!C:C,"&lt;01/09")</f>
        <v>0</v>
      </c>
      <c r="J70" s="16">
        <f>COUNTIFS('Base de données'!D:D,A70,'Base de données'!E:E,"OK",'Base de données'!C:C,"&gt;=01/08",'Base de données'!C:C,"&lt;01/09")+COUNTIFS('Base de données'!D:D,A70,'Base de données'!E:E,"KO - REL",'Base de données'!C:C,"&gt;=01/08",'Base de données'!C:C,"&lt;01/09")</f>
        <v>0</v>
      </c>
      <c r="K70" s="17" t="str">
        <f t="shared" si="21"/>
        <v/>
      </c>
      <c r="L70" s="43">
        <f>COUNTIFS('Base de données'!D:D,A70,'Base de données'!F:F,"OK",'Base de données'!C:C,"&gt;=01/08",'Base de données'!C:C,"&lt;01/09")+COUNTIFS('Base de données'!D:D,A70,'Base de données'!F:F,"KO - REL",'Base de données'!C:C,"&gt;=01/08",'Base de données'!C:C,"&lt;01/09")</f>
        <v>0</v>
      </c>
      <c r="M70" s="17" t="str">
        <f t="shared" si="22"/>
        <v/>
      </c>
      <c r="N70" s="16">
        <f>COUNTIFS('Base de données'!D:D,A70,'Base de données'!G:G,"&lt;=0",'Base de données'!C:C,"&gt;=01/08",'Base de données'!C:C,"&lt;01/09")</f>
        <v>0</v>
      </c>
      <c r="O70" s="35" t="str">
        <f t="shared" si="23"/>
        <v/>
      </c>
      <c r="P70" s="19">
        <f>COUNTIFS('Base de données'!D:D,A70,'Base de données'!C:C,"&gt;=01/09",'Base de données'!C:C,"&lt;01/10")</f>
        <v>0</v>
      </c>
      <c r="Q70" s="16">
        <f>COUNTIFS('Base de données'!D:D,A70,'Base de données'!E:E,"OK",'Base de données'!C:C,"&gt;=01/09",'Base de données'!C:C,"&lt;01/10")+COUNTIFS('Base de données'!D:D,A70,'Base de données'!E:E,"KO - REL",'Base de données'!C:C,"&gt;=01/09",'Base de données'!C:C,"&lt;01/10")</f>
        <v>0</v>
      </c>
      <c r="R70" s="17" t="str">
        <f t="shared" si="24"/>
        <v/>
      </c>
      <c r="S70" s="43">
        <f>COUNTIFS('Base de données'!D:D,A70,'Base de données'!F:F,"OK",'Base de données'!C:C,"&gt;=01/09",'Base de données'!C:C,"&lt;01/10")+COUNTIFS('Base de données'!D:D,A70,'Base de données'!F:F,"KO - REL",'Base de données'!C:C,"&gt;=01/09",'Base de données'!C:C,"&lt;01/10")</f>
        <v>0</v>
      </c>
      <c r="T70" s="17" t="str">
        <f t="shared" si="25"/>
        <v/>
      </c>
      <c r="U70" s="16">
        <f>COUNTIFS('Base de données'!D:D,A70,'Base de données'!G:G,"&lt;=0",'Base de données'!C:C,"&gt;=01/09",'Base de données'!C:C,"&lt;01/10")</f>
        <v>0</v>
      </c>
      <c r="V70" s="23" t="str">
        <f t="shared" si="26"/>
        <v/>
      </c>
      <c r="W70" s="49"/>
    </row>
    <row r="71" spans="1:23">
      <c r="A71" s="55" t="s">
        <v>54</v>
      </c>
      <c r="B71" s="19">
        <f>COUNTIFS('Base de données'!D:D,A71,'Base de données'!C:C,"&gt;=01/07",'Base de données'!C:C,"&lt;01/08")</f>
        <v>0</v>
      </c>
      <c r="C71" s="16">
        <f>COUNTIFS('Base de données'!D:D,A71,'Base de données'!E:E,"OK",'Base de données'!C:C,"&gt;=01/07",'Base de données'!C:C,"&lt;01/08")+COUNTIFS('Base de données'!D:D,A71,'Base de données'!E:E,"KO - REL",'Base de données'!C:C,"&gt;=01/07",'Base de données'!C:C,"&lt;01/08")</f>
        <v>0</v>
      </c>
      <c r="D71" s="17" t="str">
        <f t="shared" si="18"/>
        <v/>
      </c>
      <c r="E71" s="43">
        <f>COUNTIFS('Base de données'!D:D,A71,'Base de données'!F:F,"OK",'Base de données'!C:C,"&gt;=01/07",'Base de données'!C:C,"&lt;01/08")+COUNTIFS('Base de données'!D:D,A71,'Base de données'!F:F,"KO - REL",'Base de données'!C:C,"&gt;=01/07",'Base de données'!C:C,"&lt;01/08")</f>
        <v>0</v>
      </c>
      <c r="F71" s="17" t="str">
        <f t="shared" si="19"/>
        <v/>
      </c>
      <c r="G71" s="16">
        <f>COUNTIFS('Base de données'!D:D,A71,'Base de données'!G:G,"&lt;=0",'Base de données'!C:C,"&gt;=01/07",'Base de données'!C:C,"&lt;01/08")</f>
        <v>0</v>
      </c>
      <c r="H71" s="35" t="str">
        <f t="shared" si="20"/>
        <v/>
      </c>
      <c r="I71" s="19">
        <f>COUNTIFS('Base de données'!D:D,A71,'Base de données'!C:C,"&gt;=01/08",'Base de données'!C:C,"&lt;01/09")</f>
        <v>0</v>
      </c>
      <c r="J71" s="16">
        <f>COUNTIFS('Base de données'!D:D,A71,'Base de données'!E:E,"OK",'Base de données'!C:C,"&gt;=01/08",'Base de données'!C:C,"&lt;01/09")+COUNTIFS('Base de données'!D:D,A71,'Base de données'!E:E,"KO - REL",'Base de données'!C:C,"&gt;=01/08",'Base de données'!C:C,"&lt;01/09")</f>
        <v>0</v>
      </c>
      <c r="K71" s="17" t="str">
        <f t="shared" si="21"/>
        <v/>
      </c>
      <c r="L71" s="43">
        <f>COUNTIFS('Base de données'!D:D,A71,'Base de données'!F:F,"OK",'Base de données'!C:C,"&gt;=01/08",'Base de données'!C:C,"&lt;01/09")+COUNTIFS('Base de données'!D:D,A71,'Base de données'!F:F,"KO - REL",'Base de données'!C:C,"&gt;=01/08",'Base de données'!C:C,"&lt;01/09")</f>
        <v>0</v>
      </c>
      <c r="M71" s="17" t="str">
        <f t="shared" si="22"/>
        <v/>
      </c>
      <c r="N71" s="16">
        <f>COUNTIFS('Base de données'!D:D,A71,'Base de données'!G:G,"&lt;=0",'Base de données'!C:C,"&gt;=01/08",'Base de données'!C:C,"&lt;01/09")</f>
        <v>0</v>
      </c>
      <c r="O71" s="35" t="str">
        <f t="shared" si="23"/>
        <v/>
      </c>
      <c r="P71" s="19">
        <f>COUNTIFS('Base de données'!D:D,A71,'Base de données'!C:C,"&gt;=01/09",'Base de données'!C:C,"&lt;01/10")</f>
        <v>0</v>
      </c>
      <c r="Q71" s="16">
        <f>COUNTIFS('Base de données'!D:D,A71,'Base de données'!E:E,"OK",'Base de données'!C:C,"&gt;=01/09",'Base de données'!C:C,"&lt;01/10")+COUNTIFS('Base de données'!D:D,A71,'Base de données'!E:E,"KO - REL",'Base de données'!C:C,"&gt;=01/09",'Base de données'!C:C,"&lt;01/10")</f>
        <v>0</v>
      </c>
      <c r="R71" s="17" t="str">
        <f t="shared" si="24"/>
        <v/>
      </c>
      <c r="S71" s="43">
        <f>COUNTIFS('Base de données'!D:D,A71,'Base de données'!F:F,"OK",'Base de données'!C:C,"&gt;=01/09",'Base de données'!C:C,"&lt;01/10")+COUNTIFS('Base de données'!D:D,A71,'Base de données'!F:F,"KO - REL",'Base de données'!C:C,"&gt;=01/09",'Base de données'!C:C,"&lt;01/10")</f>
        <v>0</v>
      </c>
      <c r="T71" s="17" t="str">
        <f t="shared" si="25"/>
        <v/>
      </c>
      <c r="U71" s="16">
        <f>COUNTIFS('Base de données'!D:D,A71,'Base de données'!G:G,"&lt;=0",'Base de données'!C:C,"&gt;=01/09",'Base de données'!C:C,"&lt;01/10")</f>
        <v>0</v>
      </c>
      <c r="V71" s="23" t="str">
        <f t="shared" si="26"/>
        <v/>
      </c>
      <c r="W71" s="49"/>
    </row>
    <row r="72" spans="1:23">
      <c r="A72" s="55" t="s">
        <v>55</v>
      </c>
      <c r="B72" s="19">
        <f>COUNTIFS('Base de données'!D:D,A72,'Base de données'!C:C,"&gt;=01/07",'Base de données'!C:C,"&lt;01/08")</f>
        <v>0</v>
      </c>
      <c r="C72" s="16">
        <f>COUNTIFS('Base de données'!D:D,A72,'Base de données'!E:E,"OK",'Base de données'!C:C,"&gt;=01/07",'Base de données'!C:C,"&lt;01/08")+COUNTIFS('Base de données'!D:D,A72,'Base de données'!E:E,"KO - REL",'Base de données'!C:C,"&gt;=01/07",'Base de données'!C:C,"&lt;01/08")</f>
        <v>0</v>
      </c>
      <c r="D72" s="17" t="str">
        <f t="shared" si="18"/>
        <v/>
      </c>
      <c r="E72" s="43">
        <f>COUNTIFS('Base de données'!D:D,A72,'Base de données'!F:F,"OK",'Base de données'!C:C,"&gt;=01/07",'Base de données'!C:C,"&lt;01/08")+COUNTIFS('Base de données'!D:D,A72,'Base de données'!F:F,"KO - REL",'Base de données'!C:C,"&gt;=01/07",'Base de données'!C:C,"&lt;01/08")</f>
        <v>0</v>
      </c>
      <c r="F72" s="17" t="str">
        <f t="shared" si="19"/>
        <v/>
      </c>
      <c r="G72" s="16">
        <f>COUNTIFS('Base de données'!D:D,A72,'Base de données'!G:G,"&lt;=0",'Base de données'!C:C,"&gt;=01/07",'Base de données'!C:C,"&lt;01/08")</f>
        <v>0</v>
      </c>
      <c r="H72" s="35" t="str">
        <f t="shared" si="20"/>
        <v/>
      </c>
      <c r="I72" s="19">
        <f>COUNTIFS('Base de données'!D:D,A72,'Base de données'!C:C,"&gt;=01/08",'Base de données'!C:C,"&lt;01/09")</f>
        <v>0</v>
      </c>
      <c r="J72" s="16">
        <f>COUNTIFS('Base de données'!D:D,A72,'Base de données'!E:E,"OK",'Base de données'!C:C,"&gt;=01/08",'Base de données'!C:C,"&lt;01/09")+COUNTIFS('Base de données'!D:D,A72,'Base de données'!E:E,"KO - REL",'Base de données'!C:C,"&gt;=01/08",'Base de données'!C:C,"&lt;01/09")</f>
        <v>0</v>
      </c>
      <c r="K72" s="17" t="str">
        <f t="shared" si="21"/>
        <v/>
      </c>
      <c r="L72" s="43">
        <f>COUNTIFS('Base de données'!D:D,A72,'Base de données'!F:F,"OK",'Base de données'!C:C,"&gt;=01/08",'Base de données'!C:C,"&lt;01/09")+COUNTIFS('Base de données'!D:D,A72,'Base de données'!F:F,"KO - REL",'Base de données'!C:C,"&gt;=01/08",'Base de données'!C:C,"&lt;01/09")</f>
        <v>0</v>
      </c>
      <c r="M72" s="17" t="str">
        <f t="shared" si="22"/>
        <v/>
      </c>
      <c r="N72" s="16">
        <f>COUNTIFS('Base de données'!D:D,A72,'Base de données'!G:G,"&lt;=0",'Base de données'!C:C,"&gt;=01/08",'Base de données'!C:C,"&lt;01/09")</f>
        <v>0</v>
      </c>
      <c r="O72" s="35" t="str">
        <f t="shared" si="23"/>
        <v/>
      </c>
      <c r="P72" s="19">
        <f>COUNTIFS('Base de données'!D:D,A72,'Base de données'!C:C,"&gt;=01/09",'Base de données'!C:C,"&lt;01/10")</f>
        <v>0</v>
      </c>
      <c r="Q72" s="16">
        <f>COUNTIFS('Base de données'!D:D,A72,'Base de données'!E:E,"OK",'Base de données'!C:C,"&gt;=01/09",'Base de données'!C:C,"&lt;01/10")+COUNTIFS('Base de données'!D:D,A72,'Base de données'!E:E,"KO - REL",'Base de données'!C:C,"&gt;=01/09",'Base de données'!C:C,"&lt;01/10")</f>
        <v>0</v>
      </c>
      <c r="R72" s="17" t="str">
        <f t="shared" si="24"/>
        <v/>
      </c>
      <c r="S72" s="43">
        <f>COUNTIFS('Base de données'!D:D,A72,'Base de données'!F:F,"OK",'Base de données'!C:C,"&gt;=01/09",'Base de données'!C:C,"&lt;01/10")+COUNTIFS('Base de données'!D:D,A72,'Base de données'!F:F,"KO - REL",'Base de données'!C:C,"&gt;=01/09",'Base de données'!C:C,"&lt;01/10")</f>
        <v>0</v>
      </c>
      <c r="T72" s="17" t="str">
        <f t="shared" si="25"/>
        <v/>
      </c>
      <c r="U72" s="16">
        <f>COUNTIFS('Base de données'!D:D,A72,'Base de données'!G:G,"&lt;=0",'Base de données'!C:C,"&gt;=01/09",'Base de données'!C:C,"&lt;01/10")</f>
        <v>0</v>
      </c>
      <c r="V72" s="23" t="str">
        <f t="shared" si="26"/>
        <v/>
      </c>
      <c r="W72" s="49"/>
    </row>
    <row r="73" spans="1:23">
      <c r="A73" s="55" t="s">
        <v>56</v>
      </c>
      <c r="B73" s="19">
        <f>COUNTIFS('Base de données'!D:D,A73,'Base de données'!C:C,"&gt;=01/07",'Base de données'!C:C,"&lt;01/08")</f>
        <v>0</v>
      </c>
      <c r="C73" s="16">
        <f>COUNTIFS('Base de données'!D:D,A73,'Base de données'!E:E,"OK",'Base de données'!C:C,"&gt;=01/07",'Base de données'!C:C,"&lt;01/08")+COUNTIFS('Base de données'!D:D,A73,'Base de données'!E:E,"KO - REL",'Base de données'!C:C,"&gt;=01/07",'Base de données'!C:C,"&lt;01/08")</f>
        <v>0</v>
      </c>
      <c r="D73" s="17" t="str">
        <f t="shared" si="18"/>
        <v/>
      </c>
      <c r="E73" s="43">
        <f>COUNTIFS('Base de données'!D:D,A73,'Base de données'!F:F,"OK",'Base de données'!C:C,"&gt;=01/07",'Base de données'!C:C,"&lt;01/08")+COUNTIFS('Base de données'!D:D,A73,'Base de données'!F:F,"KO - REL",'Base de données'!C:C,"&gt;=01/07",'Base de données'!C:C,"&lt;01/08")</f>
        <v>0</v>
      </c>
      <c r="F73" s="17" t="str">
        <f t="shared" si="19"/>
        <v/>
      </c>
      <c r="G73" s="16">
        <f>COUNTIFS('Base de données'!D:D,A73,'Base de données'!G:G,"&lt;=0",'Base de données'!C:C,"&gt;=01/07",'Base de données'!C:C,"&lt;01/08")</f>
        <v>0</v>
      </c>
      <c r="H73" s="35" t="str">
        <f t="shared" si="20"/>
        <v/>
      </c>
      <c r="I73" s="19">
        <f>COUNTIFS('Base de données'!D:D,A73,'Base de données'!C:C,"&gt;=01/08",'Base de données'!C:C,"&lt;01/09")</f>
        <v>0</v>
      </c>
      <c r="J73" s="16">
        <f>COUNTIFS('Base de données'!D:D,A73,'Base de données'!E:E,"OK",'Base de données'!C:C,"&gt;=01/08",'Base de données'!C:C,"&lt;01/09")+COUNTIFS('Base de données'!D:D,A73,'Base de données'!E:E,"KO - REL",'Base de données'!C:C,"&gt;=01/08",'Base de données'!C:C,"&lt;01/09")</f>
        <v>0</v>
      </c>
      <c r="K73" s="17" t="str">
        <f t="shared" si="21"/>
        <v/>
      </c>
      <c r="L73" s="43">
        <f>COUNTIFS('Base de données'!D:D,A73,'Base de données'!F:F,"OK",'Base de données'!C:C,"&gt;=01/08",'Base de données'!C:C,"&lt;01/09")+COUNTIFS('Base de données'!D:D,A73,'Base de données'!F:F,"KO - REL",'Base de données'!C:C,"&gt;=01/08",'Base de données'!C:C,"&lt;01/09")</f>
        <v>0</v>
      </c>
      <c r="M73" s="17" t="str">
        <f t="shared" si="22"/>
        <v/>
      </c>
      <c r="N73" s="16">
        <f>COUNTIFS('Base de données'!D:D,A73,'Base de données'!G:G,"&lt;=0",'Base de données'!C:C,"&gt;=01/08",'Base de données'!C:C,"&lt;01/09")</f>
        <v>0</v>
      </c>
      <c r="O73" s="35" t="str">
        <f t="shared" si="23"/>
        <v/>
      </c>
      <c r="P73" s="19">
        <f>COUNTIFS('Base de données'!D:D,A73,'Base de données'!C:C,"&gt;=01/09",'Base de données'!C:C,"&lt;01/10")</f>
        <v>0</v>
      </c>
      <c r="Q73" s="16">
        <f>COUNTIFS('Base de données'!D:D,A73,'Base de données'!E:E,"OK",'Base de données'!C:C,"&gt;=01/09",'Base de données'!C:C,"&lt;01/10")+COUNTIFS('Base de données'!D:D,A73,'Base de données'!E:E,"KO - REL",'Base de données'!C:C,"&gt;=01/09",'Base de données'!C:C,"&lt;01/10")</f>
        <v>0</v>
      </c>
      <c r="R73" s="17" t="str">
        <f t="shared" si="24"/>
        <v/>
      </c>
      <c r="S73" s="43">
        <f>COUNTIFS('Base de données'!D:D,A73,'Base de données'!F:F,"OK",'Base de données'!C:C,"&gt;=01/09",'Base de données'!C:C,"&lt;01/10")+COUNTIFS('Base de données'!D:D,A73,'Base de données'!F:F,"KO - REL",'Base de données'!C:C,"&gt;=01/09",'Base de données'!C:C,"&lt;01/10")</f>
        <v>0</v>
      </c>
      <c r="T73" s="17" t="str">
        <f t="shared" si="25"/>
        <v/>
      </c>
      <c r="U73" s="16">
        <f>COUNTIFS('Base de données'!D:D,A73,'Base de données'!G:G,"&lt;=0",'Base de données'!C:C,"&gt;=01/09",'Base de données'!C:C,"&lt;01/10")</f>
        <v>0</v>
      </c>
      <c r="V73" s="23" t="str">
        <f t="shared" si="26"/>
        <v/>
      </c>
      <c r="W73" s="49"/>
    </row>
    <row r="74" spans="1:23">
      <c r="A74" s="55" t="s">
        <v>57</v>
      </c>
      <c r="B74" s="19">
        <f>COUNTIFS('Base de données'!D:D,A74,'Base de données'!C:C,"&gt;=01/07",'Base de données'!C:C,"&lt;01/08")</f>
        <v>0</v>
      </c>
      <c r="C74" s="16">
        <f>COUNTIFS('Base de données'!D:D,A74,'Base de données'!E:E,"OK",'Base de données'!C:C,"&gt;=01/07",'Base de données'!C:C,"&lt;01/08")+COUNTIFS('Base de données'!D:D,A74,'Base de données'!E:E,"KO - REL",'Base de données'!C:C,"&gt;=01/07",'Base de données'!C:C,"&lt;01/08")</f>
        <v>0</v>
      </c>
      <c r="D74" s="17" t="str">
        <f t="shared" si="18"/>
        <v/>
      </c>
      <c r="E74" s="43">
        <f>COUNTIFS('Base de données'!D:D,A74,'Base de données'!F:F,"OK",'Base de données'!C:C,"&gt;=01/07",'Base de données'!C:C,"&lt;01/08")+COUNTIFS('Base de données'!D:D,A74,'Base de données'!F:F,"KO - REL",'Base de données'!C:C,"&gt;=01/07",'Base de données'!C:C,"&lt;01/08")</f>
        <v>0</v>
      </c>
      <c r="F74" s="17" t="str">
        <f t="shared" si="19"/>
        <v/>
      </c>
      <c r="G74" s="16">
        <f>COUNTIFS('Base de données'!D:D,A74,'Base de données'!G:G,"&lt;=0",'Base de données'!C:C,"&gt;=01/07",'Base de données'!C:C,"&lt;01/08")</f>
        <v>0</v>
      </c>
      <c r="H74" s="35" t="str">
        <f t="shared" si="20"/>
        <v/>
      </c>
      <c r="I74" s="19">
        <f>COUNTIFS('Base de données'!D:D,A74,'Base de données'!C:C,"&gt;=01/08",'Base de données'!C:C,"&lt;01/09")</f>
        <v>0</v>
      </c>
      <c r="J74" s="16">
        <f>COUNTIFS('Base de données'!D:D,A74,'Base de données'!E:E,"OK",'Base de données'!C:C,"&gt;=01/08",'Base de données'!C:C,"&lt;01/09")+COUNTIFS('Base de données'!D:D,A74,'Base de données'!E:E,"KO - REL",'Base de données'!C:C,"&gt;=01/08",'Base de données'!C:C,"&lt;01/09")</f>
        <v>0</v>
      </c>
      <c r="K74" s="17" t="str">
        <f t="shared" si="21"/>
        <v/>
      </c>
      <c r="L74" s="43">
        <f>COUNTIFS('Base de données'!D:D,A74,'Base de données'!F:F,"OK",'Base de données'!C:C,"&gt;=01/08",'Base de données'!C:C,"&lt;01/09")+COUNTIFS('Base de données'!D:D,A74,'Base de données'!F:F,"KO - REL",'Base de données'!C:C,"&gt;=01/08",'Base de données'!C:C,"&lt;01/09")</f>
        <v>0</v>
      </c>
      <c r="M74" s="17" t="str">
        <f t="shared" si="22"/>
        <v/>
      </c>
      <c r="N74" s="16">
        <f>COUNTIFS('Base de données'!D:D,A74,'Base de données'!G:G,"&lt;=0",'Base de données'!C:C,"&gt;=01/08",'Base de données'!C:C,"&lt;01/09")</f>
        <v>0</v>
      </c>
      <c r="O74" s="35" t="str">
        <f t="shared" si="23"/>
        <v/>
      </c>
      <c r="P74" s="19">
        <f>COUNTIFS('Base de données'!D:D,A74,'Base de données'!C:C,"&gt;=01/09",'Base de données'!C:C,"&lt;01/10")</f>
        <v>0</v>
      </c>
      <c r="Q74" s="16">
        <f>COUNTIFS('Base de données'!D:D,A74,'Base de données'!E:E,"OK",'Base de données'!C:C,"&gt;=01/09",'Base de données'!C:C,"&lt;01/10")+COUNTIFS('Base de données'!D:D,A74,'Base de données'!E:E,"KO - REL",'Base de données'!C:C,"&gt;=01/09",'Base de données'!C:C,"&lt;01/10")</f>
        <v>0</v>
      </c>
      <c r="R74" s="17" t="str">
        <f t="shared" si="24"/>
        <v/>
      </c>
      <c r="S74" s="43">
        <f>COUNTIFS('Base de données'!D:D,A74,'Base de données'!F:F,"OK",'Base de données'!C:C,"&gt;=01/09",'Base de données'!C:C,"&lt;01/10")+COUNTIFS('Base de données'!D:D,A74,'Base de données'!F:F,"KO - REL",'Base de données'!C:C,"&gt;=01/09",'Base de données'!C:C,"&lt;01/10")</f>
        <v>0</v>
      </c>
      <c r="T74" s="17" t="str">
        <f t="shared" si="25"/>
        <v/>
      </c>
      <c r="U74" s="16">
        <f>COUNTIFS('Base de données'!D:D,A74,'Base de données'!G:G,"&lt;=0",'Base de données'!C:C,"&gt;=01/09",'Base de données'!C:C,"&lt;01/10")</f>
        <v>0</v>
      </c>
      <c r="V74" s="23" t="str">
        <f t="shared" si="26"/>
        <v/>
      </c>
      <c r="W74" s="49"/>
    </row>
    <row r="75" spans="1:23">
      <c r="A75" s="56" t="s">
        <v>58</v>
      </c>
      <c r="B75" s="19">
        <f>COUNTIFS('Base de données'!D:D,A75,'Base de données'!C:C,"&gt;=01/07",'Base de données'!C:C,"&lt;01/08")</f>
        <v>0</v>
      </c>
      <c r="C75" s="16">
        <f>COUNTIFS('Base de données'!D:D,A75,'Base de données'!E:E,"OK",'Base de données'!C:C,"&gt;=01/07",'Base de données'!C:C,"&lt;01/08")+COUNTIFS('Base de données'!D:D,A75,'Base de données'!E:E,"KO - REL",'Base de données'!C:C,"&gt;=01/07",'Base de données'!C:C,"&lt;01/08")</f>
        <v>0</v>
      </c>
      <c r="D75" s="17" t="str">
        <f t="shared" si="18"/>
        <v/>
      </c>
      <c r="E75" s="43">
        <f>COUNTIFS('Base de données'!D:D,A75,'Base de données'!F:F,"OK",'Base de données'!C:C,"&gt;=01/07",'Base de données'!C:C,"&lt;01/08")+COUNTIFS('Base de données'!D:D,A75,'Base de données'!F:F,"KO - REL",'Base de données'!C:C,"&gt;=01/07",'Base de données'!C:C,"&lt;01/08")</f>
        <v>0</v>
      </c>
      <c r="F75" s="17" t="str">
        <f t="shared" si="19"/>
        <v/>
      </c>
      <c r="G75" s="16">
        <f>COUNTIFS('Base de données'!D:D,A75,'Base de données'!G:G,"&lt;=0",'Base de données'!C:C,"&gt;=01/07",'Base de données'!C:C,"&lt;01/08")</f>
        <v>0</v>
      </c>
      <c r="H75" s="35" t="str">
        <f t="shared" si="20"/>
        <v/>
      </c>
      <c r="I75" s="19">
        <f>COUNTIFS('Base de données'!D:D,A75,'Base de données'!C:C,"&gt;=01/08",'Base de données'!C:C,"&lt;01/09")</f>
        <v>0</v>
      </c>
      <c r="J75" s="16">
        <f>COUNTIFS('Base de données'!D:D,A75,'Base de données'!E:E,"OK",'Base de données'!C:C,"&gt;=01/08",'Base de données'!C:C,"&lt;01/09")+COUNTIFS('Base de données'!D:D,A75,'Base de données'!E:E,"KO - REL",'Base de données'!C:C,"&gt;=01/08",'Base de données'!C:C,"&lt;01/09")</f>
        <v>0</v>
      </c>
      <c r="K75" s="17" t="str">
        <f t="shared" si="21"/>
        <v/>
      </c>
      <c r="L75" s="43">
        <f>COUNTIFS('Base de données'!D:D,A75,'Base de données'!F:F,"OK",'Base de données'!C:C,"&gt;=01/08",'Base de données'!C:C,"&lt;01/09")+COUNTIFS('Base de données'!D:D,A75,'Base de données'!F:F,"KO - REL",'Base de données'!C:C,"&gt;=01/08",'Base de données'!C:C,"&lt;01/09")</f>
        <v>0</v>
      </c>
      <c r="M75" s="17" t="str">
        <f t="shared" si="22"/>
        <v/>
      </c>
      <c r="N75" s="16">
        <f>COUNTIFS('Base de données'!D:D,A75,'Base de données'!G:G,"&lt;=0",'Base de données'!C:C,"&gt;=01/08",'Base de données'!C:C,"&lt;01/09")</f>
        <v>0</v>
      </c>
      <c r="O75" s="35" t="str">
        <f t="shared" si="23"/>
        <v/>
      </c>
      <c r="P75" s="19">
        <f>COUNTIFS('Base de données'!D:D,A75,'Base de données'!C:C,"&gt;=01/09",'Base de données'!C:C,"&lt;01/10")</f>
        <v>0</v>
      </c>
      <c r="Q75" s="16">
        <f>COUNTIFS('Base de données'!D:D,A75,'Base de données'!E:E,"OK",'Base de données'!C:C,"&gt;=01/09",'Base de données'!C:C,"&lt;01/10")+COUNTIFS('Base de données'!D:D,A75,'Base de données'!E:E,"KO - REL",'Base de données'!C:C,"&gt;=01/09",'Base de données'!C:C,"&lt;01/10")</f>
        <v>0</v>
      </c>
      <c r="R75" s="17" t="str">
        <f t="shared" si="24"/>
        <v/>
      </c>
      <c r="S75" s="43">
        <f>COUNTIFS('Base de données'!D:D,A75,'Base de données'!F:F,"OK",'Base de données'!C:C,"&gt;=01/09",'Base de données'!C:C,"&lt;01/10")+COUNTIFS('Base de données'!D:D,A75,'Base de données'!F:F,"KO - REL",'Base de données'!C:C,"&gt;=01/09",'Base de données'!C:C,"&lt;01/10")</f>
        <v>0</v>
      </c>
      <c r="T75" s="17" t="str">
        <f t="shared" si="25"/>
        <v/>
      </c>
      <c r="U75" s="16">
        <f>COUNTIFS('Base de données'!D:D,A75,'Base de données'!G:G,"&lt;=0",'Base de données'!C:C,"&gt;=01/09",'Base de données'!C:C,"&lt;01/10")</f>
        <v>0</v>
      </c>
      <c r="V75" s="23" t="str">
        <f t="shared" si="26"/>
        <v/>
      </c>
      <c r="W75" s="49"/>
    </row>
    <row r="76" spans="1:23">
      <c r="A76" s="55" t="s">
        <v>59</v>
      </c>
      <c r="B76" s="19">
        <f>COUNTIFS('Base de données'!D:D,A76,'Base de données'!C:C,"&gt;=01/07",'Base de données'!C:C,"&lt;01/08")</f>
        <v>0</v>
      </c>
      <c r="C76" s="16">
        <f>COUNTIFS('Base de données'!D:D,A76,'Base de données'!E:E,"OK",'Base de données'!C:C,"&gt;=01/07",'Base de données'!C:C,"&lt;01/08")+COUNTIFS('Base de données'!D:D,A76,'Base de données'!E:E,"KO - REL",'Base de données'!C:C,"&gt;=01/07",'Base de données'!C:C,"&lt;01/08")</f>
        <v>0</v>
      </c>
      <c r="D76" s="17" t="str">
        <f t="shared" si="18"/>
        <v/>
      </c>
      <c r="E76" s="43">
        <f>COUNTIFS('Base de données'!D:D,A76,'Base de données'!F:F,"OK",'Base de données'!C:C,"&gt;=01/07",'Base de données'!C:C,"&lt;01/08")+COUNTIFS('Base de données'!D:D,A76,'Base de données'!F:F,"KO - REL",'Base de données'!C:C,"&gt;=01/07",'Base de données'!C:C,"&lt;01/08")</f>
        <v>0</v>
      </c>
      <c r="F76" s="17" t="str">
        <f t="shared" si="19"/>
        <v/>
      </c>
      <c r="G76" s="16">
        <f>COUNTIFS('Base de données'!D:D,A76,'Base de données'!G:G,"&lt;=0",'Base de données'!C:C,"&gt;=01/07",'Base de données'!C:C,"&lt;01/08")</f>
        <v>0</v>
      </c>
      <c r="H76" s="35" t="str">
        <f t="shared" si="20"/>
        <v/>
      </c>
      <c r="I76" s="19">
        <f>COUNTIFS('Base de données'!D:D,A76,'Base de données'!C:C,"&gt;=01/08",'Base de données'!C:C,"&lt;01/09")</f>
        <v>0</v>
      </c>
      <c r="J76" s="16">
        <f>COUNTIFS('Base de données'!D:D,A76,'Base de données'!E:E,"OK",'Base de données'!C:C,"&gt;=01/08",'Base de données'!C:C,"&lt;01/09")+COUNTIFS('Base de données'!D:D,A76,'Base de données'!E:E,"KO - REL",'Base de données'!C:C,"&gt;=01/08",'Base de données'!C:C,"&lt;01/09")</f>
        <v>0</v>
      </c>
      <c r="K76" s="17" t="str">
        <f t="shared" si="21"/>
        <v/>
      </c>
      <c r="L76" s="43">
        <f>COUNTIFS('Base de données'!D:D,A76,'Base de données'!F:F,"OK",'Base de données'!C:C,"&gt;=01/08",'Base de données'!C:C,"&lt;01/09")+COUNTIFS('Base de données'!D:D,A76,'Base de données'!F:F,"KO - REL",'Base de données'!C:C,"&gt;=01/08",'Base de données'!C:C,"&lt;01/09")</f>
        <v>0</v>
      </c>
      <c r="M76" s="17" t="str">
        <f t="shared" si="22"/>
        <v/>
      </c>
      <c r="N76" s="16">
        <f>COUNTIFS('Base de données'!D:D,A76,'Base de données'!G:G,"&lt;=0",'Base de données'!C:C,"&gt;=01/08",'Base de données'!C:C,"&lt;01/09")</f>
        <v>0</v>
      </c>
      <c r="O76" s="35" t="str">
        <f t="shared" si="23"/>
        <v/>
      </c>
      <c r="P76" s="19">
        <f>COUNTIFS('Base de données'!D:D,A76,'Base de données'!C:C,"&gt;=01/09",'Base de données'!C:C,"&lt;01/10")</f>
        <v>0</v>
      </c>
      <c r="Q76" s="16">
        <f>COUNTIFS('Base de données'!D:D,A76,'Base de données'!E:E,"OK",'Base de données'!C:C,"&gt;=01/09",'Base de données'!C:C,"&lt;01/10")+COUNTIFS('Base de données'!D:D,A76,'Base de données'!E:E,"KO - REL",'Base de données'!C:C,"&gt;=01/09",'Base de données'!C:C,"&lt;01/10")</f>
        <v>0</v>
      </c>
      <c r="R76" s="17" t="str">
        <f t="shared" si="24"/>
        <v/>
      </c>
      <c r="S76" s="43">
        <f>COUNTIFS('Base de données'!D:D,A76,'Base de données'!F:F,"OK",'Base de données'!C:C,"&gt;=01/09",'Base de données'!C:C,"&lt;01/10")+COUNTIFS('Base de données'!D:D,A76,'Base de données'!F:F,"KO - REL",'Base de données'!C:C,"&gt;=01/09",'Base de données'!C:C,"&lt;01/10")</f>
        <v>0</v>
      </c>
      <c r="T76" s="17" t="str">
        <f t="shared" si="25"/>
        <v/>
      </c>
      <c r="U76" s="16">
        <f>COUNTIFS('Base de données'!D:D,A76,'Base de données'!G:G,"&lt;=0",'Base de données'!C:C,"&gt;=01/09",'Base de données'!C:C,"&lt;01/10")</f>
        <v>0</v>
      </c>
      <c r="V76" s="23" t="str">
        <f t="shared" si="26"/>
        <v/>
      </c>
      <c r="W76" s="49"/>
    </row>
    <row r="77" spans="1:23">
      <c r="A77" s="55" t="s">
        <v>60</v>
      </c>
      <c r="B77" s="19">
        <f>COUNTIFS('Base de données'!D:D,A77,'Base de données'!C:C,"&gt;=01/07",'Base de données'!C:C,"&lt;01/08")</f>
        <v>0</v>
      </c>
      <c r="C77" s="16">
        <f>COUNTIFS('Base de données'!D:D,A77,'Base de données'!E:E,"OK",'Base de données'!C:C,"&gt;=01/07",'Base de données'!C:C,"&lt;01/08")+COUNTIFS('Base de données'!D:D,A77,'Base de données'!E:E,"KO - REL",'Base de données'!C:C,"&gt;=01/07",'Base de données'!C:C,"&lt;01/08")</f>
        <v>0</v>
      </c>
      <c r="D77" s="17" t="str">
        <f t="shared" si="18"/>
        <v/>
      </c>
      <c r="E77" s="43">
        <f>COUNTIFS('Base de données'!D:D,A77,'Base de données'!F:F,"OK",'Base de données'!C:C,"&gt;=01/07",'Base de données'!C:C,"&lt;01/08")+COUNTIFS('Base de données'!D:D,A77,'Base de données'!F:F,"KO - REL",'Base de données'!C:C,"&gt;=01/07",'Base de données'!C:C,"&lt;01/08")</f>
        <v>0</v>
      </c>
      <c r="F77" s="17" t="str">
        <f t="shared" si="19"/>
        <v/>
      </c>
      <c r="G77" s="16">
        <f>COUNTIFS('Base de données'!D:D,A77,'Base de données'!G:G,"&lt;=0",'Base de données'!C:C,"&gt;=01/07",'Base de données'!C:C,"&lt;01/08")</f>
        <v>0</v>
      </c>
      <c r="H77" s="35" t="str">
        <f t="shared" si="20"/>
        <v/>
      </c>
      <c r="I77" s="19">
        <f>COUNTIFS('Base de données'!D:D,A77,'Base de données'!C:C,"&gt;=01/08",'Base de données'!C:C,"&lt;01/09")</f>
        <v>0</v>
      </c>
      <c r="J77" s="16">
        <f>COUNTIFS('Base de données'!D:D,A77,'Base de données'!E:E,"OK",'Base de données'!C:C,"&gt;=01/08",'Base de données'!C:C,"&lt;01/09")+COUNTIFS('Base de données'!D:D,A77,'Base de données'!E:E,"KO - REL",'Base de données'!C:C,"&gt;=01/08",'Base de données'!C:C,"&lt;01/09")</f>
        <v>0</v>
      </c>
      <c r="K77" s="17" t="str">
        <f t="shared" si="21"/>
        <v/>
      </c>
      <c r="L77" s="43">
        <f>COUNTIFS('Base de données'!D:D,A77,'Base de données'!F:F,"OK",'Base de données'!C:C,"&gt;=01/08",'Base de données'!C:C,"&lt;01/09")+COUNTIFS('Base de données'!D:D,A77,'Base de données'!F:F,"KO - REL",'Base de données'!C:C,"&gt;=01/08",'Base de données'!C:C,"&lt;01/09")</f>
        <v>0</v>
      </c>
      <c r="M77" s="17" t="str">
        <f t="shared" si="22"/>
        <v/>
      </c>
      <c r="N77" s="16">
        <f>COUNTIFS('Base de données'!D:D,A77,'Base de données'!G:G,"&lt;=0",'Base de données'!C:C,"&gt;=01/08",'Base de données'!C:C,"&lt;01/09")</f>
        <v>0</v>
      </c>
      <c r="O77" s="35" t="str">
        <f t="shared" si="23"/>
        <v/>
      </c>
      <c r="P77" s="19">
        <f>COUNTIFS('Base de données'!D:D,A77,'Base de données'!C:C,"&gt;=01/09",'Base de données'!C:C,"&lt;01/10")</f>
        <v>0</v>
      </c>
      <c r="Q77" s="16">
        <f>COUNTIFS('Base de données'!D:D,A77,'Base de données'!E:E,"OK",'Base de données'!C:C,"&gt;=01/09",'Base de données'!C:C,"&lt;01/10")+COUNTIFS('Base de données'!D:D,A77,'Base de données'!E:E,"KO - REL",'Base de données'!C:C,"&gt;=01/09",'Base de données'!C:C,"&lt;01/10")</f>
        <v>0</v>
      </c>
      <c r="R77" s="17" t="str">
        <f t="shared" si="24"/>
        <v/>
      </c>
      <c r="S77" s="43">
        <f>COUNTIFS('Base de données'!D:D,A77,'Base de données'!F:F,"OK",'Base de données'!C:C,"&gt;=01/09",'Base de données'!C:C,"&lt;01/10")+COUNTIFS('Base de données'!D:D,A77,'Base de données'!F:F,"KO - REL",'Base de données'!C:C,"&gt;=01/09",'Base de données'!C:C,"&lt;01/10")</f>
        <v>0</v>
      </c>
      <c r="T77" s="17" t="str">
        <f t="shared" si="25"/>
        <v/>
      </c>
      <c r="U77" s="16">
        <f>COUNTIFS('Base de données'!D:D,A77,'Base de données'!G:G,"&lt;=0",'Base de données'!C:C,"&gt;=01/09",'Base de données'!C:C,"&lt;01/10")</f>
        <v>0</v>
      </c>
      <c r="V77" s="23" t="str">
        <f t="shared" si="26"/>
        <v/>
      </c>
      <c r="W77" s="49"/>
    </row>
    <row r="78" spans="1:23">
      <c r="A78" s="55" t="s">
        <v>61</v>
      </c>
      <c r="B78" s="19">
        <f>COUNTIFS('Base de données'!D:D,A78,'Base de données'!C:C,"&gt;=01/07",'Base de données'!C:C,"&lt;01/08")</f>
        <v>0</v>
      </c>
      <c r="C78" s="16">
        <f>COUNTIFS('Base de données'!D:D,A78,'Base de données'!E:E,"OK",'Base de données'!C:C,"&gt;=01/07",'Base de données'!C:C,"&lt;01/08")+COUNTIFS('Base de données'!D:D,A78,'Base de données'!E:E,"KO - REL",'Base de données'!C:C,"&gt;=01/07",'Base de données'!C:C,"&lt;01/08")</f>
        <v>0</v>
      </c>
      <c r="D78" s="17" t="str">
        <f t="shared" si="18"/>
        <v/>
      </c>
      <c r="E78" s="43">
        <f>COUNTIFS('Base de données'!D:D,A78,'Base de données'!F:F,"OK",'Base de données'!C:C,"&gt;=01/07",'Base de données'!C:C,"&lt;01/08")+COUNTIFS('Base de données'!D:D,A78,'Base de données'!F:F,"KO - REL",'Base de données'!C:C,"&gt;=01/07",'Base de données'!C:C,"&lt;01/08")</f>
        <v>0</v>
      </c>
      <c r="F78" s="17" t="str">
        <f t="shared" si="19"/>
        <v/>
      </c>
      <c r="G78" s="16">
        <f>COUNTIFS('Base de données'!D:D,A78,'Base de données'!G:G,"&lt;=0",'Base de données'!C:C,"&gt;=01/07",'Base de données'!C:C,"&lt;01/08")</f>
        <v>0</v>
      </c>
      <c r="H78" s="35" t="str">
        <f t="shared" si="20"/>
        <v/>
      </c>
      <c r="I78" s="19">
        <f>COUNTIFS('Base de données'!D:D,A78,'Base de données'!C:C,"&gt;=01/08",'Base de données'!C:C,"&lt;01/09")</f>
        <v>0</v>
      </c>
      <c r="J78" s="16">
        <f>COUNTIFS('Base de données'!D:D,A78,'Base de données'!E:E,"OK",'Base de données'!C:C,"&gt;=01/08",'Base de données'!C:C,"&lt;01/09")+COUNTIFS('Base de données'!D:D,A78,'Base de données'!E:E,"KO - REL",'Base de données'!C:C,"&gt;=01/08",'Base de données'!C:C,"&lt;01/09")</f>
        <v>0</v>
      </c>
      <c r="K78" s="17" t="str">
        <f t="shared" si="21"/>
        <v/>
      </c>
      <c r="L78" s="43">
        <f>COUNTIFS('Base de données'!D:D,A78,'Base de données'!F:F,"OK",'Base de données'!C:C,"&gt;=01/08",'Base de données'!C:C,"&lt;01/09")+COUNTIFS('Base de données'!D:D,A78,'Base de données'!F:F,"KO - REL",'Base de données'!C:C,"&gt;=01/08",'Base de données'!C:C,"&lt;01/09")</f>
        <v>0</v>
      </c>
      <c r="M78" s="17" t="str">
        <f t="shared" si="22"/>
        <v/>
      </c>
      <c r="N78" s="16">
        <f>COUNTIFS('Base de données'!D:D,A78,'Base de données'!G:G,"&lt;=0",'Base de données'!C:C,"&gt;=01/08",'Base de données'!C:C,"&lt;01/09")</f>
        <v>0</v>
      </c>
      <c r="O78" s="35" t="str">
        <f t="shared" si="23"/>
        <v/>
      </c>
      <c r="P78" s="19">
        <f>COUNTIFS('Base de données'!D:D,A78,'Base de données'!C:C,"&gt;=01/09",'Base de données'!C:C,"&lt;01/10")</f>
        <v>0</v>
      </c>
      <c r="Q78" s="16">
        <f>COUNTIFS('Base de données'!D:D,A78,'Base de données'!E:E,"OK",'Base de données'!C:C,"&gt;=01/09",'Base de données'!C:C,"&lt;01/10")+COUNTIFS('Base de données'!D:D,A78,'Base de données'!E:E,"KO - REL",'Base de données'!C:C,"&gt;=01/09",'Base de données'!C:C,"&lt;01/10")</f>
        <v>0</v>
      </c>
      <c r="R78" s="17" t="str">
        <f t="shared" si="24"/>
        <v/>
      </c>
      <c r="S78" s="43">
        <f>COUNTIFS('Base de données'!D:D,A78,'Base de données'!F:F,"OK",'Base de données'!C:C,"&gt;=01/09",'Base de données'!C:C,"&lt;01/10")+COUNTIFS('Base de données'!D:D,A78,'Base de données'!F:F,"KO - REL",'Base de données'!C:C,"&gt;=01/09",'Base de données'!C:C,"&lt;01/10")</f>
        <v>0</v>
      </c>
      <c r="T78" s="17" t="str">
        <f t="shared" si="25"/>
        <v/>
      </c>
      <c r="U78" s="16">
        <f>COUNTIFS('Base de données'!D:D,A78,'Base de données'!G:G,"&lt;=0",'Base de données'!C:C,"&gt;=01/09",'Base de données'!C:C,"&lt;01/10")</f>
        <v>0</v>
      </c>
      <c r="V78" s="23" t="str">
        <f t="shared" si="26"/>
        <v/>
      </c>
      <c r="W78" s="49"/>
    </row>
    <row r="79" spans="1:23" ht="15.75" thickBot="1">
      <c r="A79" s="57" t="s">
        <v>62</v>
      </c>
      <c r="B79" s="20">
        <f>COUNTIFS('Base de données'!D:D,A79,'Base de données'!C:C,"&gt;=01/07",'Base de données'!C:C,"&lt;01/08")</f>
        <v>0</v>
      </c>
      <c r="C79" s="22">
        <f>COUNTIFS('Base de données'!D:D,A79,'Base de données'!E:E,"OK",'Base de données'!C:C,"&gt;=01/07",'Base de données'!C:C,"&lt;01/08")+COUNTIFS('Base de données'!D:D,A79,'Base de données'!E:E,"KO - REL",'Base de données'!C:C,"&gt;=01/07",'Base de données'!C:C,"&lt;01/08")</f>
        <v>0</v>
      </c>
      <c r="D79" s="21" t="str">
        <f t="shared" si="18"/>
        <v/>
      </c>
      <c r="E79" s="30">
        <f>COUNTIFS('Base de données'!D:D,A79,'Base de données'!F:F,"OK",'Base de données'!C:C,"&gt;=01/07",'Base de données'!C:C,"&lt;01/08")+COUNTIFS('Base de données'!D:D,A79,'Base de données'!F:F,"KO - REL",'Base de données'!C:C,"&gt;=01/07",'Base de données'!C:C,"&lt;01/08")</f>
        <v>0</v>
      </c>
      <c r="F79" s="21" t="str">
        <f t="shared" si="19"/>
        <v/>
      </c>
      <c r="G79" s="22">
        <f>COUNTIFS('Base de données'!D:D,A79,'Base de données'!G:G,"&lt;=0",'Base de données'!C:C,"&gt;=01/07",'Base de données'!C:C,"&lt;01/08")</f>
        <v>0</v>
      </c>
      <c r="H79" s="37" t="str">
        <f t="shared" si="20"/>
        <v/>
      </c>
      <c r="I79" s="20">
        <f>COUNTIFS('Base de données'!D:D,A79,'Base de données'!C:C,"&gt;=01/08",'Base de données'!C:C,"&lt;01/09")</f>
        <v>0</v>
      </c>
      <c r="J79" s="22">
        <f>COUNTIFS('Base de données'!D:D,A79,'Base de données'!E:E,"OK",'Base de données'!C:C,"&gt;=01/08",'Base de données'!C:C,"&lt;01/09")+COUNTIFS('Base de données'!D:D,A79,'Base de données'!E:E,"KO - REL",'Base de données'!C:C,"&gt;=01/08",'Base de données'!C:C,"&lt;01/09")</f>
        <v>0</v>
      </c>
      <c r="K79" s="21" t="str">
        <f t="shared" si="21"/>
        <v/>
      </c>
      <c r="L79" s="30">
        <f>COUNTIFS('Base de données'!D:D,A79,'Base de données'!F:F,"OK",'Base de données'!C:C,"&gt;=01/08",'Base de données'!C:C,"&lt;01/09")+COUNTIFS('Base de données'!D:D,A79,'Base de données'!F:F,"KO - REL",'Base de données'!C:C,"&gt;=01/08",'Base de données'!C:C,"&lt;01/09")</f>
        <v>0</v>
      </c>
      <c r="M79" s="21" t="str">
        <f t="shared" si="22"/>
        <v/>
      </c>
      <c r="N79" s="22">
        <f>COUNTIFS('Base de données'!D:D,A79,'Base de données'!G:G,"&lt;=0",'Base de données'!C:C,"&gt;=01/08",'Base de données'!C:C,"&lt;01/09")</f>
        <v>0</v>
      </c>
      <c r="O79" s="37" t="str">
        <f t="shared" si="23"/>
        <v/>
      </c>
      <c r="P79" s="20">
        <f>COUNTIFS('Base de données'!D:D,A79,'Base de données'!C:C,"&gt;=01/09",'Base de données'!C:C,"&lt;01/10")</f>
        <v>0</v>
      </c>
      <c r="Q79" s="22">
        <f>COUNTIFS('Base de données'!D:D,A79,'Base de données'!E:E,"OK",'Base de données'!C:C,"&gt;=01/09",'Base de données'!C:C,"&lt;01/10")+COUNTIFS('Base de données'!D:D,A79,'Base de données'!E:E,"KO - REL",'Base de données'!C:C,"&gt;=01/09",'Base de données'!C:C,"&lt;01/10")</f>
        <v>0</v>
      </c>
      <c r="R79" s="21" t="str">
        <f t="shared" si="24"/>
        <v/>
      </c>
      <c r="S79" s="30">
        <f>COUNTIFS('Base de données'!D:D,A79,'Base de données'!F:F,"OK",'Base de données'!C:C,"&gt;=01/09",'Base de données'!C:C,"&lt;01/10")+COUNTIFS('Base de données'!D:D,A79,'Base de données'!F:F,"KO - REL",'Base de données'!C:C,"&gt;=01/09",'Base de données'!C:C,"&lt;01/10")</f>
        <v>0</v>
      </c>
      <c r="T79" s="21" t="str">
        <f t="shared" si="25"/>
        <v/>
      </c>
      <c r="U79" s="22">
        <f>COUNTIFS('Base de données'!D:D,A79,'Base de données'!G:G,"&lt;=0",'Base de données'!C:C,"&gt;=01/09",'Base de données'!C:C,"&lt;01/10")</f>
        <v>0</v>
      </c>
      <c r="V79" s="24" t="str">
        <f t="shared" si="26"/>
        <v/>
      </c>
      <c r="W79" s="49"/>
    </row>
    <row r="80" spans="1:23" ht="15.75" thickBot="1">
      <c r="A80" s="58" t="s">
        <v>26</v>
      </c>
      <c r="B80" s="59">
        <f>SUM(B57:B79)</f>
        <v>0</v>
      </c>
      <c r="C80" s="60">
        <f>SUM(C57:C79)</f>
        <v>0</v>
      </c>
      <c r="D80" s="61" t="e">
        <f>C80/B80</f>
        <v>#DIV/0!</v>
      </c>
      <c r="E80" s="62">
        <f>SUM(E57:E79)</f>
        <v>0</v>
      </c>
      <c r="F80" s="61" t="e">
        <f>E80/B80</f>
        <v>#DIV/0!</v>
      </c>
      <c r="G80" s="63">
        <f>SUM(G57:G79)</f>
        <v>0</v>
      </c>
      <c r="H80" s="64" t="e">
        <f>G80/B80</f>
        <v>#DIV/0!</v>
      </c>
      <c r="I80" s="59">
        <f>SUM(I57:I79)</f>
        <v>0</v>
      </c>
      <c r="J80" s="60">
        <f>SUM(J57:J79)</f>
        <v>0</v>
      </c>
      <c r="K80" s="61" t="e">
        <f>J80/I80</f>
        <v>#DIV/0!</v>
      </c>
      <c r="L80" s="62">
        <f>SUM(L57:L79)</f>
        <v>0</v>
      </c>
      <c r="M80" s="61" t="e">
        <f>L80/I80</f>
        <v>#DIV/0!</v>
      </c>
      <c r="N80" s="63">
        <f>SUM(N57:N79)</f>
        <v>0</v>
      </c>
      <c r="O80" s="64" t="e">
        <f>N80/I80</f>
        <v>#DIV/0!</v>
      </c>
      <c r="P80" s="59">
        <f>SUM(P57:P79)</f>
        <v>0</v>
      </c>
      <c r="Q80" s="60">
        <f>SUM(Q57:Q79)</f>
        <v>0</v>
      </c>
      <c r="R80" s="61" t="e">
        <f>Q80/P80</f>
        <v>#DIV/0!</v>
      </c>
      <c r="S80" s="62">
        <f>SUM(S57:S79)</f>
        <v>0</v>
      </c>
      <c r="T80" s="61" t="e">
        <f>S80/P80</f>
        <v>#DIV/0!</v>
      </c>
      <c r="U80" s="63">
        <f>SUM(U57:U79)</f>
        <v>0</v>
      </c>
      <c r="V80" s="64" t="e">
        <f>U80/P80</f>
        <v>#DIV/0!</v>
      </c>
      <c r="W80" s="50"/>
    </row>
    <row r="81" spans="1:23" ht="15.75" thickBot="1"/>
    <row r="82" spans="1:23" ht="15.75" thickBot="1">
      <c r="A82" s="18"/>
      <c r="B82" s="82" t="s">
        <v>34</v>
      </c>
      <c r="C82" s="83"/>
      <c r="D82" s="84"/>
      <c r="E82" s="84"/>
      <c r="F82" s="84"/>
      <c r="G82" s="84"/>
      <c r="H82" s="85"/>
      <c r="I82" s="82" t="s">
        <v>35</v>
      </c>
      <c r="J82" s="83"/>
      <c r="K82" s="84"/>
      <c r="L82" s="84"/>
      <c r="M82" s="84"/>
      <c r="N82" s="84"/>
      <c r="O82" s="85"/>
      <c r="P82" s="82" t="s">
        <v>36</v>
      </c>
      <c r="Q82" s="83"/>
      <c r="R82" s="84"/>
      <c r="S82" s="84"/>
      <c r="T82" s="84"/>
      <c r="U82" s="84"/>
      <c r="V82" s="85"/>
      <c r="W82" s="48"/>
    </row>
    <row r="83" spans="1:23" ht="60.75" thickBot="1">
      <c r="A83" s="47" t="s">
        <v>19</v>
      </c>
      <c r="B83" s="51" t="s">
        <v>9</v>
      </c>
      <c r="C83" s="52" t="s">
        <v>65</v>
      </c>
      <c r="D83" s="52" t="s">
        <v>66</v>
      </c>
      <c r="E83" s="52" t="s">
        <v>67</v>
      </c>
      <c r="F83" s="52" t="s">
        <v>68</v>
      </c>
      <c r="G83" s="52" t="s">
        <v>10</v>
      </c>
      <c r="H83" s="53" t="s">
        <v>18</v>
      </c>
      <c r="I83" s="51" t="s">
        <v>9</v>
      </c>
      <c r="J83" s="52" t="s">
        <v>65</v>
      </c>
      <c r="K83" s="52" t="s">
        <v>66</v>
      </c>
      <c r="L83" s="52" t="s">
        <v>67</v>
      </c>
      <c r="M83" s="52" t="s">
        <v>68</v>
      </c>
      <c r="N83" s="52" t="s">
        <v>10</v>
      </c>
      <c r="O83" s="53" t="s">
        <v>18</v>
      </c>
      <c r="P83" s="51" t="s">
        <v>9</v>
      </c>
      <c r="Q83" s="52" t="s">
        <v>65</v>
      </c>
      <c r="R83" s="52" t="s">
        <v>66</v>
      </c>
      <c r="S83" s="52" t="s">
        <v>67</v>
      </c>
      <c r="T83" s="52" t="s">
        <v>68</v>
      </c>
      <c r="U83" s="52" t="s">
        <v>10</v>
      </c>
      <c r="V83" s="53" t="s">
        <v>18</v>
      </c>
      <c r="W83" s="49"/>
    </row>
    <row r="84" spans="1:23">
      <c r="A84" s="54" t="s">
        <v>40</v>
      </c>
      <c r="B84" s="25">
        <f>COUNTIFS('Base de données'!D:D,A84,'Base de données'!C:C,"&gt;=01/10",'Base de données'!C:C,"&lt;01/11")</f>
        <v>0</v>
      </c>
      <c r="C84" s="27">
        <f>COUNTIFS('Base de données'!D:D,A84,'Base de données'!E:E,"OK",'Base de données'!C:C,"&gt;=01/10",'Base de données'!C:C,"&lt;01/11")+COUNTIFS('Base de données'!D:D,A84,'Base de données'!E:E,"KO - REL",'Base de données'!C:C,"&gt;=01/10",'Base de données'!C:C,"&lt;01/11")</f>
        <v>0</v>
      </c>
      <c r="D84" s="26" t="str">
        <f>IF(B84=0,"",C84/B84)</f>
        <v/>
      </c>
      <c r="E84" s="45">
        <f>COUNTIFS('Base de données'!D:D,A84,'Base de données'!F:F,"OK",'Base de données'!C:C,"&gt;=01/10",'Base de données'!C:C,"&lt;01/11")+COUNTIFS('Base de données'!D:D,A84,'Base de données'!F:F,"KO - REL",'Base de données'!C:C,"&gt;=01/10",'Base de données'!C:C,"&lt;01/11")</f>
        <v>0</v>
      </c>
      <c r="F84" s="26" t="str">
        <f>IF(B84=0,"",E84/B84)</f>
        <v/>
      </c>
      <c r="G84" s="27">
        <f>COUNTIFS('Base de données'!D:D,A84,'Base de données'!G:G,"&lt;=0",'Base de données'!C:C,"&gt;=01/10",'Base de données'!C:C,"&lt;01/11")</f>
        <v>0</v>
      </c>
      <c r="H84" s="36" t="str">
        <f>IF(B84=0,"",G84/B84)</f>
        <v/>
      </c>
      <c r="I84" s="25">
        <f>COUNTIFS('Base de données'!D:D,A84,'Base de données'!C:C,"&gt;=01/11",'Base de données'!C:C,"&lt;01/12")</f>
        <v>0</v>
      </c>
      <c r="J84" s="27">
        <f>COUNTIFS('Base de données'!D:D,A84,'Base de données'!E:E,"OK",'Base de données'!C:C,"&gt;=01/11",'Base de données'!C:C,"&lt;01/12")+COUNTIFS('Base de données'!D:D,A84,'Base de données'!E:E,"KO - REL",'Base de données'!C:C,"&gt;=01/11",'Base de données'!C:C,"&lt;01/12")</f>
        <v>0</v>
      </c>
      <c r="K84" s="26" t="str">
        <f>IF(I84=0,"",J84/I84)</f>
        <v/>
      </c>
      <c r="L84" s="45">
        <f>COUNTIFS('Base de données'!D:D,A84,'Base de données'!F:F,"OK",'Base de données'!C:C,"&gt;=01/11",'Base de données'!C:C,"&lt;01/12")+COUNTIFS('Base de données'!D:D,A84,'Base de données'!F:F,"KO - REL",'Base de données'!C:C,"&gt;=01/11",'Base de données'!C:C,"&lt;01/12")</f>
        <v>0</v>
      </c>
      <c r="M84" s="26" t="str">
        <f>IF(I84=0,"",L84/I84)</f>
        <v/>
      </c>
      <c r="N84" s="27">
        <f>COUNTIFS('Base de données'!D:D,A84,'Base de données'!G:G,"&lt;=0",'Base de données'!C:C,"&gt;=01/11",'Base de données'!C:C,"&lt;01/12")</f>
        <v>0</v>
      </c>
      <c r="O84" s="36" t="str">
        <f>IF(I84=0,"",N84/I84)</f>
        <v/>
      </c>
      <c r="P84" s="25">
        <f>COUNTIFS('Base de données'!D:D,A84,'Base de données'!C:C,"&gt;=01/12",'Base de données'!C:C,"&lt;=31/12")</f>
        <v>0</v>
      </c>
      <c r="Q84" s="27">
        <f>COUNTIFS('Base de données'!D:D,A84,'Base de données'!E:E,"OK",'Base de données'!C:C,"&gt;=01/12",'Base de données'!C:C,"&lt;=31/12")+COUNTIFS('Base de données'!D:D,A84,'Base de données'!E:E,"KO - REL",'Base de données'!C:C,"&gt;=01/12",'Base de données'!C:C,"&lt;=31/12")</f>
        <v>0</v>
      </c>
      <c r="R84" s="26" t="str">
        <f>IF(P84=0,"",Q84/P84)</f>
        <v/>
      </c>
      <c r="S84" s="45">
        <f>COUNTIFS('Base de données'!D:D,A84,'Base de données'!F:F,"OK",'Base de données'!C:C,"&gt;=01/12",'Base de données'!C:C,"&lt;=31/12")+COUNTIFS('Base de données'!D:D,A84,'Base de données'!F:F,"KO - REL",'Base de données'!C:C,"&gt;=01/12",'Base de données'!C:C,"&lt;=31/12")</f>
        <v>0</v>
      </c>
      <c r="T84" s="26" t="str">
        <f>IF(P84=0,"",S84/P84)</f>
        <v/>
      </c>
      <c r="U84" s="27">
        <f>COUNTIFS('Base de données'!D:D,A84,'Base de données'!G:G,"&lt;=0",'Base de données'!C:C,"&gt;=01/12",'Base de données'!C:C,"&lt;=31/12")</f>
        <v>0</v>
      </c>
      <c r="V84" s="28" t="str">
        <f>IF(P84=0,"",U84/P84)</f>
        <v/>
      </c>
      <c r="W84" s="81"/>
    </row>
    <row r="85" spans="1:23">
      <c r="A85" s="54" t="s">
        <v>41</v>
      </c>
      <c r="B85" s="19">
        <f>COUNTIFS('Base de données'!D:D,A85,'Base de données'!C:C,"&gt;=01/10",'Base de données'!C:C,"&lt;01/11")</f>
        <v>0</v>
      </c>
      <c r="C85" s="16">
        <f>COUNTIFS('Base de données'!D:D,A85,'Base de données'!E:E,"OK",'Base de données'!C:C,"&gt;=01/10",'Base de données'!C:C,"&lt;01/11")+COUNTIFS('Base de données'!D:D,A85,'Base de données'!E:E,"KO - REL",'Base de données'!C:C,"&gt;=01/10",'Base de données'!C:C,"&lt;01/11")</f>
        <v>0</v>
      </c>
      <c r="D85" s="17" t="str">
        <f t="shared" ref="D85:D106" si="27">IF(B85=0,"",C85/B85)</f>
        <v/>
      </c>
      <c r="E85" s="43">
        <f>COUNTIFS('Base de données'!D:D,A85,'Base de données'!F:F,"OK",'Base de données'!C:C,"&gt;=01/10",'Base de données'!C:C,"&lt;01/11")+COUNTIFS('Base de données'!D:D,A85,'Base de données'!F:F,"KO - REL",'Base de données'!C:C,"&gt;=01/10",'Base de données'!C:C,"&lt;01/11")</f>
        <v>0</v>
      </c>
      <c r="F85" s="17" t="str">
        <f t="shared" ref="F85:F106" si="28">IF(B85=0,"",E85/B85)</f>
        <v/>
      </c>
      <c r="G85" s="16">
        <f>COUNTIFS('Base de données'!D:D,A85,'Base de données'!G:G,"&lt;=0",'Base de données'!C:C,"&gt;=01/10",'Base de données'!C:C,"&lt;01/11")</f>
        <v>0</v>
      </c>
      <c r="H85" s="35" t="str">
        <f t="shared" ref="H85:H106" si="29">IF(B85=0,"",G85/B85)</f>
        <v/>
      </c>
      <c r="I85" s="19">
        <f>COUNTIFS('Base de données'!D:D,A85,'Base de données'!C:C,"&gt;=01/11",'Base de données'!C:C,"&lt;01/12")</f>
        <v>0</v>
      </c>
      <c r="J85" s="16">
        <f>COUNTIFS('Base de données'!D:D,A85,'Base de données'!E:E,"OK",'Base de données'!C:C,"&gt;=01/11",'Base de données'!C:C,"&lt;01/12")+COUNTIFS('Base de données'!D:D,A85,'Base de données'!E:E,"KO - REL",'Base de données'!C:C,"&gt;=01/11",'Base de données'!C:C,"&lt;01/12")</f>
        <v>0</v>
      </c>
      <c r="K85" s="17" t="str">
        <f t="shared" ref="K85:K106" si="30">IF(I85=0,"",J85/I85)</f>
        <v/>
      </c>
      <c r="L85" s="43">
        <f>COUNTIFS('Base de données'!D:D,A85,'Base de données'!F:F,"OK",'Base de données'!C:C,"&gt;=01/11",'Base de données'!C:C,"&lt;01/12")+COUNTIFS('Base de données'!D:D,A85,'Base de données'!F:F,"KO - REL",'Base de données'!C:C,"&gt;=01/11",'Base de données'!C:C,"&lt;01/12")</f>
        <v>0</v>
      </c>
      <c r="M85" s="17" t="str">
        <f t="shared" ref="M85:M106" si="31">IF(I85=0,"",L85/I85)</f>
        <v/>
      </c>
      <c r="N85" s="16">
        <f>COUNTIFS('Base de données'!D:D,A85,'Base de données'!G:G,"&lt;=0",'Base de données'!C:C,"&gt;=01/11",'Base de données'!C:C,"&lt;01/12")</f>
        <v>0</v>
      </c>
      <c r="O85" s="35" t="str">
        <f t="shared" ref="O85:O106" si="32">IF(I85=0,"",N85/I85)</f>
        <v/>
      </c>
      <c r="P85" s="19">
        <f>COUNTIFS('Base de données'!D:D,A85,'Base de données'!C:C,"&gt;=01/12",'Base de données'!C:C,"&lt;=31/12")</f>
        <v>0</v>
      </c>
      <c r="Q85" s="16">
        <f>COUNTIFS('Base de données'!D:D,A85,'Base de données'!E:E,"OK",'Base de données'!C:C,"&gt;=01/12",'Base de données'!C:C,"&lt;=31/12")+COUNTIFS('Base de données'!D:D,A85,'Base de données'!E:E,"KO - REL",'Base de données'!C:C,"&gt;=01/12",'Base de données'!C:C,"&lt;=31/12")</f>
        <v>0</v>
      </c>
      <c r="R85" s="17" t="str">
        <f t="shared" ref="R85:R106" si="33">IF(P85=0,"",Q85/P85)</f>
        <v/>
      </c>
      <c r="S85" s="43">
        <f>COUNTIFS('Base de données'!D:D,A85,'Base de données'!F:F,"OK",'Base de données'!C:C,"&gt;=01/12",'Base de données'!C:C,"&lt;=31/12")+COUNTIFS('Base de données'!D:D,A85,'Base de données'!F:F,"KO - REL",'Base de données'!C:C,"&gt;=01/12",'Base de données'!C:C,"&lt;=31/12")</f>
        <v>0</v>
      </c>
      <c r="T85" s="17" t="str">
        <f t="shared" ref="T85:T106" si="34">IF(P85=0,"",S85/P85)</f>
        <v/>
      </c>
      <c r="U85" s="16">
        <f>COUNTIFS('Base de données'!D:D,A85,'Base de données'!G:G,"&lt;=0",'Base de données'!C:C,"&gt;=01/12",'Base de données'!C:C,"&lt;=31/12")</f>
        <v>0</v>
      </c>
      <c r="V85" s="23" t="str">
        <f t="shared" ref="V85:V106" si="35">IF(P85=0,"",U85/P85)</f>
        <v/>
      </c>
      <c r="W85" s="81"/>
    </row>
    <row r="86" spans="1:23">
      <c r="A86" s="55" t="s">
        <v>42</v>
      </c>
      <c r="B86" s="19">
        <f>COUNTIFS('Base de données'!D:D,A86,'Base de données'!C:C,"&gt;=01/10",'Base de données'!C:C,"&lt;01/11")</f>
        <v>0</v>
      </c>
      <c r="C86" s="16">
        <f>COUNTIFS('Base de données'!D:D,A86,'Base de données'!E:E,"OK",'Base de données'!C:C,"&gt;=01/10",'Base de données'!C:C,"&lt;01/11")+COUNTIFS('Base de données'!D:D,A86,'Base de données'!E:E,"KO - REL",'Base de données'!C:C,"&gt;=01/10",'Base de données'!C:C,"&lt;01/11")</f>
        <v>0</v>
      </c>
      <c r="D86" s="17" t="str">
        <f t="shared" si="27"/>
        <v/>
      </c>
      <c r="E86" s="43">
        <f>COUNTIFS('Base de données'!D:D,A86,'Base de données'!F:F,"OK",'Base de données'!C:C,"&gt;=01/10",'Base de données'!C:C,"&lt;01/11")+COUNTIFS('Base de données'!D:D,A86,'Base de données'!F:F,"KO - REL",'Base de données'!C:C,"&gt;=01/10",'Base de données'!C:C,"&lt;01/11")</f>
        <v>0</v>
      </c>
      <c r="F86" s="17" t="str">
        <f t="shared" si="28"/>
        <v/>
      </c>
      <c r="G86" s="16">
        <f>COUNTIFS('Base de données'!D:D,A86,'Base de données'!G:G,"&lt;=0",'Base de données'!C:C,"&gt;=01/10",'Base de données'!C:C,"&lt;01/11")</f>
        <v>0</v>
      </c>
      <c r="H86" s="35" t="str">
        <f t="shared" si="29"/>
        <v/>
      </c>
      <c r="I86" s="19">
        <f>COUNTIFS('Base de données'!D:D,A86,'Base de données'!C:C,"&gt;=01/11",'Base de données'!C:C,"&lt;01/12")</f>
        <v>0</v>
      </c>
      <c r="J86" s="16">
        <f>COUNTIFS('Base de données'!D:D,A86,'Base de données'!E:E,"OK",'Base de données'!C:C,"&gt;=01/11",'Base de données'!C:C,"&lt;01/12")+COUNTIFS('Base de données'!D:D,A86,'Base de données'!E:E,"KO - REL",'Base de données'!C:C,"&gt;=01/11",'Base de données'!C:C,"&lt;01/12")</f>
        <v>0</v>
      </c>
      <c r="K86" s="17" t="str">
        <f t="shared" si="30"/>
        <v/>
      </c>
      <c r="L86" s="43">
        <f>COUNTIFS('Base de données'!D:D,A86,'Base de données'!F:F,"OK",'Base de données'!C:C,"&gt;=01/11",'Base de données'!C:C,"&lt;01/12")+COUNTIFS('Base de données'!D:D,A86,'Base de données'!F:F,"KO - REL",'Base de données'!C:C,"&gt;=01/11",'Base de données'!C:C,"&lt;01/12")</f>
        <v>0</v>
      </c>
      <c r="M86" s="17" t="str">
        <f t="shared" si="31"/>
        <v/>
      </c>
      <c r="N86" s="16">
        <f>COUNTIFS('Base de données'!D:D,A86,'Base de données'!G:G,"&lt;=0",'Base de données'!C:C,"&gt;=01/11",'Base de données'!C:C,"&lt;01/12")</f>
        <v>0</v>
      </c>
      <c r="O86" s="35" t="str">
        <f t="shared" si="32"/>
        <v/>
      </c>
      <c r="P86" s="19">
        <f>COUNTIFS('Base de données'!D:D,A86,'Base de données'!C:C,"&gt;=01/12",'Base de données'!C:C,"&lt;=31/12")</f>
        <v>0</v>
      </c>
      <c r="Q86" s="16">
        <f>COUNTIFS('Base de données'!D:D,A86,'Base de données'!E:E,"OK",'Base de données'!C:C,"&gt;=01/12",'Base de données'!C:C,"&lt;=31/12")+COUNTIFS('Base de données'!D:D,A86,'Base de données'!E:E,"KO - REL",'Base de données'!C:C,"&gt;=01/12",'Base de données'!C:C,"&lt;=31/12")</f>
        <v>0</v>
      </c>
      <c r="R86" s="17" t="str">
        <f t="shared" si="33"/>
        <v/>
      </c>
      <c r="S86" s="43">
        <f>COUNTIFS('Base de données'!D:D,A86,'Base de données'!F:F,"OK",'Base de données'!C:C,"&gt;=01/12",'Base de données'!C:C,"&lt;=31/12")+COUNTIFS('Base de données'!D:D,A86,'Base de données'!F:F,"KO - REL",'Base de données'!C:C,"&gt;=01/12",'Base de données'!C:C,"&lt;=31/12")</f>
        <v>0</v>
      </c>
      <c r="T86" s="17" t="str">
        <f t="shared" si="34"/>
        <v/>
      </c>
      <c r="U86" s="16">
        <f>COUNTIFS('Base de données'!D:D,A86,'Base de données'!G:G,"&lt;=0",'Base de données'!C:C,"&gt;=01/12",'Base de données'!C:C,"&lt;=31/12")</f>
        <v>0</v>
      </c>
      <c r="V86" s="23" t="str">
        <f t="shared" si="35"/>
        <v/>
      </c>
      <c r="W86" s="81"/>
    </row>
    <row r="87" spans="1:23">
      <c r="A87" s="55" t="s">
        <v>43</v>
      </c>
      <c r="B87" s="19">
        <f>COUNTIFS('Base de données'!D:D,A87,'Base de données'!C:C,"&gt;=01/10",'Base de données'!C:C,"&lt;01/11")</f>
        <v>0</v>
      </c>
      <c r="C87" s="16">
        <f>COUNTIFS('Base de données'!D:D,A87,'Base de données'!E:E,"OK",'Base de données'!C:C,"&gt;=01/10",'Base de données'!C:C,"&lt;01/11")+COUNTIFS('Base de données'!D:D,A87,'Base de données'!E:E,"KO - REL",'Base de données'!C:C,"&gt;=01/10",'Base de données'!C:C,"&lt;01/11")</f>
        <v>0</v>
      </c>
      <c r="D87" s="17" t="str">
        <f t="shared" si="27"/>
        <v/>
      </c>
      <c r="E87" s="43">
        <f>COUNTIFS('Base de données'!D:D,A87,'Base de données'!F:F,"OK",'Base de données'!C:C,"&gt;=01/10",'Base de données'!C:C,"&lt;01/11")+COUNTIFS('Base de données'!D:D,A87,'Base de données'!F:F,"KO - REL",'Base de données'!C:C,"&gt;=01/10",'Base de données'!C:C,"&lt;01/11")</f>
        <v>0</v>
      </c>
      <c r="F87" s="17" t="str">
        <f t="shared" si="28"/>
        <v/>
      </c>
      <c r="G87" s="16">
        <f>COUNTIFS('Base de données'!D:D,A87,'Base de données'!G:G,"&lt;=0",'Base de données'!C:C,"&gt;=01/10",'Base de données'!C:C,"&lt;01/11")</f>
        <v>0</v>
      </c>
      <c r="H87" s="35" t="str">
        <f t="shared" si="29"/>
        <v/>
      </c>
      <c r="I87" s="19">
        <f>COUNTIFS('Base de données'!D:D,A87,'Base de données'!C:C,"&gt;=01/11",'Base de données'!C:C,"&lt;01/12")</f>
        <v>0</v>
      </c>
      <c r="J87" s="16">
        <f>COUNTIFS('Base de données'!D:D,A87,'Base de données'!E:E,"OK",'Base de données'!C:C,"&gt;=01/11",'Base de données'!C:C,"&lt;01/12")+COUNTIFS('Base de données'!D:D,A87,'Base de données'!E:E,"KO - REL",'Base de données'!C:C,"&gt;=01/11",'Base de données'!C:C,"&lt;01/12")</f>
        <v>0</v>
      </c>
      <c r="K87" s="17" t="str">
        <f t="shared" si="30"/>
        <v/>
      </c>
      <c r="L87" s="43">
        <f>COUNTIFS('Base de données'!D:D,A87,'Base de données'!F:F,"OK",'Base de données'!C:C,"&gt;=01/11",'Base de données'!C:C,"&lt;01/12")+COUNTIFS('Base de données'!D:D,A87,'Base de données'!F:F,"KO - REL",'Base de données'!C:C,"&gt;=01/11",'Base de données'!C:C,"&lt;01/12")</f>
        <v>0</v>
      </c>
      <c r="M87" s="17" t="str">
        <f t="shared" si="31"/>
        <v/>
      </c>
      <c r="N87" s="16">
        <f>COUNTIFS('Base de données'!D:D,A87,'Base de données'!G:G,"&lt;=0",'Base de données'!C:C,"&gt;=01/11",'Base de données'!C:C,"&lt;01/12")</f>
        <v>0</v>
      </c>
      <c r="O87" s="35" t="str">
        <f t="shared" si="32"/>
        <v/>
      </c>
      <c r="P87" s="19">
        <f>COUNTIFS('Base de données'!D:D,A87,'Base de données'!C:C,"&gt;=01/12",'Base de données'!C:C,"&lt;=31/12")</f>
        <v>0</v>
      </c>
      <c r="Q87" s="16">
        <f>COUNTIFS('Base de données'!D:D,A87,'Base de données'!E:E,"OK",'Base de données'!C:C,"&gt;=01/12",'Base de données'!C:C,"&lt;=31/12")+COUNTIFS('Base de données'!D:D,A87,'Base de données'!E:E,"KO - REL",'Base de données'!C:C,"&gt;=01/12",'Base de données'!C:C,"&lt;=31/12")</f>
        <v>0</v>
      </c>
      <c r="R87" s="17" t="str">
        <f t="shared" si="33"/>
        <v/>
      </c>
      <c r="S87" s="43">
        <f>COUNTIFS('Base de données'!D:D,A87,'Base de données'!F:F,"OK",'Base de données'!C:C,"&gt;=01/12",'Base de données'!C:C,"&lt;=31/12")+COUNTIFS('Base de données'!D:D,A87,'Base de données'!F:F,"KO - REL",'Base de données'!C:C,"&gt;=01/12",'Base de données'!C:C,"&lt;=31/12")</f>
        <v>0</v>
      </c>
      <c r="T87" s="17" t="str">
        <f t="shared" si="34"/>
        <v/>
      </c>
      <c r="U87" s="16">
        <f>COUNTIFS('Base de données'!D:D,A87,'Base de données'!G:G,"&lt;=0",'Base de données'!C:C,"&gt;=01/12",'Base de données'!C:C,"&lt;=31/12")</f>
        <v>0</v>
      </c>
      <c r="V87" s="23" t="str">
        <f t="shared" si="35"/>
        <v/>
      </c>
      <c r="W87" s="81"/>
    </row>
    <row r="88" spans="1:23">
      <c r="A88" s="55" t="s">
        <v>44</v>
      </c>
      <c r="B88" s="19">
        <f>COUNTIFS('Base de données'!D:D,A88,'Base de données'!C:C,"&gt;=01/10",'Base de données'!C:C,"&lt;01/11")</f>
        <v>0</v>
      </c>
      <c r="C88" s="16">
        <f>COUNTIFS('Base de données'!D:D,A88,'Base de données'!E:E,"OK",'Base de données'!C:C,"&gt;=01/10",'Base de données'!C:C,"&lt;01/11")+COUNTIFS('Base de données'!D:D,A88,'Base de données'!E:E,"KO - REL",'Base de données'!C:C,"&gt;=01/10",'Base de données'!C:C,"&lt;01/11")</f>
        <v>0</v>
      </c>
      <c r="D88" s="17" t="str">
        <f t="shared" si="27"/>
        <v/>
      </c>
      <c r="E88" s="43">
        <f>COUNTIFS('Base de données'!D:D,A88,'Base de données'!F:F,"OK",'Base de données'!C:C,"&gt;=01/10",'Base de données'!C:C,"&lt;01/11")+COUNTIFS('Base de données'!D:D,A88,'Base de données'!F:F,"KO - REL",'Base de données'!C:C,"&gt;=01/10",'Base de données'!C:C,"&lt;01/11")</f>
        <v>0</v>
      </c>
      <c r="F88" s="17" t="str">
        <f t="shared" si="28"/>
        <v/>
      </c>
      <c r="G88" s="16">
        <f>COUNTIFS('Base de données'!D:D,A88,'Base de données'!G:G,"&lt;=0",'Base de données'!C:C,"&gt;=01/10",'Base de données'!C:C,"&lt;01/11")</f>
        <v>0</v>
      </c>
      <c r="H88" s="35" t="str">
        <f t="shared" si="29"/>
        <v/>
      </c>
      <c r="I88" s="19">
        <f>COUNTIFS('Base de données'!D:D,A88,'Base de données'!C:C,"&gt;=01/11",'Base de données'!C:C,"&lt;01/12")</f>
        <v>0</v>
      </c>
      <c r="J88" s="16">
        <f>COUNTIFS('Base de données'!D:D,A88,'Base de données'!E:E,"OK",'Base de données'!C:C,"&gt;=01/11",'Base de données'!C:C,"&lt;01/12")+COUNTIFS('Base de données'!D:D,A88,'Base de données'!E:E,"KO - REL",'Base de données'!C:C,"&gt;=01/11",'Base de données'!C:C,"&lt;01/12")</f>
        <v>0</v>
      </c>
      <c r="K88" s="17" t="str">
        <f t="shared" si="30"/>
        <v/>
      </c>
      <c r="L88" s="43">
        <f>COUNTIFS('Base de données'!D:D,A88,'Base de données'!F:F,"OK",'Base de données'!C:C,"&gt;=01/11",'Base de données'!C:C,"&lt;01/12")+COUNTIFS('Base de données'!D:D,A88,'Base de données'!F:F,"KO - REL",'Base de données'!C:C,"&gt;=01/11",'Base de données'!C:C,"&lt;01/12")</f>
        <v>0</v>
      </c>
      <c r="M88" s="17" t="str">
        <f t="shared" si="31"/>
        <v/>
      </c>
      <c r="N88" s="16">
        <f>COUNTIFS('Base de données'!D:D,A88,'Base de données'!G:G,"&lt;=0",'Base de données'!C:C,"&gt;=01/11",'Base de données'!C:C,"&lt;01/12")</f>
        <v>0</v>
      </c>
      <c r="O88" s="35" t="str">
        <f t="shared" si="32"/>
        <v/>
      </c>
      <c r="P88" s="19">
        <f>COUNTIFS('Base de données'!D:D,A88,'Base de données'!C:C,"&gt;=01/12",'Base de données'!C:C,"&lt;=31/12")</f>
        <v>0</v>
      </c>
      <c r="Q88" s="16">
        <f>COUNTIFS('Base de données'!D:D,A88,'Base de données'!E:E,"OK",'Base de données'!C:C,"&gt;=01/12",'Base de données'!C:C,"&lt;=31/12")+COUNTIFS('Base de données'!D:D,A88,'Base de données'!E:E,"KO - REL",'Base de données'!C:C,"&gt;=01/12",'Base de données'!C:C,"&lt;=31/12")</f>
        <v>0</v>
      </c>
      <c r="R88" s="17" t="str">
        <f t="shared" si="33"/>
        <v/>
      </c>
      <c r="S88" s="43">
        <f>COUNTIFS('Base de données'!D:D,A88,'Base de données'!F:F,"OK",'Base de données'!C:C,"&gt;=01/12",'Base de données'!C:C,"&lt;=31/12")+COUNTIFS('Base de données'!D:D,A88,'Base de données'!F:F,"KO - REL",'Base de données'!C:C,"&gt;=01/12",'Base de données'!C:C,"&lt;=31/12")</f>
        <v>0</v>
      </c>
      <c r="T88" s="17" t="str">
        <f t="shared" si="34"/>
        <v/>
      </c>
      <c r="U88" s="16">
        <f>COUNTIFS('Base de données'!D:D,A88,'Base de données'!G:G,"&lt;=0",'Base de données'!C:C,"&gt;=01/12",'Base de données'!C:C,"&lt;=31/12")</f>
        <v>0</v>
      </c>
      <c r="V88" s="23" t="str">
        <f t="shared" si="35"/>
        <v/>
      </c>
      <c r="W88" s="81"/>
    </row>
    <row r="89" spans="1:23">
      <c r="A89" s="55" t="s">
        <v>45</v>
      </c>
      <c r="B89" s="19">
        <f>COUNTIFS('Base de données'!D:D,A89,'Base de données'!C:C,"&gt;=01/10",'Base de données'!C:C,"&lt;01/11")</f>
        <v>0</v>
      </c>
      <c r="C89" s="16">
        <f>COUNTIFS('Base de données'!D:D,A89,'Base de données'!E:E,"OK",'Base de données'!C:C,"&gt;=01/10",'Base de données'!C:C,"&lt;01/11")+COUNTIFS('Base de données'!D:D,A89,'Base de données'!E:E,"KO - REL",'Base de données'!C:C,"&gt;=01/10",'Base de données'!C:C,"&lt;01/11")</f>
        <v>0</v>
      </c>
      <c r="D89" s="17" t="str">
        <f t="shared" si="27"/>
        <v/>
      </c>
      <c r="E89" s="43">
        <f>COUNTIFS('Base de données'!D:D,A89,'Base de données'!F:F,"OK",'Base de données'!C:C,"&gt;=01/10",'Base de données'!C:C,"&lt;01/11")+COUNTIFS('Base de données'!D:D,A89,'Base de données'!F:F,"KO - REL",'Base de données'!C:C,"&gt;=01/10",'Base de données'!C:C,"&lt;01/11")</f>
        <v>0</v>
      </c>
      <c r="F89" s="17" t="str">
        <f t="shared" si="28"/>
        <v/>
      </c>
      <c r="G89" s="16">
        <f>COUNTIFS('Base de données'!D:D,A89,'Base de données'!G:G,"&lt;=0",'Base de données'!C:C,"&gt;=01/10",'Base de données'!C:C,"&lt;01/11")</f>
        <v>0</v>
      </c>
      <c r="H89" s="35" t="str">
        <f t="shared" si="29"/>
        <v/>
      </c>
      <c r="I89" s="19">
        <f>COUNTIFS('Base de données'!D:D,A89,'Base de données'!C:C,"&gt;=01/11",'Base de données'!C:C,"&lt;01/12")</f>
        <v>0</v>
      </c>
      <c r="J89" s="16">
        <f>COUNTIFS('Base de données'!D:D,A89,'Base de données'!E:E,"OK",'Base de données'!C:C,"&gt;=01/11",'Base de données'!C:C,"&lt;01/12")+COUNTIFS('Base de données'!D:D,A89,'Base de données'!E:E,"KO - REL",'Base de données'!C:C,"&gt;=01/11",'Base de données'!C:C,"&lt;01/12")</f>
        <v>0</v>
      </c>
      <c r="K89" s="17" t="str">
        <f t="shared" si="30"/>
        <v/>
      </c>
      <c r="L89" s="43">
        <f>COUNTIFS('Base de données'!D:D,A89,'Base de données'!F:F,"OK",'Base de données'!C:C,"&gt;=01/11",'Base de données'!C:C,"&lt;01/12")+COUNTIFS('Base de données'!D:D,A89,'Base de données'!F:F,"KO - REL",'Base de données'!C:C,"&gt;=01/11",'Base de données'!C:C,"&lt;01/12")</f>
        <v>0</v>
      </c>
      <c r="M89" s="17" t="str">
        <f t="shared" si="31"/>
        <v/>
      </c>
      <c r="N89" s="16">
        <f>COUNTIFS('Base de données'!D:D,A89,'Base de données'!G:G,"&lt;=0",'Base de données'!C:C,"&gt;=01/11",'Base de données'!C:C,"&lt;01/12")</f>
        <v>0</v>
      </c>
      <c r="O89" s="35" t="str">
        <f t="shared" si="32"/>
        <v/>
      </c>
      <c r="P89" s="19">
        <f>COUNTIFS('Base de données'!D:D,A89,'Base de données'!C:C,"&gt;=01/12",'Base de données'!C:C,"&lt;=31/12")</f>
        <v>0</v>
      </c>
      <c r="Q89" s="16">
        <f>COUNTIFS('Base de données'!D:D,A89,'Base de données'!E:E,"OK",'Base de données'!C:C,"&gt;=01/12",'Base de données'!C:C,"&lt;=31/12")+COUNTIFS('Base de données'!D:D,A89,'Base de données'!E:E,"KO - REL",'Base de données'!C:C,"&gt;=01/12",'Base de données'!C:C,"&lt;=31/12")</f>
        <v>0</v>
      </c>
      <c r="R89" s="17" t="str">
        <f t="shared" si="33"/>
        <v/>
      </c>
      <c r="S89" s="43">
        <f>COUNTIFS('Base de données'!D:D,A89,'Base de données'!F:F,"OK",'Base de données'!C:C,"&gt;=01/12",'Base de données'!C:C,"&lt;=31/12")+COUNTIFS('Base de données'!D:D,A89,'Base de données'!F:F,"KO - REL",'Base de données'!C:C,"&gt;=01/12",'Base de données'!C:C,"&lt;=31/12")</f>
        <v>0</v>
      </c>
      <c r="T89" s="17" t="str">
        <f t="shared" si="34"/>
        <v/>
      </c>
      <c r="U89" s="16">
        <f>COUNTIFS('Base de données'!D:D,A89,'Base de données'!G:G,"&lt;=0",'Base de données'!C:C,"&gt;=01/12",'Base de données'!C:C,"&lt;=31/12")</f>
        <v>0</v>
      </c>
      <c r="V89" s="23" t="str">
        <f t="shared" si="35"/>
        <v/>
      </c>
      <c r="W89" s="81"/>
    </row>
    <row r="90" spans="1:23">
      <c r="A90" s="55" t="s">
        <v>46</v>
      </c>
      <c r="B90" s="19">
        <f>COUNTIFS('Base de données'!D:D,A90,'Base de données'!C:C,"&gt;=01/10",'Base de données'!C:C,"&lt;01/11")</f>
        <v>0</v>
      </c>
      <c r="C90" s="16">
        <f>COUNTIFS('Base de données'!D:D,A90,'Base de données'!E:E,"OK",'Base de données'!C:C,"&gt;=01/10",'Base de données'!C:C,"&lt;01/11")+COUNTIFS('Base de données'!D:D,A90,'Base de données'!E:E,"KO - REL",'Base de données'!C:C,"&gt;=01/10",'Base de données'!C:C,"&lt;01/11")</f>
        <v>0</v>
      </c>
      <c r="D90" s="17" t="str">
        <f t="shared" si="27"/>
        <v/>
      </c>
      <c r="E90" s="43">
        <f>COUNTIFS('Base de données'!D:D,A90,'Base de données'!F:F,"OK",'Base de données'!C:C,"&gt;=01/10",'Base de données'!C:C,"&lt;01/11")+COUNTIFS('Base de données'!D:D,A90,'Base de données'!F:F,"KO - REL",'Base de données'!C:C,"&gt;=01/10",'Base de données'!C:C,"&lt;01/11")</f>
        <v>0</v>
      </c>
      <c r="F90" s="17" t="str">
        <f t="shared" si="28"/>
        <v/>
      </c>
      <c r="G90" s="16">
        <f>COUNTIFS('Base de données'!D:D,A90,'Base de données'!G:G,"&lt;=0",'Base de données'!C:C,"&gt;=01/10",'Base de données'!C:C,"&lt;01/11")</f>
        <v>0</v>
      </c>
      <c r="H90" s="35" t="str">
        <f t="shared" si="29"/>
        <v/>
      </c>
      <c r="I90" s="19">
        <f>COUNTIFS('Base de données'!D:D,A90,'Base de données'!C:C,"&gt;=01/11",'Base de données'!C:C,"&lt;01/12")</f>
        <v>0</v>
      </c>
      <c r="J90" s="16">
        <f>COUNTIFS('Base de données'!D:D,A90,'Base de données'!E:E,"OK",'Base de données'!C:C,"&gt;=01/11",'Base de données'!C:C,"&lt;01/12")+COUNTIFS('Base de données'!D:D,A90,'Base de données'!E:E,"KO - REL",'Base de données'!C:C,"&gt;=01/11",'Base de données'!C:C,"&lt;01/12")</f>
        <v>0</v>
      </c>
      <c r="K90" s="17" t="str">
        <f t="shared" si="30"/>
        <v/>
      </c>
      <c r="L90" s="43">
        <f>COUNTIFS('Base de données'!D:D,A90,'Base de données'!F:F,"OK",'Base de données'!C:C,"&gt;=01/11",'Base de données'!C:C,"&lt;01/12")+COUNTIFS('Base de données'!D:D,A90,'Base de données'!F:F,"KO - REL",'Base de données'!C:C,"&gt;=01/11",'Base de données'!C:C,"&lt;01/12")</f>
        <v>0</v>
      </c>
      <c r="M90" s="17" t="str">
        <f t="shared" si="31"/>
        <v/>
      </c>
      <c r="N90" s="16">
        <f>COUNTIFS('Base de données'!D:D,A90,'Base de données'!G:G,"&lt;=0",'Base de données'!C:C,"&gt;=01/11",'Base de données'!C:C,"&lt;01/12")</f>
        <v>0</v>
      </c>
      <c r="O90" s="35" t="str">
        <f t="shared" si="32"/>
        <v/>
      </c>
      <c r="P90" s="19">
        <f>COUNTIFS('Base de données'!D:D,A90,'Base de données'!C:C,"&gt;=01/12",'Base de données'!C:C,"&lt;=31/12")</f>
        <v>0</v>
      </c>
      <c r="Q90" s="16">
        <f>COUNTIFS('Base de données'!D:D,A90,'Base de données'!E:E,"OK",'Base de données'!C:C,"&gt;=01/12",'Base de données'!C:C,"&lt;=31/12")+COUNTIFS('Base de données'!D:D,A90,'Base de données'!E:E,"KO - REL",'Base de données'!C:C,"&gt;=01/12",'Base de données'!C:C,"&lt;=31/12")</f>
        <v>0</v>
      </c>
      <c r="R90" s="17" t="str">
        <f t="shared" si="33"/>
        <v/>
      </c>
      <c r="S90" s="43">
        <f>COUNTIFS('Base de données'!D:D,A90,'Base de données'!F:F,"OK",'Base de données'!C:C,"&gt;=01/12",'Base de données'!C:C,"&lt;=31/12")+COUNTIFS('Base de données'!D:D,A90,'Base de données'!F:F,"KO - REL",'Base de données'!C:C,"&gt;=01/12",'Base de données'!C:C,"&lt;=31/12")</f>
        <v>0</v>
      </c>
      <c r="T90" s="17" t="str">
        <f t="shared" si="34"/>
        <v/>
      </c>
      <c r="U90" s="16">
        <f>COUNTIFS('Base de données'!D:D,A90,'Base de données'!G:G,"&lt;=0",'Base de données'!C:C,"&gt;=01/12",'Base de données'!C:C,"&lt;=31/12")</f>
        <v>0</v>
      </c>
      <c r="V90" s="23" t="str">
        <f t="shared" si="35"/>
        <v/>
      </c>
      <c r="W90" s="81"/>
    </row>
    <row r="91" spans="1:23">
      <c r="A91" s="55" t="s">
        <v>47</v>
      </c>
      <c r="B91" s="19">
        <f>COUNTIFS('Base de données'!D:D,A91,'Base de données'!C:C,"&gt;=01/10",'Base de données'!C:C,"&lt;01/11")</f>
        <v>0</v>
      </c>
      <c r="C91" s="16">
        <f>COUNTIFS('Base de données'!D:D,A91,'Base de données'!E:E,"OK",'Base de données'!C:C,"&gt;=01/10",'Base de données'!C:C,"&lt;01/11")+COUNTIFS('Base de données'!D:D,A91,'Base de données'!E:E,"KO - REL",'Base de données'!C:C,"&gt;=01/10",'Base de données'!C:C,"&lt;01/11")</f>
        <v>0</v>
      </c>
      <c r="D91" s="17" t="str">
        <f t="shared" si="27"/>
        <v/>
      </c>
      <c r="E91" s="43">
        <f>COUNTIFS('Base de données'!D:D,A91,'Base de données'!F:F,"OK",'Base de données'!C:C,"&gt;=01/10",'Base de données'!C:C,"&lt;01/11")+COUNTIFS('Base de données'!D:D,A91,'Base de données'!F:F,"KO - REL",'Base de données'!C:C,"&gt;=01/10",'Base de données'!C:C,"&lt;01/11")</f>
        <v>0</v>
      </c>
      <c r="F91" s="17" t="str">
        <f t="shared" si="28"/>
        <v/>
      </c>
      <c r="G91" s="16">
        <f>COUNTIFS('Base de données'!D:D,A91,'Base de données'!G:G,"&lt;=0",'Base de données'!C:C,"&gt;=01/10",'Base de données'!C:C,"&lt;01/11")</f>
        <v>0</v>
      </c>
      <c r="H91" s="35" t="str">
        <f t="shared" si="29"/>
        <v/>
      </c>
      <c r="I91" s="19">
        <f>COUNTIFS('Base de données'!D:D,A91,'Base de données'!C:C,"&gt;=01/11",'Base de données'!C:C,"&lt;01/12")</f>
        <v>0</v>
      </c>
      <c r="J91" s="16">
        <f>COUNTIFS('Base de données'!D:D,A91,'Base de données'!E:E,"OK",'Base de données'!C:C,"&gt;=01/11",'Base de données'!C:C,"&lt;01/12")+COUNTIFS('Base de données'!D:D,A91,'Base de données'!E:E,"KO - REL",'Base de données'!C:C,"&gt;=01/11",'Base de données'!C:C,"&lt;01/12")</f>
        <v>0</v>
      </c>
      <c r="K91" s="17" t="str">
        <f t="shared" si="30"/>
        <v/>
      </c>
      <c r="L91" s="43">
        <f>COUNTIFS('Base de données'!D:D,A91,'Base de données'!F:F,"OK",'Base de données'!C:C,"&gt;=01/11",'Base de données'!C:C,"&lt;01/12")+COUNTIFS('Base de données'!D:D,A91,'Base de données'!F:F,"KO - REL",'Base de données'!C:C,"&gt;=01/11",'Base de données'!C:C,"&lt;01/12")</f>
        <v>0</v>
      </c>
      <c r="M91" s="17" t="str">
        <f t="shared" si="31"/>
        <v/>
      </c>
      <c r="N91" s="16">
        <f>COUNTIFS('Base de données'!D:D,A91,'Base de données'!G:G,"&lt;=0",'Base de données'!C:C,"&gt;=01/11",'Base de données'!C:C,"&lt;01/12")</f>
        <v>0</v>
      </c>
      <c r="O91" s="35" t="str">
        <f t="shared" si="32"/>
        <v/>
      </c>
      <c r="P91" s="19">
        <f>COUNTIFS('Base de données'!D:D,A91,'Base de données'!C:C,"&gt;=01/12",'Base de données'!C:C,"&lt;=31/12")</f>
        <v>0</v>
      </c>
      <c r="Q91" s="16">
        <f>COUNTIFS('Base de données'!D:D,A91,'Base de données'!E:E,"OK",'Base de données'!C:C,"&gt;=01/12",'Base de données'!C:C,"&lt;=31/12")+COUNTIFS('Base de données'!D:D,A91,'Base de données'!E:E,"KO - REL",'Base de données'!C:C,"&gt;=01/12",'Base de données'!C:C,"&lt;=31/12")</f>
        <v>0</v>
      </c>
      <c r="R91" s="17" t="str">
        <f t="shared" si="33"/>
        <v/>
      </c>
      <c r="S91" s="43">
        <f>COUNTIFS('Base de données'!D:D,A91,'Base de données'!F:F,"OK",'Base de données'!C:C,"&gt;=01/12",'Base de données'!C:C,"&lt;=31/12")+COUNTIFS('Base de données'!D:D,A91,'Base de données'!F:F,"KO - REL",'Base de données'!C:C,"&gt;=01/12",'Base de données'!C:C,"&lt;=31/12")</f>
        <v>0</v>
      </c>
      <c r="T91" s="17" t="str">
        <f t="shared" si="34"/>
        <v/>
      </c>
      <c r="U91" s="16">
        <f>COUNTIFS('Base de données'!D:D,A91,'Base de données'!G:G,"&lt;=0",'Base de données'!C:C,"&gt;=01/12",'Base de données'!C:C,"&lt;=31/12")</f>
        <v>0</v>
      </c>
      <c r="V91" s="23" t="str">
        <f t="shared" si="35"/>
        <v/>
      </c>
      <c r="W91" s="81"/>
    </row>
    <row r="92" spans="1:23">
      <c r="A92" s="55" t="s">
        <v>48</v>
      </c>
      <c r="B92" s="19">
        <f>COUNTIFS('Base de données'!D:D,A92,'Base de données'!C:C,"&gt;=01/10",'Base de données'!C:C,"&lt;01/11")</f>
        <v>0</v>
      </c>
      <c r="C92" s="16">
        <f>COUNTIFS('Base de données'!D:D,A92,'Base de données'!E:E,"OK",'Base de données'!C:C,"&gt;=01/10",'Base de données'!C:C,"&lt;01/11")+COUNTIFS('Base de données'!D:D,A92,'Base de données'!E:E,"KO - REL",'Base de données'!C:C,"&gt;=01/10",'Base de données'!C:C,"&lt;01/11")</f>
        <v>0</v>
      </c>
      <c r="D92" s="17" t="str">
        <f t="shared" si="27"/>
        <v/>
      </c>
      <c r="E92" s="43">
        <f>COUNTIFS('Base de données'!D:D,A92,'Base de données'!F:F,"OK",'Base de données'!C:C,"&gt;=01/10",'Base de données'!C:C,"&lt;01/11")+COUNTIFS('Base de données'!D:D,A92,'Base de données'!F:F,"KO - REL",'Base de données'!C:C,"&gt;=01/10",'Base de données'!C:C,"&lt;01/11")</f>
        <v>0</v>
      </c>
      <c r="F92" s="17" t="str">
        <f t="shared" si="28"/>
        <v/>
      </c>
      <c r="G92" s="16">
        <f>COUNTIFS('Base de données'!D:D,A92,'Base de données'!G:G,"&lt;=0",'Base de données'!C:C,"&gt;=01/10",'Base de données'!C:C,"&lt;01/11")</f>
        <v>0</v>
      </c>
      <c r="H92" s="35" t="str">
        <f t="shared" si="29"/>
        <v/>
      </c>
      <c r="I92" s="19">
        <f>COUNTIFS('Base de données'!D:D,A92,'Base de données'!C:C,"&gt;=01/11",'Base de données'!C:C,"&lt;01/12")</f>
        <v>0</v>
      </c>
      <c r="J92" s="16">
        <f>COUNTIFS('Base de données'!D:D,A92,'Base de données'!E:E,"OK",'Base de données'!C:C,"&gt;=01/11",'Base de données'!C:C,"&lt;01/12")+COUNTIFS('Base de données'!D:D,A92,'Base de données'!E:E,"KO - REL",'Base de données'!C:C,"&gt;=01/11",'Base de données'!C:C,"&lt;01/12")</f>
        <v>0</v>
      </c>
      <c r="K92" s="17" t="str">
        <f t="shared" si="30"/>
        <v/>
      </c>
      <c r="L92" s="43">
        <f>COUNTIFS('Base de données'!D:D,A92,'Base de données'!F:F,"OK",'Base de données'!C:C,"&gt;=01/11",'Base de données'!C:C,"&lt;01/12")+COUNTIFS('Base de données'!D:D,A92,'Base de données'!F:F,"KO - REL",'Base de données'!C:C,"&gt;=01/11",'Base de données'!C:C,"&lt;01/12")</f>
        <v>0</v>
      </c>
      <c r="M92" s="17" t="str">
        <f t="shared" si="31"/>
        <v/>
      </c>
      <c r="N92" s="16">
        <f>COUNTIFS('Base de données'!D:D,A92,'Base de données'!G:G,"&lt;=0",'Base de données'!C:C,"&gt;=01/11",'Base de données'!C:C,"&lt;01/12")</f>
        <v>0</v>
      </c>
      <c r="O92" s="35" t="str">
        <f t="shared" si="32"/>
        <v/>
      </c>
      <c r="P92" s="19">
        <f>COUNTIFS('Base de données'!D:D,A92,'Base de données'!C:C,"&gt;=01/12",'Base de données'!C:C,"&lt;=31/12")</f>
        <v>0</v>
      </c>
      <c r="Q92" s="16">
        <f>COUNTIFS('Base de données'!D:D,A92,'Base de données'!E:E,"OK",'Base de données'!C:C,"&gt;=01/12",'Base de données'!C:C,"&lt;=31/12")+COUNTIFS('Base de données'!D:D,A92,'Base de données'!E:E,"KO - REL",'Base de données'!C:C,"&gt;=01/12",'Base de données'!C:C,"&lt;=31/12")</f>
        <v>0</v>
      </c>
      <c r="R92" s="17" t="str">
        <f t="shared" si="33"/>
        <v/>
      </c>
      <c r="S92" s="43">
        <f>COUNTIFS('Base de données'!D:D,A92,'Base de données'!F:F,"OK",'Base de données'!C:C,"&gt;=01/12",'Base de données'!C:C,"&lt;=31/12")+COUNTIFS('Base de données'!D:D,A92,'Base de données'!F:F,"KO - REL",'Base de données'!C:C,"&gt;=01/12",'Base de données'!C:C,"&lt;=31/12")</f>
        <v>0</v>
      </c>
      <c r="T92" s="17" t="str">
        <f t="shared" si="34"/>
        <v/>
      </c>
      <c r="U92" s="16">
        <f>COUNTIFS('Base de données'!D:D,A92,'Base de données'!G:G,"&lt;=0",'Base de données'!C:C,"&gt;=01/12",'Base de données'!C:C,"&lt;=31/12")</f>
        <v>0</v>
      </c>
      <c r="V92" s="23" t="str">
        <f t="shared" si="35"/>
        <v/>
      </c>
      <c r="W92" s="81"/>
    </row>
    <row r="93" spans="1:23">
      <c r="A93" s="55" t="s">
        <v>49</v>
      </c>
      <c r="B93" s="19">
        <f>COUNTIFS('Base de données'!D:D,A93,'Base de données'!C:C,"&gt;=01/10",'Base de données'!C:C,"&lt;01/11")</f>
        <v>0</v>
      </c>
      <c r="C93" s="16">
        <f>COUNTIFS('Base de données'!D:D,A93,'Base de données'!E:E,"OK",'Base de données'!C:C,"&gt;=01/10",'Base de données'!C:C,"&lt;01/11")+COUNTIFS('Base de données'!D:D,A93,'Base de données'!E:E,"KO - REL",'Base de données'!C:C,"&gt;=01/10",'Base de données'!C:C,"&lt;01/11")</f>
        <v>0</v>
      </c>
      <c r="D93" s="17" t="str">
        <f t="shared" si="27"/>
        <v/>
      </c>
      <c r="E93" s="43">
        <f>COUNTIFS('Base de données'!D:D,A93,'Base de données'!F:F,"OK",'Base de données'!C:C,"&gt;=01/10",'Base de données'!C:C,"&lt;01/11")+COUNTIFS('Base de données'!D:D,A93,'Base de données'!F:F,"KO - REL",'Base de données'!C:C,"&gt;=01/10",'Base de données'!C:C,"&lt;01/11")</f>
        <v>0</v>
      </c>
      <c r="F93" s="17" t="str">
        <f t="shared" si="28"/>
        <v/>
      </c>
      <c r="G93" s="16">
        <f>COUNTIFS('Base de données'!D:D,A93,'Base de données'!G:G,"&lt;=0",'Base de données'!C:C,"&gt;=01/10",'Base de données'!C:C,"&lt;01/11")</f>
        <v>0</v>
      </c>
      <c r="H93" s="35" t="str">
        <f t="shared" si="29"/>
        <v/>
      </c>
      <c r="I93" s="19">
        <f>COUNTIFS('Base de données'!D:D,A93,'Base de données'!C:C,"&gt;=01/11",'Base de données'!C:C,"&lt;01/12")</f>
        <v>0</v>
      </c>
      <c r="J93" s="16">
        <f>COUNTIFS('Base de données'!D:D,A93,'Base de données'!E:E,"OK",'Base de données'!C:C,"&gt;=01/11",'Base de données'!C:C,"&lt;01/12")+COUNTIFS('Base de données'!D:D,A93,'Base de données'!E:E,"KO - REL",'Base de données'!C:C,"&gt;=01/11",'Base de données'!C:C,"&lt;01/12")</f>
        <v>0</v>
      </c>
      <c r="K93" s="17" t="str">
        <f t="shared" si="30"/>
        <v/>
      </c>
      <c r="L93" s="43">
        <f>COUNTIFS('Base de données'!D:D,A93,'Base de données'!F:F,"OK",'Base de données'!C:C,"&gt;=01/11",'Base de données'!C:C,"&lt;01/12")+COUNTIFS('Base de données'!D:D,A93,'Base de données'!F:F,"KO - REL",'Base de données'!C:C,"&gt;=01/11",'Base de données'!C:C,"&lt;01/12")</f>
        <v>0</v>
      </c>
      <c r="M93" s="17" t="str">
        <f t="shared" si="31"/>
        <v/>
      </c>
      <c r="N93" s="16">
        <f>COUNTIFS('Base de données'!D:D,A93,'Base de données'!G:G,"&lt;=0",'Base de données'!C:C,"&gt;=01/11",'Base de données'!C:C,"&lt;01/12")</f>
        <v>0</v>
      </c>
      <c r="O93" s="35" t="str">
        <f t="shared" si="32"/>
        <v/>
      </c>
      <c r="P93" s="19">
        <f>COUNTIFS('Base de données'!D:D,A93,'Base de données'!C:C,"&gt;=01/12",'Base de données'!C:C,"&lt;=31/12")</f>
        <v>0</v>
      </c>
      <c r="Q93" s="16">
        <f>COUNTIFS('Base de données'!D:D,A93,'Base de données'!E:E,"OK",'Base de données'!C:C,"&gt;=01/12",'Base de données'!C:C,"&lt;=31/12")+COUNTIFS('Base de données'!D:D,A93,'Base de données'!E:E,"KO - REL",'Base de données'!C:C,"&gt;=01/12",'Base de données'!C:C,"&lt;=31/12")</f>
        <v>0</v>
      </c>
      <c r="R93" s="17" t="str">
        <f t="shared" si="33"/>
        <v/>
      </c>
      <c r="S93" s="43">
        <f>COUNTIFS('Base de données'!D:D,A93,'Base de données'!F:F,"OK",'Base de données'!C:C,"&gt;=01/12",'Base de données'!C:C,"&lt;=31/12")+COUNTIFS('Base de données'!D:D,A93,'Base de données'!F:F,"KO - REL",'Base de données'!C:C,"&gt;=01/12",'Base de données'!C:C,"&lt;=31/12")</f>
        <v>0</v>
      </c>
      <c r="T93" s="17" t="str">
        <f t="shared" si="34"/>
        <v/>
      </c>
      <c r="U93" s="16">
        <f>COUNTIFS('Base de données'!D:D,A93,'Base de données'!G:G,"&lt;=0",'Base de données'!C:C,"&gt;=01/12",'Base de données'!C:C,"&lt;=31/12")</f>
        <v>0</v>
      </c>
      <c r="V93" s="23" t="str">
        <f t="shared" si="35"/>
        <v/>
      </c>
      <c r="W93" s="81"/>
    </row>
    <row r="94" spans="1:23">
      <c r="A94" s="55" t="s">
        <v>50</v>
      </c>
      <c r="B94" s="19">
        <f>COUNTIFS('Base de données'!D:D,A94,'Base de données'!C:C,"&gt;=01/10",'Base de données'!C:C,"&lt;01/11")</f>
        <v>0</v>
      </c>
      <c r="C94" s="16">
        <f>COUNTIFS('Base de données'!D:D,A94,'Base de données'!E:E,"OK",'Base de données'!C:C,"&gt;=01/10",'Base de données'!C:C,"&lt;01/11")+COUNTIFS('Base de données'!D:D,A94,'Base de données'!E:E,"KO - REL",'Base de données'!C:C,"&gt;=01/10",'Base de données'!C:C,"&lt;01/11")</f>
        <v>0</v>
      </c>
      <c r="D94" s="17" t="str">
        <f t="shared" si="27"/>
        <v/>
      </c>
      <c r="E94" s="43">
        <f>COUNTIFS('Base de données'!D:D,A94,'Base de données'!F:F,"OK",'Base de données'!C:C,"&gt;=01/10",'Base de données'!C:C,"&lt;01/11")+COUNTIFS('Base de données'!D:D,A94,'Base de données'!F:F,"KO - REL",'Base de données'!C:C,"&gt;=01/10",'Base de données'!C:C,"&lt;01/11")</f>
        <v>0</v>
      </c>
      <c r="F94" s="17" t="str">
        <f t="shared" si="28"/>
        <v/>
      </c>
      <c r="G94" s="16">
        <f>COUNTIFS('Base de données'!D:D,A94,'Base de données'!G:G,"&lt;=0",'Base de données'!C:C,"&gt;=01/10",'Base de données'!C:C,"&lt;01/11")</f>
        <v>0</v>
      </c>
      <c r="H94" s="35" t="str">
        <f t="shared" si="29"/>
        <v/>
      </c>
      <c r="I94" s="19">
        <f>COUNTIFS('Base de données'!D:D,A94,'Base de données'!C:C,"&gt;=01/11",'Base de données'!C:C,"&lt;01/12")</f>
        <v>0</v>
      </c>
      <c r="J94" s="16">
        <f>COUNTIFS('Base de données'!D:D,A94,'Base de données'!E:E,"OK",'Base de données'!C:C,"&gt;=01/11",'Base de données'!C:C,"&lt;01/12")+COUNTIFS('Base de données'!D:D,A94,'Base de données'!E:E,"KO - REL",'Base de données'!C:C,"&gt;=01/11",'Base de données'!C:C,"&lt;01/12")</f>
        <v>0</v>
      </c>
      <c r="K94" s="17" t="str">
        <f t="shared" si="30"/>
        <v/>
      </c>
      <c r="L94" s="43">
        <f>COUNTIFS('Base de données'!D:D,A94,'Base de données'!F:F,"OK",'Base de données'!C:C,"&gt;=01/11",'Base de données'!C:C,"&lt;01/12")+COUNTIFS('Base de données'!D:D,A94,'Base de données'!F:F,"KO - REL",'Base de données'!C:C,"&gt;=01/11",'Base de données'!C:C,"&lt;01/12")</f>
        <v>0</v>
      </c>
      <c r="M94" s="17" t="str">
        <f t="shared" si="31"/>
        <v/>
      </c>
      <c r="N94" s="16">
        <f>COUNTIFS('Base de données'!D:D,A94,'Base de données'!G:G,"&lt;=0",'Base de données'!C:C,"&gt;=01/11",'Base de données'!C:C,"&lt;01/12")</f>
        <v>0</v>
      </c>
      <c r="O94" s="35" t="str">
        <f t="shared" si="32"/>
        <v/>
      </c>
      <c r="P94" s="19">
        <f>COUNTIFS('Base de données'!D:D,A94,'Base de données'!C:C,"&gt;=01/12",'Base de données'!C:C,"&lt;=31/12")</f>
        <v>0</v>
      </c>
      <c r="Q94" s="16">
        <f>COUNTIFS('Base de données'!D:D,A94,'Base de données'!E:E,"OK",'Base de données'!C:C,"&gt;=01/12",'Base de données'!C:C,"&lt;=31/12")+COUNTIFS('Base de données'!D:D,A94,'Base de données'!E:E,"KO - REL",'Base de données'!C:C,"&gt;=01/12",'Base de données'!C:C,"&lt;=31/12")</f>
        <v>0</v>
      </c>
      <c r="R94" s="17" t="str">
        <f t="shared" si="33"/>
        <v/>
      </c>
      <c r="S94" s="43">
        <f>COUNTIFS('Base de données'!D:D,A94,'Base de données'!F:F,"OK",'Base de données'!C:C,"&gt;=01/12",'Base de données'!C:C,"&lt;=31/12")+COUNTIFS('Base de données'!D:D,A94,'Base de données'!F:F,"KO - REL",'Base de données'!C:C,"&gt;=01/12",'Base de données'!C:C,"&lt;=31/12")</f>
        <v>0</v>
      </c>
      <c r="T94" s="17" t="str">
        <f t="shared" si="34"/>
        <v/>
      </c>
      <c r="U94" s="16">
        <f>COUNTIFS('Base de données'!D:D,A94,'Base de données'!G:G,"&lt;=0",'Base de données'!C:C,"&gt;=01/12",'Base de données'!C:C,"&lt;=31/12")</f>
        <v>0</v>
      </c>
      <c r="V94" s="23" t="str">
        <f t="shared" si="35"/>
        <v/>
      </c>
      <c r="W94" s="81"/>
    </row>
    <row r="95" spans="1:23">
      <c r="A95" s="55" t="s">
        <v>51</v>
      </c>
      <c r="B95" s="19">
        <f>COUNTIFS('Base de données'!D:D,A95,'Base de données'!C:C,"&gt;=01/10",'Base de données'!C:C,"&lt;01/11")</f>
        <v>0</v>
      </c>
      <c r="C95" s="16">
        <f>COUNTIFS('Base de données'!D:D,A95,'Base de données'!E:E,"OK",'Base de données'!C:C,"&gt;=01/10",'Base de données'!C:C,"&lt;01/11")+COUNTIFS('Base de données'!D:D,A95,'Base de données'!E:E,"KO - REL",'Base de données'!C:C,"&gt;=01/10",'Base de données'!C:C,"&lt;01/11")</f>
        <v>0</v>
      </c>
      <c r="D95" s="17" t="str">
        <f t="shared" si="27"/>
        <v/>
      </c>
      <c r="E95" s="43">
        <f>COUNTIFS('Base de données'!D:D,A95,'Base de données'!F:F,"OK",'Base de données'!C:C,"&gt;=01/10",'Base de données'!C:C,"&lt;01/11")+COUNTIFS('Base de données'!D:D,A95,'Base de données'!F:F,"KO - REL",'Base de données'!C:C,"&gt;=01/10",'Base de données'!C:C,"&lt;01/11")</f>
        <v>0</v>
      </c>
      <c r="F95" s="17" t="str">
        <f t="shared" si="28"/>
        <v/>
      </c>
      <c r="G95" s="16">
        <f>COUNTIFS('Base de données'!D:D,A95,'Base de données'!G:G,"&lt;=0",'Base de données'!C:C,"&gt;=01/10",'Base de données'!C:C,"&lt;01/11")</f>
        <v>0</v>
      </c>
      <c r="H95" s="35" t="str">
        <f t="shared" si="29"/>
        <v/>
      </c>
      <c r="I95" s="19">
        <f>COUNTIFS('Base de données'!D:D,A95,'Base de données'!C:C,"&gt;=01/11",'Base de données'!C:C,"&lt;01/12")</f>
        <v>0</v>
      </c>
      <c r="J95" s="16">
        <f>COUNTIFS('Base de données'!D:D,A95,'Base de données'!E:E,"OK",'Base de données'!C:C,"&gt;=01/11",'Base de données'!C:C,"&lt;01/12")+COUNTIFS('Base de données'!D:D,A95,'Base de données'!E:E,"KO - REL",'Base de données'!C:C,"&gt;=01/11",'Base de données'!C:C,"&lt;01/12")</f>
        <v>0</v>
      </c>
      <c r="K95" s="17" t="str">
        <f t="shared" si="30"/>
        <v/>
      </c>
      <c r="L95" s="43">
        <f>COUNTIFS('Base de données'!D:D,A95,'Base de données'!F:F,"OK",'Base de données'!C:C,"&gt;=01/11",'Base de données'!C:C,"&lt;01/12")+COUNTIFS('Base de données'!D:D,A95,'Base de données'!F:F,"KO - REL",'Base de données'!C:C,"&gt;=01/11",'Base de données'!C:C,"&lt;01/12")</f>
        <v>0</v>
      </c>
      <c r="M95" s="17" t="str">
        <f t="shared" si="31"/>
        <v/>
      </c>
      <c r="N95" s="16">
        <f>COUNTIFS('Base de données'!D:D,A95,'Base de données'!G:G,"&lt;=0",'Base de données'!C:C,"&gt;=01/11",'Base de données'!C:C,"&lt;01/12")</f>
        <v>0</v>
      </c>
      <c r="O95" s="35" t="str">
        <f t="shared" si="32"/>
        <v/>
      </c>
      <c r="P95" s="19">
        <f>COUNTIFS('Base de données'!D:D,A95,'Base de données'!C:C,"&gt;=01/12",'Base de données'!C:C,"&lt;=31/12")</f>
        <v>0</v>
      </c>
      <c r="Q95" s="16">
        <f>COUNTIFS('Base de données'!D:D,A95,'Base de données'!E:E,"OK",'Base de données'!C:C,"&gt;=01/12",'Base de données'!C:C,"&lt;=31/12")+COUNTIFS('Base de données'!D:D,A95,'Base de données'!E:E,"KO - REL",'Base de données'!C:C,"&gt;=01/12",'Base de données'!C:C,"&lt;=31/12")</f>
        <v>0</v>
      </c>
      <c r="R95" s="17" t="str">
        <f t="shared" si="33"/>
        <v/>
      </c>
      <c r="S95" s="43">
        <f>COUNTIFS('Base de données'!D:D,A95,'Base de données'!F:F,"OK",'Base de données'!C:C,"&gt;=01/12",'Base de données'!C:C,"&lt;=31/12")+COUNTIFS('Base de données'!D:D,A95,'Base de données'!F:F,"KO - REL",'Base de données'!C:C,"&gt;=01/12",'Base de données'!C:C,"&lt;=31/12")</f>
        <v>0</v>
      </c>
      <c r="T95" s="17" t="str">
        <f t="shared" si="34"/>
        <v/>
      </c>
      <c r="U95" s="16">
        <f>COUNTIFS('Base de données'!D:D,A95,'Base de données'!G:G,"&lt;=0",'Base de données'!C:C,"&gt;=01/12",'Base de données'!C:C,"&lt;=31/12")</f>
        <v>0</v>
      </c>
      <c r="V95" s="23" t="str">
        <f t="shared" si="35"/>
        <v/>
      </c>
      <c r="W95" s="81"/>
    </row>
    <row r="96" spans="1:23">
      <c r="A96" s="55" t="s">
        <v>52</v>
      </c>
      <c r="B96" s="19">
        <f>COUNTIFS('Base de données'!D:D,A96,'Base de données'!C:C,"&gt;=01/10",'Base de données'!C:C,"&lt;01/11")</f>
        <v>0</v>
      </c>
      <c r="C96" s="16">
        <f>COUNTIFS('Base de données'!D:D,A96,'Base de données'!E:E,"OK",'Base de données'!C:C,"&gt;=01/10",'Base de données'!C:C,"&lt;01/11")+COUNTIFS('Base de données'!D:D,A96,'Base de données'!E:E,"KO - REL",'Base de données'!C:C,"&gt;=01/10",'Base de données'!C:C,"&lt;01/11")</f>
        <v>0</v>
      </c>
      <c r="D96" s="17" t="str">
        <f t="shared" si="27"/>
        <v/>
      </c>
      <c r="E96" s="43">
        <f>COUNTIFS('Base de données'!D:D,A96,'Base de données'!F:F,"OK",'Base de données'!C:C,"&gt;=01/10",'Base de données'!C:C,"&lt;01/11")+COUNTIFS('Base de données'!D:D,A96,'Base de données'!F:F,"KO - REL",'Base de données'!C:C,"&gt;=01/10",'Base de données'!C:C,"&lt;01/11")</f>
        <v>0</v>
      </c>
      <c r="F96" s="17" t="str">
        <f t="shared" si="28"/>
        <v/>
      </c>
      <c r="G96" s="16">
        <f>COUNTIFS('Base de données'!D:D,A96,'Base de données'!G:G,"&lt;=0",'Base de données'!C:C,"&gt;=01/10",'Base de données'!C:C,"&lt;01/11")</f>
        <v>0</v>
      </c>
      <c r="H96" s="35" t="str">
        <f t="shared" si="29"/>
        <v/>
      </c>
      <c r="I96" s="19">
        <f>COUNTIFS('Base de données'!D:D,A96,'Base de données'!C:C,"&gt;=01/11",'Base de données'!C:C,"&lt;01/12")</f>
        <v>0</v>
      </c>
      <c r="J96" s="16">
        <f>COUNTIFS('Base de données'!D:D,A96,'Base de données'!E:E,"OK",'Base de données'!C:C,"&gt;=01/11",'Base de données'!C:C,"&lt;01/12")+COUNTIFS('Base de données'!D:D,A96,'Base de données'!E:E,"KO - REL",'Base de données'!C:C,"&gt;=01/11",'Base de données'!C:C,"&lt;01/12")</f>
        <v>0</v>
      </c>
      <c r="K96" s="17" t="str">
        <f t="shared" si="30"/>
        <v/>
      </c>
      <c r="L96" s="43">
        <f>COUNTIFS('Base de données'!D:D,A96,'Base de données'!F:F,"OK",'Base de données'!C:C,"&gt;=01/11",'Base de données'!C:C,"&lt;01/12")+COUNTIFS('Base de données'!D:D,A96,'Base de données'!F:F,"KO - REL",'Base de données'!C:C,"&gt;=01/11",'Base de données'!C:C,"&lt;01/12")</f>
        <v>0</v>
      </c>
      <c r="M96" s="17" t="str">
        <f t="shared" si="31"/>
        <v/>
      </c>
      <c r="N96" s="16">
        <f>COUNTIFS('Base de données'!D:D,A96,'Base de données'!G:G,"&lt;=0",'Base de données'!C:C,"&gt;=01/11",'Base de données'!C:C,"&lt;01/12")</f>
        <v>0</v>
      </c>
      <c r="O96" s="35" t="str">
        <f t="shared" si="32"/>
        <v/>
      </c>
      <c r="P96" s="19">
        <f>COUNTIFS('Base de données'!D:D,A96,'Base de données'!C:C,"&gt;=01/12",'Base de données'!C:C,"&lt;=31/12")</f>
        <v>0</v>
      </c>
      <c r="Q96" s="16">
        <f>COUNTIFS('Base de données'!D:D,A96,'Base de données'!E:E,"OK",'Base de données'!C:C,"&gt;=01/12",'Base de données'!C:C,"&lt;=31/12")+COUNTIFS('Base de données'!D:D,A96,'Base de données'!E:E,"KO - REL",'Base de données'!C:C,"&gt;=01/12",'Base de données'!C:C,"&lt;=31/12")</f>
        <v>0</v>
      </c>
      <c r="R96" s="17" t="str">
        <f t="shared" si="33"/>
        <v/>
      </c>
      <c r="S96" s="43">
        <f>COUNTIFS('Base de données'!D:D,A96,'Base de données'!F:F,"OK",'Base de données'!C:C,"&gt;=01/12",'Base de données'!C:C,"&lt;=31/12")+COUNTIFS('Base de données'!D:D,A96,'Base de données'!F:F,"KO - REL",'Base de données'!C:C,"&gt;=01/12",'Base de données'!C:C,"&lt;=31/12")</f>
        <v>0</v>
      </c>
      <c r="T96" s="17" t="str">
        <f t="shared" si="34"/>
        <v/>
      </c>
      <c r="U96" s="16">
        <f>COUNTIFS('Base de données'!D:D,A96,'Base de données'!G:G,"&lt;=0",'Base de données'!C:C,"&gt;=01/12",'Base de données'!C:C,"&lt;=31/12")</f>
        <v>0</v>
      </c>
      <c r="V96" s="23" t="str">
        <f t="shared" si="35"/>
        <v/>
      </c>
      <c r="W96" s="81"/>
    </row>
    <row r="97" spans="1:23">
      <c r="A97" s="55" t="s">
        <v>53</v>
      </c>
      <c r="B97" s="19">
        <f>COUNTIFS('Base de données'!D:D,A97,'Base de données'!C:C,"&gt;=01/10",'Base de données'!C:C,"&lt;01/11")</f>
        <v>0</v>
      </c>
      <c r="C97" s="16">
        <f>COUNTIFS('Base de données'!D:D,A97,'Base de données'!E:E,"OK",'Base de données'!C:C,"&gt;=01/10",'Base de données'!C:C,"&lt;01/11")+COUNTIFS('Base de données'!D:D,A97,'Base de données'!E:E,"KO - REL",'Base de données'!C:C,"&gt;=01/10",'Base de données'!C:C,"&lt;01/11")</f>
        <v>0</v>
      </c>
      <c r="D97" s="17" t="str">
        <f t="shared" si="27"/>
        <v/>
      </c>
      <c r="E97" s="43">
        <f>COUNTIFS('Base de données'!D:D,A97,'Base de données'!F:F,"OK",'Base de données'!C:C,"&gt;=01/10",'Base de données'!C:C,"&lt;01/11")+COUNTIFS('Base de données'!D:D,A97,'Base de données'!F:F,"KO - REL",'Base de données'!C:C,"&gt;=01/10",'Base de données'!C:C,"&lt;01/11")</f>
        <v>0</v>
      </c>
      <c r="F97" s="17" t="str">
        <f t="shared" si="28"/>
        <v/>
      </c>
      <c r="G97" s="16">
        <f>COUNTIFS('Base de données'!D:D,A97,'Base de données'!G:G,"&lt;=0",'Base de données'!C:C,"&gt;=01/10",'Base de données'!C:C,"&lt;01/11")</f>
        <v>0</v>
      </c>
      <c r="H97" s="35" t="str">
        <f t="shared" si="29"/>
        <v/>
      </c>
      <c r="I97" s="19">
        <f>COUNTIFS('Base de données'!D:D,A97,'Base de données'!C:C,"&gt;=01/11",'Base de données'!C:C,"&lt;01/12")</f>
        <v>0</v>
      </c>
      <c r="J97" s="16">
        <f>COUNTIFS('Base de données'!D:D,A97,'Base de données'!E:E,"OK",'Base de données'!C:C,"&gt;=01/11",'Base de données'!C:C,"&lt;01/12")+COUNTIFS('Base de données'!D:D,A97,'Base de données'!E:E,"KO - REL",'Base de données'!C:C,"&gt;=01/11",'Base de données'!C:C,"&lt;01/12")</f>
        <v>0</v>
      </c>
      <c r="K97" s="17" t="str">
        <f t="shared" si="30"/>
        <v/>
      </c>
      <c r="L97" s="43">
        <f>COUNTIFS('Base de données'!D:D,A97,'Base de données'!F:F,"OK",'Base de données'!C:C,"&gt;=01/11",'Base de données'!C:C,"&lt;01/12")+COUNTIFS('Base de données'!D:D,A97,'Base de données'!F:F,"KO - REL",'Base de données'!C:C,"&gt;=01/11",'Base de données'!C:C,"&lt;01/12")</f>
        <v>0</v>
      </c>
      <c r="M97" s="17" t="str">
        <f t="shared" si="31"/>
        <v/>
      </c>
      <c r="N97" s="16">
        <f>COUNTIFS('Base de données'!D:D,A97,'Base de données'!G:G,"&lt;=0",'Base de données'!C:C,"&gt;=01/11",'Base de données'!C:C,"&lt;01/12")</f>
        <v>0</v>
      </c>
      <c r="O97" s="35" t="str">
        <f t="shared" si="32"/>
        <v/>
      </c>
      <c r="P97" s="19">
        <f>COUNTIFS('Base de données'!D:D,A97,'Base de données'!C:C,"&gt;=01/12",'Base de données'!C:C,"&lt;=31/12")</f>
        <v>0</v>
      </c>
      <c r="Q97" s="16">
        <f>COUNTIFS('Base de données'!D:D,A97,'Base de données'!E:E,"OK",'Base de données'!C:C,"&gt;=01/12",'Base de données'!C:C,"&lt;=31/12")+COUNTIFS('Base de données'!D:D,A97,'Base de données'!E:E,"KO - REL",'Base de données'!C:C,"&gt;=01/12",'Base de données'!C:C,"&lt;=31/12")</f>
        <v>0</v>
      </c>
      <c r="R97" s="17" t="str">
        <f t="shared" si="33"/>
        <v/>
      </c>
      <c r="S97" s="43">
        <f>COUNTIFS('Base de données'!D:D,A97,'Base de données'!F:F,"OK",'Base de données'!C:C,"&gt;=01/12",'Base de données'!C:C,"&lt;=31/12")+COUNTIFS('Base de données'!D:D,A97,'Base de données'!F:F,"KO - REL",'Base de données'!C:C,"&gt;=01/12",'Base de données'!C:C,"&lt;=31/12")</f>
        <v>0</v>
      </c>
      <c r="T97" s="17" t="str">
        <f t="shared" si="34"/>
        <v/>
      </c>
      <c r="U97" s="16">
        <f>COUNTIFS('Base de données'!D:D,A97,'Base de données'!G:G,"&lt;=0",'Base de données'!C:C,"&gt;=01/12",'Base de données'!C:C,"&lt;=31/12")</f>
        <v>0</v>
      </c>
      <c r="V97" s="23" t="str">
        <f t="shared" si="35"/>
        <v/>
      </c>
      <c r="W97" s="81"/>
    </row>
    <row r="98" spans="1:23">
      <c r="A98" s="55" t="s">
        <v>54</v>
      </c>
      <c r="B98" s="19">
        <f>COUNTIFS('Base de données'!D:D,A98,'Base de données'!C:C,"&gt;=01/10",'Base de données'!C:C,"&lt;01/11")</f>
        <v>0</v>
      </c>
      <c r="C98" s="16">
        <f>COUNTIFS('Base de données'!D:D,A98,'Base de données'!E:E,"OK",'Base de données'!C:C,"&gt;=01/10",'Base de données'!C:C,"&lt;01/11")+COUNTIFS('Base de données'!D:D,A98,'Base de données'!E:E,"KO - REL",'Base de données'!C:C,"&gt;=01/10",'Base de données'!C:C,"&lt;01/11")</f>
        <v>0</v>
      </c>
      <c r="D98" s="17" t="str">
        <f t="shared" si="27"/>
        <v/>
      </c>
      <c r="E98" s="43">
        <f>COUNTIFS('Base de données'!D:D,A98,'Base de données'!F:F,"OK",'Base de données'!C:C,"&gt;=01/10",'Base de données'!C:C,"&lt;01/11")+COUNTIFS('Base de données'!D:D,A98,'Base de données'!F:F,"KO - REL",'Base de données'!C:C,"&gt;=01/10",'Base de données'!C:C,"&lt;01/11")</f>
        <v>0</v>
      </c>
      <c r="F98" s="17" t="str">
        <f t="shared" si="28"/>
        <v/>
      </c>
      <c r="G98" s="16">
        <f>COUNTIFS('Base de données'!D:D,A98,'Base de données'!G:G,"&lt;=0",'Base de données'!C:C,"&gt;=01/10",'Base de données'!C:C,"&lt;01/11")</f>
        <v>0</v>
      </c>
      <c r="H98" s="35" t="str">
        <f t="shared" si="29"/>
        <v/>
      </c>
      <c r="I98" s="19">
        <f>COUNTIFS('Base de données'!D:D,A98,'Base de données'!C:C,"&gt;=01/11",'Base de données'!C:C,"&lt;01/12")</f>
        <v>0</v>
      </c>
      <c r="J98" s="16">
        <f>COUNTIFS('Base de données'!D:D,A98,'Base de données'!E:E,"OK",'Base de données'!C:C,"&gt;=01/11",'Base de données'!C:C,"&lt;01/12")+COUNTIFS('Base de données'!D:D,A98,'Base de données'!E:E,"KO - REL",'Base de données'!C:C,"&gt;=01/11",'Base de données'!C:C,"&lt;01/12")</f>
        <v>0</v>
      </c>
      <c r="K98" s="17" t="str">
        <f t="shared" si="30"/>
        <v/>
      </c>
      <c r="L98" s="43">
        <f>COUNTIFS('Base de données'!D:D,A98,'Base de données'!F:F,"OK",'Base de données'!C:C,"&gt;=01/11",'Base de données'!C:C,"&lt;01/12")+COUNTIFS('Base de données'!D:D,A98,'Base de données'!F:F,"KO - REL",'Base de données'!C:C,"&gt;=01/11",'Base de données'!C:C,"&lt;01/12")</f>
        <v>0</v>
      </c>
      <c r="M98" s="17" t="str">
        <f t="shared" si="31"/>
        <v/>
      </c>
      <c r="N98" s="16">
        <f>COUNTIFS('Base de données'!D:D,A98,'Base de données'!G:G,"&lt;=0",'Base de données'!C:C,"&gt;=01/11",'Base de données'!C:C,"&lt;01/12")</f>
        <v>0</v>
      </c>
      <c r="O98" s="35" t="str">
        <f t="shared" si="32"/>
        <v/>
      </c>
      <c r="P98" s="19">
        <f>COUNTIFS('Base de données'!D:D,A98,'Base de données'!C:C,"&gt;=01/12",'Base de données'!C:C,"&lt;=31/12")</f>
        <v>0</v>
      </c>
      <c r="Q98" s="16">
        <f>COUNTIFS('Base de données'!D:D,A98,'Base de données'!E:E,"OK",'Base de données'!C:C,"&gt;=01/12",'Base de données'!C:C,"&lt;=31/12")+COUNTIFS('Base de données'!D:D,A98,'Base de données'!E:E,"KO - REL",'Base de données'!C:C,"&gt;=01/12",'Base de données'!C:C,"&lt;=31/12")</f>
        <v>0</v>
      </c>
      <c r="R98" s="17" t="str">
        <f t="shared" si="33"/>
        <v/>
      </c>
      <c r="S98" s="43">
        <f>COUNTIFS('Base de données'!D:D,A98,'Base de données'!F:F,"OK",'Base de données'!C:C,"&gt;=01/12",'Base de données'!C:C,"&lt;=31/12")+COUNTIFS('Base de données'!D:D,A98,'Base de données'!F:F,"KO - REL",'Base de données'!C:C,"&gt;=01/12",'Base de données'!C:C,"&lt;=31/12")</f>
        <v>0</v>
      </c>
      <c r="T98" s="17" t="str">
        <f t="shared" si="34"/>
        <v/>
      </c>
      <c r="U98" s="16">
        <f>COUNTIFS('Base de données'!D:D,A98,'Base de données'!G:G,"&lt;=0",'Base de données'!C:C,"&gt;=01/12",'Base de données'!C:C,"&lt;=31/12")</f>
        <v>0</v>
      </c>
      <c r="V98" s="23" t="str">
        <f t="shared" si="35"/>
        <v/>
      </c>
      <c r="W98" s="81"/>
    </row>
    <row r="99" spans="1:23">
      <c r="A99" s="55" t="s">
        <v>55</v>
      </c>
      <c r="B99" s="19">
        <f>COUNTIFS('Base de données'!D:D,A99,'Base de données'!C:C,"&gt;=01/10",'Base de données'!C:C,"&lt;01/11")</f>
        <v>0</v>
      </c>
      <c r="C99" s="16">
        <f>COUNTIFS('Base de données'!D:D,A99,'Base de données'!E:E,"OK",'Base de données'!C:C,"&gt;=01/10",'Base de données'!C:C,"&lt;01/11")+COUNTIFS('Base de données'!D:D,A99,'Base de données'!E:E,"KO - REL",'Base de données'!C:C,"&gt;=01/10",'Base de données'!C:C,"&lt;01/11")</f>
        <v>0</v>
      </c>
      <c r="D99" s="17" t="str">
        <f t="shared" si="27"/>
        <v/>
      </c>
      <c r="E99" s="43">
        <f>COUNTIFS('Base de données'!D:D,A99,'Base de données'!F:F,"OK",'Base de données'!C:C,"&gt;=01/10",'Base de données'!C:C,"&lt;01/11")+COUNTIFS('Base de données'!D:D,A99,'Base de données'!F:F,"KO - REL",'Base de données'!C:C,"&gt;=01/10",'Base de données'!C:C,"&lt;01/11")</f>
        <v>0</v>
      </c>
      <c r="F99" s="17" t="str">
        <f t="shared" si="28"/>
        <v/>
      </c>
      <c r="G99" s="16">
        <f>COUNTIFS('Base de données'!D:D,A99,'Base de données'!G:G,"&lt;=0",'Base de données'!C:C,"&gt;=01/10",'Base de données'!C:C,"&lt;01/11")</f>
        <v>0</v>
      </c>
      <c r="H99" s="35" t="str">
        <f t="shared" si="29"/>
        <v/>
      </c>
      <c r="I99" s="19">
        <f>COUNTIFS('Base de données'!D:D,A99,'Base de données'!C:C,"&gt;=01/11",'Base de données'!C:C,"&lt;01/12")</f>
        <v>0</v>
      </c>
      <c r="J99" s="16">
        <f>COUNTIFS('Base de données'!D:D,A99,'Base de données'!E:E,"OK",'Base de données'!C:C,"&gt;=01/11",'Base de données'!C:C,"&lt;01/12")+COUNTIFS('Base de données'!D:D,A99,'Base de données'!E:E,"KO - REL",'Base de données'!C:C,"&gt;=01/11",'Base de données'!C:C,"&lt;01/12")</f>
        <v>0</v>
      </c>
      <c r="K99" s="17" t="str">
        <f t="shared" si="30"/>
        <v/>
      </c>
      <c r="L99" s="43">
        <f>COUNTIFS('Base de données'!D:D,A99,'Base de données'!F:F,"OK",'Base de données'!C:C,"&gt;=01/11",'Base de données'!C:C,"&lt;01/12")+COUNTIFS('Base de données'!D:D,A99,'Base de données'!F:F,"KO - REL",'Base de données'!C:C,"&gt;=01/11",'Base de données'!C:C,"&lt;01/12")</f>
        <v>0</v>
      </c>
      <c r="M99" s="17" t="str">
        <f t="shared" si="31"/>
        <v/>
      </c>
      <c r="N99" s="16">
        <f>COUNTIFS('Base de données'!D:D,A99,'Base de données'!G:G,"&lt;=0",'Base de données'!C:C,"&gt;=01/11",'Base de données'!C:C,"&lt;01/12")</f>
        <v>0</v>
      </c>
      <c r="O99" s="35" t="str">
        <f t="shared" si="32"/>
        <v/>
      </c>
      <c r="P99" s="19">
        <f>COUNTIFS('Base de données'!D:D,A99,'Base de données'!C:C,"&gt;=01/12",'Base de données'!C:C,"&lt;=31/12")</f>
        <v>0</v>
      </c>
      <c r="Q99" s="16">
        <f>COUNTIFS('Base de données'!D:D,A99,'Base de données'!E:E,"OK",'Base de données'!C:C,"&gt;=01/12",'Base de données'!C:C,"&lt;=31/12")+COUNTIFS('Base de données'!D:D,A99,'Base de données'!E:E,"KO - REL",'Base de données'!C:C,"&gt;=01/12",'Base de données'!C:C,"&lt;=31/12")</f>
        <v>0</v>
      </c>
      <c r="R99" s="17" t="str">
        <f t="shared" si="33"/>
        <v/>
      </c>
      <c r="S99" s="43">
        <f>COUNTIFS('Base de données'!D:D,A99,'Base de données'!F:F,"OK",'Base de données'!C:C,"&gt;=01/12",'Base de données'!C:C,"&lt;=31/12")+COUNTIFS('Base de données'!D:D,A99,'Base de données'!F:F,"KO - REL",'Base de données'!C:C,"&gt;=01/12",'Base de données'!C:C,"&lt;=31/12")</f>
        <v>0</v>
      </c>
      <c r="T99" s="17" t="str">
        <f t="shared" si="34"/>
        <v/>
      </c>
      <c r="U99" s="16">
        <f>COUNTIFS('Base de données'!D:D,A99,'Base de données'!G:G,"&lt;=0",'Base de données'!C:C,"&gt;=01/12",'Base de données'!C:C,"&lt;=31/12")</f>
        <v>0</v>
      </c>
      <c r="V99" s="23" t="str">
        <f t="shared" si="35"/>
        <v/>
      </c>
      <c r="W99" s="81"/>
    </row>
    <row r="100" spans="1:23">
      <c r="A100" s="55" t="s">
        <v>56</v>
      </c>
      <c r="B100" s="19">
        <f>COUNTIFS('Base de données'!D:D,A100,'Base de données'!C:C,"&gt;=01/10",'Base de données'!C:C,"&lt;01/11")</f>
        <v>0</v>
      </c>
      <c r="C100" s="16">
        <f>COUNTIFS('Base de données'!D:D,A100,'Base de données'!E:E,"OK",'Base de données'!C:C,"&gt;=01/10",'Base de données'!C:C,"&lt;01/11")+COUNTIFS('Base de données'!D:D,A100,'Base de données'!E:E,"KO - REL",'Base de données'!C:C,"&gt;=01/10",'Base de données'!C:C,"&lt;01/11")</f>
        <v>0</v>
      </c>
      <c r="D100" s="17" t="str">
        <f t="shared" si="27"/>
        <v/>
      </c>
      <c r="E100" s="43">
        <f>COUNTIFS('Base de données'!D:D,A100,'Base de données'!F:F,"OK",'Base de données'!C:C,"&gt;=01/10",'Base de données'!C:C,"&lt;01/11")+COUNTIFS('Base de données'!D:D,A100,'Base de données'!F:F,"KO - REL",'Base de données'!C:C,"&gt;=01/10",'Base de données'!C:C,"&lt;01/11")</f>
        <v>0</v>
      </c>
      <c r="F100" s="17" t="str">
        <f t="shared" si="28"/>
        <v/>
      </c>
      <c r="G100" s="16">
        <f>COUNTIFS('Base de données'!D:D,A100,'Base de données'!G:G,"&lt;=0",'Base de données'!C:C,"&gt;=01/10",'Base de données'!C:C,"&lt;01/11")</f>
        <v>0</v>
      </c>
      <c r="H100" s="35" t="str">
        <f t="shared" si="29"/>
        <v/>
      </c>
      <c r="I100" s="19">
        <f>COUNTIFS('Base de données'!D:D,A100,'Base de données'!C:C,"&gt;=01/11",'Base de données'!C:C,"&lt;01/12")</f>
        <v>0</v>
      </c>
      <c r="J100" s="16">
        <f>COUNTIFS('Base de données'!D:D,A100,'Base de données'!E:E,"OK",'Base de données'!C:C,"&gt;=01/11",'Base de données'!C:C,"&lt;01/12")+COUNTIFS('Base de données'!D:D,A100,'Base de données'!E:E,"KO - REL",'Base de données'!C:C,"&gt;=01/11",'Base de données'!C:C,"&lt;01/12")</f>
        <v>0</v>
      </c>
      <c r="K100" s="17" t="str">
        <f t="shared" si="30"/>
        <v/>
      </c>
      <c r="L100" s="43">
        <f>COUNTIFS('Base de données'!D:D,A100,'Base de données'!F:F,"OK",'Base de données'!C:C,"&gt;=01/11",'Base de données'!C:C,"&lt;01/12")+COUNTIFS('Base de données'!D:D,A100,'Base de données'!F:F,"KO - REL",'Base de données'!C:C,"&gt;=01/11",'Base de données'!C:C,"&lt;01/12")</f>
        <v>0</v>
      </c>
      <c r="M100" s="17" t="str">
        <f t="shared" si="31"/>
        <v/>
      </c>
      <c r="N100" s="16">
        <f>COUNTIFS('Base de données'!D:D,A100,'Base de données'!G:G,"&lt;=0",'Base de données'!C:C,"&gt;=01/11",'Base de données'!C:C,"&lt;01/12")</f>
        <v>0</v>
      </c>
      <c r="O100" s="35" t="str">
        <f t="shared" si="32"/>
        <v/>
      </c>
      <c r="P100" s="19">
        <f>COUNTIFS('Base de données'!D:D,A100,'Base de données'!C:C,"&gt;=01/12",'Base de données'!C:C,"&lt;=31/12")</f>
        <v>0</v>
      </c>
      <c r="Q100" s="16">
        <f>COUNTIFS('Base de données'!D:D,A100,'Base de données'!E:E,"OK",'Base de données'!C:C,"&gt;=01/12",'Base de données'!C:C,"&lt;=31/12")+COUNTIFS('Base de données'!D:D,A100,'Base de données'!E:E,"KO - REL",'Base de données'!C:C,"&gt;=01/12",'Base de données'!C:C,"&lt;=31/12")</f>
        <v>0</v>
      </c>
      <c r="R100" s="17" t="str">
        <f t="shared" si="33"/>
        <v/>
      </c>
      <c r="S100" s="43">
        <f>COUNTIFS('Base de données'!D:D,A100,'Base de données'!F:F,"OK",'Base de données'!C:C,"&gt;=01/12",'Base de données'!C:C,"&lt;=31/12")+COUNTIFS('Base de données'!D:D,A100,'Base de données'!F:F,"KO - REL",'Base de données'!C:C,"&gt;=01/12",'Base de données'!C:C,"&lt;=31/12")</f>
        <v>0</v>
      </c>
      <c r="T100" s="17" t="str">
        <f t="shared" si="34"/>
        <v/>
      </c>
      <c r="U100" s="16">
        <f>COUNTIFS('Base de données'!D:D,A100,'Base de données'!G:G,"&lt;=0",'Base de données'!C:C,"&gt;=01/12",'Base de données'!C:C,"&lt;=31/12")</f>
        <v>0</v>
      </c>
      <c r="V100" s="23" t="str">
        <f t="shared" si="35"/>
        <v/>
      </c>
      <c r="W100" s="81"/>
    </row>
    <row r="101" spans="1:23">
      <c r="A101" s="55" t="s">
        <v>57</v>
      </c>
      <c r="B101" s="19">
        <f>COUNTIFS('Base de données'!D:D,A101,'Base de données'!C:C,"&gt;=01/10",'Base de données'!C:C,"&lt;01/11")</f>
        <v>0</v>
      </c>
      <c r="C101" s="16">
        <f>COUNTIFS('Base de données'!D:D,A101,'Base de données'!E:E,"OK",'Base de données'!C:C,"&gt;=01/10",'Base de données'!C:C,"&lt;01/11")+COUNTIFS('Base de données'!D:D,A101,'Base de données'!E:E,"KO - REL",'Base de données'!C:C,"&gt;=01/10",'Base de données'!C:C,"&lt;01/11")</f>
        <v>0</v>
      </c>
      <c r="D101" s="17" t="str">
        <f t="shared" si="27"/>
        <v/>
      </c>
      <c r="E101" s="43">
        <f>COUNTIFS('Base de données'!D:D,A101,'Base de données'!F:F,"OK",'Base de données'!C:C,"&gt;=01/10",'Base de données'!C:C,"&lt;01/11")+COUNTIFS('Base de données'!D:D,A101,'Base de données'!F:F,"KO - REL",'Base de données'!C:C,"&gt;=01/10",'Base de données'!C:C,"&lt;01/11")</f>
        <v>0</v>
      </c>
      <c r="F101" s="17" t="str">
        <f t="shared" si="28"/>
        <v/>
      </c>
      <c r="G101" s="16">
        <f>COUNTIFS('Base de données'!D:D,A101,'Base de données'!G:G,"&lt;=0",'Base de données'!C:C,"&gt;=01/10",'Base de données'!C:C,"&lt;01/11")</f>
        <v>0</v>
      </c>
      <c r="H101" s="35" t="str">
        <f t="shared" si="29"/>
        <v/>
      </c>
      <c r="I101" s="19">
        <f>COUNTIFS('Base de données'!D:D,A101,'Base de données'!C:C,"&gt;=01/11",'Base de données'!C:C,"&lt;01/12")</f>
        <v>0</v>
      </c>
      <c r="J101" s="16">
        <f>COUNTIFS('Base de données'!D:D,A101,'Base de données'!E:E,"OK",'Base de données'!C:C,"&gt;=01/11",'Base de données'!C:C,"&lt;01/12")+COUNTIFS('Base de données'!D:D,A101,'Base de données'!E:E,"KO - REL",'Base de données'!C:C,"&gt;=01/11",'Base de données'!C:C,"&lt;01/12")</f>
        <v>0</v>
      </c>
      <c r="K101" s="17" t="str">
        <f t="shared" si="30"/>
        <v/>
      </c>
      <c r="L101" s="43">
        <f>COUNTIFS('Base de données'!D:D,A101,'Base de données'!F:F,"OK",'Base de données'!C:C,"&gt;=01/11",'Base de données'!C:C,"&lt;01/12")+COUNTIFS('Base de données'!D:D,A101,'Base de données'!F:F,"KO - REL",'Base de données'!C:C,"&gt;=01/11",'Base de données'!C:C,"&lt;01/12")</f>
        <v>0</v>
      </c>
      <c r="M101" s="17" t="str">
        <f t="shared" si="31"/>
        <v/>
      </c>
      <c r="N101" s="16">
        <f>COUNTIFS('Base de données'!D:D,A101,'Base de données'!G:G,"&lt;=0",'Base de données'!C:C,"&gt;=01/11",'Base de données'!C:C,"&lt;01/12")</f>
        <v>0</v>
      </c>
      <c r="O101" s="35" t="str">
        <f t="shared" si="32"/>
        <v/>
      </c>
      <c r="P101" s="19">
        <f>COUNTIFS('Base de données'!D:D,A101,'Base de données'!C:C,"&gt;=01/12",'Base de données'!C:C,"&lt;=31/12")</f>
        <v>0</v>
      </c>
      <c r="Q101" s="16">
        <f>COUNTIFS('Base de données'!D:D,A101,'Base de données'!E:E,"OK",'Base de données'!C:C,"&gt;=01/12",'Base de données'!C:C,"&lt;=31/12")+COUNTIFS('Base de données'!D:D,A101,'Base de données'!E:E,"KO - REL",'Base de données'!C:C,"&gt;=01/12",'Base de données'!C:C,"&lt;=31/12")</f>
        <v>0</v>
      </c>
      <c r="R101" s="17" t="str">
        <f t="shared" si="33"/>
        <v/>
      </c>
      <c r="S101" s="43">
        <f>COUNTIFS('Base de données'!D:D,A101,'Base de données'!F:F,"OK",'Base de données'!C:C,"&gt;=01/12",'Base de données'!C:C,"&lt;=31/12")+COUNTIFS('Base de données'!D:D,A101,'Base de données'!F:F,"KO - REL",'Base de données'!C:C,"&gt;=01/12",'Base de données'!C:C,"&lt;=31/12")</f>
        <v>0</v>
      </c>
      <c r="T101" s="17" t="str">
        <f t="shared" si="34"/>
        <v/>
      </c>
      <c r="U101" s="16">
        <f>COUNTIFS('Base de données'!D:D,A101,'Base de données'!G:G,"&lt;=0",'Base de données'!C:C,"&gt;=01/12",'Base de données'!C:C,"&lt;=31/12")</f>
        <v>0</v>
      </c>
      <c r="V101" s="23" t="str">
        <f t="shared" si="35"/>
        <v/>
      </c>
      <c r="W101" s="81"/>
    </row>
    <row r="102" spans="1:23">
      <c r="A102" s="56" t="s">
        <v>58</v>
      </c>
      <c r="B102" s="19">
        <f>COUNTIFS('Base de données'!D:D,A102,'Base de données'!C:C,"&gt;=01/10",'Base de données'!C:C,"&lt;01/11")</f>
        <v>0</v>
      </c>
      <c r="C102" s="16">
        <f>COUNTIFS('Base de données'!D:D,A102,'Base de données'!E:E,"OK",'Base de données'!C:C,"&gt;=01/10",'Base de données'!C:C,"&lt;01/11")+COUNTIFS('Base de données'!D:D,A102,'Base de données'!E:E,"KO - REL",'Base de données'!C:C,"&gt;=01/10",'Base de données'!C:C,"&lt;01/11")</f>
        <v>0</v>
      </c>
      <c r="D102" s="17" t="str">
        <f t="shared" si="27"/>
        <v/>
      </c>
      <c r="E102" s="43">
        <f>COUNTIFS('Base de données'!D:D,A102,'Base de données'!F:F,"OK",'Base de données'!C:C,"&gt;=01/10",'Base de données'!C:C,"&lt;01/11")+COUNTIFS('Base de données'!D:D,A102,'Base de données'!F:F,"KO - REL",'Base de données'!C:C,"&gt;=01/10",'Base de données'!C:C,"&lt;01/11")</f>
        <v>0</v>
      </c>
      <c r="F102" s="17" t="str">
        <f t="shared" si="28"/>
        <v/>
      </c>
      <c r="G102" s="16">
        <f>COUNTIFS('Base de données'!D:D,A102,'Base de données'!G:G,"&lt;=0",'Base de données'!C:C,"&gt;=01/10",'Base de données'!C:C,"&lt;01/11")</f>
        <v>0</v>
      </c>
      <c r="H102" s="35" t="str">
        <f t="shared" si="29"/>
        <v/>
      </c>
      <c r="I102" s="19">
        <f>COUNTIFS('Base de données'!D:D,A102,'Base de données'!C:C,"&gt;=01/11",'Base de données'!C:C,"&lt;01/12")</f>
        <v>0</v>
      </c>
      <c r="J102" s="16">
        <f>COUNTIFS('Base de données'!D:D,A102,'Base de données'!E:E,"OK",'Base de données'!C:C,"&gt;=01/11",'Base de données'!C:C,"&lt;01/12")+COUNTIFS('Base de données'!D:D,A102,'Base de données'!E:E,"KO - REL",'Base de données'!C:C,"&gt;=01/11",'Base de données'!C:C,"&lt;01/12")</f>
        <v>0</v>
      </c>
      <c r="K102" s="17" t="str">
        <f t="shared" si="30"/>
        <v/>
      </c>
      <c r="L102" s="43">
        <f>COUNTIFS('Base de données'!D:D,A102,'Base de données'!F:F,"OK",'Base de données'!C:C,"&gt;=01/11",'Base de données'!C:C,"&lt;01/12")+COUNTIFS('Base de données'!D:D,A102,'Base de données'!F:F,"KO - REL",'Base de données'!C:C,"&gt;=01/11",'Base de données'!C:C,"&lt;01/12")</f>
        <v>0</v>
      </c>
      <c r="M102" s="17" t="str">
        <f t="shared" si="31"/>
        <v/>
      </c>
      <c r="N102" s="16">
        <f>COUNTIFS('Base de données'!D:D,A102,'Base de données'!G:G,"&lt;=0",'Base de données'!C:C,"&gt;=01/11",'Base de données'!C:C,"&lt;01/12")</f>
        <v>0</v>
      </c>
      <c r="O102" s="35" t="str">
        <f t="shared" si="32"/>
        <v/>
      </c>
      <c r="P102" s="19">
        <f>COUNTIFS('Base de données'!D:D,A102,'Base de données'!C:C,"&gt;=01/12",'Base de données'!C:C,"&lt;=31/12")</f>
        <v>0</v>
      </c>
      <c r="Q102" s="16">
        <f>COUNTIFS('Base de données'!D:D,A102,'Base de données'!E:E,"OK",'Base de données'!C:C,"&gt;=01/12",'Base de données'!C:C,"&lt;=31/12")+COUNTIFS('Base de données'!D:D,A102,'Base de données'!E:E,"KO - REL",'Base de données'!C:C,"&gt;=01/12",'Base de données'!C:C,"&lt;=31/12")</f>
        <v>0</v>
      </c>
      <c r="R102" s="17" t="str">
        <f t="shared" si="33"/>
        <v/>
      </c>
      <c r="S102" s="43">
        <f>COUNTIFS('Base de données'!D:D,A102,'Base de données'!F:F,"OK",'Base de données'!C:C,"&gt;=01/12",'Base de données'!C:C,"&lt;=31/12")+COUNTIFS('Base de données'!D:D,A102,'Base de données'!F:F,"KO - REL",'Base de données'!C:C,"&gt;=01/12",'Base de données'!C:C,"&lt;=31/12")</f>
        <v>0</v>
      </c>
      <c r="T102" s="17" t="str">
        <f t="shared" si="34"/>
        <v/>
      </c>
      <c r="U102" s="16">
        <f>COUNTIFS('Base de données'!D:D,A102,'Base de données'!G:G,"&lt;=0",'Base de données'!C:C,"&gt;=01/12",'Base de données'!C:C,"&lt;=31/12")</f>
        <v>0</v>
      </c>
      <c r="V102" s="23" t="str">
        <f t="shared" si="35"/>
        <v/>
      </c>
      <c r="W102" s="81"/>
    </row>
    <row r="103" spans="1:23">
      <c r="A103" s="55" t="s">
        <v>59</v>
      </c>
      <c r="B103" s="19">
        <f>COUNTIFS('Base de données'!D:D,A103,'Base de données'!C:C,"&gt;=01/10",'Base de données'!C:C,"&lt;01/11")</f>
        <v>0</v>
      </c>
      <c r="C103" s="16">
        <f>COUNTIFS('Base de données'!D:D,A103,'Base de données'!E:E,"OK",'Base de données'!C:C,"&gt;=01/10",'Base de données'!C:C,"&lt;01/11")+COUNTIFS('Base de données'!D:D,A103,'Base de données'!E:E,"KO - REL",'Base de données'!C:C,"&gt;=01/10",'Base de données'!C:C,"&lt;01/11")</f>
        <v>0</v>
      </c>
      <c r="D103" s="17" t="str">
        <f t="shared" si="27"/>
        <v/>
      </c>
      <c r="E103" s="43">
        <f>COUNTIFS('Base de données'!D:D,A103,'Base de données'!F:F,"OK",'Base de données'!C:C,"&gt;=01/10",'Base de données'!C:C,"&lt;01/11")+COUNTIFS('Base de données'!D:D,A103,'Base de données'!F:F,"KO - REL",'Base de données'!C:C,"&gt;=01/10",'Base de données'!C:C,"&lt;01/11")</f>
        <v>0</v>
      </c>
      <c r="F103" s="17" t="str">
        <f t="shared" si="28"/>
        <v/>
      </c>
      <c r="G103" s="16">
        <f>COUNTIFS('Base de données'!D:D,A103,'Base de données'!G:G,"&lt;=0",'Base de données'!C:C,"&gt;=01/10",'Base de données'!C:C,"&lt;01/11")</f>
        <v>0</v>
      </c>
      <c r="H103" s="35" t="str">
        <f t="shared" si="29"/>
        <v/>
      </c>
      <c r="I103" s="19">
        <f>COUNTIFS('Base de données'!D:D,A103,'Base de données'!C:C,"&gt;=01/11",'Base de données'!C:C,"&lt;01/12")</f>
        <v>0</v>
      </c>
      <c r="J103" s="16">
        <f>COUNTIFS('Base de données'!D:D,A103,'Base de données'!E:E,"OK",'Base de données'!C:C,"&gt;=01/11",'Base de données'!C:C,"&lt;01/12")+COUNTIFS('Base de données'!D:D,A103,'Base de données'!E:E,"KO - REL",'Base de données'!C:C,"&gt;=01/11",'Base de données'!C:C,"&lt;01/12")</f>
        <v>0</v>
      </c>
      <c r="K103" s="17" t="str">
        <f t="shared" si="30"/>
        <v/>
      </c>
      <c r="L103" s="43">
        <f>COUNTIFS('Base de données'!D:D,A103,'Base de données'!F:F,"OK",'Base de données'!C:C,"&gt;=01/11",'Base de données'!C:C,"&lt;01/12")+COUNTIFS('Base de données'!D:D,A103,'Base de données'!F:F,"KO - REL",'Base de données'!C:C,"&gt;=01/11",'Base de données'!C:C,"&lt;01/12")</f>
        <v>0</v>
      </c>
      <c r="M103" s="17" t="str">
        <f t="shared" si="31"/>
        <v/>
      </c>
      <c r="N103" s="16">
        <f>COUNTIFS('Base de données'!D:D,A103,'Base de données'!G:G,"&lt;=0",'Base de données'!C:C,"&gt;=01/11",'Base de données'!C:C,"&lt;01/12")</f>
        <v>0</v>
      </c>
      <c r="O103" s="35" t="str">
        <f t="shared" si="32"/>
        <v/>
      </c>
      <c r="P103" s="19">
        <f>COUNTIFS('Base de données'!D:D,A103,'Base de données'!C:C,"&gt;=01/12",'Base de données'!C:C,"&lt;=31/12")</f>
        <v>0</v>
      </c>
      <c r="Q103" s="16">
        <f>COUNTIFS('Base de données'!D:D,A103,'Base de données'!E:E,"OK",'Base de données'!C:C,"&gt;=01/12",'Base de données'!C:C,"&lt;=31/12")+COUNTIFS('Base de données'!D:D,A103,'Base de données'!E:E,"KO - REL",'Base de données'!C:C,"&gt;=01/12",'Base de données'!C:C,"&lt;=31/12")</f>
        <v>0</v>
      </c>
      <c r="R103" s="17" t="str">
        <f t="shared" si="33"/>
        <v/>
      </c>
      <c r="S103" s="43">
        <f>COUNTIFS('Base de données'!D:D,A103,'Base de données'!F:F,"OK",'Base de données'!C:C,"&gt;=01/12",'Base de données'!C:C,"&lt;=31/12")+COUNTIFS('Base de données'!D:D,A103,'Base de données'!F:F,"KO - REL",'Base de données'!C:C,"&gt;=01/12",'Base de données'!C:C,"&lt;=31/12")</f>
        <v>0</v>
      </c>
      <c r="T103" s="17" t="str">
        <f t="shared" si="34"/>
        <v/>
      </c>
      <c r="U103" s="16">
        <f>COUNTIFS('Base de données'!D:D,A103,'Base de données'!G:G,"&lt;=0",'Base de données'!C:C,"&gt;=01/12",'Base de données'!C:C,"&lt;=31/12")</f>
        <v>0</v>
      </c>
      <c r="V103" s="23" t="str">
        <f t="shared" si="35"/>
        <v/>
      </c>
      <c r="W103" s="81"/>
    </row>
    <row r="104" spans="1:23">
      <c r="A104" s="55" t="s">
        <v>60</v>
      </c>
      <c r="B104" s="19">
        <f>COUNTIFS('Base de données'!D:D,A104,'Base de données'!C:C,"&gt;=01/10",'Base de données'!C:C,"&lt;01/11")</f>
        <v>0</v>
      </c>
      <c r="C104" s="16">
        <f>COUNTIFS('Base de données'!D:D,A104,'Base de données'!E:E,"OK",'Base de données'!C:C,"&gt;=01/10",'Base de données'!C:C,"&lt;01/11")+COUNTIFS('Base de données'!D:D,A104,'Base de données'!E:E,"KO - REL",'Base de données'!C:C,"&gt;=01/10",'Base de données'!C:C,"&lt;01/11")</f>
        <v>0</v>
      </c>
      <c r="D104" s="17" t="str">
        <f t="shared" si="27"/>
        <v/>
      </c>
      <c r="E104" s="43">
        <f>COUNTIFS('Base de données'!D:D,A104,'Base de données'!F:F,"OK",'Base de données'!C:C,"&gt;=01/10",'Base de données'!C:C,"&lt;01/11")+COUNTIFS('Base de données'!D:D,A104,'Base de données'!F:F,"KO - REL",'Base de données'!C:C,"&gt;=01/10",'Base de données'!C:C,"&lt;01/11")</f>
        <v>0</v>
      </c>
      <c r="F104" s="17" t="str">
        <f t="shared" si="28"/>
        <v/>
      </c>
      <c r="G104" s="16">
        <f>COUNTIFS('Base de données'!D:D,A104,'Base de données'!G:G,"&lt;=0",'Base de données'!C:C,"&gt;=01/10",'Base de données'!C:C,"&lt;01/11")</f>
        <v>0</v>
      </c>
      <c r="H104" s="35" t="str">
        <f t="shared" si="29"/>
        <v/>
      </c>
      <c r="I104" s="19">
        <f>COUNTIFS('Base de données'!D:D,A104,'Base de données'!C:C,"&gt;=01/11",'Base de données'!C:C,"&lt;01/12")</f>
        <v>0</v>
      </c>
      <c r="J104" s="16">
        <f>COUNTIFS('Base de données'!D:D,A104,'Base de données'!E:E,"OK",'Base de données'!C:C,"&gt;=01/11",'Base de données'!C:C,"&lt;01/12")+COUNTIFS('Base de données'!D:D,A104,'Base de données'!E:E,"KO - REL",'Base de données'!C:C,"&gt;=01/11",'Base de données'!C:C,"&lt;01/12")</f>
        <v>0</v>
      </c>
      <c r="K104" s="17" t="str">
        <f t="shared" si="30"/>
        <v/>
      </c>
      <c r="L104" s="43">
        <f>COUNTIFS('Base de données'!D:D,A104,'Base de données'!F:F,"OK",'Base de données'!C:C,"&gt;=01/11",'Base de données'!C:C,"&lt;01/12")+COUNTIFS('Base de données'!D:D,A104,'Base de données'!F:F,"KO - REL",'Base de données'!C:C,"&gt;=01/11",'Base de données'!C:C,"&lt;01/12")</f>
        <v>0</v>
      </c>
      <c r="M104" s="17" t="str">
        <f t="shared" si="31"/>
        <v/>
      </c>
      <c r="N104" s="16">
        <f>COUNTIFS('Base de données'!D:D,A104,'Base de données'!G:G,"&lt;=0",'Base de données'!C:C,"&gt;=01/11",'Base de données'!C:C,"&lt;01/12")</f>
        <v>0</v>
      </c>
      <c r="O104" s="35" t="str">
        <f t="shared" si="32"/>
        <v/>
      </c>
      <c r="P104" s="19">
        <f>COUNTIFS('Base de données'!D:D,A104,'Base de données'!C:C,"&gt;=01/12",'Base de données'!C:C,"&lt;=31/12")</f>
        <v>0</v>
      </c>
      <c r="Q104" s="16">
        <f>COUNTIFS('Base de données'!D:D,A104,'Base de données'!E:E,"OK",'Base de données'!C:C,"&gt;=01/12",'Base de données'!C:C,"&lt;=31/12")+COUNTIFS('Base de données'!D:D,A104,'Base de données'!E:E,"KO - REL",'Base de données'!C:C,"&gt;=01/12",'Base de données'!C:C,"&lt;=31/12")</f>
        <v>0</v>
      </c>
      <c r="R104" s="17" t="str">
        <f t="shared" si="33"/>
        <v/>
      </c>
      <c r="S104" s="43">
        <f>COUNTIFS('Base de données'!D:D,A104,'Base de données'!F:F,"OK",'Base de données'!C:C,"&gt;=01/12",'Base de données'!C:C,"&lt;=31/12")+COUNTIFS('Base de données'!D:D,A104,'Base de données'!F:F,"KO - REL",'Base de données'!C:C,"&gt;=01/12",'Base de données'!C:C,"&lt;=31/12")</f>
        <v>0</v>
      </c>
      <c r="T104" s="17" t="str">
        <f t="shared" si="34"/>
        <v/>
      </c>
      <c r="U104" s="16">
        <f>COUNTIFS('Base de données'!D:D,A104,'Base de données'!G:G,"&lt;=0",'Base de données'!C:C,"&gt;=01/12",'Base de données'!C:C,"&lt;=31/12")</f>
        <v>0</v>
      </c>
      <c r="V104" s="23" t="str">
        <f t="shared" si="35"/>
        <v/>
      </c>
      <c r="W104" s="81"/>
    </row>
    <row r="105" spans="1:23">
      <c r="A105" s="55" t="s">
        <v>61</v>
      </c>
      <c r="B105" s="19">
        <f>COUNTIFS('Base de données'!D:D,A105,'Base de données'!C:C,"&gt;=01/10",'Base de données'!C:C,"&lt;01/11")</f>
        <v>0</v>
      </c>
      <c r="C105" s="16">
        <f>COUNTIFS('Base de données'!D:D,A105,'Base de données'!E:E,"OK",'Base de données'!C:C,"&gt;=01/10",'Base de données'!C:C,"&lt;01/11")+COUNTIFS('Base de données'!D:D,A105,'Base de données'!E:E,"KO - REL",'Base de données'!C:C,"&gt;=01/10",'Base de données'!C:C,"&lt;01/11")</f>
        <v>0</v>
      </c>
      <c r="D105" s="17" t="str">
        <f t="shared" si="27"/>
        <v/>
      </c>
      <c r="E105" s="43">
        <f>COUNTIFS('Base de données'!D:D,A105,'Base de données'!F:F,"OK",'Base de données'!C:C,"&gt;=01/10",'Base de données'!C:C,"&lt;01/11")+COUNTIFS('Base de données'!D:D,A105,'Base de données'!F:F,"KO - REL",'Base de données'!C:C,"&gt;=01/10",'Base de données'!C:C,"&lt;01/11")</f>
        <v>0</v>
      </c>
      <c r="F105" s="17" t="str">
        <f t="shared" si="28"/>
        <v/>
      </c>
      <c r="G105" s="16">
        <f>COUNTIFS('Base de données'!D:D,A105,'Base de données'!G:G,"&lt;=0",'Base de données'!C:C,"&gt;=01/10",'Base de données'!C:C,"&lt;01/11")</f>
        <v>0</v>
      </c>
      <c r="H105" s="35" t="str">
        <f t="shared" si="29"/>
        <v/>
      </c>
      <c r="I105" s="19">
        <f>COUNTIFS('Base de données'!D:D,A105,'Base de données'!C:C,"&gt;=01/11",'Base de données'!C:C,"&lt;01/12")</f>
        <v>0</v>
      </c>
      <c r="J105" s="16">
        <f>COUNTIFS('Base de données'!D:D,A105,'Base de données'!E:E,"OK",'Base de données'!C:C,"&gt;=01/11",'Base de données'!C:C,"&lt;01/12")+COUNTIFS('Base de données'!D:D,A105,'Base de données'!E:E,"KO - REL",'Base de données'!C:C,"&gt;=01/11",'Base de données'!C:C,"&lt;01/12")</f>
        <v>0</v>
      </c>
      <c r="K105" s="17" t="str">
        <f t="shared" si="30"/>
        <v/>
      </c>
      <c r="L105" s="43">
        <f>COUNTIFS('Base de données'!D:D,A105,'Base de données'!F:F,"OK",'Base de données'!C:C,"&gt;=01/11",'Base de données'!C:C,"&lt;01/12")+COUNTIFS('Base de données'!D:D,A105,'Base de données'!F:F,"KO - REL",'Base de données'!C:C,"&gt;=01/11",'Base de données'!C:C,"&lt;01/12")</f>
        <v>0</v>
      </c>
      <c r="M105" s="17" t="str">
        <f t="shared" si="31"/>
        <v/>
      </c>
      <c r="N105" s="16">
        <f>COUNTIFS('Base de données'!D:D,A105,'Base de données'!G:G,"&lt;=0",'Base de données'!C:C,"&gt;=01/11",'Base de données'!C:C,"&lt;01/12")</f>
        <v>0</v>
      </c>
      <c r="O105" s="35" t="str">
        <f t="shared" si="32"/>
        <v/>
      </c>
      <c r="P105" s="19">
        <f>COUNTIFS('Base de données'!D:D,A105,'Base de données'!C:C,"&gt;=01/12",'Base de données'!C:C,"&lt;=31/12")</f>
        <v>0</v>
      </c>
      <c r="Q105" s="16">
        <f>COUNTIFS('Base de données'!D:D,A105,'Base de données'!E:E,"OK",'Base de données'!C:C,"&gt;=01/12",'Base de données'!C:C,"&lt;=31/12")+COUNTIFS('Base de données'!D:D,A105,'Base de données'!E:E,"KO - REL",'Base de données'!C:C,"&gt;=01/12",'Base de données'!C:C,"&lt;=31/12")</f>
        <v>0</v>
      </c>
      <c r="R105" s="17" t="str">
        <f t="shared" si="33"/>
        <v/>
      </c>
      <c r="S105" s="43">
        <f>COUNTIFS('Base de données'!D:D,A105,'Base de données'!F:F,"OK",'Base de données'!C:C,"&gt;=01/12",'Base de données'!C:C,"&lt;=31/12")+COUNTIFS('Base de données'!D:D,A105,'Base de données'!F:F,"KO - REL",'Base de données'!C:C,"&gt;=01/12",'Base de données'!C:C,"&lt;=31/12")</f>
        <v>0</v>
      </c>
      <c r="T105" s="17" t="str">
        <f t="shared" si="34"/>
        <v/>
      </c>
      <c r="U105" s="16">
        <f>COUNTIFS('Base de données'!D:D,A105,'Base de données'!G:G,"&lt;=0",'Base de données'!C:C,"&gt;=01/12",'Base de données'!C:C,"&lt;=31/12")</f>
        <v>0</v>
      </c>
      <c r="V105" s="23" t="str">
        <f t="shared" si="35"/>
        <v/>
      </c>
      <c r="W105" s="81"/>
    </row>
    <row r="106" spans="1:23" ht="15.75" thickBot="1">
      <c r="A106" s="57" t="s">
        <v>62</v>
      </c>
      <c r="B106" s="20">
        <f>COUNTIFS('Base de données'!D:D,A106,'Base de données'!C:C,"&gt;=01/10",'Base de données'!C:C,"&lt;01/11")</f>
        <v>0</v>
      </c>
      <c r="C106" s="22">
        <f>COUNTIFS('Base de données'!D:D,A106,'Base de données'!E:E,"OK",'Base de données'!C:C,"&gt;=01/10",'Base de données'!C:C,"&lt;01/11")+COUNTIFS('Base de données'!D:D,A106,'Base de données'!E:E,"KO - REL",'Base de données'!C:C,"&gt;=01/10",'Base de données'!C:C,"&lt;01/11")</f>
        <v>0</v>
      </c>
      <c r="D106" s="21" t="str">
        <f t="shared" si="27"/>
        <v/>
      </c>
      <c r="E106" s="30">
        <f>COUNTIFS('Base de données'!D:D,A106,'Base de données'!F:F,"OK",'Base de données'!C:C,"&gt;=01/10",'Base de données'!C:C,"&lt;01/11")+COUNTIFS('Base de données'!D:D,A106,'Base de données'!F:F,"KO - REL",'Base de données'!C:C,"&gt;=01/10",'Base de données'!C:C,"&lt;01/11")</f>
        <v>0</v>
      </c>
      <c r="F106" s="21" t="str">
        <f t="shared" si="28"/>
        <v/>
      </c>
      <c r="G106" s="22">
        <f>COUNTIFS('Base de données'!D:D,A106,'Base de données'!G:G,"&lt;=0",'Base de données'!C:C,"&gt;=01/10",'Base de données'!C:C,"&lt;01/11")</f>
        <v>0</v>
      </c>
      <c r="H106" s="37" t="str">
        <f t="shared" si="29"/>
        <v/>
      </c>
      <c r="I106" s="20">
        <f>COUNTIFS('Base de données'!D:D,A106,'Base de données'!C:C,"&gt;=01/11",'Base de données'!C:C,"&lt;01/12")</f>
        <v>0</v>
      </c>
      <c r="J106" s="22">
        <f>COUNTIFS('Base de données'!D:D,A106,'Base de données'!E:E,"OK",'Base de données'!C:C,"&gt;=01/11",'Base de données'!C:C,"&lt;01/12")+COUNTIFS('Base de données'!D:D,A106,'Base de données'!E:E,"KO - REL",'Base de données'!C:C,"&gt;=01/11",'Base de données'!C:C,"&lt;01/12")</f>
        <v>0</v>
      </c>
      <c r="K106" s="21" t="str">
        <f t="shared" si="30"/>
        <v/>
      </c>
      <c r="L106" s="30">
        <f>COUNTIFS('Base de données'!D:D,A106,'Base de données'!F:F,"OK",'Base de données'!C:C,"&gt;=01/11",'Base de données'!C:C,"&lt;01/12")+COUNTIFS('Base de données'!D:D,A106,'Base de données'!F:F,"KO - REL",'Base de données'!C:C,"&gt;=01/11",'Base de données'!C:C,"&lt;01/12")</f>
        <v>0</v>
      </c>
      <c r="M106" s="21" t="str">
        <f t="shared" si="31"/>
        <v/>
      </c>
      <c r="N106" s="22">
        <f>COUNTIFS('Base de données'!D:D,A106,'Base de données'!G:G,"&lt;=0",'Base de données'!C:C,"&gt;=01/11",'Base de données'!C:C,"&lt;01/12")</f>
        <v>0</v>
      </c>
      <c r="O106" s="37" t="str">
        <f t="shared" si="32"/>
        <v/>
      </c>
      <c r="P106" s="20">
        <f>COUNTIFS('Base de données'!D:D,A106,'Base de données'!C:C,"&gt;=01/12",'Base de données'!C:C,"&lt;=31/12")</f>
        <v>0</v>
      </c>
      <c r="Q106" s="22">
        <f>COUNTIFS('Base de données'!D:D,A106,'Base de données'!E:E,"OK",'Base de données'!C:C,"&gt;=01/12",'Base de données'!C:C,"&lt;=31/12")+COUNTIFS('Base de données'!D:D,A106,'Base de données'!E:E,"KO - REL",'Base de données'!C:C,"&gt;=01/12",'Base de données'!C:C,"&lt;=31/12")</f>
        <v>0</v>
      </c>
      <c r="R106" s="21" t="str">
        <f t="shared" si="33"/>
        <v/>
      </c>
      <c r="S106" s="30">
        <f>COUNTIFS('Base de données'!D:D,A106,'Base de données'!F:F,"OK",'Base de données'!C:C,"&gt;=01/12",'Base de données'!C:C,"&lt;=31/12")+COUNTIFS('Base de données'!D:D,A106,'Base de données'!F:F,"KO - REL",'Base de données'!C:C,"&gt;=01/12",'Base de données'!C:C,"&lt;=31/12")</f>
        <v>0</v>
      </c>
      <c r="T106" s="21" t="str">
        <f t="shared" si="34"/>
        <v/>
      </c>
      <c r="U106" s="22">
        <f>COUNTIFS('Base de données'!D:D,A106,'Base de données'!G:G,"&lt;=0",'Base de données'!C:C,"&gt;=01/12",'Base de données'!C:C,"&lt;=31/12")</f>
        <v>0</v>
      </c>
      <c r="V106" s="24" t="str">
        <f t="shared" si="35"/>
        <v/>
      </c>
      <c r="W106" s="81"/>
    </row>
    <row r="107" spans="1:23" ht="15.75" thickBot="1">
      <c r="A107" s="58" t="s">
        <v>26</v>
      </c>
      <c r="B107" s="59">
        <f>SUM(B84:B106)</f>
        <v>0</v>
      </c>
      <c r="C107" s="60">
        <f>SUM(C84:C106)</f>
        <v>0</v>
      </c>
      <c r="D107" s="61" t="e">
        <f>C107/B107</f>
        <v>#DIV/0!</v>
      </c>
      <c r="E107" s="62">
        <f>SUM(E84:E106)</f>
        <v>0</v>
      </c>
      <c r="F107" s="61" t="e">
        <f>E107/B107</f>
        <v>#DIV/0!</v>
      </c>
      <c r="G107" s="63">
        <f>SUM(G84:G106)</f>
        <v>0</v>
      </c>
      <c r="H107" s="64" t="e">
        <f>G107/B107</f>
        <v>#DIV/0!</v>
      </c>
      <c r="I107" s="59">
        <f>SUM(I84:I106)</f>
        <v>0</v>
      </c>
      <c r="J107" s="60">
        <f>SUM(J84:J106)</f>
        <v>0</v>
      </c>
      <c r="K107" s="61" t="e">
        <f>J107/I107</f>
        <v>#DIV/0!</v>
      </c>
      <c r="L107" s="62">
        <f>SUM(L84:L106)</f>
        <v>0</v>
      </c>
      <c r="M107" s="61" t="e">
        <f>L107/I107</f>
        <v>#DIV/0!</v>
      </c>
      <c r="N107" s="63">
        <f>SUM(N84:N106)</f>
        <v>0</v>
      </c>
      <c r="O107" s="64" t="e">
        <f>N107/I107</f>
        <v>#DIV/0!</v>
      </c>
      <c r="P107" s="59">
        <f>SUM(P84:P106)</f>
        <v>0</v>
      </c>
      <c r="Q107" s="60">
        <f>SUM(Q84:Q106)</f>
        <v>0</v>
      </c>
      <c r="R107" s="61" t="e">
        <f>Q107/P107</f>
        <v>#DIV/0!</v>
      </c>
      <c r="S107" s="62">
        <f>SUM(S84:S106)</f>
        <v>0</v>
      </c>
      <c r="T107" s="61" t="e">
        <f>S107/P107</f>
        <v>#DIV/0!</v>
      </c>
      <c r="U107" s="63">
        <f>SUM(U84:U106)</f>
        <v>0</v>
      </c>
      <c r="V107" s="64" t="e">
        <f>U107/P107</f>
        <v>#DIV/0!</v>
      </c>
      <c r="W107" s="50"/>
    </row>
    <row r="108" spans="1:23" ht="15.75" thickBot="1"/>
    <row r="109" spans="1:23" ht="15.75" thickBot="1">
      <c r="A109" s="18"/>
      <c r="B109" s="86" t="s">
        <v>29</v>
      </c>
      <c r="C109" s="87"/>
      <c r="D109" s="87"/>
      <c r="E109" s="87"/>
      <c r="F109" s="87"/>
      <c r="G109" s="87"/>
      <c r="H109" s="88"/>
    </row>
    <row r="110" spans="1:23" ht="60.75" thickBot="1">
      <c r="A110" s="47" t="s">
        <v>19</v>
      </c>
      <c r="B110" s="51" t="s">
        <v>9</v>
      </c>
      <c r="C110" s="52" t="s">
        <v>65</v>
      </c>
      <c r="D110" s="52" t="s">
        <v>66</v>
      </c>
      <c r="E110" s="52" t="s">
        <v>67</v>
      </c>
      <c r="F110" s="52" t="s">
        <v>68</v>
      </c>
      <c r="G110" s="52" t="s">
        <v>10</v>
      </c>
      <c r="H110" s="53" t="s">
        <v>18</v>
      </c>
    </row>
    <row r="111" spans="1:23">
      <c r="A111" s="54" t="s">
        <v>40</v>
      </c>
      <c r="B111" s="25">
        <f>COUNTIFS('Base de données'!D:D,A111)</f>
        <v>0</v>
      </c>
      <c r="C111" s="27">
        <f>COUNTIFS('Base de données'!D:D,A111,'Base de données'!E:E,"OK")+COUNTIFS('Base de données'!D:D,A111,'Base de données'!E:E,"KO - REL")</f>
        <v>0</v>
      </c>
      <c r="D111" s="26" t="str">
        <f>IF(B111=0,"",C111/B111)</f>
        <v/>
      </c>
      <c r="E111" s="45">
        <f>COUNTIFS('Base de données'!D:D,A111,'Base de données'!F:F,"OK")+COUNTIFS('Base de données'!D:D,A111,'Base de données'!F:F,"KO - REL")</f>
        <v>0</v>
      </c>
      <c r="F111" s="26" t="str">
        <f>IF(B111=0,"",E111/B111)</f>
        <v/>
      </c>
      <c r="G111" s="27">
        <f>COUNTIFS('Base de données'!D:D,A111,'Base de données'!G:G,"&lt;=0")</f>
        <v>0</v>
      </c>
      <c r="H111" s="28" t="str">
        <f>IF(B111=0,"",G111/B111)</f>
        <v/>
      </c>
      <c r="K111" s="41"/>
      <c r="L111" s="41"/>
    </row>
    <row r="112" spans="1:23">
      <c r="A112" s="54" t="s">
        <v>41</v>
      </c>
      <c r="B112" s="19">
        <f>COUNTIFS('Base de données'!D:D,A112)</f>
        <v>60</v>
      </c>
      <c r="C112" s="16">
        <f>COUNTIFS('Base de données'!D:D,A112,'Base de données'!E:E,"OK")+COUNTIFS('Base de données'!D:D,A112,'Base de données'!E:E,"KO - REL")</f>
        <v>24</v>
      </c>
      <c r="D112" s="17">
        <f t="shared" ref="D112:D133" si="36">IF(B112=0,"",C112/B112)</f>
        <v>0.4</v>
      </c>
      <c r="E112" s="43">
        <f>COUNTIFS('Base de données'!D:D,A112,'Base de données'!F:F,"OK")+COUNTIFS('Base de données'!D:D,A112,'Base de données'!F:F,"KO - REL")</f>
        <v>31</v>
      </c>
      <c r="F112" s="17">
        <f t="shared" ref="F112:F133" si="37">IF(B112=0,"",E112/B112)</f>
        <v>0.51666666666666672</v>
      </c>
      <c r="G112" s="16">
        <f>COUNTIFS('Base de données'!D:D,A112,'Base de données'!G:G,"&lt;=0")</f>
        <v>37</v>
      </c>
      <c r="H112" s="23">
        <f t="shared" ref="H112:H133" si="38">IF(B112=0,"",G112/B112)</f>
        <v>0.6166666666666667</v>
      </c>
    </row>
    <row r="113" spans="1:8">
      <c r="A113" s="55" t="s">
        <v>42</v>
      </c>
      <c r="B113" s="19">
        <f>COUNTIFS('Base de données'!D:D,A113)</f>
        <v>47</v>
      </c>
      <c r="C113" s="16">
        <f>COUNTIFS('Base de données'!D:D,A113,'Base de données'!E:E,"OK")+COUNTIFS('Base de données'!D:D,A113,'Base de données'!E:E,"KO - REL")</f>
        <v>30</v>
      </c>
      <c r="D113" s="17">
        <f t="shared" si="36"/>
        <v>0.63829787234042556</v>
      </c>
      <c r="E113" s="43">
        <f>COUNTIFS('Base de données'!D:D,A113,'Base de données'!F:F,"OK")+COUNTIFS('Base de données'!D:D,A113,'Base de données'!F:F,"KO - REL")</f>
        <v>29</v>
      </c>
      <c r="F113" s="17">
        <f t="shared" si="37"/>
        <v>0.61702127659574468</v>
      </c>
      <c r="G113" s="16">
        <f>COUNTIFS('Base de données'!D:D,A113,'Base de données'!G:G,"&lt;=0")</f>
        <v>40</v>
      </c>
      <c r="H113" s="23">
        <f t="shared" si="38"/>
        <v>0.85106382978723405</v>
      </c>
    </row>
    <row r="114" spans="1:8">
      <c r="A114" s="55" t="s">
        <v>43</v>
      </c>
      <c r="B114" s="19">
        <f>COUNTIFS('Base de données'!D:D,A114)</f>
        <v>34</v>
      </c>
      <c r="C114" s="16">
        <f>COUNTIFS('Base de données'!D:D,A114,'Base de données'!E:E,"OK")+COUNTIFS('Base de données'!D:D,A114,'Base de données'!E:E,"KO - REL")</f>
        <v>7</v>
      </c>
      <c r="D114" s="17">
        <f t="shared" si="36"/>
        <v>0.20588235294117646</v>
      </c>
      <c r="E114" s="43">
        <f>COUNTIFS('Base de données'!D:D,A114,'Base de données'!F:F,"OK")+COUNTIFS('Base de données'!D:D,A114,'Base de données'!F:F,"KO - REL")</f>
        <v>21</v>
      </c>
      <c r="F114" s="17">
        <f t="shared" si="37"/>
        <v>0.61764705882352944</v>
      </c>
      <c r="G114" s="16">
        <f>COUNTIFS('Base de données'!D:D,A114,'Base de données'!G:G,"&lt;=0")</f>
        <v>10</v>
      </c>
      <c r="H114" s="23">
        <f t="shared" si="38"/>
        <v>0.29411764705882354</v>
      </c>
    </row>
    <row r="115" spans="1:8">
      <c r="A115" s="55" t="s">
        <v>44</v>
      </c>
      <c r="B115" s="19">
        <f>COUNTIFS('Base de données'!D:D,A115)</f>
        <v>14</v>
      </c>
      <c r="C115" s="16">
        <f>COUNTIFS('Base de données'!D:D,A115,'Base de données'!E:E,"OK")+COUNTIFS('Base de données'!D:D,A115,'Base de données'!E:E,"KO - REL")</f>
        <v>7</v>
      </c>
      <c r="D115" s="17">
        <f t="shared" si="36"/>
        <v>0.5</v>
      </c>
      <c r="E115" s="43">
        <f>COUNTIFS('Base de données'!D:D,A115,'Base de données'!F:F,"OK")+COUNTIFS('Base de données'!D:D,A115,'Base de données'!F:F,"KO - REL")</f>
        <v>8</v>
      </c>
      <c r="F115" s="17">
        <f t="shared" si="37"/>
        <v>0.5714285714285714</v>
      </c>
      <c r="G115" s="16">
        <f>COUNTIFS('Base de données'!D:D,A115,'Base de données'!G:G,"&lt;=0")</f>
        <v>7</v>
      </c>
      <c r="H115" s="23">
        <f t="shared" si="38"/>
        <v>0.5</v>
      </c>
    </row>
    <row r="116" spans="1:8">
      <c r="A116" s="55" t="s">
        <v>45</v>
      </c>
      <c r="B116" s="19">
        <f>COUNTIFS('Base de données'!D:D,A116)</f>
        <v>0</v>
      </c>
      <c r="C116" s="16">
        <f>COUNTIFS('Base de données'!D:D,A116,'Base de données'!E:E,"OK")+COUNTIFS('Base de données'!D:D,A116,'Base de données'!E:E,"KO - REL")</f>
        <v>0</v>
      </c>
      <c r="D116" s="17" t="str">
        <f t="shared" si="36"/>
        <v/>
      </c>
      <c r="E116" s="43">
        <f>COUNTIFS('Base de données'!D:D,A116,'Base de données'!F:F,"OK")+COUNTIFS('Base de données'!D:D,A116,'Base de données'!F:F,"KO - REL")</f>
        <v>0</v>
      </c>
      <c r="F116" s="17" t="str">
        <f t="shared" si="37"/>
        <v/>
      </c>
      <c r="G116" s="16">
        <f>COUNTIFS('Base de données'!D:D,A116,'Base de données'!G:G,"&lt;=0")</f>
        <v>0</v>
      </c>
      <c r="H116" s="23" t="str">
        <f t="shared" si="38"/>
        <v/>
      </c>
    </row>
    <row r="117" spans="1:8">
      <c r="A117" s="55" t="s">
        <v>46</v>
      </c>
      <c r="B117" s="19">
        <f>COUNTIFS('Base de données'!D:D,A117)</f>
        <v>1</v>
      </c>
      <c r="C117" s="16">
        <f>COUNTIFS('Base de données'!D:D,A117,'Base de données'!E:E,"OK")+COUNTIFS('Base de données'!D:D,A117,'Base de données'!E:E,"KO - REL")</f>
        <v>0</v>
      </c>
      <c r="D117" s="17">
        <f t="shared" si="36"/>
        <v>0</v>
      </c>
      <c r="E117" s="43">
        <f>COUNTIFS('Base de données'!D:D,A117,'Base de données'!F:F,"OK")+COUNTIFS('Base de données'!D:D,A117,'Base de données'!F:F,"KO - REL")</f>
        <v>0</v>
      </c>
      <c r="F117" s="17">
        <f t="shared" si="37"/>
        <v>0</v>
      </c>
      <c r="G117" s="16">
        <f>COUNTIFS('Base de données'!D:D,A117,'Base de données'!G:G,"&lt;=0")</f>
        <v>0</v>
      </c>
      <c r="H117" s="23">
        <f t="shared" si="38"/>
        <v>0</v>
      </c>
    </row>
    <row r="118" spans="1:8">
      <c r="A118" s="55" t="s">
        <v>47</v>
      </c>
      <c r="B118" s="19">
        <f>COUNTIFS('Base de données'!D:D,A118)</f>
        <v>25</v>
      </c>
      <c r="C118" s="16">
        <f>COUNTIFS('Base de données'!D:D,A118,'Base de données'!E:E,"OK")+COUNTIFS('Base de données'!D:D,A118,'Base de données'!E:E,"KO - REL")</f>
        <v>17</v>
      </c>
      <c r="D118" s="17">
        <f t="shared" si="36"/>
        <v>0.68</v>
      </c>
      <c r="E118" s="43">
        <f>COUNTIFS('Base de données'!D:D,A118,'Base de données'!F:F,"OK")+COUNTIFS('Base de données'!D:D,A118,'Base de données'!F:F,"KO - REL")</f>
        <v>17</v>
      </c>
      <c r="F118" s="17">
        <f t="shared" si="37"/>
        <v>0.68</v>
      </c>
      <c r="G118" s="16">
        <f>COUNTIFS('Base de données'!D:D,A118,'Base de données'!G:G,"&lt;=0")</f>
        <v>17</v>
      </c>
      <c r="H118" s="23">
        <f t="shared" si="38"/>
        <v>0.68</v>
      </c>
    </row>
    <row r="119" spans="1:8">
      <c r="A119" s="55" t="s">
        <v>48</v>
      </c>
      <c r="B119" s="19">
        <f>COUNTIFS('Base de données'!D:D,A119)</f>
        <v>26</v>
      </c>
      <c r="C119" s="16">
        <f>COUNTIFS('Base de données'!D:D,A119,'Base de données'!E:E,"OK")+COUNTIFS('Base de données'!D:D,A119,'Base de données'!E:E,"KO - REL")</f>
        <v>23</v>
      </c>
      <c r="D119" s="17">
        <f t="shared" si="36"/>
        <v>0.88461538461538458</v>
      </c>
      <c r="E119" s="43">
        <f>COUNTIFS('Base de données'!D:D,A119,'Base de données'!F:F,"OK")+COUNTIFS('Base de données'!D:D,A119,'Base de données'!F:F,"KO - REL")</f>
        <v>1</v>
      </c>
      <c r="F119" s="17">
        <f t="shared" si="37"/>
        <v>3.8461538461538464E-2</v>
      </c>
      <c r="G119" s="16">
        <f>COUNTIFS('Base de données'!D:D,A119,'Base de données'!G:G,"&lt;=0")</f>
        <v>18</v>
      </c>
      <c r="H119" s="23">
        <f t="shared" si="38"/>
        <v>0.69230769230769229</v>
      </c>
    </row>
    <row r="120" spans="1:8">
      <c r="A120" s="55" t="s">
        <v>49</v>
      </c>
      <c r="B120" s="19">
        <f>COUNTIFS('Base de données'!D:D,A120)</f>
        <v>1</v>
      </c>
      <c r="C120" s="16">
        <f>COUNTIFS('Base de données'!D:D,A120,'Base de données'!E:E,"OK")+COUNTIFS('Base de données'!D:D,A120,'Base de données'!E:E,"KO - REL")</f>
        <v>0</v>
      </c>
      <c r="D120" s="17">
        <f t="shared" si="36"/>
        <v>0</v>
      </c>
      <c r="E120" s="43">
        <f>COUNTIFS('Base de données'!D:D,A120,'Base de données'!F:F,"OK")+COUNTIFS('Base de données'!D:D,A120,'Base de données'!F:F,"KO - REL")</f>
        <v>1</v>
      </c>
      <c r="F120" s="17">
        <f t="shared" si="37"/>
        <v>1</v>
      </c>
      <c r="G120" s="16">
        <f>COUNTIFS('Base de données'!D:D,A120,'Base de données'!G:G,"&lt;=0")</f>
        <v>1</v>
      </c>
      <c r="H120" s="23">
        <f t="shared" si="38"/>
        <v>1</v>
      </c>
    </row>
    <row r="121" spans="1:8">
      <c r="A121" s="55" t="s">
        <v>50</v>
      </c>
      <c r="B121" s="19">
        <f>COUNTIFS('Base de données'!D:D,A121)</f>
        <v>7</v>
      </c>
      <c r="C121" s="16">
        <f>COUNTIFS('Base de données'!D:D,A121,'Base de données'!E:E,"OK")+COUNTIFS('Base de données'!D:D,A121,'Base de données'!E:E,"KO - REL")</f>
        <v>4</v>
      </c>
      <c r="D121" s="17">
        <f t="shared" si="36"/>
        <v>0.5714285714285714</v>
      </c>
      <c r="E121" s="43">
        <f>COUNTIFS('Base de données'!D:D,A121,'Base de données'!F:F,"OK")+COUNTIFS('Base de données'!D:D,A121,'Base de données'!F:F,"KO - REL")</f>
        <v>5</v>
      </c>
      <c r="F121" s="17">
        <f t="shared" si="37"/>
        <v>0.7142857142857143</v>
      </c>
      <c r="G121" s="16">
        <f>COUNTIFS('Base de données'!D:D,A121,'Base de données'!G:G,"&lt;=0")</f>
        <v>3</v>
      </c>
      <c r="H121" s="23">
        <f t="shared" si="38"/>
        <v>0.42857142857142855</v>
      </c>
    </row>
    <row r="122" spans="1:8">
      <c r="A122" s="55" t="s">
        <v>51</v>
      </c>
      <c r="B122" s="19">
        <f>COUNTIFS('Base de données'!D:D,A122)</f>
        <v>31</v>
      </c>
      <c r="C122" s="16">
        <f>COUNTIFS('Base de données'!D:D,A122,'Base de données'!E:E,"OK")+COUNTIFS('Base de données'!D:D,A122,'Base de données'!E:E,"KO - REL")</f>
        <v>9</v>
      </c>
      <c r="D122" s="17">
        <f t="shared" si="36"/>
        <v>0.29032258064516131</v>
      </c>
      <c r="E122" s="43">
        <f>COUNTIFS('Base de données'!D:D,A122,'Base de données'!F:F,"OK")+COUNTIFS('Base de données'!D:D,A122,'Base de données'!F:F,"KO - REL")</f>
        <v>9</v>
      </c>
      <c r="F122" s="17">
        <f t="shared" si="37"/>
        <v>0.29032258064516131</v>
      </c>
      <c r="G122" s="16">
        <f>COUNTIFS('Base de données'!D:D,A122,'Base de données'!G:G,"&lt;=0")</f>
        <v>23</v>
      </c>
      <c r="H122" s="23">
        <f t="shared" si="38"/>
        <v>0.74193548387096775</v>
      </c>
    </row>
    <row r="123" spans="1:8">
      <c r="A123" s="55" t="s">
        <v>52</v>
      </c>
      <c r="B123" s="19">
        <f>COUNTIFS('Base de données'!D:D,A123)</f>
        <v>11</v>
      </c>
      <c r="C123" s="16">
        <f>COUNTIFS('Base de données'!D:D,A123,'Base de données'!E:E,"OK")+COUNTIFS('Base de données'!D:D,A123,'Base de données'!E:E,"KO - REL")</f>
        <v>5</v>
      </c>
      <c r="D123" s="17">
        <f t="shared" si="36"/>
        <v>0.45454545454545453</v>
      </c>
      <c r="E123" s="43">
        <f>COUNTIFS('Base de données'!D:D,A123,'Base de données'!F:F,"OK")+COUNTIFS('Base de données'!D:D,A123,'Base de données'!F:F,"KO - REL")</f>
        <v>8</v>
      </c>
      <c r="F123" s="17">
        <f t="shared" si="37"/>
        <v>0.72727272727272729</v>
      </c>
      <c r="G123" s="16">
        <f>COUNTIFS('Base de données'!D:D,A123,'Base de données'!G:G,"&lt;=0")</f>
        <v>10</v>
      </c>
      <c r="H123" s="23">
        <f t="shared" si="38"/>
        <v>0.90909090909090906</v>
      </c>
    </row>
    <row r="124" spans="1:8">
      <c r="A124" s="55" t="s">
        <v>53</v>
      </c>
      <c r="B124" s="19">
        <f>COUNTIFS('Base de données'!D:D,A124)</f>
        <v>44</v>
      </c>
      <c r="C124" s="16">
        <f>COUNTIFS('Base de données'!D:D,A124,'Base de données'!E:E,"OK")+COUNTIFS('Base de données'!D:D,A124,'Base de données'!E:E,"KO - REL")</f>
        <v>37</v>
      </c>
      <c r="D124" s="17">
        <f t="shared" si="36"/>
        <v>0.84090909090909094</v>
      </c>
      <c r="E124" s="43">
        <f>COUNTIFS('Base de données'!D:D,A124,'Base de données'!F:F,"OK")+COUNTIFS('Base de données'!D:D,A124,'Base de données'!F:F,"KO - REL")</f>
        <v>26</v>
      </c>
      <c r="F124" s="17">
        <f t="shared" si="37"/>
        <v>0.59090909090909094</v>
      </c>
      <c r="G124" s="16">
        <f>COUNTIFS('Base de données'!D:D,A124,'Base de données'!G:G,"&lt;=0")</f>
        <v>34</v>
      </c>
      <c r="H124" s="23">
        <f t="shared" si="38"/>
        <v>0.77272727272727271</v>
      </c>
    </row>
    <row r="125" spans="1:8">
      <c r="A125" s="55" t="s">
        <v>54</v>
      </c>
      <c r="B125" s="19">
        <f>COUNTIFS('Base de données'!D:D,A125)</f>
        <v>15</v>
      </c>
      <c r="C125" s="16">
        <f>COUNTIFS('Base de données'!D:D,A125,'Base de données'!E:E,"OK")+COUNTIFS('Base de données'!D:D,A125,'Base de données'!E:E,"KO - REL")</f>
        <v>12</v>
      </c>
      <c r="D125" s="17">
        <f t="shared" si="36"/>
        <v>0.8</v>
      </c>
      <c r="E125" s="43">
        <f>COUNTIFS('Base de données'!D:D,A125,'Base de données'!F:F,"OK")+COUNTIFS('Base de données'!D:D,A125,'Base de données'!F:F,"KO - REL")</f>
        <v>7</v>
      </c>
      <c r="F125" s="17">
        <f t="shared" si="37"/>
        <v>0.46666666666666667</v>
      </c>
      <c r="G125" s="16">
        <f>COUNTIFS('Base de données'!D:D,A125,'Base de données'!G:G,"&lt;=0")</f>
        <v>9</v>
      </c>
      <c r="H125" s="23">
        <f t="shared" si="38"/>
        <v>0.6</v>
      </c>
    </row>
    <row r="126" spans="1:8">
      <c r="A126" s="55" t="s">
        <v>55</v>
      </c>
      <c r="B126" s="19">
        <f>COUNTIFS('Base de données'!D:D,A126)</f>
        <v>2</v>
      </c>
      <c r="C126" s="16">
        <f>COUNTIFS('Base de données'!D:D,A126,'Base de données'!E:E,"OK")+COUNTIFS('Base de données'!D:D,A126,'Base de données'!E:E,"KO - REL")</f>
        <v>2</v>
      </c>
      <c r="D126" s="17">
        <f t="shared" si="36"/>
        <v>1</v>
      </c>
      <c r="E126" s="43">
        <f>COUNTIFS('Base de données'!D:D,A126,'Base de données'!F:F,"OK")+COUNTIFS('Base de données'!D:D,A126,'Base de données'!F:F,"KO - REL")</f>
        <v>0</v>
      </c>
      <c r="F126" s="17">
        <f t="shared" si="37"/>
        <v>0</v>
      </c>
      <c r="G126" s="16">
        <f>COUNTIFS('Base de données'!D:D,A126,'Base de données'!G:G,"&lt;=0")</f>
        <v>1</v>
      </c>
      <c r="H126" s="23">
        <f t="shared" si="38"/>
        <v>0.5</v>
      </c>
    </row>
    <row r="127" spans="1:8">
      <c r="A127" s="55" t="s">
        <v>56</v>
      </c>
      <c r="B127" s="19">
        <f>COUNTIFS('Base de données'!D:D,A127)</f>
        <v>0</v>
      </c>
      <c r="C127" s="16">
        <f>COUNTIFS('Base de données'!D:D,A127,'Base de données'!E:E,"OK")+COUNTIFS('Base de données'!D:D,A127,'Base de données'!E:E,"KO - REL")</f>
        <v>0</v>
      </c>
      <c r="D127" s="17" t="str">
        <f t="shared" si="36"/>
        <v/>
      </c>
      <c r="E127" s="43">
        <f>COUNTIFS('Base de données'!D:D,A127,'Base de données'!F:F,"OK")+COUNTIFS('Base de données'!D:D,A127,'Base de données'!F:F,"KO - REL")</f>
        <v>0</v>
      </c>
      <c r="F127" s="17" t="str">
        <f t="shared" si="37"/>
        <v/>
      </c>
      <c r="G127" s="16">
        <f>COUNTIFS('Base de données'!D:D,A127,'Base de données'!G:G,"&lt;=0")</f>
        <v>0</v>
      </c>
      <c r="H127" s="23" t="str">
        <f t="shared" si="38"/>
        <v/>
      </c>
    </row>
    <row r="128" spans="1:8">
      <c r="A128" s="55" t="s">
        <v>57</v>
      </c>
      <c r="B128" s="19">
        <f>COUNTIFS('Base de données'!D:D,A128)</f>
        <v>1</v>
      </c>
      <c r="C128" s="16">
        <f>COUNTIFS('Base de données'!D:D,A128,'Base de données'!E:E,"OK")+COUNTIFS('Base de données'!D:D,A128,'Base de données'!E:E,"KO - REL")</f>
        <v>1</v>
      </c>
      <c r="D128" s="17">
        <f t="shared" si="36"/>
        <v>1</v>
      </c>
      <c r="E128" s="43">
        <f>COUNTIFS('Base de données'!D:D,A128,'Base de données'!F:F,"OK")+COUNTIFS('Base de données'!D:D,A128,'Base de données'!F:F,"KO - REL")</f>
        <v>1</v>
      </c>
      <c r="F128" s="17">
        <f t="shared" si="37"/>
        <v>1</v>
      </c>
      <c r="G128" s="16">
        <f>COUNTIFS('Base de données'!D:D,A128,'Base de données'!G:G,"&lt;=0")</f>
        <v>1</v>
      </c>
      <c r="H128" s="23">
        <f t="shared" si="38"/>
        <v>1</v>
      </c>
    </row>
    <row r="129" spans="1:8">
      <c r="A129" s="56" t="s">
        <v>58</v>
      </c>
      <c r="B129" s="19">
        <f>COUNTIFS('Base de données'!D:D,A129)</f>
        <v>7</v>
      </c>
      <c r="C129" s="16">
        <f>COUNTIFS('Base de données'!D:D,A129,'Base de données'!E:E,"OK")+COUNTIFS('Base de données'!D:D,A129,'Base de données'!E:E,"KO - REL")</f>
        <v>2</v>
      </c>
      <c r="D129" s="17">
        <f t="shared" si="36"/>
        <v>0.2857142857142857</v>
      </c>
      <c r="E129" s="43">
        <f>COUNTIFS('Base de données'!D:D,A129,'Base de données'!F:F,"OK")+COUNTIFS('Base de données'!D:D,A129,'Base de données'!F:F,"KO - REL")</f>
        <v>6</v>
      </c>
      <c r="F129" s="17">
        <f t="shared" si="37"/>
        <v>0.8571428571428571</v>
      </c>
      <c r="G129" s="16">
        <f>COUNTIFS('Base de données'!D:D,A129,'Base de données'!G:G,"&lt;=0")</f>
        <v>3</v>
      </c>
      <c r="H129" s="23">
        <f t="shared" si="38"/>
        <v>0.42857142857142855</v>
      </c>
    </row>
    <row r="130" spans="1:8">
      <c r="A130" s="55" t="s">
        <v>59</v>
      </c>
      <c r="B130" s="19">
        <f>COUNTIFS('Base de données'!D:D,A130)</f>
        <v>0</v>
      </c>
      <c r="C130" s="16">
        <f>COUNTIFS('Base de données'!D:D,A130,'Base de données'!E:E,"OK")+COUNTIFS('Base de données'!D:D,A130,'Base de données'!E:E,"KO - REL")</f>
        <v>0</v>
      </c>
      <c r="D130" s="17" t="str">
        <f t="shared" si="36"/>
        <v/>
      </c>
      <c r="E130" s="43">
        <f>COUNTIFS('Base de données'!D:D,A130,'Base de données'!F:F,"OK")+COUNTIFS('Base de données'!D:D,A130,'Base de données'!F:F,"KO - REL")</f>
        <v>0</v>
      </c>
      <c r="F130" s="17" t="str">
        <f t="shared" si="37"/>
        <v/>
      </c>
      <c r="G130" s="16">
        <f>COUNTIFS('Base de données'!D:D,A130,'Base de données'!G:G,"&lt;=0")</f>
        <v>0</v>
      </c>
      <c r="H130" s="23" t="str">
        <f t="shared" si="38"/>
        <v/>
      </c>
    </row>
    <row r="131" spans="1:8">
      <c r="A131" s="55" t="s">
        <v>60</v>
      </c>
      <c r="B131" s="19">
        <f>COUNTIFS('Base de données'!D:D,A131)</f>
        <v>91</v>
      </c>
      <c r="C131" s="16">
        <f>COUNTIFS('Base de données'!D:D,A131,'Base de données'!E:E,"OK")+COUNTIFS('Base de données'!D:D,A131,'Base de données'!E:E,"KO - REL")</f>
        <v>91</v>
      </c>
      <c r="D131" s="17">
        <f t="shared" si="36"/>
        <v>1</v>
      </c>
      <c r="E131" s="43">
        <f>COUNTIFS('Base de données'!D:D,A131,'Base de données'!F:F,"OK")+COUNTIFS('Base de données'!D:D,A131,'Base de données'!F:F,"KO - REL")</f>
        <v>91</v>
      </c>
      <c r="F131" s="17">
        <f t="shared" si="37"/>
        <v>1</v>
      </c>
      <c r="G131" s="16">
        <f>COUNTIFS('Base de données'!D:D,A131,'Base de données'!G:G,"&lt;=0")</f>
        <v>91</v>
      </c>
      <c r="H131" s="23">
        <f t="shared" si="38"/>
        <v>1</v>
      </c>
    </row>
    <row r="132" spans="1:8">
      <c r="A132" s="55" t="s">
        <v>61</v>
      </c>
      <c r="B132" s="19">
        <f>COUNTIFS('Base de données'!D:D,A132)</f>
        <v>7</v>
      </c>
      <c r="C132" s="16">
        <f>COUNTIFS('Base de données'!D:D,A132,'Base de données'!E:E,"OK")+COUNTIFS('Base de données'!D:D,A132,'Base de données'!E:E,"KO - REL")</f>
        <v>2</v>
      </c>
      <c r="D132" s="17">
        <f t="shared" si="36"/>
        <v>0.2857142857142857</v>
      </c>
      <c r="E132" s="43">
        <f>COUNTIFS('Base de données'!D:D,A132,'Base de données'!F:F,"OK")+COUNTIFS('Base de données'!D:D,A132,'Base de données'!F:F,"KO - REL")</f>
        <v>2</v>
      </c>
      <c r="F132" s="17">
        <f t="shared" si="37"/>
        <v>0.2857142857142857</v>
      </c>
      <c r="G132" s="16">
        <f>COUNTIFS('Base de données'!D:D,A132,'Base de données'!G:G,"&lt;=0")</f>
        <v>3</v>
      </c>
      <c r="H132" s="23">
        <f t="shared" si="38"/>
        <v>0.42857142857142855</v>
      </c>
    </row>
    <row r="133" spans="1:8" ht="15.75" thickBot="1">
      <c r="A133" s="57" t="s">
        <v>62</v>
      </c>
      <c r="B133" s="20">
        <f>COUNTIFS('Base de données'!D:D,A133)</f>
        <v>39</v>
      </c>
      <c r="C133" s="22">
        <f>COUNTIFS('Base de données'!D:D,A25,'Base de données'!E:E,"OK")+COUNTIFS('Base de données'!D:D,A25,'Base de données'!E:E,"KO - REL")</f>
        <v>36</v>
      </c>
      <c r="D133" s="21">
        <f t="shared" si="36"/>
        <v>0.92307692307692313</v>
      </c>
      <c r="E133" s="30">
        <f>COUNTIFS('Base de données'!D:D,A133,'Base de données'!F:F,"OK")+COUNTIFS('Base de données'!D:D,A133,'Base de données'!F:F,"KO - REL")</f>
        <v>25</v>
      </c>
      <c r="F133" s="21">
        <f t="shared" si="37"/>
        <v>0.64102564102564108</v>
      </c>
      <c r="G133" s="22">
        <f>COUNTIFS('Base de données'!D:D,A133,'Base de données'!G:G,"&lt;=0")</f>
        <v>35</v>
      </c>
      <c r="H133" s="24">
        <f t="shared" si="38"/>
        <v>0.89743589743589747</v>
      </c>
    </row>
    <row r="134" spans="1:8" ht="15.75" thickBot="1">
      <c r="A134" s="65" t="s">
        <v>26</v>
      </c>
      <c r="B134" s="59">
        <f>SUM(B111:B133)</f>
        <v>463</v>
      </c>
      <c r="C134" s="60">
        <f>SUM(C111:C133)</f>
        <v>309</v>
      </c>
      <c r="D134" s="61">
        <f>C134/B134</f>
        <v>0.66738660907127434</v>
      </c>
      <c r="E134" s="62">
        <f>SUM(E111:E133)</f>
        <v>288</v>
      </c>
      <c r="F134" s="61">
        <f>E134/B134</f>
        <v>0.62203023758099352</v>
      </c>
      <c r="G134" s="63">
        <f>SUM(G111:G133)</f>
        <v>343</v>
      </c>
      <c r="H134" s="64">
        <f>G134/B134</f>
        <v>0.74082073434125273</v>
      </c>
    </row>
    <row r="136" spans="1:8">
      <c r="H136" s="42"/>
    </row>
  </sheetData>
  <mergeCells count="13">
    <mergeCell ref="B28:H28"/>
    <mergeCell ref="I28:O28"/>
    <mergeCell ref="P28:V28"/>
    <mergeCell ref="B109:H109"/>
    <mergeCell ref="B1:H1"/>
    <mergeCell ref="I1:O1"/>
    <mergeCell ref="P1:V1"/>
    <mergeCell ref="B55:H55"/>
    <mergeCell ref="I55:O55"/>
    <mergeCell ref="P55:V55"/>
    <mergeCell ref="B82:H82"/>
    <mergeCell ref="I82:O82"/>
    <mergeCell ref="P82:V82"/>
  </mergeCells>
  <conditionalFormatting sqref="B3:V25 B30:V52 B57:V79 B84:V106 B111:G133">
    <cfRule type="containsBlanks" dxfId="0" priority="4">
      <formula>LEN(TRIM(B3))=0</formula>
    </cfRule>
  </conditionalFormatting>
  <conditionalFormatting sqref="H111:H133">
    <cfRule type="timePeriod" dxfId="8" priority="2" timePeriod="yesterday">
      <formula>FLOOR(H111,1)=TODAY()-1</formula>
    </cfRule>
  </conditionalFormatting>
  <conditionalFormatting sqref="H111:H134">
    <cfRule type="containsBlanks" dxfId="7" priority="1">
      <formula>LEN(TRIM(H111))=0</formula>
    </cfRule>
  </conditionalFormatting>
  <pageMargins left="0.7" right="0.7" top="0.75" bottom="0.75" header="0.3" footer="0.3"/>
  <pageSetup paperSize="9" orientation="portrait" r:id="rId1"/>
  <colBreaks count="1" manualBreakCount="1">
    <brk id="15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de données</vt:lpstr>
      <vt:lpstr>Stats Groupées</vt:lpstr>
      <vt:lpstr>Stats Individuelles</vt:lpstr>
      <vt:lpstr>'Base de données'!Zone_d_impression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SURZUR Sebastien</dc:creator>
  <cp:lastModifiedBy>Sebastien SURZUR</cp:lastModifiedBy>
  <cp:lastPrinted>2014-07-17T14:03:10Z</cp:lastPrinted>
  <dcterms:created xsi:type="dcterms:W3CDTF">2014-07-17T12:54:56Z</dcterms:created>
  <dcterms:modified xsi:type="dcterms:W3CDTF">2015-01-05T14:54:59Z</dcterms:modified>
</cp:coreProperties>
</file>