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/>
  <bookViews>
    <workbookView xWindow="2235" yWindow="3780" windowWidth="17580" windowHeight="9390" tabRatio="927" activeTab="3"/>
  </bookViews>
  <sheets>
    <sheet name="DIMANCHE" sheetId="55" r:id="rId1"/>
    <sheet name="D" sheetId="70" r:id="rId2"/>
    <sheet name="Recette D" sheetId="98" r:id="rId3"/>
    <sheet name="Feuil2" sheetId="99" r:id="rId4"/>
  </sheets>
  <definedNames>
    <definedName name="_xlnm._FilterDatabase" localSheetId="0" hidden="1">DIMANCHE!$A$11:$V$11</definedName>
    <definedName name="_xlnm.Print_Titles" localSheetId="1">D!$1:$2</definedName>
    <definedName name="_xlnm.Print_Titles" localSheetId="2">'Recette D'!$2:$2</definedName>
    <definedName name="_xlnm.Print_Area" localSheetId="1">D!$A$1:$K$201</definedName>
    <definedName name="_xlnm.Print_Area" localSheetId="0">DIMANCHE!$A$2:$I$281</definedName>
    <definedName name="_xlnm.Print_Area" localSheetId="2">'Recette D'!$A$1:$L$231</definedName>
  </definedNames>
  <calcPr calcId="145621"/>
</workbook>
</file>

<file path=xl/calcChain.xml><?xml version="1.0" encoding="utf-8"?>
<calcChain xmlns="http://schemas.openxmlformats.org/spreadsheetml/2006/main">
  <c r="B151" i="70" l="1"/>
  <c r="E37" i="70"/>
  <c r="H139" i="70"/>
  <c r="H138" i="70"/>
  <c r="C139" i="70"/>
  <c r="C138" i="70"/>
  <c r="H9" i="70"/>
  <c r="B9" i="70"/>
  <c r="D53" i="98" s="1"/>
  <c r="C9" i="70"/>
  <c r="N6" i="55"/>
  <c r="H36" i="70"/>
  <c r="K148" i="98"/>
  <c r="G149" i="98"/>
  <c r="C148" i="98"/>
  <c r="H153" i="70"/>
  <c r="B153" i="70" s="1"/>
  <c r="G34" i="98"/>
  <c r="K129" i="98"/>
  <c r="C225" i="98"/>
  <c r="K206" i="98"/>
  <c r="G206" i="98"/>
  <c r="C206" i="98"/>
  <c r="G129" i="98"/>
  <c r="C129" i="98"/>
  <c r="K110" i="98"/>
  <c r="G110" i="98"/>
  <c r="C110" i="98"/>
  <c r="K91" i="98"/>
  <c r="L86" i="98" s="1"/>
  <c r="G91" i="98"/>
  <c r="K72" i="98"/>
  <c r="C91" i="98"/>
  <c r="G72" i="98"/>
  <c r="C72" i="98"/>
  <c r="K53" i="98"/>
  <c r="G53" i="98"/>
  <c r="C53" i="98"/>
  <c r="D47" i="98" s="1"/>
  <c r="K34" i="98"/>
  <c r="C34" i="98"/>
  <c r="K15" i="98"/>
  <c r="G15" i="98"/>
  <c r="C15" i="98"/>
  <c r="H200" i="70"/>
  <c r="B200" i="70" s="1"/>
  <c r="C200" i="70"/>
  <c r="H197" i="70"/>
  <c r="H196" i="70"/>
  <c r="H195" i="70"/>
  <c r="H194" i="70"/>
  <c r="H193" i="70"/>
  <c r="H192" i="70"/>
  <c r="H190" i="70"/>
  <c r="H162" i="70"/>
  <c r="B162" i="70"/>
  <c r="H161" i="70"/>
  <c r="B161" i="70" s="1"/>
  <c r="H152" i="70"/>
  <c r="B152" i="70" s="1"/>
  <c r="H206" i="98" s="1"/>
  <c r="H148" i="70"/>
  <c r="H147" i="70"/>
  <c r="B147" i="70" s="1"/>
  <c r="H146" i="70"/>
  <c r="H145" i="70"/>
  <c r="H144" i="70"/>
  <c r="H143" i="70"/>
  <c r="B143" i="70" s="1"/>
  <c r="H142" i="70"/>
  <c r="B142" i="70" s="1"/>
  <c r="H141" i="70"/>
  <c r="B141" i="70" s="1"/>
  <c r="H140" i="70"/>
  <c r="B140" i="70" s="1"/>
  <c r="H120" i="70"/>
  <c r="H119" i="70"/>
  <c r="B119" i="70" s="1"/>
  <c r="H118" i="70"/>
  <c r="B118" i="70" s="1"/>
  <c r="J118" i="70"/>
  <c r="H117" i="70"/>
  <c r="B117" i="70" s="1"/>
  <c r="H116" i="70"/>
  <c r="B116" i="70" s="1"/>
  <c r="H115" i="70"/>
  <c r="B115" i="70" s="1"/>
  <c r="H103" i="70"/>
  <c r="B103" i="70" s="1"/>
  <c r="H4" i="70"/>
  <c r="B4" i="70" s="1"/>
  <c r="H72" i="98" s="1"/>
  <c r="H125" i="70"/>
  <c r="B125" i="70" s="1"/>
  <c r="H31" i="70"/>
  <c r="B31" i="70" s="1"/>
  <c r="H100" i="70"/>
  <c r="B100" i="70" s="1"/>
  <c r="C100" i="70"/>
  <c r="H199" i="70"/>
  <c r="C199" i="70"/>
  <c r="H7" i="70"/>
  <c r="B7" i="70" s="1"/>
  <c r="H11" i="70"/>
  <c r="B11" i="70" s="1"/>
  <c r="H3" i="70"/>
  <c r="B3" i="70" s="1"/>
  <c r="H160" i="70"/>
  <c r="B160" i="70" s="1"/>
  <c r="C162" i="70"/>
  <c r="C161" i="70"/>
  <c r="C160" i="70"/>
  <c r="H99" i="70"/>
  <c r="B99" i="70" s="1"/>
  <c r="D129" i="98" s="1"/>
  <c r="D121" i="98" s="1"/>
  <c r="H98" i="70"/>
  <c r="B98" i="70" s="1"/>
  <c r="L110" i="98" s="1"/>
  <c r="C99" i="70"/>
  <c r="C98" i="70"/>
  <c r="H157" i="70"/>
  <c r="B157" i="70" s="1"/>
  <c r="C157" i="70"/>
  <c r="H156" i="70"/>
  <c r="B156" i="70" s="1"/>
  <c r="C156" i="70"/>
  <c r="C153" i="70"/>
  <c r="C152" i="70"/>
  <c r="H137" i="70"/>
  <c r="B137" i="70" s="1"/>
  <c r="C137" i="70"/>
  <c r="H151" i="70"/>
  <c r="C151" i="70"/>
  <c r="C193" i="70"/>
  <c r="C194" i="70"/>
  <c r="C195" i="70"/>
  <c r="C196" i="70"/>
  <c r="C197" i="70"/>
  <c r="C192" i="70"/>
  <c r="H191" i="70"/>
  <c r="C191" i="70"/>
  <c r="C190" i="70"/>
  <c r="C141" i="70"/>
  <c r="C142" i="70"/>
  <c r="C143" i="70"/>
  <c r="C144" i="70"/>
  <c r="C145" i="70"/>
  <c r="C146" i="70"/>
  <c r="C147" i="70"/>
  <c r="C148" i="70"/>
  <c r="C140" i="70"/>
  <c r="H126" i="70"/>
  <c r="B126" i="70" s="1"/>
  <c r="H127" i="70"/>
  <c r="B127" i="70" s="1"/>
  <c r="H128" i="70"/>
  <c r="B128" i="70" s="1"/>
  <c r="H129" i="70"/>
  <c r="B129" i="70" s="1"/>
  <c r="H130" i="70"/>
  <c r="B130" i="70" s="1"/>
  <c r="H132" i="70"/>
  <c r="B132" i="70" s="1"/>
  <c r="H133" i="70"/>
  <c r="B133" i="70" s="1"/>
  <c r="H134" i="70"/>
  <c r="B134" i="70" s="1"/>
  <c r="H135" i="70"/>
  <c r="B135" i="70" s="1"/>
  <c r="H136" i="70"/>
  <c r="B136" i="70" s="1"/>
  <c r="H124" i="70"/>
  <c r="B124" i="70" s="1"/>
  <c r="C125" i="70"/>
  <c r="C126" i="70"/>
  <c r="C127" i="70"/>
  <c r="C128" i="70"/>
  <c r="C129" i="70"/>
  <c r="C130" i="70"/>
  <c r="C132" i="70"/>
  <c r="C133" i="70"/>
  <c r="C134" i="70"/>
  <c r="C135" i="70"/>
  <c r="C136" i="70"/>
  <c r="C124" i="70"/>
  <c r="H109" i="70"/>
  <c r="B109" i="70" s="1"/>
  <c r="C109" i="70"/>
  <c r="C120" i="70"/>
  <c r="C116" i="70"/>
  <c r="C117" i="70"/>
  <c r="C118" i="70"/>
  <c r="C119" i="70"/>
  <c r="C115" i="70"/>
  <c r="H112" i="70"/>
  <c r="B112" i="70" s="1"/>
  <c r="H113" i="70"/>
  <c r="B113" i="70" s="1"/>
  <c r="H111" i="70"/>
  <c r="B111" i="70" s="1"/>
  <c r="H110" i="70"/>
  <c r="B110" i="70" s="1"/>
  <c r="C111" i="70"/>
  <c r="C112" i="70"/>
  <c r="C113" i="70"/>
  <c r="C110" i="70"/>
  <c r="H104" i="70"/>
  <c r="B104" i="70" s="1"/>
  <c r="C104" i="70"/>
  <c r="C103" i="70"/>
  <c r="H97" i="70"/>
  <c r="B97" i="70" s="1"/>
  <c r="H96" i="70"/>
  <c r="H95" i="70"/>
  <c r="B95" i="70"/>
  <c r="H91" i="98" s="1"/>
  <c r="H84" i="98" s="1"/>
  <c r="H94" i="70"/>
  <c r="B94" i="70"/>
  <c r="H93" i="70"/>
  <c r="B93" i="70" s="1"/>
  <c r="H92" i="70"/>
  <c r="B92" i="70"/>
  <c r="H91" i="70"/>
  <c r="B91" i="70"/>
  <c r="H90" i="70"/>
  <c r="B90" i="70" s="1"/>
  <c r="H89" i="70"/>
  <c r="B89" i="70" s="1"/>
  <c r="H88" i="70"/>
  <c r="B88" i="70"/>
  <c r="C97" i="70"/>
  <c r="C96" i="70"/>
  <c r="C95" i="70"/>
  <c r="C94" i="70"/>
  <c r="C93" i="70"/>
  <c r="C92" i="70"/>
  <c r="C91" i="70"/>
  <c r="C90" i="70"/>
  <c r="C89" i="70"/>
  <c r="C88" i="70"/>
  <c r="H78" i="70"/>
  <c r="H79" i="70"/>
  <c r="H80" i="70"/>
  <c r="H81" i="70"/>
  <c r="H82" i="70"/>
  <c r="H83" i="70"/>
  <c r="H84" i="70"/>
  <c r="H77" i="70"/>
  <c r="C78" i="70"/>
  <c r="C79" i="70"/>
  <c r="C80" i="70"/>
  <c r="C81" i="70"/>
  <c r="C82" i="70"/>
  <c r="C83" i="70"/>
  <c r="C84" i="70"/>
  <c r="C77" i="70"/>
  <c r="H72" i="70"/>
  <c r="B72" i="70" s="1"/>
  <c r="H71" i="70"/>
  <c r="B71" i="70" s="1"/>
  <c r="H149" i="98" s="1"/>
  <c r="H70" i="70"/>
  <c r="B70" i="70" s="1"/>
  <c r="D148" i="98" s="1"/>
  <c r="H69" i="70"/>
  <c r="B69" i="70" s="1"/>
  <c r="H68" i="70"/>
  <c r="B68" i="70"/>
  <c r="C72" i="70"/>
  <c r="C71" i="70"/>
  <c r="C70" i="70"/>
  <c r="C69" i="70"/>
  <c r="C68" i="70"/>
  <c r="H62" i="70"/>
  <c r="B62" i="70" s="1"/>
  <c r="H63" i="70"/>
  <c r="B63" i="70" s="1"/>
  <c r="H65" i="70"/>
  <c r="B65" i="70" s="1"/>
  <c r="C63" i="70"/>
  <c r="C65" i="70"/>
  <c r="C62" i="70"/>
  <c r="H56" i="70"/>
  <c r="C56" i="70"/>
  <c r="H55" i="70"/>
  <c r="H54" i="70"/>
  <c r="H53" i="70"/>
  <c r="H52" i="70"/>
  <c r="H51" i="70"/>
  <c r="C53" i="70"/>
  <c r="C54" i="70"/>
  <c r="C55" i="70"/>
  <c r="C52" i="70"/>
  <c r="C51" i="70"/>
  <c r="H48" i="70"/>
  <c r="B48" i="70" s="1"/>
  <c r="L91" i="98" s="1"/>
  <c r="C48" i="70"/>
  <c r="H46" i="70"/>
  <c r="B46" i="70"/>
  <c r="D110" i="98" s="1"/>
  <c r="H47" i="70"/>
  <c r="B47" i="70" s="1"/>
  <c r="E47" i="70" s="1"/>
  <c r="F47" i="70" s="1"/>
  <c r="H45" i="70"/>
  <c r="B45" i="70" s="1"/>
  <c r="D91" i="98" s="1"/>
  <c r="C46" i="70"/>
  <c r="C47" i="70"/>
  <c r="C45" i="70"/>
  <c r="H42" i="70"/>
  <c r="H41" i="70"/>
  <c r="B41" i="70"/>
  <c r="C42" i="70"/>
  <c r="C41" i="70"/>
  <c r="H38" i="70"/>
  <c r="B38" i="70" s="1"/>
  <c r="E38" i="70" s="1"/>
  <c r="C38" i="70"/>
  <c r="H37" i="70"/>
  <c r="B37" i="70" s="1"/>
  <c r="C37" i="70"/>
  <c r="H35" i="70"/>
  <c r="C36" i="70"/>
  <c r="C35" i="70"/>
  <c r="H28" i="70"/>
  <c r="H29" i="70"/>
  <c r="H30" i="70"/>
  <c r="H27" i="70"/>
  <c r="C28" i="70"/>
  <c r="C29" i="70"/>
  <c r="C30" i="70"/>
  <c r="C31" i="70"/>
  <c r="C27" i="70"/>
  <c r="C4" i="70"/>
  <c r="H23" i="70"/>
  <c r="B23" i="70" s="1"/>
  <c r="H22" i="70"/>
  <c r="B22" i="70" s="1"/>
  <c r="C23" i="70"/>
  <c r="C22" i="70"/>
  <c r="H20" i="70"/>
  <c r="B20" i="70"/>
  <c r="D72" i="98" s="1"/>
  <c r="D66" i="98" s="1"/>
  <c r="C20" i="70"/>
  <c r="H18" i="70"/>
  <c r="H17" i="70"/>
  <c r="C18" i="70"/>
  <c r="C17" i="70"/>
  <c r="H16" i="70"/>
  <c r="C16" i="70"/>
  <c r="H15" i="70"/>
  <c r="C15" i="70"/>
  <c r="H14" i="70"/>
  <c r="C14" i="70"/>
  <c r="C11" i="70"/>
  <c r="C7" i="70"/>
  <c r="C3" i="70"/>
  <c r="G2" i="55"/>
  <c r="F2" i="98" s="1"/>
  <c r="K245" i="55"/>
  <c r="K246" i="55"/>
  <c r="K247" i="55"/>
  <c r="K248" i="55"/>
  <c r="K249" i="55"/>
  <c r="K250" i="55"/>
  <c r="K251" i="55"/>
  <c r="K252" i="55"/>
  <c r="K253" i="55"/>
  <c r="K254" i="55"/>
  <c r="K255" i="55"/>
  <c r="K256" i="55"/>
  <c r="K257" i="55"/>
  <c r="K258" i="55"/>
  <c r="K259" i="55"/>
  <c r="K260" i="55"/>
  <c r="K261" i="55"/>
  <c r="K262" i="55"/>
  <c r="K263" i="55"/>
  <c r="K264" i="55"/>
  <c r="K265" i="55"/>
  <c r="K266" i="55"/>
  <c r="K267" i="55"/>
  <c r="K268" i="55"/>
  <c r="K269" i="55"/>
  <c r="K270" i="55"/>
  <c r="K271" i="55"/>
  <c r="K272" i="55"/>
  <c r="K273" i="55"/>
  <c r="K274" i="55"/>
  <c r="K275" i="55"/>
  <c r="K276" i="55"/>
  <c r="K277" i="55"/>
  <c r="K278" i="55"/>
  <c r="K279" i="55"/>
  <c r="K280" i="55"/>
  <c r="K281" i="55"/>
  <c r="K244" i="55"/>
  <c r="K219" i="55"/>
  <c r="K220" i="55"/>
  <c r="K221" i="55"/>
  <c r="K222" i="55"/>
  <c r="K223" i="55"/>
  <c r="K224" i="55"/>
  <c r="K225" i="55"/>
  <c r="K226" i="55"/>
  <c r="K227" i="55"/>
  <c r="K228" i="55"/>
  <c r="K229" i="55"/>
  <c r="K230" i="55"/>
  <c r="K231" i="55"/>
  <c r="K232" i="55"/>
  <c r="K233" i="55"/>
  <c r="K234" i="55"/>
  <c r="K235" i="55"/>
  <c r="K236" i="55"/>
  <c r="K237" i="55"/>
  <c r="K238" i="55"/>
  <c r="K239" i="55"/>
  <c r="K240" i="55"/>
  <c r="K241" i="55"/>
  <c r="K242" i="55"/>
  <c r="K218" i="55"/>
  <c r="K217" i="55" s="1"/>
  <c r="K197" i="55"/>
  <c r="K198" i="55"/>
  <c r="K195" i="55" s="1"/>
  <c r="K199" i="55"/>
  <c r="K200" i="55"/>
  <c r="K201" i="55"/>
  <c r="K202" i="55"/>
  <c r="K203" i="55"/>
  <c r="K204" i="55"/>
  <c r="K196" i="55"/>
  <c r="K168" i="55"/>
  <c r="K169" i="55"/>
  <c r="K167" i="55"/>
  <c r="K170" i="55"/>
  <c r="K171" i="55"/>
  <c r="K172" i="55"/>
  <c r="K173" i="55"/>
  <c r="K174" i="55"/>
  <c r="K175" i="55"/>
  <c r="K176" i="55"/>
  <c r="K177" i="55"/>
  <c r="K178" i="55"/>
  <c r="K179" i="55"/>
  <c r="K180" i="55"/>
  <c r="K181" i="55"/>
  <c r="K182" i="55"/>
  <c r="K183" i="55"/>
  <c r="K184" i="55"/>
  <c r="K185" i="55"/>
  <c r="K186" i="55"/>
  <c r="K187" i="55"/>
  <c r="K188" i="55"/>
  <c r="K189" i="55"/>
  <c r="K190" i="55"/>
  <c r="K191" i="55"/>
  <c r="K192" i="55"/>
  <c r="K193" i="55"/>
  <c r="K194" i="55"/>
  <c r="K149" i="55"/>
  <c r="K150" i="55"/>
  <c r="K151" i="55"/>
  <c r="K152" i="55"/>
  <c r="K153" i="55"/>
  <c r="K154" i="55"/>
  <c r="K155" i="55"/>
  <c r="K156" i="55"/>
  <c r="K157" i="55"/>
  <c r="K158" i="55"/>
  <c r="K159" i="55"/>
  <c r="K160" i="55"/>
  <c r="K161" i="55"/>
  <c r="K162" i="55"/>
  <c r="K163" i="55"/>
  <c r="K164" i="55"/>
  <c r="K148" i="55"/>
  <c r="K106" i="55"/>
  <c r="K107" i="55"/>
  <c r="K108" i="55"/>
  <c r="K109" i="55"/>
  <c r="K110" i="55"/>
  <c r="K111" i="55"/>
  <c r="K112" i="55"/>
  <c r="K113" i="55"/>
  <c r="K114" i="55"/>
  <c r="K115" i="55"/>
  <c r="K116" i="55"/>
  <c r="K117" i="55"/>
  <c r="K118" i="55"/>
  <c r="K119" i="55"/>
  <c r="K120" i="55"/>
  <c r="K121" i="55"/>
  <c r="K122" i="55"/>
  <c r="K123" i="55"/>
  <c r="K124" i="55"/>
  <c r="K125" i="55"/>
  <c r="K126" i="55"/>
  <c r="K127" i="55"/>
  <c r="K128" i="55"/>
  <c r="K129" i="55"/>
  <c r="K130" i="55"/>
  <c r="K131" i="55"/>
  <c r="K132" i="55"/>
  <c r="K133" i="55"/>
  <c r="K134" i="55"/>
  <c r="K135" i="55"/>
  <c r="K136" i="55"/>
  <c r="K137" i="55"/>
  <c r="K138" i="55"/>
  <c r="K105" i="55"/>
  <c r="K78" i="55"/>
  <c r="K79" i="55"/>
  <c r="K80" i="55"/>
  <c r="K81" i="55"/>
  <c r="K82" i="55"/>
  <c r="K83" i="55"/>
  <c r="K84" i="55"/>
  <c r="K85" i="55"/>
  <c r="K86" i="55"/>
  <c r="K87" i="55"/>
  <c r="K88" i="55"/>
  <c r="K89" i="55"/>
  <c r="K90" i="55"/>
  <c r="K91" i="55"/>
  <c r="K92" i="55"/>
  <c r="K93" i="55"/>
  <c r="K94" i="55"/>
  <c r="K95" i="55"/>
  <c r="K77" i="55"/>
  <c r="K15" i="55"/>
  <c r="K16" i="55"/>
  <c r="K17" i="55"/>
  <c r="K18" i="55"/>
  <c r="K19" i="55"/>
  <c r="K20" i="55"/>
  <c r="K21" i="55"/>
  <c r="K22" i="55"/>
  <c r="K23" i="55"/>
  <c r="K24" i="55"/>
  <c r="K25" i="55"/>
  <c r="K26" i="55"/>
  <c r="K27" i="55"/>
  <c r="K28" i="55"/>
  <c r="K29" i="55"/>
  <c r="K30" i="55"/>
  <c r="K31" i="55"/>
  <c r="K32" i="55"/>
  <c r="K33" i="55"/>
  <c r="K34" i="55"/>
  <c r="K35" i="55"/>
  <c r="K36" i="55"/>
  <c r="K37" i="55"/>
  <c r="K38" i="55"/>
  <c r="K39" i="55"/>
  <c r="K40" i="55"/>
  <c r="K41" i="55"/>
  <c r="K42" i="55"/>
  <c r="K43" i="55"/>
  <c r="K44" i="55"/>
  <c r="K45" i="55"/>
  <c r="K46" i="55"/>
  <c r="K47" i="55"/>
  <c r="K48" i="55"/>
  <c r="K49" i="55"/>
  <c r="K50" i="55"/>
  <c r="K51" i="55"/>
  <c r="K52" i="55"/>
  <c r="K53" i="55"/>
  <c r="K54" i="55"/>
  <c r="K55" i="55"/>
  <c r="K56" i="55"/>
  <c r="K57" i="55"/>
  <c r="K58" i="55"/>
  <c r="K59" i="55"/>
  <c r="K60" i="55"/>
  <c r="K61" i="55"/>
  <c r="K62" i="55"/>
  <c r="K63" i="55"/>
  <c r="K64" i="55"/>
  <c r="K65" i="55"/>
  <c r="K66" i="55"/>
  <c r="K13" i="55"/>
  <c r="K14" i="55"/>
  <c r="K67" i="55"/>
  <c r="K68" i="55"/>
  <c r="K69" i="55"/>
  <c r="K70" i="55"/>
  <c r="K71" i="55"/>
  <c r="K72" i="55"/>
  <c r="K73" i="55"/>
  <c r="K74" i="55"/>
  <c r="K75" i="55"/>
  <c r="K96" i="55"/>
  <c r="K97" i="55"/>
  <c r="K98" i="55"/>
  <c r="K99" i="55"/>
  <c r="K100" i="55"/>
  <c r="K101" i="55"/>
  <c r="K102" i="55"/>
  <c r="K103" i="55"/>
  <c r="K139" i="55"/>
  <c r="K140" i="55"/>
  <c r="K141" i="55"/>
  <c r="K142" i="55"/>
  <c r="K143" i="55"/>
  <c r="K144" i="55"/>
  <c r="K145" i="55"/>
  <c r="K146" i="55"/>
  <c r="K165" i="55"/>
  <c r="K205" i="55"/>
  <c r="K206" i="55"/>
  <c r="K207" i="55"/>
  <c r="K208" i="55"/>
  <c r="K209" i="55"/>
  <c r="K210" i="55"/>
  <c r="K211" i="55"/>
  <c r="K212" i="55"/>
  <c r="K213" i="55"/>
  <c r="K214" i="55"/>
  <c r="K215" i="55"/>
  <c r="K216" i="55"/>
  <c r="G10" i="55"/>
  <c r="P77" i="55"/>
  <c r="P78" i="55"/>
  <c r="P79" i="55"/>
  <c r="P87" i="55"/>
  <c r="P86" i="55"/>
  <c r="P93" i="55"/>
  <c r="P94" i="55"/>
  <c r="P82" i="55"/>
  <c r="P80" i="55"/>
  <c r="P81" i="55"/>
  <c r="P83" i="55"/>
  <c r="P84" i="55"/>
  <c r="P85" i="55"/>
  <c r="P88" i="55"/>
  <c r="P89" i="55"/>
  <c r="P90" i="55"/>
  <c r="P91" i="55"/>
  <c r="P92" i="55"/>
  <c r="P95" i="55"/>
  <c r="P105" i="55"/>
  <c r="P106" i="55"/>
  <c r="P107" i="55"/>
  <c r="P110" i="55"/>
  <c r="P113" i="55"/>
  <c r="P115" i="55"/>
  <c r="P114" i="55"/>
  <c r="P137" i="55"/>
  <c r="P138" i="55"/>
  <c r="P108" i="55"/>
  <c r="P109" i="55"/>
  <c r="P111" i="55"/>
  <c r="P112" i="55"/>
  <c r="P116" i="55"/>
  <c r="P117" i="55"/>
  <c r="P118" i="55"/>
  <c r="P119" i="55"/>
  <c r="P120" i="55"/>
  <c r="P121" i="55"/>
  <c r="P122" i="55"/>
  <c r="P123" i="55"/>
  <c r="P124" i="55"/>
  <c r="P125" i="55"/>
  <c r="P126" i="55"/>
  <c r="P127" i="55"/>
  <c r="P128" i="55"/>
  <c r="P129" i="55"/>
  <c r="P130" i="55"/>
  <c r="P131" i="55"/>
  <c r="P132" i="55"/>
  <c r="P133" i="55"/>
  <c r="P134" i="55"/>
  <c r="P135" i="55"/>
  <c r="P136" i="55"/>
  <c r="P150" i="55"/>
  <c r="P151" i="55"/>
  <c r="P152" i="55"/>
  <c r="P163" i="55"/>
  <c r="P148" i="55"/>
  <c r="P149" i="55"/>
  <c r="P153" i="55"/>
  <c r="P154" i="55"/>
  <c r="P155" i="55"/>
  <c r="P156" i="55"/>
  <c r="P157" i="55"/>
  <c r="P158" i="55"/>
  <c r="P159" i="55"/>
  <c r="P160" i="55"/>
  <c r="P161" i="55"/>
  <c r="P162" i="55"/>
  <c r="P164" i="55"/>
  <c r="P167" i="55"/>
  <c r="P168" i="55"/>
  <c r="P169" i="55"/>
  <c r="P170" i="55"/>
  <c r="P171" i="55"/>
  <c r="P172" i="55"/>
  <c r="P173" i="55"/>
  <c r="P174" i="55"/>
  <c r="P175" i="55"/>
  <c r="P176" i="55"/>
  <c r="P177" i="55"/>
  <c r="P178" i="55"/>
  <c r="P179" i="55"/>
  <c r="P180" i="55"/>
  <c r="P181" i="55"/>
  <c r="P182" i="55"/>
  <c r="P183" i="55"/>
  <c r="P184" i="55"/>
  <c r="P185" i="55"/>
  <c r="P186" i="55"/>
  <c r="P187" i="55"/>
  <c r="P188" i="55"/>
  <c r="P189" i="55"/>
  <c r="P190" i="55"/>
  <c r="P191" i="55"/>
  <c r="P192" i="55"/>
  <c r="P193" i="55"/>
  <c r="P194" i="55"/>
  <c r="P14" i="55"/>
  <c r="P15" i="55"/>
  <c r="P16" i="55"/>
  <c r="P17" i="55"/>
  <c r="P18" i="55"/>
  <c r="P19" i="55"/>
  <c r="P20" i="55"/>
  <c r="P21" i="55"/>
  <c r="P22" i="55"/>
  <c r="P23" i="55"/>
  <c r="P24" i="55"/>
  <c r="P25" i="55"/>
  <c r="P26" i="55"/>
  <c r="P27" i="55"/>
  <c r="P28" i="55"/>
  <c r="P29" i="55"/>
  <c r="P30" i="55"/>
  <c r="P31" i="55"/>
  <c r="P32" i="55"/>
  <c r="P33" i="55"/>
  <c r="P34" i="55"/>
  <c r="P35" i="55"/>
  <c r="P36" i="55"/>
  <c r="P37" i="55"/>
  <c r="P38" i="55"/>
  <c r="P39" i="55"/>
  <c r="P40" i="55"/>
  <c r="P41" i="55"/>
  <c r="P42" i="55"/>
  <c r="P43" i="55"/>
  <c r="P44" i="55"/>
  <c r="P45" i="55"/>
  <c r="P46" i="55"/>
  <c r="P47" i="55"/>
  <c r="P48" i="55"/>
  <c r="P49" i="55"/>
  <c r="P50" i="55"/>
  <c r="P51" i="55"/>
  <c r="P52" i="55"/>
  <c r="P53" i="55"/>
  <c r="P54" i="55"/>
  <c r="P55" i="55"/>
  <c r="P56" i="55"/>
  <c r="P57" i="55"/>
  <c r="P58" i="55"/>
  <c r="P59" i="55"/>
  <c r="P60" i="55"/>
  <c r="P61" i="55"/>
  <c r="P62" i="55"/>
  <c r="P63" i="55"/>
  <c r="P64" i="55"/>
  <c r="P65" i="55"/>
  <c r="P66" i="55"/>
  <c r="P67" i="55"/>
  <c r="P68" i="55"/>
  <c r="P69" i="55"/>
  <c r="P70" i="55"/>
  <c r="P71" i="55"/>
  <c r="P72" i="55"/>
  <c r="P73" i="55"/>
  <c r="P74" i="55"/>
  <c r="P75" i="55"/>
  <c r="P96" i="55"/>
  <c r="P97" i="55"/>
  <c r="P98" i="55"/>
  <c r="P99" i="55"/>
  <c r="P100" i="55"/>
  <c r="P101" i="55"/>
  <c r="P102" i="55"/>
  <c r="P103" i="55"/>
  <c r="P139" i="55"/>
  <c r="P140" i="55"/>
  <c r="P141" i="55"/>
  <c r="P142" i="55"/>
  <c r="P143" i="55"/>
  <c r="P144" i="55"/>
  <c r="P145" i="55"/>
  <c r="P146" i="55"/>
  <c r="P165" i="55"/>
  <c r="P196" i="55"/>
  <c r="P197" i="55"/>
  <c r="P198" i="55"/>
  <c r="P199" i="55"/>
  <c r="P200" i="55"/>
  <c r="P201" i="55"/>
  <c r="P202" i="55"/>
  <c r="P203" i="55"/>
  <c r="P204" i="55"/>
  <c r="P205" i="55"/>
  <c r="P206" i="55"/>
  <c r="P207" i="55"/>
  <c r="P208" i="55"/>
  <c r="P209" i="55"/>
  <c r="P210" i="55"/>
  <c r="P211" i="55"/>
  <c r="P212" i="55"/>
  <c r="P213" i="55"/>
  <c r="P214" i="55"/>
  <c r="P215" i="55"/>
  <c r="P216" i="55"/>
  <c r="P218" i="55"/>
  <c r="P219" i="55"/>
  <c r="P220" i="55"/>
  <c r="P221" i="55"/>
  <c r="P222" i="55"/>
  <c r="P223" i="55"/>
  <c r="P224" i="55"/>
  <c r="P225" i="55"/>
  <c r="P226" i="55"/>
  <c r="P227" i="55"/>
  <c r="P228" i="55"/>
  <c r="P229" i="55"/>
  <c r="P230" i="55"/>
  <c r="P231" i="55"/>
  <c r="P232" i="55"/>
  <c r="P233" i="55"/>
  <c r="P234" i="55"/>
  <c r="P235" i="55"/>
  <c r="P236" i="55"/>
  <c r="P237" i="55"/>
  <c r="P238" i="55"/>
  <c r="P239" i="55"/>
  <c r="P240" i="55"/>
  <c r="P241" i="55"/>
  <c r="P242" i="55"/>
  <c r="P244" i="55"/>
  <c r="P245" i="55"/>
  <c r="P246" i="55"/>
  <c r="P247" i="55"/>
  <c r="P248" i="55"/>
  <c r="P249" i="55"/>
  <c r="P250" i="55"/>
  <c r="P271" i="55"/>
  <c r="P273" i="55"/>
  <c r="P272" i="55"/>
  <c r="P274" i="55"/>
  <c r="P275" i="55"/>
  <c r="P276" i="55"/>
  <c r="P277" i="55"/>
  <c r="P278" i="55"/>
  <c r="P279" i="55"/>
  <c r="P280" i="55"/>
  <c r="P281" i="55"/>
  <c r="P251" i="55"/>
  <c r="P252" i="55"/>
  <c r="P253" i="55"/>
  <c r="P254" i="55"/>
  <c r="P255" i="55"/>
  <c r="P256" i="55"/>
  <c r="P257" i="55"/>
  <c r="P258" i="55"/>
  <c r="P259" i="55"/>
  <c r="P260" i="55"/>
  <c r="P261" i="55"/>
  <c r="P262" i="55"/>
  <c r="P263" i="55"/>
  <c r="P264" i="55"/>
  <c r="P265" i="55"/>
  <c r="P266" i="55"/>
  <c r="P267" i="55"/>
  <c r="P268" i="55"/>
  <c r="P269" i="55"/>
  <c r="P270" i="55"/>
  <c r="P13" i="55"/>
  <c r="R14" i="55"/>
  <c r="Q14" i="55" s="1"/>
  <c r="R15" i="55"/>
  <c r="Q15" i="55" s="1"/>
  <c r="R16" i="55"/>
  <c r="Q16" i="55"/>
  <c r="R17" i="55"/>
  <c r="R18" i="55"/>
  <c r="Q18" i="55" s="1"/>
  <c r="R19" i="55"/>
  <c r="Q19" i="55" s="1"/>
  <c r="R20" i="55"/>
  <c r="Q20" i="55"/>
  <c r="R21" i="55"/>
  <c r="Q21" i="55" s="1"/>
  <c r="R22" i="55"/>
  <c r="Q22" i="55" s="1"/>
  <c r="R23" i="55"/>
  <c r="R24" i="55"/>
  <c r="Q24" i="55" s="1"/>
  <c r="R25" i="55"/>
  <c r="Q25" i="55" s="1"/>
  <c r="R26" i="55"/>
  <c r="Q26" i="55" s="1"/>
  <c r="R27" i="55"/>
  <c r="Q27" i="55" s="1"/>
  <c r="R28" i="55"/>
  <c r="Q28" i="55" s="1"/>
  <c r="R29" i="55"/>
  <c r="R30" i="55"/>
  <c r="Q30" i="55" s="1"/>
  <c r="R31" i="55"/>
  <c r="R32" i="55"/>
  <c r="Q32" i="55"/>
  <c r="R33" i="55"/>
  <c r="Q33" i="55" s="1"/>
  <c r="R34" i="55"/>
  <c r="Q34" i="55" s="1"/>
  <c r="R35" i="55"/>
  <c r="R36" i="55"/>
  <c r="Q36" i="55"/>
  <c r="R37" i="55"/>
  <c r="Q37" i="55" s="1"/>
  <c r="R38" i="55"/>
  <c r="Q38" i="55" s="1"/>
  <c r="R39" i="55"/>
  <c r="Q39" i="55" s="1"/>
  <c r="R40" i="55"/>
  <c r="Q40" i="55" s="1"/>
  <c r="R41" i="55"/>
  <c r="R42" i="55"/>
  <c r="Q42" i="55" s="1"/>
  <c r="R43" i="55"/>
  <c r="R44" i="55"/>
  <c r="Q44" i="55" s="1"/>
  <c r="R45" i="55"/>
  <c r="Q45" i="55"/>
  <c r="R46" i="55"/>
  <c r="Q46" i="55" s="1"/>
  <c r="R47" i="55"/>
  <c r="Q47" i="55" s="1"/>
  <c r="R48" i="55"/>
  <c r="Q48" i="55" s="1"/>
  <c r="R49" i="55"/>
  <c r="R50" i="55"/>
  <c r="Q50" i="55" s="1"/>
  <c r="R51" i="55"/>
  <c r="Q51" i="55" s="1"/>
  <c r="R52" i="55"/>
  <c r="Q52" i="55" s="1"/>
  <c r="R53" i="55"/>
  <c r="Q53" i="55" s="1"/>
  <c r="R54" i="55"/>
  <c r="Q54" i="55" s="1"/>
  <c r="R55" i="55"/>
  <c r="R56" i="55"/>
  <c r="R57" i="55"/>
  <c r="R58" i="55"/>
  <c r="Q58" i="55" s="1"/>
  <c r="R59" i="55"/>
  <c r="Q59" i="55" s="1"/>
  <c r="R60" i="55"/>
  <c r="Q60" i="55" s="1"/>
  <c r="R61" i="55"/>
  <c r="Q61" i="55" s="1"/>
  <c r="R62" i="55"/>
  <c r="R63" i="55"/>
  <c r="Q63" i="55" s="1"/>
  <c r="R64" i="55"/>
  <c r="Q64" i="55" s="1"/>
  <c r="R65" i="55"/>
  <c r="Q65" i="55" s="1"/>
  <c r="R66" i="55"/>
  <c r="R67" i="55"/>
  <c r="R68" i="55"/>
  <c r="Q68" i="55" s="1"/>
  <c r="R69" i="55"/>
  <c r="R70" i="55"/>
  <c r="Q70" i="55" s="1"/>
  <c r="R71" i="55"/>
  <c r="Q71" i="55" s="1"/>
  <c r="R72" i="55"/>
  <c r="R73" i="55"/>
  <c r="Q73" i="55" s="1"/>
  <c r="R74" i="55"/>
  <c r="R75" i="55"/>
  <c r="R76" i="55"/>
  <c r="R77" i="55"/>
  <c r="R78" i="55"/>
  <c r="Q78" i="55" s="1"/>
  <c r="R79" i="55"/>
  <c r="Q79" i="55" s="1"/>
  <c r="R80" i="55"/>
  <c r="R81" i="55"/>
  <c r="R82" i="55"/>
  <c r="R83" i="55"/>
  <c r="Q83" i="55" s="1"/>
  <c r="R84" i="55"/>
  <c r="R85" i="55"/>
  <c r="Q85" i="55" s="1"/>
  <c r="R86" i="55"/>
  <c r="R87" i="55"/>
  <c r="Q87" i="55" s="1"/>
  <c r="R88" i="55"/>
  <c r="R89" i="55"/>
  <c r="Q89" i="55" s="1"/>
  <c r="R90" i="55"/>
  <c r="Q90" i="55" s="1"/>
  <c r="R91" i="55"/>
  <c r="Q91" i="55" s="1"/>
  <c r="R92" i="55"/>
  <c r="R93" i="55"/>
  <c r="R94" i="55"/>
  <c r="R95" i="55"/>
  <c r="Q95" i="55" s="1"/>
  <c r="R96" i="55"/>
  <c r="R97" i="55"/>
  <c r="Q97" i="55" s="1"/>
  <c r="R98" i="55"/>
  <c r="R99" i="55"/>
  <c r="R100" i="55"/>
  <c r="Q100" i="55" s="1"/>
  <c r="R101" i="55"/>
  <c r="R102" i="55"/>
  <c r="R103" i="55"/>
  <c r="Q103" i="55" s="1"/>
  <c r="R104" i="55"/>
  <c r="R105" i="55"/>
  <c r="Q105" i="55" s="1"/>
  <c r="R106" i="55"/>
  <c r="R107" i="55"/>
  <c r="Q107" i="55" s="1"/>
  <c r="R108" i="55"/>
  <c r="R109" i="55"/>
  <c r="R110" i="55"/>
  <c r="R111" i="55"/>
  <c r="Q111" i="55" s="1"/>
  <c r="R112" i="55"/>
  <c r="R113" i="55"/>
  <c r="Q113" i="55" s="1"/>
  <c r="R114" i="55"/>
  <c r="Q114" i="55" s="1"/>
  <c r="R115" i="55"/>
  <c r="Q115" i="55" s="1"/>
  <c r="R116" i="55"/>
  <c r="Q116" i="55" s="1"/>
  <c r="R117" i="55"/>
  <c r="R118" i="55"/>
  <c r="Q118" i="55" s="1"/>
  <c r="R119" i="55"/>
  <c r="Q119" i="55" s="1"/>
  <c r="R120" i="55"/>
  <c r="R121" i="55"/>
  <c r="R122" i="55"/>
  <c r="R123" i="55"/>
  <c r="Q123" i="55" s="1"/>
  <c r="R124" i="55"/>
  <c r="Q124" i="55" s="1"/>
  <c r="R125" i="55"/>
  <c r="R126" i="55"/>
  <c r="R127" i="55"/>
  <c r="Q127" i="55" s="1"/>
  <c r="R128" i="55"/>
  <c r="Q128" i="55" s="1"/>
  <c r="R129" i="55"/>
  <c r="Q129" i="55" s="1"/>
  <c r="R130" i="55"/>
  <c r="R131" i="55"/>
  <c r="R132" i="55"/>
  <c r="Q132" i="55" s="1"/>
  <c r="R133" i="55"/>
  <c r="R134" i="55"/>
  <c r="Q134" i="55" s="1"/>
  <c r="R135" i="55"/>
  <c r="Q135" i="55" s="1"/>
  <c r="R136" i="55"/>
  <c r="Q136" i="55" s="1"/>
  <c r="R137" i="55"/>
  <c r="Q137" i="55" s="1"/>
  <c r="R138" i="55"/>
  <c r="R139" i="55"/>
  <c r="R140" i="55"/>
  <c r="R141" i="55"/>
  <c r="R142" i="55"/>
  <c r="Q142" i="55" s="1"/>
  <c r="R143" i="55"/>
  <c r="Q143" i="55" s="1"/>
  <c r="R144" i="55"/>
  <c r="R145" i="55"/>
  <c r="R146" i="55"/>
  <c r="R147" i="55"/>
  <c r="R148" i="55"/>
  <c r="R149" i="55"/>
  <c r="R150" i="55"/>
  <c r="R151" i="55"/>
  <c r="Q151" i="55" s="1"/>
  <c r="R152" i="55"/>
  <c r="R153" i="55"/>
  <c r="Q153" i="55" s="1"/>
  <c r="R154" i="55"/>
  <c r="R155" i="55"/>
  <c r="Q155" i="55" s="1"/>
  <c r="R156" i="55"/>
  <c r="R157" i="55"/>
  <c r="R158" i="55"/>
  <c r="R159" i="55"/>
  <c r="Q159" i="55" s="1"/>
  <c r="R160" i="55"/>
  <c r="Q160" i="55" s="1"/>
  <c r="R161" i="55"/>
  <c r="Q161" i="55" s="1"/>
  <c r="R162" i="55"/>
  <c r="R163" i="55"/>
  <c r="R164" i="55"/>
  <c r="Q164" i="55" s="1"/>
  <c r="R165" i="55"/>
  <c r="R166" i="55"/>
  <c r="R167" i="55"/>
  <c r="Q167" i="55" s="1"/>
  <c r="R168" i="55"/>
  <c r="R169" i="55"/>
  <c r="Q169" i="55" s="1"/>
  <c r="R170" i="55"/>
  <c r="R171" i="55"/>
  <c r="R172" i="55"/>
  <c r="Q172" i="55" s="1"/>
  <c r="R173" i="55"/>
  <c r="Q173" i="55" s="1"/>
  <c r="R174" i="55"/>
  <c r="R175" i="55"/>
  <c r="Q175" i="55" s="1"/>
  <c r="R176" i="55"/>
  <c r="R177" i="55"/>
  <c r="Q177" i="55" s="1"/>
  <c r="R178" i="55"/>
  <c r="R179" i="55"/>
  <c r="R180" i="55"/>
  <c r="Q180" i="55" s="1"/>
  <c r="R181" i="55"/>
  <c r="Q181" i="55" s="1"/>
  <c r="R182" i="55"/>
  <c r="Q182" i="55" s="1"/>
  <c r="R183" i="55"/>
  <c r="R184" i="55"/>
  <c r="R185" i="55"/>
  <c r="Q185" i="55" s="1"/>
  <c r="R186" i="55"/>
  <c r="R187" i="55"/>
  <c r="Q187" i="55" s="1"/>
  <c r="R188" i="55"/>
  <c r="Q188" i="55" s="1"/>
  <c r="R189" i="55"/>
  <c r="R190" i="55"/>
  <c r="R191" i="55"/>
  <c r="R192" i="55"/>
  <c r="R193" i="55"/>
  <c r="Q193" i="55" s="1"/>
  <c r="R194" i="55"/>
  <c r="R195" i="55"/>
  <c r="R196" i="55"/>
  <c r="Q196" i="55" s="1"/>
  <c r="R197" i="55"/>
  <c r="R198" i="55"/>
  <c r="R199" i="55"/>
  <c r="R200" i="55"/>
  <c r="R201" i="55"/>
  <c r="Q201" i="55" s="1"/>
  <c r="R202" i="55"/>
  <c r="R203" i="55"/>
  <c r="R204" i="55"/>
  <c r="Q204" i="55" s="1"/>
  <c r="R205" i="55"/>
  <c r="R206" i="55"/>
  <c r="R207" i="55"/>
  <c r="R208" i="55"/>
  <c r="R209" i="55"/>
  <c r="Q209" i="55" s="1"/>
  <c r="R210" i="55"/>
  <c r="R211" i="55"/>
  <c r="R212" i="55"/>
  <c r="Q212" i="55" s="1"/>
  <c r="R213" i="55"/>
  <c r="R214" i="55"/>
  <c r="R215" i="55"/>
  <c r="R216" i="55"/>
  <c r="R217" i="55"/>
  <c r="Q217" i="55" s="1"/>
  <c r="R218" i="55"/>
  <c r="R219" i="55"/>
  <c r="Q219" i="55" s="1"/>
  <c r="R220" i="55"/>
  <c r="Q220" i="55" s="1"/>
  <c r="R221" i="55"/>
  <c r="Q221" i="55" s="1"/>
  <c r="R222" i="55"/>
  <c r="R223" i="55"/>
  <c r="R224" i="55"/>
  <c r="R225" i="55"/>
  <c r="Q225" i="55" s="1"/>
  <c r="R226" i="55"/>
  <c r="R227" i="55"/>
  <c r="R228" i="55"/>
  <c r="Q228" i="55" s="1"/>
  <c r="R229" i="55"/>
  <c r="R230" i="55"/>
  <c r="R231" i="55"/>
  <c r="R232" i="55"/>
  <c r="R233" i="55"/>
  <c r="Q233" i="55" s="1"/>
  <c r="R234" i="55"/>
  <c r="R235" i="55"/>
  <c r="R236" i="55"/>
  <c r="Q236" i="55" s="1"/>
  <c r="R237" i="55"/>
  <c r="R238" i="55"/>
  <c r="R239" i="55"/>
  <c r="R240" i="55"/>
  <c r="R241" i="55"/>
  <c r="Q241" i="55" s="1"/>
  <c r="R242" i="55"/>
  <c r="R243" i="55"/>
  <c r="R244" i="55"/>
  <c r="Q244" i="55" s="1"/>
  <c r="R245" i="55"/>
  <c r="Q245" i="55" s="1"/>
  <c r="R246" i="55"/>
  <c r="R247" i="55"/>
  <c r="Q247" i="55" s="1"/>
  <c r="R248" i="55"/>
  <c r="R249" i="55"/>
  <c r="Q249" i="55" s="1"/>
  <c r="R250" i="55"/>
  <c r="R251" i="55"/>
  <c r="Q251" i="55" s="1"/>
  <c r="R252" i="55"/>
  <c r="Q252" i="55" s="1"/>
  <c r="R253" i="55"/>
  <c r="R254" i="55"/>
  <c r="R255" i="55"/>
  <c r="R256" i="55"/>
  <c r="R257" i="55"/>
  <c r="Q257" i="55" s="1"/>
  <c r="R258" i="55"/>
  <c r="R259" i="55"/>
  <c r="R260" i="55"/>
  <c r="Q260" i="55" s="1"/>
  <c r="R261" i="55"/>
  <c r="Q261" i="55" s="1"/>
  <c r="R262" i="55"/>
  <c r="R263" i="55"/>
  <c r="R264" i="55"/>
  <c r="R265" i="55"/>
  <c r="Q265" i="55" s="1"/>
  <c r="R266" i="55"/>
  <c r="Q266" i="55" s="1"/>
  <c r="R267" i="55"/>
  <c r="Q267" i="55" s="1"/>
  <c r="R268" i="55"/>
  <c r="Q268" i="55" s="1"/>
  <c r="R269" i="55"/>
  <c r="R270" i="55"/>
  <c r="R271" i="55"/>
  <c r="Q271" i="55" s="1"/>
  <c r="R272" i="55"/>
  <c r="R273" i="55"/>
  <c r="Q273" i="55" s="1"/>
  <c r="R274" i="55"/>
  <c r="R275" i="55"/>
  <c r="Q275" i="55" s="1"/>
  <c r="R276" i="55"/>
  <c r="Q276" i="55" s="1"/>
  <c r="R277" i="55"/>
  <c r="Q277" i="55" s="1"/>
  <c r="R278" i="55"/>
  <c r="Q278" i="55" s="1"/>
  <c r="R279" i="55"/>
  <c r="Q279" i="55" s="1"/>
  <c r="R280" i="55"/>
  <c r="R281" i="55"/>
  <c r="Q17" i="55"/>
  <c r="Q23" i="55"/>
  <c r="Q29" i="55"/>
  <c r="Q31" i="55"/>
  <c r="Q35" i="55"/>
  <c r="Q41" i="55"/>
  <c r="Q43" i="55"/>
  <c r="Q49" i="55"/>
  <c r="Q55" i="55"/>
  <c r="Q56" i="55"/>
  <c r="Q57" i="55"/>
  <c r="Q62" i="55"/>
  <c r="Q66" i="55"/>
  <c r="Q67" i="55"/>
  <c r="Q69" i="55"/>
  <c r="Q72" i="55"/>
  <c r="Q74" i="55"/>
  <c r="Q75" i="55"/>
  <c r="Q76" i="55"/>
  <c r="Q77" i="55"/>
  <c r="Q80" i="55"/>
  <c r="Q81" i="55"/>
  <c r="Q82" i="55"/>
  <c r="Q84" i="55"/>
  <c r="Q86" i="55"/>
  <c r="Q88" i="55"/>
  <c r="Q92" i="55"/>
  <c r="Q93" i="55"/>
  <c r="Q94" i="55"/>
  <c r="Q96" i="55"/>
  <c r="Q98" i="55"/>
  <c r="Q99" i="55"/>
  <c r="Q101" i="55"/>
  <c r="Q102" i="55"/>
  <c r="Q104" i="55"/>
  <c r="Q106" i="55"/>
  <c r="Q108" i="55"/>
  <c r="Q109" i="55"/>
  <c r="Q110" i="55"/>
  <c r="Q112" i="55"/>
  <c r="Q117" i="55"/>
  <c r="Q120" i="55"/>
  <c r="Q121" i="55"/>
  <c r="Q122" i="55"/>
  <c r="Q125" i="55"/>
  <c r="Q126" i="55"/>
  <c r="Q130" i="55"/>
  <c r="Q131" i="55"/>
  <c r="Q133" i="55"/>
  <c r="Q138" i="55"/>
  <c r="Q139" i="55"/>
  <c r="Q140" i="55"/>
  <c r="Q141" i="55"/>
  <c r="Q144" i="55"/>
  <c r="Q145" i="55"/>
  <c r="Q146" i="55"/>
  <c r="Q147" i="55"/>
  <c r="Q148" i="55"/>
  <c r="Q149" i="55"/>
  <c r="Q150" i="55"/>
  <c r="Q152" i="55"/>
  <c r="Q154" i="55"/>
  <c r="Q156" i="55"/>
  <c r="Q157" i="55"/>
  <c r="Q158" i="55"/>
  <c r="Q162" i="55"/>
  <c r="Q163" i="55"/>
  <c r="Q165" i="55"/>
  <c r="Q166" i="55"/>
  <c r="Q168" i="55"/>
  <c r="Q170" i="55"/>
  <c r="Q171" i="55"/>
  <c r="Q174" i="55"/>
  <c r="Q176" i="55"/>
  <c r="Q178" i="55"/>
  <c r="Q179" i="55"/>
  <c r="Q183" i="55"/>
  <c r="Q184" i="55"/>
  <c r="Q186" i="55"/>
  <c r="Q189" i="55"/>
  <c r="Q190" i="55"/>
  <c r="Q191" i="55"/>
  <c r="Q192" i="55"/>
  <c r="Q194" i="55"/>
  <c r="Q195" i="55"/>
  <c r="Q197" i="55"/>
  <c r="Q198" i="55"/>
  <c r="Q199" i="55"/>
  <c r="Q200" i="55"/>
  <c r="Q202" i="55"/>
  <c r="Q203" i="55"/>
  <c r="Q205" i="55"/>
  <c r="Q206" i="55"/>
  <c r="Q207" i="55"/>
  <c r="Q208" i="55"/>
  <c r="Q210" i="55"/>
  <c r="Q211" i="55"/>
  <c r="Q213" i="55"/>
  <c r="Q214" i="55"/>
  <c r="Q215" i="55"/>
  <c r="Q216" i="55"/>
  <c r="Q218" i="55"/>
  <c r="Q222" i="55"/>
  <c r="Q223" i="55"/>
  <c r="Q224" i="55"/>
  <c r="Q226" i="55"/>
  <c r="Q227" i="55"/>
  <c r="Q229" i="55"/>
  <c r="Q230" i="55"/>
  <c r="Q231" i="55"/>
  <c r="Q232" i="55"/>
  <c r="Q234" i="55"/>
  <c r="Q235" i="55"/>
  <c r="Q237" i="55"/>
  <c r="Q238" i="55"/>
  <c r="Q239" i="55"/>
  <c r="Q240" i="55"/>
  <c r="Q242" i="55"/>
  <c r="Q243" i="55"/>
  <c r="Q246" i="55"/>
  <c r="Q248" i="55"/>
  <c r="Q250" i="55"/>
  <c r="Q253" i="55"/>
  <c r="Q254" i="55"/>
  <c r="Q255" i="55"/>
  <c r="Q256" i="55"/>
  <c r="Q258" i="55"/>
  <c r="Q259" i="55"/>
  <c r="Q262" i="55"/>
  <c r="Q263" i="55"/>
  <c r="Q264" i="55"/>
  <c r="Q269" i="55"/>
  <c r="Q270" i="55"/>
  <c r="Q272" i="55"/>
  <c r="Q274" i="55"/>
  <c r="Q280" i="55"/>
  <c r="Q281" i="55"/>
  <c r="S139" i="55"/>
  <c r="T139" i="55" s="1"/>
  <c r="O136" i="55"/>
  <c r="E94" i="55"/>
  <c r="R13" i="55"/>
  <c r="Q13" i="55" s="1"/>
  <c r="O12" i="55"/>
  <c r="N7" i="55"/>
  <c r="E7" i="55"/>
  <c r="E5" i="55"/>
  <c r="M8" i="55"/>
  <c r="C1" i="70"/>
  <c r="J116" i="70"/>
  <c r="P147" i="55"/>
  <c r="H34" i="98"/>
  <c r="H27" i="98" s="1"/>
  <c r="H28" i="98"/>
  <c r="H83" i="98"/>
  <c r="H87" i="98"/>
  <c r="H85" i="98"/>
  <c r="H88" i="98"/>
  <c r="H86" i="98"/>
  <c r="L72" i="98"/>
  <c r="L66" i="98" s="1"/>
  <c r="L53" i="98"/>
  <c r="L46" i="98" s="1"/>
  <c r="H15" i="98"/>
  <c r="H8" i="98" s="1"/>
  <c r="H129" i="98"/>
  <c r="H127" i="98" s="1"/>
  <c r="H123" i="98"/>
  <c r="H126" i="98"/>
  <c r="H124" i="98"/>
  <c r="H121" i="98"/>
  <c r="H125" i="98"/>
  <c r="H10" i="98"/>
  <c r="L48" i="98"/>
  <c r="E17" i="70"/>
  <c r="F17" i="70" s="1"/>
  <c r="F38" i="70"/>
  <c r="E65" i="70"/>
  <c r="F65" i="70" s="1"/>
  <c r="E68" i="70"/>
  <c r="F68" i="70" s="1"/>
  <c r="E70" i="70"/>
  <c r="F70" i="70" s="1"/>
  <c r="E136" i="70"/>
  <c r="F136" i="70" s="1"/>
  <c r="E134" i="70"/>
  <c r="F134" i="70" s="1"/>
  <c r="E129" i="70"/>
  <c r="F129" i="70" s="1"/>
  <c r="E127" i="70"/>
  <c r="F127" i="70" s="1"/>
  <c r="E125" i="70"/>
  <c r="F125" i="70" s="1"/>
  <c r="E142" i="70"/>
  <c r="F142" i="70" s="1"/>
  <c r="B27" i="70"/>
  <c r="D15" i="98" s="1"/>
  <c r="D13" i="98" s="1"/>
  <c r="B51" i="70"/>
  <c r="L15" i="98" s="1"/>
  <c r="L9" i="98" s="1"/>
  <c r="E23" i="70"/>
  <c r="F23" i="70" s="1"/>
  <c r="E63" i="70"/>
  <c r="F63" i="70" s="1"/>
  <c r="E72" i="70"/>
  <c r="F72" i="70" s="1"/>
  <c r="E135" i="70"/>
  <c r="F135" i="70" s="1"/>
  <c r="E133" i="70"/>
  <c r="F133" i="70" s="1"/>
  <c r="E130" i="70"/>
  <c r="F130" i="70" s="1"/>
  <c r="E128" i="70"/>
  <c r="F128" i="70" s="1"/>
  <c r="E143" i="70"/>
  <c r="F143" i="70" s="1"/>
  <c r="E31" i="70"/>
  <c r="F31" i="70" s="1"/>
  <c r="J110" i="70"/>
  <c r="D206" i="98"/>
  <c r="D205" i="98" s="1"/>
  <c r="D124" i="98"/>
  <c r="F37" i="70"/>
  <c r="D103" i="98"/>
  <c r="D104" i="98"/>
  <c r="D102" i="98"/>
  <c r="D105" i="98"/>
  <c r="L83" i="98"/>
  <c r="D204" i="98"/>
  <c r="H66" i="98"/>
  <c r="H65" i="98"/>
  <c r="H67" i="98"/>
  <c r="H69" i="98"/>
  <c r="H68" i="98"/>
  <c r="H64" i="98"/>
  <c r="D48" i="98"/>
  <c r="D45" i="98"/>
  <c r="D46" i="98"/>
  <c r="D49" i="98"/>
  <c r="D84" i="98"/>
  <c r="D83" i="98"/>
  <c r="D86" i="98"/>
  <c r="D87" i="98"/>
  <c r="D85" i="98"/>
  <c r="L103" i="98"/>
  <c r="L102" i="98"/>
  <c r="L104" i="98"/>
  <c r="P243" i="55" l="1"/>
  <c r="Q6" i="55" s="1"/>
  <c r="P104" i="55"/>
  <c r="K104" i="55"/>
  <c r="K76" i="55"/>
  <c r="K12" i="55"/>
  <c r="P12" i="55"/>
  <c r="Q2" i="55" s="1"/>
  <c r="H200" i="98"/>
  <c r="H203" i="98"/>
  <c r="H110" i="98"/>
  <c r="H103" i="98" s="1"/>
  <c r="D199" i="98"/>
  <c r="D8" i="98"/>
  <c r="D203" i="98"/>
  <c r="L85" i="98"/>
  <c r="D123" i="98"/>
  <c r="D68" i="98"/>
  <c r="H7" i="98"/>
  <c r="H122" i="98"/>
  <c r="D200" i="98"/>
  <c r="H26" i="98"/>
  <c r="D65" i="98"/>
  <c r="P217" i="55"/>
  <c r="D12" i="98"/>
  <c r="D202" i="98"/>
  <c r="D125" i="98"/>
  <c r="D67" i="98"/>
  <c r="H11" i="98"/>
  <c r="P195" i="55"/>
  <c r="L49" i="98"/>
  <c r="L45" i="98"/>
  <c r="D9" i="98"/>
  <c r="D201" i="98"/>
  <c r="L84" i="98"/>
  <c r="D122" i="98"/>
  <c r="D64" i="98"/>
  <c r="L47" i="98"/>
  <c r="H128" i="98"/>
  <c r="H29" i="98"/>
  <c r="D198" i="98"/>
  <c r="L65" i="98"/>
  <c r="K147" i="55"/>
  <c r="K243" i="55"/>
  <c r="B120" i="70"/>
  <c r="J120" i="70"/>
  <c r="H53" i="98"/>
  <c r="B35" i="70"/>
  <c r="L34" i="98" s="1"/>
  <c r="L148" i="98"/>
  <c r="L129" i="98"/>
  <c r="K166" i="55"/>
  <c r="L29" i="98"/>
  <c r="L26" i="98"/>
  <c r="L64" i="98"/>
  <c r="H12" i="98"/>
  <c r="H9" i="98"/>
  <c r="H198" i="98"/>
  <c r="H201" i="98"/>
  <c r="P166" i="55"/>
  <c r="Q4" i="55" s="1"/>
  <c r="P76" i="55"/>
  <c r="Q5" i="55" s="1"/>
  <c r="D225" i="98"/>
  <c r="L11" i="98"/>
  <c r="L8" i="98"/>
  <c r="L7" i="98"/>
  <c r="L10" i="98"/>
  <c r="D14" i="98"/>
  <c r="D10" i="98"/>
  <c r="D7" i="98"/>
  <c r="D11" i="98"/>
  <c r="B14" i="70"/>
  <c r="D34" i="98" s="1"/>
  <c r="H30" i="98"/>
  <c r="L67" i="98"/>
  <c r="H199" i="98"/>
  <c r="H202" i="98"/>
  <c r="H31" i="98"/>
  <c r="Q3" i="55" l="1"/>
  <c r="E6" i="55" s="1"/>
  <c r="E8" i="55" s="1"/>
  <c r="L27" i="98"/>
  <c r="L28" i="98"/>
  <c r="L30" i="98"/>
  <c r="H104" i="98"/>
  <c r="H106" i="98"/>
  <c r="H105" i="98"/>
  <c r="L122" i="98"/>
  <c r="L125" i="98"/>
  <c r="L123" i="98"/>
  <c r="L124" i="98"/>
  <c r="L121" i="98"/>
  <c r="L144" i="98"/>
  <c r="L140" i="98"/>
  <c r="L141" i="98"/>
  <c r="L145" i="98"/>
  <c r="L146" i="98"/>
  <c r="L142" i="98"/>
  <c r="L143" i="98"/>
  <c r="J111" i="70"/>
  <c r="J113" i="70"/>
  <c r="H102" i="98"/>
  <c r="L8" i="55"/>
  <c r="H50" i="98"/>
  <c r="H45" i="98"/>
  <c r="H47" i="98"/>
  <c r="H46" i="98"/>
  <c r="H48" i="98"/>
  <c r="H49" i="98"/>
  <c r="D219" i="98"/>
  <c r="D221" i="98"/>
  <c r="D217" i="98"/>
  <c r="L206" i="98" s="1"/>
  <c r="D218" i="98"/>
  <c r="D220" i="98"/>
  <c r="D28" i="98"/>
  <c r="D27" i="98"/>
  <c r="D26" i="98"/>
  <c r="D30" i="98"/>
  <c r="D29" i="98"/>
  <c r="M6" i="55" l="1"/>
  <c r="L199" i="98"/>
  <c r="L200" i="98"/>
  <c r="L198" i="98"/>
</calcChain>
</file>

<file path=xl/sharedStrings.xml><?xml version="1.0" encoding="utf-8"?>
<sst xmlns="http://schemas.openxmlformats.org/spreadsheetml/2006/main" count="1015" uniqueCount="351">
  <si>
    <t>LIBELLE</t>
  </si>
  <si>
    <t>CA</t>
  </si>
  <si>
    <t>Pave Bio 500 GRS</t>
  </si>
  <si>
    <t>Pave Bio 1 KG</t>
  </si>
  <si>
    <t>Baguette Bio 250 GRS</t>
  </si>
  <si>
    <t>BAGUETTES</t>
  </si>
  <si>
    <t>Baguette 250 GRS</t>
  </si>
  <si>
    <t>BLANCS COURANTS</t>
  </si>
  <si>
    <t>Boulot 500 GRS</t>
  </si>
  <si>
    <t>BRIOCHE</t>
  </si>
  <si>
    <t>BRIOCHETTE</t>
  </si>
  <si>
    <t>BOULANGERIE</t>
  </si>
  <si>
    <t>SPECIAUX</t>
  </si>
  <si>
    <t>UG</t>
  </si>
  <si>
    <t>PRODUIT</t>
  </si>
  <si>
    <t>PREV</t>
  </si>
  <si>
    <t>baguette</t>
  </si>
  <si>
    <t xml:space="preserve"> </t>
  </si>
  <si>
    <t>PV UNIT</t>
  </si>
  <si>
    <t>CA REEL</t>
  </si>
  <si>
    <t>CHARIOT</t>
  </si>
  <si>
    <t>DIVERS</t>
  </si>
  <si>
    <t>PCB</t>
  </si>
  <si>
    <t>CA TOTAL PREVU</t>
  </si>
  <si>
    <t>CA AT PREVU</t>
  </si>
  <si>
    <t>CA AT REEL</t>
  </si>
  <si>
    <t>CASSE € PV</t>
  </si>
  <si>
    <t>FAB</t>
  </si>
  <si>
    <t>TAUX CASSE AT</t>
  </si>
  <si>
    <t xml:space="preserve">Baguette saveur Pavot  </t>
  </si>
  <si>
    <t xml:space="preserve">Baguette saveur Sesame   </t>
  </si>
  <si>
    <t>poids de pate</t>
  </si>
  <si>
    <t>blanc</t>
  </si>
  <si>
    <t>brioche</t>
  </si>
  <si>
    <t>drive</t>
  </si>
  <si>
    <t>STAND</t>
  </si>
  <si>
    <t>stand</t>
  </si>
  <si>
    <t>ca reel</t>
  </si>
  <si>
    <t xml:space="preserve">oOSTE </t>
  </si>
  <si>
    <t>CASSE en € (oA)</t>
  </si>
  <si>
    <t>PETITS PAINS</t>
  </si>
  <si>
    <t>Coeff PV/PA</t>
  </si>
  <si>
    <t xml:space="preserve">ne plus ajouter de produits </t>
  </si>
  <si>
    <t>petrin volu</t>
  </si>
  <si>
    <r>
      <t>Baguette sur Sole</t>
    </r>
    <r>
      <rPr>
        <sz val="14"/>
        <color indexed="10"/>
        <rFont val="Arial"/>
        <family val="2"/>
      </rPr>
      <t xml:space="preserve"> </t>
    </r>
  </si>
  <si>
    <r>
      <t xml:space="preserve">Baguette saveur   </t>
    </r>
    <r>
      <rPr>
        <sz val="14"/>
        <color indexed="10"/>
        <rFont val="Arial"/>
        <family val="2"/>
      </rPr>
      <t xml:space="preserve"> </t>
    </r>
  </si>
  <si>
    <t>complet 300g</t>
  </si>
  <si>
    <t>sons 300g</t>
  </si>
  <si>
    <t>seigle 300g</t>
  </si>
  <si>
    <t>seigle raisins 300g</t>
  </si>
  <si>
    <t>pavé hally grain 400g</t>
  </si>
  <si>
    <t>select t80</t>
  </si>
  <si>
    <t>campagne 800g</t>
  </si>
  <si>
    <t>campagne 400g</t>
  </si>
  <si>
    <t>campagne 400g moule</t>
  </si>
  <si>
    <t>campagne 1,5kg</t>
  </si>
  <si>
    <t>campagne noix 300g</t>
  </si>
  <si>
    <t>pavé saveur 500g</t>
  </si>
  <si>
    <t>pavé saveur 1kg</t>
  </si>
  <si>
    <t>Pain saveur 400g</t>
  </si>
  <si>
    <t>Fougasse La Parisienne 400g</t>
  </si>
  <si>
    <t>Baguette céréales</t>
  </si>
  <si>
    <t>Baguette complète</t>
  </si>
  <si>
    <t>Baguette Hally grain</t>
  </si>
  <si>
    <t>Baguette St Georges</t>
  </si>
  <si>
    <t>Baguuette campagne</t>
  </si>
  <si>
    <t>Pain parisien 400g</t>
  </si>
  <si>
    <t>Ficelle</t>
  </si>
  <si>
    <t>Dejeunette X 2</t>
  </si>
  <si>
    <t>Dejeunette X 5</t>
  </si>
  <si>
    <t>Dejeunette X10</t>
  </si>
  <si>
    <t>Petits pains X 5</t>
  </si>
  <si>
    <t>Petits pains x 10</t>
  </si>
  <si>
    <t>Petits Pains campagne X 5</t>
  </si>
  <si>
    <t>Petits Pains campagne X 10</t>
  </si>
  <si>
    <t>Petits pains campagne noix X 5</t>
  </si>
  <si>
    <t>Petits pains campagne pavot X 5</t>
  </si>
  <si>
    <t>Petits pains céréales X 5</t>
  </si>
  <si>
    <t>Petits pains céréales X 10</t>
  </si>
  <si>
    <t>Saveur lardons  X 5</t>
  </si>
  <si>
    <t>Saveur lardons  X 10</t>
  </si>
  <si>
    <t>Saveur X 10</t>
  </si>
  <si>
    <t>Saveur X 5</t>
  </si>
  <si>
    <t>Saveur olives X 5</t>
  </si>
  <si>
    <t>Saveur olives X 10</t>
  </si>
  <si>
    <t>Saveur fromage X 5</t>
  </si>
  <si>
    <t>Saveur fromage X 10</t>
  </si>
  <si>
    <t>Saveur noix X 5</t>
  </si>
  <si>
    <t>Saveur noix X 10</t>
  </si>
  <si>
    <t>Saveur raisins X 5</t>
  </si>
  <si>
    <t>Saveur raisins X 10</t>
  </si>
  <si>
    <t>Petits pains fromage X 5</t>
  </si>
  <si>
    <t>Déjeunettes viennoises X 4</t>
  </si>
  <si>
    <t>Miche farinée 400g</t>
  </si>
  <si>
    <t>Boulot 1KG</t>
  </si>
  <si>
    <t>Pain platine 400g</t>
  </si>
  <si>
    <t>Pain blanc 1,5kg</t>
  </si>
  <si>
    <t>SANS SEL</t>
  </si>
  <si>
    <t>Batard sans sel 250g</t>
  </si>
  <si>
    <t>Miche sans sel 400g</t>
  </si>
  <si>
    <t>Déjeunettes sans sel X 2</t>
  </si>
  <si>
    <t>Petits pains sans sel X 4</t>
  </si>
  <si>
    <t>Brioche Parisienne 400g</t>
  </si>
  <si>
    <t>Brioche parisienne choc 400g</t>
  </si>
  <si>
    <t>Brioche 200g</t>
  </si>
  <si>
    <t>brioche choc 200g</t>
  </si>
  <si>
    <t>Brioche tranchée nature</t>
  </si>
  <si>
    <t>Brioche tranchée choc</t>
  </si>
  <si>
    <t>Kougloff</t>
  </si>
  <si>
    <t>Mouna</t>
  </si>
  <si>
    <t>St Genix</t>
  </si>
  <si>
    <t>Briochettes nature X 10</t>
  </si>
  <si>
    <t>Briochettes nature X 5</t>
  </si>
  <si>
    <t>Briochettes choc X 10</t>
  </si>
  <si>
    <t>Briochettes choc X 5</t>
  </si>
  <si>
    <t>Pain au lait X 5</t>
  </si>
  <si>
    <t>Pain au lait choc X 5</t>
  </si>
  <si>
    <t>Baguette ciabatta</t>
  </si>
  <si>
    <t>Petits pains ciabatta</t>
  </si>
  <si>
    <t>BIO CEREALES 300g</t>
  </si>
  <si>
    <t>BIO COMPLET 300g</t>
  </si>
  <si>
    <t>Fab</t>
  </si>
  <si>
    <t>Casse</t>
  </si>
  <si>
    <t>CAMPAGNE</t>
  </si>
  <si>
    <t>base</t>
  </si>
  <si>
    <t>à faire</t>
  </si>
  <si>
    <t>KG</t>
  </si>
  <si>
    <t>TOTAL PATE</t>
  </si>
  <si>
    <t>ST GEORGES</t>
  </si>
  <si>
    <t>HALLY-GRAINS</t>
  </si>
  <si>
    <t>SELECT T80</t>
  </si>
  <si>
    <t>VIENNOIS</t>
  </si>
  <si>
    <t>SEL</t>
  </si>
  <si>
    <t>LEVURE</t>
  </si>
  <si>
    <t>EAU</t>
  </si>
  <si>
    <t>Imperial</t>
  </si>
  <si>
    <t>pain de mie 400g</t>
  </si>
  <si>
    <t>Paninis x 4</t>
  </si>
  <si>
    <t>grignotines waldkorn X 4</t>
  </si>
  <si>
    <t>PV PROMO</t>
  </si>
  <si>
    <t>céréales 300g</t>
  </si>
  <si>
    <t>Fougasse arlequin 400g</t>
  </si>
  <si>
    <t>FARINE</t>
  </si>
  <si>
    <t>CA SUR VENTE</t>
  </si>
  <si>
    <t>CA sur vente</t>
  </si>
  <si>
    <t>Rupture</t>
  </si>
  <si>
    <t>5 min en 1ère</t>
  </si>
  <si>
    <t>8 min en 2ème</t>
  </si>
  <si>
    <t>17 min en 2ème</t>
  </si>
  <si>
    <t>10 min en 1ère</t>
  </si>
  <si>
    <t>6 min en 2ème</t>
  </si>
  <si>
    <t>3 min en 2ème</t>
  </si>
  <si>
    <t>15 min en 2ème</t>
  </si>
  <si>
    <t>Pointage 45 min</t>
  </si>
  <si>
    <t>Pavé saveur abricots noisettes</t>
  </si>
  <si>
    <t>ŒUFS</t>
  </si>
  <si>
    <t/>
  </si>
  <si>
    <t>pain de mie figues</t>
  </si>
  <si>
    <t>pain de mie seigle</t>
  </si>
  <si>
    <t>pain de mie figues raisins abricots</t>
  </si>
  <si>
    <t>Navettes X 20</t>
  </si>
  <si>
    <t>croutons nature</t>
  </si>
  <si>
    <t>Briochettes sucrées x 5</t>
  </si>
  <si>
    <t>pain muesli 400g</t>
  </si>
  <si>
    <t>Pain figues 400g</t>
  </si>
  <si>
    <t>pain  maïs 400g</t>
  </si>
  <si>
    <t>Baguettela bresilienne</t>
  </si>
  <si>
    <t>baguette sarrasine</t>
  </si>
  <si>
    <t>Spirale: 54°C</t>
  </si>
  <si>
    <t>3 min en 1ère</t>
  </si>
  <si>
    <t>Pointage 25 min</t>
  </si>
  <si>
    <t>bagel nature X 2</t>
  </si>
  <si>
    <t>bagel nature x 4</t>
  </si>
  <si>
    <t>bagel sesame x 2</t>
  </si>
  <si>
    <t>bagel sesame x 4</t>
  </si>
  <si>
    <t>bagel pavot X 2</t>
  </si>
  <si>
    <t>bagel pavot X 4</t>
  </si>
  <si>
    <t>Pain blanc fine croute</t>
  </si>
  <si>
    <t>miche hally grain 2kg</t>
  </si>
  <si>
    <t>Baguette mie dinette</t>
  </si>
  <si>
    <t>pavé abricots figues</t>
  </si>
  <si>
    <t>Pain au lait X 2</t>
  </si>
  <si>
    <t>Pain au lait pépites de choco X 2</t>
  </si>
  <si>
    <t>pain hamburger x 2</t>
  </si>
  <si>
    <t>pain hamburger x 5</t>
  </si>
  <si>
    <t>SON PLUS</t>
  </si>
  <si>
    <t>7 min en 1ère</t>
  </si>
  <si>
    <t>10 min en 2ème</t>
  </si>
  <si>
    <t>Détente 10 min</t>
  </si>
  <si>
    <t>couronne des rois nature 400g</t>
  </si>
  <si>
    <t>couronne des rois fruits 400g</t>
  </si>
  <si>
    <t>couronne des rois fruits 500g</t>
  </si>
  <si>
    <t>toast imperial</t>
  </si>
  <si>
    <t>toast imperial aux pruneaux</t>
  </si>
  <si>
    <t>Briochettes sésames x 10</t>
  </si>
  <si>
    <t>MARGE</t>
  </si>
  <si>
    <t>PRIX D'ACHAT</t>
  </si>
  <si>
    <t>MARGE PROMO</t>
  </si>
  <si>
    <t>pain fibres 300g</t>
  </si>
  <si>
    <t xml:space="preserve">CA atelier </t>
  </si>
  <si>
    <t>speciaux</t>
  </si>
  <si>
    <t>semaine</t>
  </si>
  <si>
    <t>Poids crus</t>
  </si>
  <si>
    <t>Petits pains midinette noix</t>
  </si>
  <si>
    <t>Petits pains midinette nature</t>
  </si>
  <si>
    <t>Petits pains midinette fromage</t>
  </si>
  <si>
    <t>Petits pains midinette sésames</t>
  </si>
  <si>
    <t>Petits pains midinette pavot</t>
  </si>
  <si>
    <t>Petits pains midinette olives</t>
  </si>
  <si>
    <t>Petits pains midinette raisins</t>
  </si>
  <si>
    <t>Petits pains midinette lardons</t>
  </si>
  <si>
    <t>Fougasse milano olives400g</t>
  </si>
  <si>
    <t>Fougasse milano lardons 400g</t>
  </si>
  <si>
    <t>Baguette milano</t>
  </si>
  <si>
    <t>ingrdients</t>
  </si>
  <si>
    <t>Grilles</t>
  </si>
  <si>
    <t>chariots baguettes</t>
  </si>
  <si>
    <t>grignottines céréales X 4</t>
  </si>
  <si>
    <t>Nombre de petrin de 80kg de farine</t>
  </si>
  <si>
    <t>poids de pâte total</t>
  </si>
  <si>
    <t>brioche feuilletée</t>
  </si>
  <si>
    <t>PLU entier/tranché</t>
  </si>
  <si>
    <t>1125 / 1130</t>
  </si>
  <si>
    <t>1135 / 1140</t>
  </si>
  <si>
    <t>102 / 99</t>
  </si>
  <si>
    <t>246 / 247</t>
  </si>
  <si>
    <t>4532 / 4533</t>
  </si>
  <si>
    <t>905 / 910</t>
  </si>
  <si>
    <t>830 / 835</t>
  </si>
  <si>
    <t>1720 / 1730</t>
  </si>
  <si>
    <t>4022 / 1205</t>
  </si>
  <si>
    <t>1215 / 1220</t>
  </si>
  <si>
    <t>714 / 798</t>
  </si>
  <si>
    <t>28 / 27</t>
  </si>
  <si>
    <t>24 / 23</t>
  </si>
  <si>
    <t>1595 / 1600</t>
  </si>
  <si>
    <t>530 / 535</t>
  </si>
  <si>
    <t>540 / 545</t>
  </si>
  <si>
    <t>100 / 105</t>
  </si>
  <si>
    <t>61 / 62</t>
  </si>
  <si>
    <t>155 / 160</t>
  </si>
  <si>
    <t>70 / 71</t>
  </si>
  <si>
    <t>120 / 125</t>
  </si>
  <si>
    <t>2652 X1</t>
  </si>
  <si>
    <t>2653 X2</t>
  </si>
  <si>
    <t>2654 X3</t>
  </si>
  <si>
    <t>2657 X4+1</t>
  </si>
  <si>
    <t xml:space="preserve">baguettine lardons </t>
  </si>
  <si>
    <t xml:space="preserve">baguettine olives </t>
  </si>
  <si>
    <t>I BACK</t>
  </si>
  <si>
    <t>LEVAIN GRAND ARÔME</t>
  </si>
  <si>
    <t>Oblique: 52°C</t>
  </si>
  <si>
    <t>Spirale: 48°C</t>
  </si>
  <si>
    <t>7 min en 2ème</t>
  </si>
  <si>
    <t>PATE FERMENTEE</t>
  </si>
  <si>
    <t>Pointage 20 min</t>
  </si>
  <si>
    <t>FARINE MULTICEREALES</t>
  </si>
  <si>
    <t>SEL DE MER</t>
  </si>
  <si>
    <t>Oblique: 64°C</t>
  </si>
  <si>
    <t>Spirale: 60°C</t>
  </si>
  <si>
    <t>5 min en 2ème</t>
  </si>
  <si>
    <t>COMPLET</t>
  </si>
  <si>
    <t>Oblique: 50°C</t>
  </si>
  <si>
    <t>Spirale: 50°C</t>
  </si>
  <si>
    <t>16 min en 2ème</t>
  </si>
  <si>
    <t>Pointage 10 min</t>
  </si>
  <si>
    <t>Oblique: 60°C</t>
  </si>
  <si>
    <t>MULTICERALES</t>
  </si>
  <si>
    <t>T° Pâte: 25°C</t>
  </si>
  <si>
    <t>BLANC</t>
  </si>
  <si>
    <t>BIO 65</t>
  </si>
  <si>
    <t>FARINE BIO 65</t>
  </si>
  <si>
    <t>LEVAIN D'EPEAUTRE BIO</t>
  </si>
  <si>
    <t>SAVEUR PAVE</t>
  </si>
  <si>
    <t>FARINE SAVEUR</t>
  </si>
  <si>
    <t>T° Pâte: 26°C</t>
  </si>
  <si>
    <t>PAVE AUX GRAINES</t>
  </si>
  <si>
    <t>FARINE PAVE AUX GRAINES</t>
  </si>
  <si>
    <t>MIX HALLY-GRAINS</t>
  </si>
  <si>
    <t>FARINE BLANCHE</t>
  </si>
  <si>
    <t>FARINE COMPLETE</t>
  </si>
  <si>
    <t>Pointage 30 min</t>
  </si>
  <si>
    <t>PAIN DE SON</t>
  </si>
  <si>
    <t>FARINE DE SON</t>
  </si>
  <si>
    <t>FARINE T80</t>
  </si>
  <si>
    <t>PHIL GRAND ARÖME</t>
  </si>
  <si>
    <t>IMPERIAL</t>
  </si>
  <si>
    <t>FARINE IMPERIAL</t>
  </si>
  <si>
    <t>Spirale: 73°C</t>
  </si>
  <si>
    <t>2 min en 2ème</t>
  </si>
  <si>
    <t>T° Pâte: 28°C</t>
  </si>
  <si>
    <t>PAIN MAÏS</t>
  </si>
  <si>
    <t>MIX MAÏS</t>
  </si>
  <si>
    <t>4 min en 1ère</t>
  </si>
  <si>
    <t>MIX ST GEORGES DOREES</t>
  </si>
  <si>
    <t>Pointage 10 min et Détente 25 min</t>
  </si>
  <si>
    <t>PAIN FIBRES</t>
  </si>
  <si>
    <t>FARINE FIBRES</t>
  </si>
  <si>
    <t>T° Pâte: 24°C</t>
  </si>
  <si>
    <t>Peser en bac dès l'arrêt du pétrin et laisser pointer 30 min</t>
  </si>
  <si>
    <t>PAIN MIKSIFRUIT</t>
  </si>
  <si>
    <t>MIX MUESLI</t>
  </si>
  <si>
    <t>Spirale: 55°C</t>
  </si>
  <si>
    <t>PAIN FIGUES</t>
  </si>
  <si>
    <t>MIX MOULBIE FIGUES</t>
  </si>
  <si>
    <t>Oblique: 62°C</t>
  </si>
  <si>
    <t>Pointage 20 min et Détente 10 min</t>
  </si>
  <si>
    <t>BAGUETTE LA BRESILIENNE</t>
  </si>
  <si>
    <t>CHIA PEP'S</t>
  </si>
  <si>
    <t>BAGUETTE LA SARRASINE</t>
  </si>
  <si>
    <t>FARINE CAMPASINE</t>
  </si>
  <si>
    <t xml:space="preserve">Mettre en bac, laisser pointer 20 min et mettre au frigo </t>
  </si>
  <si>
    <t>5 min en 1 ère puis une autolyse de 30 min</t>
  </si>
  <si>
    <t>5 min en 2ème en ajoutant le sel au bout de 2 min</t>
  </si>
  <si>
    <t>SPIRALE: 64°C</t>
  </si>
  <si>
    <t>SUCRE</t>
  </si>
  <si>
    <t>BEURRE</t>
  </si>
  <si>
    <t>Spirale: 46°C</t>
  </si>
  <si>
    <t>Oblique: 48°C</t>
  </si>
  <si>
    <t>SAVEUR BAGUETTE</t>
  </si>
  <si>
    <t>2 min en 1ère avec la levure</t>
  </si>
  <si>
    <t>Ajouter le sel, la levure puis 15 min en 1ère et 5 min en 2ème</t>
  </si>
  <si>
    <t>5 min en 1ére avec farine et l'eau puis une autolyse de 30 min</t>
  </si>
  <si>
    <t>Oblique: 54°C</t>
  </si>
  <si>
    <t>20 min en 2ème</t>
  </si>
  <si>
    <t>WALDKORN</t>
  </si>
  <si>
    <t>MIX WALDKORN</t>
  </si>
  <si>
    <t>Oblique: 55°C</t>
  </si>
  <si>
    <t>13 min en 2ème</t>
  </si>
  <si>
    <t>LEVAIN BIGA</t>
  </si>
  <si>
    <t>CIABATTA</t>
  </si>
  <si>
    <t>45 MIN en cuve + 20 min en bac</t>
  </si>
  <si>
    <t>MILANO</t>
  </si>
  <si>
    <t>REX MILANO</t>
  </si>
  <si>
    <t xml:space="preserve">FARINE </t>
  </si>
  <si>
    <t>HUILE 0.3</t>
  </si>
  <si>
    <t>TOAST VIENNOIS</t>
  </si>
  <si>
    <t>POUDRE DE LAIT</t>
  </si>
  <si>
    <t>Pointage 45 min et Détente 15 min</t>
  </si>
  <si>
    <t>TOAST VIENNOIS SEIGLE</t>
  </si>
  <si>
    <t>SEIGLE</t>
  </si>
  <si>
    <t xml:space="preserve">EAU </t>
  </si>
  <si>
    <t>PAIN DE SEIGLE</t>
  </si>
  <si>
    <t>FARINE DE SEIGLE T170</t>
  </si>
  <si>
    <t>12 min en 1ère</t>
  </si>
  <si>
    <t>pâte</t>
  </si>
  <si>
    <t>26/01/15</t>
  </si>
  <si>
    <t>1005/1010</t>
  </si>
  <si>
    <t xml:space="preserve">Pavé aux graines </t>
  </si>
  <si>
    <t>waldkorn moule 300g</t>
  </si>
  <si>
    <t>SEIGLE T170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</si>
</sst>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5" formatCode="#,##0\ &quot;€&quot;;\-#,##0\ &quot;€&quot;"/>
    <numFmt numFmtId="166" formatCode="_-* #,##0.00\ &quot;F&quot;_-;\-* #,##0.00\ &quot;F&quot;_-;_-* &quot;-&quot;??\ &quot;F&quot;_-;_-@_-"/>
    <numFmt numFmtId="167" formatCode="0.0"/>
    <numFmt numFmtId="168" formatCode="0.000"/>
    <numFmt numFmtId="169" formatCode="0.0%"/>
    <numFmt numFmtId="170" formatCode="0.0000"/>
    <numFmt numFmtId="171" formatCode="#,##0\ &quot;F&quot;"/>
    <numFmt numFmtId="172" formatCode="d\-mmm\-yy"/>
    <numFmt numFmtId="173" formatCode="#,##0\ &quot;€&quot;"/>
    <numFmt numFmtId="174" formatCode="[$-F800]dddd\,\ mmmm\ dd\,\ yyyy"/>
  </numFmts>
  <fonts count="52" x14ac:knownFonts="1">
    <font>
      <sz val="10"/>
      <name val="Arial"/>
    </font>
    <font>
      <sz val="1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indexed="10"/>
      <name val="Arial"/>
      <family val="2"/>
    </font>
    <font>
      <sz val="14"/>
      <color indexed="12"/>
      <name val="Arial"/>
      <family val="2"/>
    </font>
    <font>
      <b/>
      <sz val="14"/>
      <color indexed="10"/>
      <name val="Arial"/>
      <family val="2"/>
    </font>
    <font>
      <sz val="14"/>
      <color indexed="50"/>
      <name val="Arial"/>
      <family val="2"/>
    </font>
    <font>
      <sz val="14"/>
      <color indexed="21"/>
      <name val="Arial"/>
      <family val="2"/>
    </font>
    <font>
      <b/>
      <sz val="14"/>
      <color indexed="14"/>
      <name val="Arial"/>
      <family val="2"/>
    </font>
    <font>
      <sz val="14"/>
      <color indexed="8"/>
      <name val="Arial"/>
      <family val="2"/>
    </font>
    <font>
      <b/>
      <sz val="14"/>
      <color indexed="12"/>
      <name val="Arial"/>
      <family val="2"/>
    </font>
    <font>
      <b/>
      <sz val="14"/>
      <color indexed="9"/>
      <name val="Arial"/>
      <family val="2"/>
    </font>
    <font>
      <sz val="14"/>
      <color indexed="9"/>
      <name val="Arial"/>
      <family val="2"/>
    </font>
    <font>
      <b/>
      <u/>
      <sz val="14"/>
      <color indexed="10"/>
      <name val="Arial"/>
      <family val="2"/>
    </font>
    <font>
      <u/>
      <sz val="10"/>
      <color indexed="10"/>
      <name val="Arial"/>
      <family val="2"/>
    </font>
    <font>
      <b/>
      <u/>
      <sz val="10"/>
      <color indexed="10"/>
      <name val="Arial"/>
      <family val="2"/>
    </font>
    <font>
      <b/>
      <u/>
      <sz val="14"/>
      <color indexed="9"/>
      <name val="Arial"/>
      <family val="2"/>
    </font>
    <font>
      <u/>
      <sz val="10"/>
      <name val="Arial"/>
      <family val="2"/>
    </font>
    <font>
      <b/>
      <sz val="18"/>
      <name val="Arial"/>
      <family val="2"/>
    </font>
    <font>
      <sz val="8"/>
      <name val="Arial"/>
      <family val="2"/>
    </font>
    <font>
      <sz val="16"/>
      <name val="Arial"/>
      <family val="2"/>
    </font>
    <font>
      <b/>
      <u/>
      <sz val="14"/>
      <color indexed="12"/>
      <name val="Arial"/>
      <family val="2"/>
    </font>
    <font>
      <sz val="14"/>
      <color indexed="10"/>
      <name val="Arial"/>
    </font>
    <font>
      <b/>
      <sz val="14"/>
      <color indexed="10"/>
      <name val="Arial"/>
    </font>
    <font>
      <b/>
      <sz val="8"/>
      <name val="Arial"/>
      <family val="2"/>
    </font>
    <font>
      <b/>
      <sz val="14"/>
      <color indexed="21"/>
      <name val="Arial"/>
      <family val="2"/>
    </font>
    <font>
      <sz val="14"/>
      <color indexed="11"/>
      <name val="Arial"/>
      <family val="2"/>
    </font>
    <font>
      <b/>
      <sz val="14"/>
      <color indexed="11"/>
      <name val="Arial"/>
      <family val="2"/>
    </font>
    <font>
      <b/>
      <u/>
      <sz val="14"/>
      <color indexed="11"/>
      <name val="Arial"/>
      <family val="2"/>
    </font>
    <font>
      <b/>
      <sz val="16"/>
      <color indexed="11"/>
      <name val="Arial"/>
      <family val="2"/>
    </font>
    <font>
      <sz val="16"/>
      <color indexed="11"/>
      <name val="Arial"/>
      <family val="2"/>
    </font>
    <font>
      <sz val="18"/>
      <name val="Arial"/>
      <family val="2"/>
    </font>
    <font>
      <u/>
      <sz val="14"/>
      <name val="Arial"/>
      <family val="2"/>
    </font>
    <font>
      <sz val="12"/>
      <color indexed="10"/>
      <name val="Arial"/>
      <family val="2"/>
    </font>
    <font>
      <b/>
      <sz val="18"/>
      <color indexed="10"/>
      <name val="Arial"/>
      <family val="2"/>
    </font>
    <font>
      <sz val="14"/>
      <color indexed="17"/>
      <name val="Arial"/>
      <family val="2"/>
    </font>
    <font>
      <b/>
      <sz val="18"/>
      <color indexed="12"/>
      <name val="Arial"/>
      <family val="2"/>
    </font>
    <font>
      <b/>
      <sz val="14"/>
      <color indexed="16"/>
      <name val="Arial"/>
      <family val="2"/>
    </font>
    <font>
      <sz val="14"/>
      <color indexed="16"/>
      <name val="Arial"/>
      <family val="2"/>
    </font>
    <font>
      <b/>
      <sz val="16"/>
      <color indexed="9"/>
      <name val="Arial"/>
      <family val="2"/>
    </font>
    <font>
      <b/>
      <sz val="18"/>
      <color indexed="21"/>
      <name val="Arial"/>
      <family val="2"/>
    </font>
    <font>
      <sz val="8"/>
      <name val="Arial"/>
    </font>
    <font>
      <b/>
      <sz val="16"/>
      <color indexed="12"/>
      <name val="Arial"/>
      <family val="2"/>
    </font>
    <font>
      <sz val="36"/>
      <name val="Arial"/>
      <family val="2"/>
    </font>
    <font>
      <b/>
      <sz val="22"/>
      <name val="Arial"/>
      <family val="2"/>
    </font>
    <font>
      <sz val="20"/>
      <name val="Arial"/>
      <family val="2"/>
    </font>
    <font>
      <b/>
      <sz val="2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9E5ECE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5">
    <xf numFmtId="0" fontId="0" fillId="0" borderId="0" xfId="0"/>
    <xf numFmtId="2" fontId="9" fillId="0" borderId="0" xfId="0" applyNumberFormat="1" applyFont="1" applyBorder="1" applyAlignment="1" applyProtection="1">
      <alignment horizontal="center" vertical="center"/>
      <protection locked="0"/>
    </xf>
    <xf numFmtId="2" fontId="9" fillId="2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/>
    </xf>
    <xf numFmtId="9" fontId="6" fillId="0" borderId="0" xfId="2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2" fontId="6" fillId="2" borderId="0" xfId="0" applyNumberFormat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14" fillId="0" borderId="3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1" fontId="7" fillId="2" borderId="0" xfId="0" applyNumberFormat="1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right" vertical="center"/>
      <protection locked="0"/>
    </xf>
    <xf numFmtId="0" fontId="16" fillId="3" borderId="2" xfId="0" applyFont="1" applyFill="1" applyBorder="1" applyAlignment="1" applyProtection="1">
      <alignment horizontal="right" vertical="center"/>
      <protection locked="0"/>
    </xf>
    <xf numFmtId="1" fontId="6" fillId="2" borderId="0" xfId="0" applyNumberFormat="1" applyFont="1" applyFill="1" applyBorder="1" applyAlignment="1" applyProtection="1">
      <alignment horizontal="center" vertical="center"/>
      <protection locked="0"/>
    </xf>
    <xf numFmtId="1" fontId="16" fillId="3" borderId="12" xfId="0" applyNumberFormat="1" applyFont="1" applyFill="1" applyBorder="1" applyAlignment="1" applyProtection="1">
      <alignment horizontal="center" vertical="center"/>
      <protection locked="0"/>
    </xf>
    <xf numFmtId="1" fontId="17" fillId="3" borderId="12" xfId="0" applyNumberFormat="1" applyFont="1" applyFill="1" applyBorder="1" applyAlignment="1" applyProtection="1">
      <alignment horizontal="center" vertical="center"/>
      <protection locked="0"/>
    </xf>
    <xf numFmtId="1" fontId="17" fillId="3" borderId="5" xfId="0" applyNumberFormat="1" applyFont="1" applyFill="1" applyBorder="1" applyAlignment="1" applyProtection="1">
      <alignment horizontal="center" vertical="center"/>
      <protection locked="0"/>
    </xf>
    <xf numFmtId="1" fontId="10" fillId="2" borderId="3" xfId="0" applyNumberFormat="1" applyFont="1" applyFill="1" applyBorder="1" applyAlignment="1" applyProtection="1">
      <alignment horizontal="center" vertical="center"/>
      <protection locked="0"/>
    </xf>
    <xf numFmtId="1" fontId="10" fillId="4" borderId="10" xfId="0" applyNumberFormat="1" applyFont="1" applyFill="1" applyBorder="1" applyAlignment="1" applyProtection="1">
      <alignment horizontal="center" vertical="center"/>
      <protection locked="0"/>
    </xf>
    <xf numFmtId="1" fontId="6" fillId="0" borderId="7" xfId="0" applyNumberFormat="1" applyFont="1" applyBorder="1" applyAlignment="1" applyProtection="1">
      <alignment horizontal="center" vertical="center"/>
      <protection locked="0"/>
    </xf>
    <xf numFmtId="1" fontId="6" fillId="0" borderId="0" xfId="0" applyNumberFormat="1" applyFont="1" applyBorder="1" applyAlignment="1" applyProtection="1">
      <alignment horizontal="center" vertical="center"/>
      <protection locked="0"/>
    </xf>
    <xf numFmtId="1" fontId="9" fillId="0" borderId="0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 applyProtection="1">
      <alignment horizontal="center" vertical="center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5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18" fillId="4" borderId="20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9" fontId="6" fillId="2" borderId="0" xfId="2" applyFont="1" applyFill="1" applyBorder="1" applyAlignment="1" applyProtection="1">
      <alignment horizontal="center" vertical="center"/>
      <protection locked="0"/>
    </xf>
    <xf numFmtId="2" fontId="6" fillId="0" borderId="22" xfId="0" applyNumberFormat="1" applyFont="1" applyBorder="1" applyAlignment="1" applyProtection="1">
      <alignment horizontal="center" vertical="center"/>
      <protection locked="0"/>
    </xf>
    <xf numFmtId="9" fontId="10" fillId="4" borderId="23" xfId="2" applyFont="1" applyFill="1" applyBorder="1" applyAlignment="1" applyProtection="1">
      <alignment horizontal="center" vertical="center"/>
      <protection locked="0"/>
    </xf>
    <xf numFmtId="9" fontId="6" fillId="0" borderId="24" xfId="2" applyFont="1" applyBorder="1" applyAlignment="1" applyProtection="1">
      <alignment horizontal="center" vertical="center"/>
      <protection locked="0"/>
    </xf>
    <xf numFmtId="0" fontId="6" fillId="5" borderId="0" xfId="0" applyFont="1" applyFill="1" applyBorder="1" applyAlignment="1" applyProtection="1">
      <alignment horizontal="center" vertical="center"/>
      <protection locked="0"/>
    </xf>
    <xf numFmtId="9" fontId="6" fillId="0" borderId="3" xfId="2" applyFont="1" applyBorder="1" applyAlignment="1" applyProtection="1">
      <alignment horizontal="center" vertical="center"/>
      <protection locked="0"/>
    </xf>
    <xf numFmtId="0" fontId="7" fillId="5" borderId="5" xfId="0" applyFont="1" applyFill="1" applyBorder="1" applyAlignment="1" applyProtection="1">
      <alignment horizontal="center" vertical="center"/>
      <protection locked="0"/>
    </xf>
    <xf numFmtId="2" fontId="9" fillId="0" borderId="11" xfId="0" applyNumberFormat="1" applyFont="1" applyBorder="1" applyAlignment="1" applyProtection="1">
      <alignment horizontal="center" vertical="center"/>
      <protection locked="0"/>
    </xf>
    <xf numFmtId="9" fontId="10" fillId="4" borderId="8" xfId="2" applyFont="1" applyFill="1" applyBorder="1" applyAlignment="1" applyProtection="1">
      <alignment horizontal="center" vertical="center"/>
      <protection locked="0"/>
    </xf>
    <xf numFmtId="0" fontId="10" fillId="4" borderId="21" xfId="0" applyFont="1" applyFill="1" applyBorder="1" applyAlignment="1" applyProtection="1">
      <alignment horizontal="center" vertical="center"/>
      <protection locked="0"/>
    </xf>
    <xf numFmtId="0" fontId="6" fillId="5" borderId="22" xfId="0" applyFont="1" applyFill="1" applyBorder="1" applyAlignment="1" applyProtection="1">
      <alignment horizontal="center" vertical="center"/>
      <protection locked="0"/>
    </xf>
    <xf numFmtId="2" fontId="8" fillId="0" borderId="24" xfId="0" applyNumberFormat="1" applyFont="1" applyBorder="1" applyAlignment="1" applyProtection="1">
      <alignment horizontal="center" vertical="center"/>
      <protection locked="0"/>
    </xf>
    <xf numFmtId="0" fontId="6" fillId="0" borderId="22" xfId="0" applyFont="1" applyFill="1" applyBorder="1" applyAlignment="1" applyProtection="1">
      <alignment horizontal="center" vertical="center"/>
      <protection locked="0"/>
    </xf>
    <xf numFmtId="1" fontId="6" fillId="0" borderId="22" xfId="0" applyNumberFormat="1" applyFont="1" applyBorder="1" applyAlignment="1" applyProtection="1">
      <alignment horizontal="center" vertical="center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Border="1" applyAlignment="1" applyProtection="1">
      <alignment horizontal="center" vertical="center"/>
      <protection locked="0"/>
    </xf>
    <xf numFmtId="0" fontId="16" fillId="3" borderId="12" xfId="0" applyFont="1" applyFill="1" applyBorder="1" applyAlignment="1" applyProtection="1">
      <alignment horizontal="center" vertical="center"/>
      <protection locked="0"/>
    </xf>
    <xf numFmtId="0" fontId="16" fillId="3" borderId="4" xfId="0" applyFont="1" applyFill="1" applyBorder="1" applyAlignment="1" applyProtection="1">
      <alignment horizontal="center" vertical="center"/>
      <protection locked="0"/>
    </xf>
    <xf numFmtId="0" fontId="6" fillId="3" borderId="29" xfId="0" applyFont="1" applyFill="1" applyBorder="1" applyAlignment="1" applyProtection="1">
      <alignment horizontal="center" vertical="center"/>
      <protection locked="0"/>
    </xf>
    <xf numFmtId="1" fontId="6" fillId="3" borderId="30" xfId="0" applyNumberFormat="1" applyFont="1" applyFill="1" applyBorder="1" applyAlignment="1" applyProtection="1">
      <alignment horizontal="center" vertical="center"/>
      <protection locked="0"/>
    </xf>
    <xf numFmtId="1" fontId="16" fillId="3" borderId="31" xfId="0" applyNumberFormat="1" applyFont="1" applyFill="1" applyBorder="1" applyAlignment="1" applyProtection="1">
      <alignment horizontal="center" vertical="center"/>
      <protection locked="0"/>
    </xf>
    <xf numFmtId="1" fontId="6" fillId="3" borderId="31" xfId="0" applyNumberFormat="1" applyFont="1" applyFill="1" applyBorder="1" applyAlignment="1" applyProtection="1">
      <alignment horizontal="center" vertical="center"/>
      <protection locked="0"/>
    </xf>
    <xf numFmtId="1" fontId="10" fillId="4" borderId="21" xfId="0" applyNumberFormat="1" applyFont="1" applyFill="1" applyBorder="1" applyAlignment="1" applyProtection="1">
      <alignment horizontal="center" vertical="center"/>
      <protection locked="0"/>
    </xf>
    <xf numFmtId="1" fontId="21" fillId="3" borderId="32" xfId="0" applyNumberFormat="1" applyFont="1" applyFill="1" applyBorder="1" applyAlignment="1" applyProtection="1">
      <alignment horizontal="left" vertical="center"/>
      <protection locked="0"/>
    </xf>
    <xf numFmtId="1" fontId="21" fillId="3" borderId="33" xfId="0" applyNumberFormat="1" applyFont="1" applyFill="1" applyBorder="1" applyAlignment="1" applyProtection="1">
      <alignment horizontal="left" vertical="center"/>
      <protection locked="0"/>
    </xf>
    <xf numFmtId="0" fontId="21" fillId="3" borderId="34" xfId="0" applyFont="1" applyFill="1" applyBorder="1" applyAlignment="1" applyProtection="1">
      <alignment horizontal="left" vertical="center"/>
      <protection locked="0"/>
    </xf>
    <xf numFmtId="0" fontId="6" fillId="4" borderId="21" xfId="0" applyFont="1" applyFill="1" applyBorder="1" applyAlignment="1" applyProtection="1">
      <alignment horizontal="center" vertical="center"/>
      <protection locked="0"/>
    </xf>
    <xf numFmtId="172" fontId="28" fillId="3" borderId="0" xfId="0" applyNumberFormat="1" applyFont="1" applyFill="1" applyBorder="1" applyAlignment="1" applyProtection="1">
      <alignment horizontal="left" vertical="center"/>
      <protection locked="0"/>
    </xf>
    <xf numFmtId="0" fontId="28" fillId="3" borderId="0" xfId="0" applyNumberFormat="1" applyFont="1" applyFill="1" applyBorder="1" applyAlignment="1" applyProtection="1">
      <alignment horizontal="left" vertical="center"/>
      <protection locked="0"/>
    </xf>
    <xf numFmtId="0" fontId="6" fillId="0" borderId="7" xfId="0" applyNumberFormat="1" applyFont="1" applyBorder="1" applyAlignment="1" applyProtection="1">
      <alignment horizontal="center" vertical="center"/>
      <protection locked="0"/>
    </xf>
    <xf numFmtId="0" fontId="23" fillId="2" borderId="8" xfId="0" applyFont="1" applyFill="1" applyBorder="1" applyAlignment="1">
      <alignment horizontal="center" vertical="center"/>
    </xf>
    <xf numFmtId="2" fontId="12" fillId="2" borderId="0" xfId="0" applyNumberFormat="1" applyFont="1" applyFill="1" applyBorder="1" applyAlignment="1" applyProtection="1">
      <alignment horizontal="center" vertical="center"/>
      <protection locked="0"/>
    </xf>
    <xf numFmtId="2" fontId="12" fillId="0" borderId="0" xfId="0" applyNumberFormat="1" applyFont="1" applyBorder="1" applyAlignment="1" applyProtection="1">
      <alignment horizontal="center" vertical="center"/>
      <protection locked="0"/>
    </xf>
    <xf numFmtId="0" fontId="12" fillId="3" borderId="35" xfId="0" applyFont="1" applyFill="1" applyBorder="1" applyAlignment="1" applyProtection="1">
      <alignment horizontal="center" vertical="center"/>
      <protection locked="0"/>
    </xf>
    <xf numFmtId="2" fontId="30" fillId="4" borderId="23" xfId="0" applyNumberFormat="1" applyFont="1" applyFill="1" applyBorder="1" applyAlignment="1" applyProtection="1">
      <alignment horizontal="center" vertical="center"/>
      <protection locked="0"/>
    </xf>
    <xf numFmtId="2" fontId="12" fillId="0" borderId="24" xfId="0" applyNumberFormat="1" applyFont="1" applyBorder="1" applyAlignment="1" applyProtection="1">
      <alignment horizontal="center" vertical="center"/>
      <protection locked="0"/>
    </xf>
    <xf numFmtId="2" fontId="12" fillId="0" borderId="24" xfId="0" applyNumberFormat="1" applyFont="1" applyFill="1" applyBorder="1" applyAlignment="1" applyProtection="1">
      <alignment horizontal="center" vertical="center"/>
      <protection locked="0"/>
    </xf>
    <xf numFmtId="2" fontId="12" fillId="0" borderId="24" xfId="0" quotePrefix="1" applyNumberFormat="1" applyFont="1" applyBorder="1" applyAlignment="1" applyProtection="1">
      <alignment horizontal="center" vertical="center"/>
      <protection locked="0"/>
    </xf>
    <xf numFmtId="0" fontId="12" fillId="0" borderId="24" xfId="0" applyFont="1" applyBorder="1" applyAlignment="1" applyProtection="1">
      <alignment horizontal="center" vertical="center"/>
      <protection locked="0"/>
    </xf>
    <xf numFmtId="0" fontId="0" fillId="0" borderId="16" xfId="0" applyFill="1" applyBorder="1" applyAlignment="1">
      <alignment vertical="center"/>
    </xf>
    <xf numFmtId="2" fontId="12" fillId="0" borderId="24" xfId="0" applyNumberFormat="1" applyFont="1" applyFill="1" applyBorder="1" applyAlignment="1" applyProtection="1">
      <alignment horizontal="right" vertical="center"/>
      <protection locked="0"/>
    </xf>
    <xf numFmtId="0" fontId="16" fillId="3" borderId="4" xfId="0" applyFont="1" applyFill="1" applyBorder="1" applyAlignment="1" applyProtection="1">
      <alignment horizontal="left" vertical="center"/>
      <protection locked="0"/>
    </xf>
    <xf numFmtId="9" fontId="16" fillId="3" borderId="6" xfId="2" applyFont="1" applyFill="1" applyBorder="1" applyAlignment="1" applyProtection="1">
      <alignment horizontal="left" vertical="center"/>
      <protection locked="0"/>
    </xf>
    <xf numFmtId="2" fontId="12" fillId="0" borderId="37" xfId="0" applyNumberFormat="1" applyFont="1" applyBorder="1" applyAlignment="1" applyProtection="1">
      <alignment horizontal="center" vertical="center"/>
      <protection locked="0"/>
    </xf>
    <xf numFmtId="0" fontId="13" fillId="0" borderId="38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37" xfId="0" applyFont="1" applyFill="1" applyBorder="1" applyAlignment="1" applyProtection="1">
      <alignment horizontal="center" vertical="center"/>
      <protection locked="0"/>
    </xf>
    <xf numFmtId="0" fontId="31" fillId="7" borderId="38" xfId="0" applyFont="1" applyFill="1" applyBorder="1" applyAlignment="1" applyProtection="1">
      <alignment horizontal="center" vertical="center"/>
      <protection locked="0"/>
    </xf>
    <xf numFmtId="0" fontId="32" fillId="7" borderId="0" xfId="0" applyFont="1" applyFill="1" applyBorder="1" applyAlignment="1" applyProtection="1">
      <alignment horizontal="center" vertical="center"/>
      <protection locked="0"/>
    </xf>
    <xf numFmtId="0" fontId="31" fillId="7" borderId="0" xfId="0" applyFont="1" applyFill="1" applyBorder="1" applyAlignment="1" applyProtection="1">
      <alignment horizontal="center" vertical="center"/>
      <protection locked="0"/>
    </xf>
    <xf numFmtId="1" fontId="32" fillId="7" borderId="0" xfId="0" applyNumberFormat="1" applyFont="1" applyFill="1" applyBorder="1" applyAlignment="1" applyProtection="1">
      <alignment horizontal="center" vertical="center"/>
      <protection locked="0"/>
    </xf>
    <xf numFmtId="0" fontId="32" fillId="7" borderId="9" xfId="0" applyFont="1" applyFill="1" applyBorder="1" applyAlignment="1" applyProtection="1">
      <alignment horizontal="left" vertical="center"/>
      <protection locked="0"/>
    </xf>
    <xf numFmtId="0" fontId="32" fillId="7" borderId="39" xfId="0" applyFont="1" applyFill="1" applyBorder="1" applyAlignment="1" applyProtection="1">
      <alignment horizontal="center" vertical="center"/>
      <protection locked="0"/>
    </xf>
    <xf numFmtId="0" fontId="31" fillId="7" borderId="0" xfId="0" applyFont="1" applyFill="1" applyBorder="1" applyAlignment="1" applyProtection="1">
      <alignment horizontal="center"/>
      <protection locked="0"/>
    </xf>
    <xf numFmtId="0" fontId="34" fillId="7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2" fontId="9" fillId="0" borderId="0" xfId="0" applyNumberFormat="1" applyFont="1" applyFill="1" applyBorder="1" applyAlignment="1" applyProtection="1">
      <alignment horizontal="center" vertical="center"/>
      <protection locked="0"/>
    </xf>
    <xf numFmtId="2" fontId="12" fillId="0" borderId="0" xfId="0" applyNumberFormat="1" applyFont="1" applyFill="1" applyBorder="1" applyAlignment="1" applyProtection="1">
      <alignment horizontal="center" vertical="center"/>
      <protection locked="0"/>
    </xf>
    <xf numFmtId="0" fontId="38" fillId="2" borderId="0" xfId="0" applyNumberFormat="1" applyFont="1" applyFill="1" applyAlignment="1">
      <alignment horizontal="left" vertical="center"/>
    </xf>
    <xf numFmtId="0" fontId="9" fillId="0" borderId="7" xfId="0" applyFont="1" applyFill="1" applyBorder="1" applyAlignment="1" applyProtection="1">
      <alignment horizontal="center" vertical="center"/>
      <protection locked="0"/>
    </xf>
    <xf numFmtId="1" fontId="6" fillId="0" borderId="7" xfId="0" applyNumberFormat="1" applyFont="1" applyFill="1" applyBorder="1" applyAlignment="1" applyProtection="1">
      <alignment horizontal="center" vertical="center"/>
      <protection locked="0"/>
    </xf>
    <xf numFmtId="1" fontId="6" fillId="0" borderId="22" xfId="0" applyNumberFormat="1" applyFont="1" applyFill="1" applyBorder="1" applyAlignment="1" applyProtection="1">
      <alignment horizontal="center" vertical="center"/>
      <protection locked="0"/>
    </xf>
    <xf numFmtId="2" fontId="6" fillId="0" borderId="22" xfId="0" applyNumberFormat="1" applyFont="1" applyFill="1" applyBorder="1" applyAlignment="1" applyProtection="1">
      <alignment horizontal="center" vertical="center"/>
      <protection locked="0"/>
    </xf>
    <xf numFmtId="9" fontId="6" fillId="0" borderId="24" xfId="2" applyFont="1" applyFill="1" applyBorder="1" applyAlignment="1" applyProtection="1">
      <alignment horizontal="center" vertical="center"/>
      <protection locked="0"/>
    </xf>
    <xf numFmtId="9" fontId="6" fillId="0" borderId="3" xfId="2" applyFont="1" applyFill="1" applyBorder="1" applyAlignment="1" applyProtection="1">
      <alignment horizontal="center" vertical="center"/>
      <protection locked="0"/>
    </xf>
    <xf numFmtId="1" fontId="6" fillId="0" borderId="32" xfId="0" applyNumberFormat="1" applyFont="1" applyFill="1" applyBorder="1" applyAlignment="1" applyProtection="1">
      <alignment horizontal="center" vertical="center"/>
      <protection locked="0"/>
    </xf>
    <xf numFmtId="1" fontId="6" fillId="0" borderId="33" xfId="0" applyNumberFormat="1" applyFont="1" applyFill="1" applyBorder="1" applyAlignment="1" applyProtection="1">
      <alignment horizontal="center" vertical="center"/>
      <protection locked="0"/>
    </xf>
    <xf numFmtId="9" fontId="6" fillId="0" borderId="34" xfId="2" applyFont="1" applyFill="1" applyBorder="1" applyAlignment="1" applyProtection="1">
      <alignment horizontal="center" vertical="center"/>
      <protection locked="0"/>
    </xf>
    <xf numFmtId="0" fontId="11" fillId="0" borderId="7" xfId="0" applyFont="1" applyFill="1" applyBorder="1" applyAlignment="1" applyProtection="1">
      <alignment horizontal="center" vertical="center"/>
      <protection locked="0"/>
    </xf>
    <xf numFmtId="2" fontId="6" fillId="0" borderId="33" xfId="0" applyNumberFormat="1" applyFont="1" applyFill="1" applyBorder="1" applyAlignment="1" applyProtection="1">
      <alignment horizontal="center" vertical="center"/>
      <protection locked="0"/>
    </xf>
    <xf numFmtId="2" fontId="12" fillId="0" borderId="24" xfId="0" quotePrefix="1" applyNumberFormat="1" applyFont="1" applyFill="1" applyBorder="1" applyAlignment="1" applyProtection="1">
      <alignment horizontal="center" vertical="center"/>
      <protection locked="0"/>
    </xf>
    <xf numFmtId="0" fontId="7" fillId="0" borderId="32" xfId="0" applyFont="1" applyFill="1" applyBorder="1" applyAlignment="1" applyProtection="1">
      <alignment horizontal="center" vertical="center"/>
      <protection locked="0"/>
    </xf>
    <xf numFmtId="2" fontId="12" fillId="0" borderId="34" xfId="0" applyNumberFormat="1" applyFont="1" applyFill="1" applyBorder="1" applyAlignment="1" applyProtection="1">
      <alignment horizontal="right" vertical="center"/>
      <protection locked="0"/>
    </xf>
    <xf numFmtId="0" fontId="9" fillId="0" borderId="15" xfId="0" applyFont="1" applyFill="1" applyBorder="1" applyAlignment="1" applyProtection="1">
      <alignment horizontal="center"/>
      <protection locked="0"/>
    </xf>
    <xf numFmtId="0" fontId="31" fillId="0" borderId="0" xfId="0" applyFont="1" applyFill="1" applyBorder="1" applyAlignment="1" applyProtection="1">
      <alignment horizontal="center"/>
      <protection locked="0"/>
    </xf>
    <xf numFmtId="0" fontId="6" fillId="0" borderId="7" xfId="1" applyNumberFormat="1" applyFont="1" applyFill="1" applyBorder="1" applyAlignment="1" applyProtection="1">
      <alignment horizontal="center" vertical="center"/>
      <protection locked="0"/>
    </xf>
    <xf numFmtId="0" fontId="31" fillId="0" borderId="0" xfId="0" applyFont="1" applyFill="1" applyBorder="1" applyAlignment="1" applyProtection="1">
      <alignment horizontal="center" vertical="center"/>
      <protection locked="0"/>
    </xf>
    <xf numFmtId="1" fontId="9" fillId="0" borderId="0" xfId="0" applyNumberFormat="1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6" borderId="8" xfId="0" applyFont="1" applyFill="1" applyBorder="1" applyAlignment="1" applyProtection="1">
      <alignment horizontal="center" vertical="center"/>
      <protection locked="0"/>
    </xf>
    <xf numFmtId="0" fontId="10" fillId="6" borderId="10" xfId="0" applyFont="1" applyFill="1" applyBorder="1" applyAlignment="1" applyProtection="1">
      <alignment horizontal="center" vertical="center"/>
      <protection locked="0"/>
    </xf>
    <xf numFmtId="2" fontId="30" fillId="6" borderId="23" xfId="0" applyNumberFormat="1" applyFont="1" applyFill="1" applyBorder="1" applyAlignment="1" applyProtection="1">
      <alignment horizontal="center" vertical="center"/>
      <protection locked="0"/>
    </xf>
    <xf numFmtId="1" fontId="10" fillId="6" borderId="10" xfId="0" applyNumberFormat="1" applyFont="1" applyFill="1" applyBorder="1" applyAlignment="1" applyProtection="1">
      <alignment horizontal="center" vertical="center"/>
      <protection locked="0"/>
    </xf>
    <xf numFmtId="1" fontId="10" fillId="6" borderId="21" xfId="0" applyNumberFormat="1" applyFont="1" applyFill="1" applyBorder="1" applyAlignment="1" applyProtection="1">
      <alignment horizontal="center" vertical="center"/>
      <protection locked="0"/>
    </xf>
    <xf numFmtId="2" fontId="10" fillId="6" borderId="21" xfId="0" applyNumberFormat="1" applyFont="1" applyFill="1" applyBorder="1" applyAlignment="1" applyProtection="1">
      <alignment horizontal="center" vertical="center"/>
      <protection locked="0"/>
    </xf>
    <xf numFmtId="9" fontId="10" fillId="6" borderId="23" xfId="2" applyFont="1" applyFill="1" applyBorder="1" applyAlignment="1" applyProtection="1">
      <alignment horizontal="center" vertical="center"/>
      <protection locked="0"/>
    </xf>
    <xf numFmtId="9" fontId="10" fillId="6" borderId="8" xfId="2" applyFont="1" applyFill="1" applyBorder="1" applyAlignment="1" applyProtection="1">
      <alignment horizontal="center" vertical="center"/>
      <protection locked="0"/>
    </xf>
    <xf numFmtId="2" fontId="12" fillId="0" borderId="24" xfId="0" applyNumberFormat="1" applyFont="1" applyBorder="1" applyAlignment="1" applyProtection="1">
      <alignment horizontal="right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6" borderId="19" xfId="0" applyFont="1" applyFill="1" applyBorder="1" applyAlignment="1" applyProtection="1">
      <alignment horizontal="center" vertical="center"/>
      <protection locked="0"/>
    </xf>
    <xf numFmtId="0" fontId="6" fillId="6" borderId="11" xfId="0" applyFont="1" applyFill="1" applyBorder="1" applyAlignment="1" applyProtection="1">
      <alignment horizontal="center" vertical="center"/>
      <protection locked="0"/>
    </xf>
    <xf numFmtId="171" fontId="9" fillId="0" borderId="41" xfId="1" applyNumberFormat="1" applyFont="1" applyFill="1" applyBorder="1" applyAlignment="1" applyProtection="1">
      <alignment horizontal="center"/>
      <protection locked="0"/>
    </xf>
    <xf numFmtId="2" fontId="12" fillId="6" borderId="11" xfId="0" applyNumberFormat="1" applyFont="1" applyFill="1" applyBorder="1" applyAlignment="1" applyProtection="1">
      <alignment horizontal="center" vertical="center"/>
      <protection locked="0"/>
    </xf>
    <xf numFmtId="1" fontId="6" fillId="6" borderId="11" xfId="0" applyNumberFormat="1" applyFont="1" applyFill="1" applyBorder="1" applyAlignment="1" applyProtection="1">
      <alignment horizontal="center" vertical="center"/>
      <protection locked="0"/>
    </xf>
    <xf numFmtId="1" fontId="9" fillId="6" borderId="11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0" fontId="6" fillId="6" borderId="0" xfId="0" applyFont="1" applyFill="1" applyBorder="1" applyAlignment="1" applyProtection="1">
      <alignment horizontal="center" vertical="center"/>
      <protection locked="0"/>
    </xf>
    <xf numFmtId="0" fontId="31" fillId="6" borderId="0" xfId="0" applyFont="1" applyFill="1" applyBorder="1" applyAlignment="1" applyProtection="1">
      <alignment horizontal="center" vertical="center"/>
      <protection locked="0"/>
    </xf>
    <xf numFmtId="2" fontId="9" fillId="6" borderId="0" xfId="0" applyNumberFormat="1" applyFont="1" applyFill="1" applyBorder="1" applyAlignment="1" applyProtection="1">
      <alignment horizontal="center" vertical="center"/>
      <protection locked="0"/>
    </xf>
    <xf numFmtId="2" fontId="12" fillId="6" borderId="0" xfId="0" applyNumberFormat="1" applyFont="1" applyFill="1" applyBorder="1" applyAlignment="1" applyProtection="1">
      <alignment horizontal="center" vertical="center"/>
      <protection locked="0"/>
    </xf>
    <xf numFmtId="1" fontId="6" fillId="6" borderId="0" xfId="0" applyNumberFormat="1" applyFont="1" applyFill="1" applyBorder="1" applyAlignment="1" applyProtection="1">
      <alignment horizontal="center" vertical="center"/>
      <protection locked="0"/>
    </xf>
    <xf numFmtId="1" fontId="9" fillId="6" borderId="0" xfId="0" applyNumberFormat="1" applyFont="1" applyFill="1" applyBorder="1" applyAlignment="1" applyProtection="1">
      <alignment horizontal="center" vertical="center"/>
      <protection locked="0"/>
    </xf>
    <xf numFmtId="0" fontId="6" fillId="6" borderId="6" xfId="0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 applyProtection="1">
      <alignment horizontal="center" vertical="center"/>
      <protection locked="0"/>
    </xf>
    <xf numFmtId="2" fontId="12" fillId="0" borderId="29" xfId="0" applyNumberFormat="1" applyFont="1" applyFill="1" applyBorder="1" applyAlignment="1" applyProtection="1">
      <alignment horizontal="center" vertical="center"/>
      <protection locked="0"/>
    </xf>
    <xf numFmtId="1" fontId="6" fillId="0" borderId="30" xfId="0" applyNumberFormat="1" applyFont="1" applyFill="1" applyBorder="1" applyAlignment="1" applyProtection="1">
      <alignment horizontal="center" vertical="center"/>
      <protection locked="0"/>
    </xf>
    <xf numFmtId="1" fontId="6" fillId="0" borderId="31" xfId="0" applyNumberFormat="1" applyFont="1" applyFill="1" applyBorder="1" applyAlignment="1" applyProtection="1">
      <alignment horizontal="center" vertical="center"/>
      <protection locked="0"/>
    </xf>
    <xf numFmtId="2" fontId="6" fillId="0" borderId="31" xfId="0" applyNumberFormat="1" applyFont="1" applyFill="1" applyBorder="1" applyAlignment="1" applyProtection="1">
      <alignment horizontal="center" vertical="center"/>
      <protection locked="0"/>
    </xf>
    <xf numFmtId="9" fontId="6" fillId="0" borderId="29" xfId="2" applyFont="1" applyFill="1" applyBorder="1" applyAlignment="1" applyProtection="1">
      <alignment horizontal="center" vertical="center"/>
      <protection locked="0"/>
    </xf>
    <xf numFmtId="9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1" fontId="6" fillId="0" borderId="42" xfId="0" applyNumberFormat="1" applyFont="1" applyFill="1" applyBorder="1" applyAlignment="1" applyProtection="1">
      <alignment horizontal="center" vertical="center"/>
      <protection locked="0"/>
    </xf>
    <xf numFmtId="9" fontId="10" fillId="2" borderId="0" xfId="2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31" fillId="7" borderId="11" xfId="0" applyFont="1" applyFill="1" applyBorder="1" applyAlignment="1" applyProtection="1">
      <alignment horizontal="center" vertical="center"/>
      <protection locked="0"/>
    </xf>
    <xf numFmtId="1" fontId="44" fillId="8" borderId="23" xfId="0" applyNumberFormat="1" applyFont="1" applyFill="1" applyBorder="1" applyAlignment="1" applyProtection="1">
      <alignment horizontal="center" vertical="center"/>
      <protection locked="0"/>
    </xf>
    <xf numFmtId="0" fontId="6" fillId="0" borderId="38" xfId="0" applyNumberFormat="1" applyFont="1" applyBorder="1" applyAlignment="1" applyProtection="1">
      <alignment horizontal="center" vertical="center"/>
      <protection locked="0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0" fontId="23" fillId="2" borderId="25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left" vertical="center"/>
    </xf>
    <xf numFmtId="0" fontId="0" fillId="2" borderId="40" xfId="0" applyFill="1" applyBorder="1" applyAlignment="1">
      <alignment vertical="center"/>
    </xf>
    <xf numFmtId="0" fontId="6" fillId="0" borderId="25" xfId="0" applyFont="1" applyFill="1" applyBorder="1" applyAlignment="1" applyProtection="1">
      <alignment horizontal="center" vertical="center"/>
      <protection locked="0"/>
    </xf>
    <xf numFmtId="2" fontId="12" fillId="0" borderId="25" xfId="0" applyNumberFormat="1" applyFont="1" applyFill="1" applyBorder="1" applyAlignment="1" applyProtection="1">
      <alignment horizontal="center" vertical="center"/>
      <protection locked="0"/>
    </xf>
    <xf numFmtId="0" fontId="6" fillId="0" borderId="43" xfId="0" applyFont="1" applyFill="1" applyBorder="1" applyAlignment="1" applyProtection="1">
      <alignment horizontal="center" vertical="center"/>
      <protection locked="0"/>
    </xf>
    <xf numFmtId="2" fontId="12" fillId="0" borderId="37" xfId="0" applyNumberFormat="1" applyFont="1" applyFill="1" applyBorder="1" applyAlignment="1" applyProtection="1">
      <alignment horizontal="center" vertical="center"/>
      <protection locked="0"/>
    </xf>
    <xf numFmtId="0" fontId="23" fillId="2" borderId="43" xfId="0" applyFont="1" applyFill="1" applyBorder="1" applyAlignment="1">
      <alignment horizontal="center" vertical="center"/>
    </xf>
    <xf numFmtId="0" fontId="23" fillId="2" borderId="3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0" fillId="2" borderId="1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6" fillId="2" borderId="40" xfId="0" applyFont="1" applyFill="1" applyBorder="1" applyAlignment="1">
      <alignment vertical="center"/>
    </xf>
    <xf numFmtId="0" fontId="6" fillId="2" borderId="46" xfId="0" applyFont="1" applyFill="1" applyBorder="1" applyAlignment="1">
      <alignment horizontal="left" vertical="center"/>
    </xf>
    <xf numFmtId="0" fontId="0" fillId="2" borderId="25" xfId="0" applyFill="1" applyBorder="1" applyAlignment="1">
      <alignment vertical="center"/>
    </xf>
    <xf numFmtId="0" fontId="0" fillId="2" borderId="37" xfId="0" applyFill="1" applyBorder="1" applyAlignment="1">
      <alignment vertical="center"/>
    </xf>
    <xf numFmtId="2" fontId="23" fillId="2" borderId="8" xfId="0" applyNumberFormat="1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vertical="center"/>
    </xf>
    <xf numFmtId="0" fontId="5" fillId="2" borderId="41" xfId="0" applyFont="1" applyFill="1" applyBorder="1" applyAlignment="1">
      <alignment horizontal="center" vertical="center"/>
    </xf>
    <xf numFmtId="0" fontId="0" fillId="2" borderId="48" xfId="0" applyFill="1" applyBorder="1" applyAlignment="1">
      <alignment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 applyProtection="1">
      <alignment horizontal="center" vertical="center"/>
      <protection locked="0"/>
    </xf>
    <xf numFmtId="0" fontId="23" fillId="2" borderId="37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49" xfId="0" applyFill="1" applyBorder="1" applyAlignment="1">
      <alignment vertical="center"/>
    </xf>
    <xf numFmtId="0" fontId="0" fillId="2" borderId="46" xfId="0" applyFill="1" applyBorder="1" applyAlignment="1">
      <alignment vertical="center"/>
    </xf>
    <xf numFmtId="0" fontId="6" fillId="0" borderId="25" xfId="0" applyFont="1" applyBorder="1" applyAlignment="1" applyProtection="1">
      <alignment horizontal="center" vertical="center"/>
      <protection locked="0"/>
    </xf>
    <xf numFmtId="0" fontId="14" fillId="0" borderId="37" xfId="0" applyFont="1" applyFill="1" applyBorder="1" applyAlignment="1" applyProtection="1">
      <alignment horizontal="center" vertical="center"/>
      <protection locked="0"/>
    </xf>
    <xf numFmtId="0" fontId="23" fillId="0" borderId="37" xfId="0" applyFont="1" applyFill="1" applyBorder="1" applyAlignment="1">
      <alignment vertical="center"/>
    </xf>
    <xf numFmtId="0" fontId="23" fillId="0" borderId="43" xfId="0" applyFont="1" applyFill="1" applyBorder="1" applyAlignme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38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vertical="center"/>
      <protection locked="0"/>
    </xf>
    <xf numFmtId="0" fontId="9" fillId="6" borderId="30" xfId="0" applyFont="1" applyFill="1" applyBorder="1" applyAlignment="1" applyProtection="1">
      <alignment horizontal="center" vertical="center"/>
      <protection locked="0"/>
    </xf>
    <xf numFmtId="1" fontId="6" fillId="6" borderId="30" xfId="0" applyNumberFormat="1" applyFont="1" applyFill="1" applyBorder="1" applyAlignment="1" applyProtection="1">
      <alignment horizontal="center" vertical="center"/>
      <protection locked="0"/>
    </xf>
    <xf numFmtId="1" fontId="6" fillId="6" borderId="31" xfId="0" applyNumberFormat="1" applyFont="1" applyFill="1" applyBorder="1" applyAlignment="1" applyProtection="1">
      <alignment horizontal="center" vertical="center"/>
      <protection locked="0"/>
    </xf>
    <xf numFmtId="2" fontId="6" fillId="6" borderId="31" xfId="0" applyNumberFormat="1" applyFont="1" applyFill="1" applyBorder="1" applyAlignment="1" applyProtection="1">
      <alignment horizontal="center" vertical="center"/>
      <protection locked="0"/>
    </xf>
    <xf numFmtId="1" fontId="15" fillId="4" borderId="23" xfId="0" applyNumberFormat="1" applyFont="1" applyFill="1" applyBorder="1" applyAlignment="1" applyProtection="1">
      <alignment horizontal="center" vertical="center"/>
      <protection locked="0"/>
    </xf>
    <xf numFmtId="0" fontId="35" fillId="7" borderId="0" xfId="0" applyFont="1" applyFill="1" applyBorder="1" applyAlignment="1" applyProtection="1">
      <alignment horizontal="center" vertical="center"/>
      <protection locked="0"/>
    </xf>
    <xf numFmtId="0" fontId="32" fillId="6" borderId="11" xfId="0" applyFont="1" applyFill="1" applyBorder="1" applyAlignment="1" applyProtection="1">
      <alignment horizontal="center" vertical="center"/>
      <protection locked="0"/>
    </xf>
    <xf numFmtId="0" fontId="10" fillId="4" borderId="20" xfId="0" applyFont="1" applyFill="1" applyBorder="1" applyAlignment="1" applyProtection="1">
      <alignment horizontal="center" vertical="center"/>
      <protection locked="0"/>
    </xf>
    <xf numFmtId="0" fontId="31" fillId="0" borderId="12" xfId="0" applyFont="1" applyFill="1" applyBorder="1" applyAlignment="1" applyProtection="1">
      <alignment horizontal="center" vertical="center"/>
      <protection locked="0"/>
    </xf>
    <xf numFmtId="0" fontId="32" fillId="0" borderId="0" xfId="0" applyFont="1" applyFill="1" applyBorder="1" applyAlignment="1" applyProtection="1">
      <alignment horizontal="center" vertical="center"/>
      <protection locked="0"/>
    </xf>
    <xf numFmtId="0" fontId="32" fillId="0" borderId="9" xfId="0" applyFont="1" applyFill="1" applyBorder="1" applyAlignment="1" applyProtection="1">
      <alignment horizontal="center" vertical="center"/>
      <protection locked="0"/>
    </xf>
    <xf numFmtId="171" fontId="31" fillId="0" borderId="42" xfId="1" applyNumberFormat="1" applyFont="1" applyFill="1" applyBorder="1" applyAlignment="1" applyProtection="1">
      <alignment horizontal="center"/>
      <protection locked="0"/>
    </xf>
    <xf numFmtId="0" fontId="31" fillId="7" borderId="0" xfId="0" applyNumberFormat="1" applyFont="1" applyFill="1" applyBorder="1" applyAlignment="1" applyProtection="1">
      <alignment horizontal="center" vertical="center"/>
      <protection locked="0"/>
    </xf>
    <xf numFmtId="0" fontId="10" fillId="4" borderId="39" xfId="0" applyFont="1" applyFill="1" applyBorder="1" applyAlignment="1" applyProtection="1">
      <alignment horizontal="center" vertical="center"/>
      <protection locked="0"/>
    </xf>
    <xf numFmtId="0" fontId="6" fillId="5" borderId="15" xfId="0" applyFont="1" applyFill="1" applyBorder="1" applyAlignment="1" applyProtection="1">
      <alignment horizontal="center" vertical="center"/>
      <protection locked="0"/>
    </xf>
    <xf numFmtId="0" fontId="8" fillId="5" borderId="15" xfId="0" applyFont="1" applyFill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7" fillId="6" borderId="15" xfId="0" applyFont="1" applyFill="1" applyBorder="1" applyAlignment="1" applyProtection="1">
      <alignment horizontal="center" vertical="center"/>
      <protection locked="0"/>
    </xf>
    <xf numFmtId="0" fontId="6" fillId="6" borderId="15" xfId="0" applyFont="1" applyFill="1" applyBorder="1" applyAlignment="1" applyProtection="1">
      <alignment horizontal="center" vertical="center"/>
      <protection locked="0"/>
    </xf>
    <xf numFmtId="0" fontId="6" fillId="0" borderId="15" xfId="0" applyFont="1" applyFill="1" applyBorder="1" applyAlignment="1" applyProtection="1">
      <alignment horizontal="center" vertical="center"/>
      <protection locked="0"/>
    </xf>
    <xf numFmtId="1" fontId="6" fillId="5" borderId="15" xfId="0" applyNumberFormat="1" applyFont="1" applyFill="1" applyBorder="1" applyAlignment="1" applyProtection="1">
      <alignment horizontal="center" vertical="center"/>
      <protection locked="0"/>
    </xf>
    <xf numFmtId="0" fontId="6" fillId="5" borderId="15" xfId="0" applyNumberFormat="1" applyFont="1" applyFill="1" applyBorder="1" applyAlignment="1" applyProtection="1">
      <alignment horizontal="center" vertical="center"/>
      <protection locked="0"/>
    </xf>
    <xf numFmtId="4" fontId="6" fillId="5" borderId="15" xfId="0" applyNumberFormat="1" applyFont="1" applyFill="1" applyBorder="1" applyAlignment="1" applyProtection="1">
      <alignment horizontal="center" vertical="center"/>
      <protection locked="0"/>
    </xf>
    <xf numFmtId="0" fontId="7" fillId="4" borderId="2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vertical="center"/>
      <protection locked="0"/>
    </xf>
    <xf numFmtId="0" fontId="10" fillId="2" borderId="12" xfId="0" applyFont="1" applyFill="1" applyBorder="1" applyAlignment="1" applyProtection="1">
      <alignment vertical="center"/>
      <protection locked="0"/>
    </xf>
    <xf numFmtId="0" fontId="10" fillId="2" borderId="5" xfId="0" applyFont="1" applyFill="1" applyBorder="1" applyAlignment="1" applyProtection="1">
      <alignment vertical="center"/>
      <protection locked="0"/>
    </xf>
    <xf numFmtId="0" fontId="10" fillId="2" borderId="2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3" xfId="0" applyFont="1" applyFill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vertical="center"/>
    </xf>
    <xf numFmtId="0" fontId="36" fillId="2" borderId="15" xfId="0" applyNumberFormat="1" applyFont="1" applyFill="1" applyBorder="1" applyAlignment="1">
      <alignment horizontal="center" vertical="center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9" fontId="6" fillId="0" borderId="2" xfId="2" applyFont="1" applyBorder="1" applyAlignment="1" applyProtection="1">
      <alignment horizontal="center" vertical="center"/>
      <protection locked="0"/>
    </xf>
    <xf numFmtId="0" fontId="6" fillId="3" borderId="37" xfId="0" applyFont="1" applyFill="1" applyBorder="1" applyAlignment="1" applyProtection="1">
      <alignment horizontal="center" vertical="center"/>
      <protection locked="0"/>
    </xf>
    <xf numFmtId="0" fontId="6" fillId="3" borderId="43" xfId="0" applyFont="1" applyFill="1" applyBorder="1" applyAlignment="1" applyProtection="1">
      <alignment horizontal="center" vertical="center"/>
      <protection locked="0"/>
    </xf>
    <xf numFmtId="1" fontId="10" fillId="4" borderId="8" xfId="0" applyNumberFormat="1" applyFont="1" applyFill="1" applyBorder="1" applyAlignment="1" applyProtection="1">
      <alignment horizontal="center" vertical="center"/>
      <protection locked="0"/>
    </xf>
    <xf numFmtId="1" fontId="10" fillId="4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17" xfId="0" applyFont="1" applyFill="1" applyBorder="1" applyAlignment="1" applyProtection="1">
      <alignment horizontal="center" vertical="center"/>
      <protection locked="0"/>
    </xf>
    <xf numFmtId="0" fontId="6" fillId="0" borderId="41" xfId="0" applyFont="1" applyFill="1" applyBorder="1" applyAlignment="1" applyProtection="1">
      <alignment horizontal="center" vertical="center"/>
      <protection locked="0"/>
    </xf>
    <xf numFmtId="0" fontId="6" fillId="6" borderId="41" xfId="0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2" borderId="37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 applyProtection="1">
      <alignment horizontal="center" vertical="center"/>
      <protection locked="0"/>
    </xf>
    <xf numFmtId="0" fontId="31" fillId="2" borderId="53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 applyProtection="1">
      <alignment horizontal="center" vertical="center"/>
      <protection locked="0"/>
    </xf>
    <xf numFmtId="0" fontId="31" fillId="2" borderId="42" xfId="0" applyFont="1" applyFill="1" applyBorder="1" applyAlignment="1" applyProtection="1">
      <alignment horizontal="center" vertical="center"/>
      <protection locked="0"/>
    </xf>
    <xf numFmtId="0" fontId="6" fillId="2" borderId="43" xfId="0" applyFont="1" applyFill="1" applyBorder="1" applyAlignment="1" applyProtection="1">
      <alignment horizontal="center" vertical="center"/>
      <protection locked="0"/>
    </xf>
    <xf numFmtId="0" fontId="31" fillId="2" borderId="54" xfId="0" applyFont="1" applyFill="1" applyBorder="1" applyAlignment="1" applyProtection="1">
      <alignment horizontal="center" vertical="center"/>
      <protection locked="0"/>
    </xf>
    <xf numFmtId="0" fontId="8" fillId="2" borderId="32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6" fillId="2" borderId="7" xfId="1" applyNumberFormat="1" applyFont="1" applyFill="1" applyBorder="1" applyAlignment="1" applyProtection="1">
      <alignment horizontal="center" vertical="center"/>
      <protection locked="0"/>
    </xf>
    <xf numFmtId="0" fontId="31" fillId="2" borderId="0" xfId="1" applyNumberFormat="1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31" fillId="2" borderId="11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31" fillId="2" borderId="0" xfId="0" applyFont="1" applyFill="1" applyBorder="1" applyAlignment="1" applyProtection="1">
      <alignment horizontal="center" vertical="center"/>
      <protection locked="0"/>
    </xf>
    <xf numFmtId="0" fontId="39" fillId="2" borderId="11" xfId="0" applyFont="1" applyFill="1" applyBorder="1" applyAlignment="1" applyProtection="1">
      <alignment horizontal="center" vertical="center"/>
      <protection locked="0"/>
    </xf>
    <xf numFmtId="0" fontId="39" fillId="2" borderId="20" xfId="0" applyFont="1" applyFill="1" applyBorder="1" applyAlignment="1" applyProtection="1">
      <alignment horizontal="center" vertical="center"/>
      <protection locked="0"/>
    </xf>
    <xf numFmtId="0" fontId="41" fillId="2" borderId="11" xfId="0" applyFont="1" applyFill="1" applyBorder="1" applyAlignment="1" applyProtection="1">
      <alignment horizontal="center" vertical="center"/>
      <protection locked="0"/>
    </xf>
    <xf numFmtId="0" fontId="45" fillId="2" borderId="11" xfId="0" applyFont="1" applyFill="1" applyBorder="1" applyAlignment="1" applyProtection="1">
      <alignment horizontal="center" vertical="center"/>
      <protection locked="0"/>
    </xf>
    <xf numFmtId="1" fontId="6" fillId="2" borderId="11" xfId="0" applyNumberFormat="1" applyFont="1" applyFill="1" applyBorder="1" applyAlignment="1" applyProtection="1">
      <alignment horizontal="center" vertical="center"/>
      <protection locked="0"/>
    </xf>
    <xf numFmtId="1" fontId="9" fillId="2" borderId="11" xfId="0" applyNumberFormat="1" applyFont="1" applyFill="1" applyBorder="1" applyAlignment="1" applyProtection="1">
      <alignment horizontal="center" vertical="center"/>
      <protection locked="0"/>
    </xf>
    <xf numFmtId="2" fontId="9" fillId="2" borderId="11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Font="1" applyFill="1" applyBorder="1" applyAlignment="1" applyProtection="1">
      <alignment horizontal="center" vertical="center"/>
      <protection locked="0"/>
    </xf>
    <xf numFmtId="2" fontId="6" fillId="0" borderId="7" xfId="0" applyNumberFormat="1" applyFont="1" applyBorder="1" applyAlignment="1" applyProtection="1">
      <alignment horizontal="center" vertical="center"/>
      <protection locked="0"/>
    </xf>
    <xf numFmtId="0" fontId="6" fillId="0" borderId="38" xfId="0" applyFont="1" applyFill="1" applyBorder="1" applyAlignment="1" applyProtection="1">
      <alignment horizontal="center" vertical="center"/>
      <protection locked="0"/>
    </xf>
    <xf numFmtId="0" fontId="39" fillId="2" borderId="19" xfId="0" applyFont="1" applyFill="1" applyBorder="1" applyAlignment="1" applyProtection="1">
      <alignment horizontal="center" vertical="center"/>
      <protection locked="0"/>
    </xf>
    <xf numFmtId="0" fontId="12" fillId="0" borderId="37" xfId="0" applyFont="1" applyFill="1" applyBorder="1" applyAlignment="1" applyProtection="1">
      <alignment horizontal="center" vertical="center"/>
      <protection locked="0"/>
    </xf>
    <xf numFmtId="2" fontId="12" fillId="0" borderId="43" xfId="0" applyNumberFormat="1" applyFont="1" applyBorder="1" applyAlignment="1" applyProtection="1">
      <alignment horizontal="center" vertical="center"/>
      <protection locked="0"/>
    </xf>
    <xf numFmtId="0" fontId="18" fillId="6" borderId="11" xfId="0" applyFont="1" applyFill="1" applyBorder="1" applyAlignment="1" applyProtection="1">
      <alignment horizontal="center" vertical="center"/>
      <protection locked="0"/>
    </xf>
    <xf numFmtId="0" fontId="18" fillId="4" borderId="11" xfId="0" applyFont="1" applyFill="1" applyBorder="1" applyAlignment="1" applyProtection="1">
      <alignment horizontal="center" vertical="center"/>
      <protection locked="0"/>
    </xf>
    <xf numFmtId="0" fontId="6" fillId="6" borderId="39" xfId="0" applyFont="1" applyFill="1" applyBorder="1" applyAlignment="1" applyProtection="1">
      <alignment horizontal="center" vertical="center"/>
      <protection locked="0"/>
    </xf>
    <xf numFmtId="1" fontId="9" fillId="0" borderId="12" xfId="0" applyNumberFormat="1" applyFont="1" applyFill="1" applyBorder="1" applyAlignment="1" applyProtection="1">
      <alignment horizontal="center" vertical="center"/>
      <protection locked="0"/>
    </xf>
    <xf numFmtId="0" fontId="8" fillId="0" borderId="55" xfId="0" applyFont="1" applyFill="1" applyBorder="1" applyAlignment="1" applyProtection="1">
      <alignment horizontal="center" vertical="center"/>
      <protection locked="0"/>
    </xf>
    <xf numFmtId="0" fontId="30" fillId="0" borderId="34" xfId="0" applyFont="1" applyFill="1" applyBorder="1" applyAlignment="1" applyProtection="1">
      <alignment horizontal="center" vertical="center"/>
      <protection locked="0"/>
    </xf>
    <xf numFmtId="2" fontId="30" fillId="0" borderId="34" xfId="0" applyNumberFormat="1" applyFont="1" applyFill="1" applyBorder="1" applyAlignment="1" applyProtection="1">
      <alignment horizontal="center" vertical="center"/>
      <protection locked="0"/>
    </xf>
    <xf numFmtId="1" fontId="10" fillId="0" borderId="33" xfId="0" applyNumberFormat="1" applyFont="1" applyFill="1" applyBorder="1" applyAlignment="1" applyProtection="1">
      <alignment horizontal="center" vertical="center"/>
      <protection locked="0"/>
    </xf>
    <xf numFmtId="9" fontId="10" fillId="0" borderId="43" xfId="2" applyFont="1" applyFill="1" applyBorder="1" applyAlignment="1" applyProtection="1">
      <alignment horizontal="center" vertical="center"/>
      <protection locked="0"/>
    </xf>
    <xf numFmtId="2" fontId="12" fillId="0" borderId="23" xfId="0" applyNumberFormat="1" applyFont="1" applyFill="1" applyBorder="1" applyAlignment="1" applyProtection="1">
      <alignment horizontal="center" vertical="center"/>
      <protection locked="0"/>
    </xf>
    <xf numFmtId="9" fontId="6" fillId="0" borderId="19" xfId="2" applyFont="1" applyFill="1" applyBorder="1" applyAlignment="1" applyProtection="1">
      <alignment horizontal="center" vertical="center"/>
      <protection locked="0"/>
    </xf>
    <xf numFmtId="0" fontId="6" fillId="6" borderId="5" xfId="0" applyFont="1" applyFill="1" applyBorder="1" applyAlignment="1" applyProtection="1">
      <alignment horizontal="center" vertical="center"/>
      <protection locked="0"/>
    </xf>
    <xf numFmtId="0" fontId="6" fillId="6" borderId="12" xfId="0" applyFont="1" applyFill="1" applyBorder="1" applyAlignment="1" applyProtection="1">
      <alignment horizontal="center" vertical="center"/>
      <protection locked="0"/>
    </xf>
    <xf numFmtId="0" fontId="31" fillId="6" borderId="12" xfId="0" applyFont="1" applyFill="1" applyBorder="1" applyAlignment="1" applyProtection="1">
      <alignment horizontal="center" vertical="center"/>
      <protection locked="0"/>
    </xf>
    <xf numFmtId="2" fontId="12" fillId="6" borderId="29" xfId="0" applyNumberFormat="1" applyFont="1" applyFill="1" applyBorder="1" applyAlignment="1" applyProtection="1">
      <alignment horizontal="center" vertical="center"/>
      <protection locked="0"/>
    </xf>
    <xf numFmtId="9" fontId="6" fillId="6" borderId="29" xfId="2" applyFont="1" applyFill="1" applyBorder="1" applyAlignment="1" applyProtection="1">
      <alignment horizontal="center" vertical="center"/>
      <protection locked="0"/>
    </xf>
    <xf numFmtId="9" fontId="6" fillId="6" borderId="5" xfId="2" applyFont="1" applyFill="1" applyBorder="1" applyAlignment="1" applyProtection="1">
      <alignment horizontal="center" vertical="center"/>
      <protection locked="0"/>
    </xf>
    <xf numFmtId="0" fontId="6" fillId="4" borderId="28" xfId="0" applyFont="1" applyFill="1" applyBorder="1" applyAlignment="1" applyProtection="1">
      <alignment horizontal="center" vertical="center"/>
      <protection locked="0"/>
    </xf>
    <xf numFmtId="0" fontId="8" fillId="4" borderId="39" xfId="0" applyFont="1" applyFill="1" applyBorder="1" applyAlignment="1" applyProtection="1">
      <alignment horizontal="center" vertical="center"/>
      <protection locked="0"/>
    </xf>
    <xf numFmtId="0" fontId="6" fillId="5" borderId="50" xfId="0" applyFont="1" applyFill="1" applyBorder="1" applyAlignment="1" applyProtection="1">
      <alignment horizontal="center" vertical="center"/>
      <protection locked="0"/>
    </xf>
    <xf numFmtId="0" fontId="9" fillId="6" borderId="31" xfId="0" applyFont="1" applyFill="1" applyBorder="1" applyAlignment="1" applyProtection="1">
      <alignment horizontal="center"/>
      <protection locked="0"/>
    </xf>
    <xf numFmtId="0" fontId="31" fillId="6" borderId="53" xfId="0" applyFont="1" applyFill="1" applyBorder="1" applyAlignment="1" applyProtection="1">
      <alignment horizontal="center"/>
      <protection locked="0"/>
    </xf>
    <xf numFmtId="2" fontId="12" fillId="6" borderId="29" xfId="0" quotePrefix="1" applyNumberFormat="1" applyFont="1" applyFill="1" applyBorder="1" applyAlignment="1" applyProtection="1">
      <alignment horizontal="center" vertical="center"/>
      <protection locked="0"/>
    </xf>
    <xf numFmtId="0" fontId="10" fillId="4" borderId="41" xfId="0" applyFont="1" applyFill="1" applyBorder="1" applyAlignment="1" applyProtection="1">
      <alignment horizontal="center" vertical="center"/>
      <protection locked="0"/>
    </xf>
    <xf numFmtId="0" fontId="6" fillId="5" borderId="13" xfId="0" applyFont="1" applyFill="1" applyBorder="1" applyAlignment="1" applyProtection="1">
      <alignment horizontal="center" vertical="center"/>
      <protection locked="0"/>
    </xf>
    <xf numFmtId="0" fontId="10" fillId="4" borderId="31" xfId="0" applyFont="1" applyFill="1" applyBorder="1" applyAlignment="1" applyProtection="1">
      <alignment horizontal="center" vertical="center"/>
      <protection locked="0"/>
    </xf>
    <xf numFmtId="0" fontId="7" fillId="4" borderId="41" xfId="0" applyFont="1" applyFill="1" applyBorder="1" applyAlignment="1" applyProtection="1">
      <alignment horizontal="center" vertical="center"/>
      <protection locked="0"/>
    </xf>
    <xf numFmtId="0" fontId="6" fillId="6" borderId="17" xfId="0" applyFont="1" applyFill="1" applyBorder="1" applyAlignment="1" applyProtection="1">
      <alignment horizontal="center" vertical="center"/>
      <protection locked="0"/>
    </xf>
    <xf numFmtId="0" fontId="18" fillId="4" borderId="19" xfId="0" applyFont="1" applyFill="1" applyBorder="1" applyAlignment="1" applyProtection="1">
      <alignment horizontal="center" vertical="center"/>
      <protection locked="0"/>
    </xf>
    <xf numFmtId="0" fontId="18" fillId="0" borderId="9" xfId="0" applyFont="1" applyFill="1" applyBorder="1" applyAlignment="1" applyProtection="1">
      <alignment horizontal="center" vertical="center"/>
      <protection locked="0"/>
    </xf>
    <xf numFmtId="1" fontId="6" fillId="0" borderId="42" xfId="0" applyNumberFormat="1" applyFont="1" applyBorder="1" applyAlignment="1" applyProtection="1">
      <alignment horizontal="center" vertical="center"/>
      <protection locked="0"/>
    </xf>
    <xf numFmtId="1" fontId="10" fillId="0" borderId="54" xfId="0" applyNumberFormat="1" applyFont="1" applyFill="1" applyBorder="1" applyAlignment="1" applyProtection="1">
      <alignment horizontal="center" vertical="center"/>
      <protection locked="0"/>
    </xf>
    <xf numFmtId="9" fontId="10" fillId="0" borderId="6" xfId="2" applyFont="1" applyFill="1" applyBorder="1" applyAlignment="1" applyProtection="1">
      <alignment horizontal="center" vertical="center"/>
      <protection locked="0"/>
    </xf>
    <xf numFmtId="9" fontId="6" fillId="0" borderId="37" xfId="2" applyFont="1" applyFill="1" applyBorder="1" applyAlignment="1" applyProtection="1">
      <alignment horizontal="center" vertical="center"/>
      <protection locked="0"/>
    </xf>
    <xf numFmtId="9" fontId="6" fillId="0" borderId="37" xfId="2" applyFont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9" fontId="6" fillId="0" borderId="42" xfId="2" applyFont="1" applyBorder="1" applyAlignment="1" applyProtection="1">
      <alignment horizontal="center" vertical="center"/>
      <protection locked="0"/>
    </xf>
    <xf numFmtId="9" fontId="6" fillId="0" borderId="2" xfId="2" applyFont="1" applyFill="1" applyBorder="1" applyAlignment="1" applyProtection="1">
      <alignment horizontal="center" vertical="center"/>
      <protection locked="0"/>
    </xf>
    <xf numFmtId="0" fontId="10" fillId="4" borderId="11" xfId="0" applyFont="1" applyFill="1" applyBorder="1" applyAlignment="1" applyProtection="1">
      <alignment horizontal="center" vertical="center"/>
      <protection locked="0"/>
    </xf>
    <xf numFmtId="9" fontId="10" fillId="4" borderId="11" xfId="2" applyFont="1" applyFill="1" applyBorder="1" applyAlignment="1" applyProtection="1">
      <alignment horizontal="center" vertical="center"/>
      <protection locked="0"/>
    </xf>
    <xf numFmtId="1" fontId="10" fillId="4" borderId="20" xfId="0" applyNumberFormat="1" applyFont="1" applyFill="1" applyBorder="1" applyAlignment="1" applyProtection="1">
      <alignment horizontal="center" vertical="center"/>
      <protection locked="0"/>
    </xf>
    <xf numFmtId="2" fontId="30" fillId="4" borderId="19" xfId="0" applyNumberFormat="1" applyFont="1" applyFill="1" applyBorder="1" applyAlignment="1" applyProtection="1">
      <alignment horizontal="center" vertical="center"/>
      <protection locked="0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" fontId="10" fillId="4" borderId="39" xfId="0" applyNumberFormat="1" applyFont="1" applyFill="1" applyBorder="1" applyAlignment="1" applyProtection="1">
      <alignment horizontal="center" vertical="center"/>
      <protection locked="0"/>
    </xf>
    <xf numFmtId="173" fontId="6" fillId="0" borderId="0" xfId="0" applyNumberFormat="1" applyFont="1" applyBorder="1" applyAlignment="1" applyProtection="1">
      <alignment horizontal="center" vertical="center"/>
      <protection locked="0"/>
    </xf>
    <xf numFmtId="0" fontId="16" fillId="3" borderId="6" xfId="0" applyFont="1" applyFill="1" applyBorder="1" applyAlignment="1" applyProtection="1">
      <alignment horizontal="left" vertical="center"/>
      <protection locked="0"/>
    </xf>
    <xf numFmtId="1" fontId="7" fillId="0" borderId="2" xfId="0" applyNumberFormat="1" applyFont="1" applyFill="1" applyBorder="1" applyAlignment="1" applyProtection="1">
      <alignment horizontal="center" vertical="center"/>
      <protection locked="0"/>
    </xf>
    <xf numFmtId="1" fontId="7" fillId="0" borderId="4" xfId="0" applyNumberFormat="1" applyFont="1" applyFill="1" applyBorder="1" applyAlignment="1" applyProtection="1">
      <alignment horizontal="center" vertical="center"/>
      <protection locked="0"/>
    </xf>
    <xf numFmtId="1" fontId="10" fillId="0" borderId="1" xfId="0" applyNumberFormat="1" applyFont="1" applyFill="1" applyBorder="1" applyAlignment="1" applyProtection="1">
      <alignment horizontal="center" vertical="center"/>
      <protection locked="0"/>
    </xf>
    <xf numFmtId="9" fontId="10" fillId="0" borderId="5" xfId="2" applyFont="1" applyFill="1" applyBorder="1" applyAlignment="1" applyProtection="1">
      <alignment horizontal="center" vertical="center"/>
      <protection locked="0"/>
    </xf>
    <xf numFmtId="1" fontId="15" fillId="0" borderId="3" xfId="0" applyNumberFormat="1" applyFont="1" applyFill="1" applyBorder="1" applyAlignment="1" applyProtection="1">
      <alignment horizontal="center" vertical="center"/>
      <protection locked="0"/>
    </xf>
    <xf numFmtId="1" fontId="15" fillId="0" borderId="6" xfId="0" applyNumberFormat="1" applyFont="1" applyFill="1" applyBorder="1" applyAlignment="1" applyProtection="1">
      <alignment horizontal="center" vertical="center"/>
      <protection locked="0"/>
    </xf>
    <xf numFmtId="5" fontId="40" fillId="0" borderId="51" xfId="1" applyNumberFormat="1" applyFont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 applyProtection="1">
      <alignment horizontal="center" vertical="center"/>
      <protection locked="0"/>
    </xf>
    <xf numFmtId="0" fontId="6" fillId="2" borderId="16" xfId="0" applyFont="1" applyFill="1" applyBorder="1" applyAlignment="1" applyProtection="1">
      <alignment horizontal="center" vertical="center"/>
      <protection locked="0"/>
    </xf>
    <xf numFmtId="0" fontId="6" fillId="4" borderId="43" xfId="0" applyFont="1" applyFill="1" applyBorder="1" applyAlignment="1" applyProtection="1">
      <alignment horizontal="center" vertical="center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0" borderId="43" xfId="0" applyFont="1" applyBorder="1" applyAlignment="1" applyProtection="1">
      <alignment horizontal="center" vertical="center"/>
      <protection locked="0"/>
    </xf>
    <xf numFmtId="0" fontId="21" fillId="3" borderId="1" xfId="0" applyFont="1" applyFill="1" applyBorder="1" applyAlignment="1" applyProtection="1">
      <alignment horizontal="center" vertical="center"/>
      <protection locked="0"/>
    </xf>
    <xf numFmtId="0" fontId="16" fillId="3" borderId="19" xfId="0" applyFont="1" applyFill="1" applyBorder="1" applyAlignment="1" applyProtection="1">
      <alignment horizontal="center" vertical="center"/>
      <protection locked="0"/>
    </xf>
    <xf numFmtId="0" fontId="27" fillId="2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1" fontId="7" fillId="2" borderId="6" xfId="0" applyNumberFormat="1" applyFont="1" applyFill="1" applyBorder="1" applyAlignment="1" applyProtection="1">
      <alignment horizontal="center" vertical="center"/>
      <protection locked="0"/>
    </xf>
    <xf numFmtId="1" fontId="7" fillId="2" borderId="19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NumberFormat="1" applyFont="1" applyFill="1" applyAlignment="1" applyProtection="1">
      <alignment horizontal="center" vertical="center"/>
      <protection locked="0"/>
    </xf>
    <xf numFmtId="0" fontId="42" fillId="2" borderId="10" xfId="0" applyFont="1" applyFill="1" applyBorder="1" applyAlignment="1" applyProtection="1">
      <alignment horizontal="center" vertical="center"/>
      <protection locked="0"/>
    </xf>
    <xf numFmtId="10" fontId="43" fillId="2" borderId="0" xfId="2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16" fillId="3" borderId="9" xfId="0" applyFont="1" applyFill="1" applyBorder="1" applyAlignment="1" applyProtection="1">
      <alignment horizontal="center" vertical="center"/>
      <protection locked="0"/>
    </xf>
    <xf numFmtId="0" fontId="16" fillId="3" borderId="4" xfId="0" applyFont="1" applyFill="1" applyBorder="1" applyAlignment="1" applyProtection="1">
      <alignment horizontal="right" vertical="center"/>
      <protection locked="0"/>
    </xf>
    <xf numFmtId="169" fontId="32" fillId="7" borderId="0" xfId="0" applyNumberFormat="1" applyFont="1" applyFill="1" applyBorder="1" applyAlignment="1" applyProtection="1">
      <alignment horizontal="center" vertical="center"/>
      <protection locked="0"/>
    </xf>
    <xf numFmtId="0" fontId="36" fillId="0" borderId="0" xfId="0" applyFont="1" applyFill="1" applyBorder="1" applyAlignment="1" applyProtection="1">
      <alignment horizontal="center" vertical="center"/>
      <protection locked="0"/>
    </xf>
    <xf numFmtId="0" fontId="16" fillId="3" borderId="20" xfId="0" applyFont="1" applyFill="1" applyBorder="1" applyAlignment="1" applyProtection="1">
      <alignment horizontal="center" vertical="center"/>
      <protection locked="0"/>
    </xf>
    <xf numFmtId="0" fontId="16" fillId="3" borderId="1" xfId="0" applyFont="1" applyFill="1" applyBorder="1" applyAlignment="1" applyProtection="1">
      <alignment horizontal="left" vertical="center"/>
      <protection locked="0"/>
    </xf>
    <xf numFmtId="0" fontId="9" fillId="3" borderId="5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9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2" borderId="0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9" fillId="5" borderId="6" xfId="0" applyFont="1" applyFill="1" applyBorder="1" applyAlignment="1" applyProtection="1">
      <alignment horizontal="center" vertical="center"/>
      <protection locked="0"/>
    </xf>
    <xf numFmtId="9" fontId="7" fillId="2" borderId="0" xfId="2" applyFont="1" applyFill="1" applyBorder="1" applyAlignment="1" applyProtection="1">
      <alignment horizontal="center" vertical="center"/>
      <protection locked="0"/>
    </xf>
    <xf numFmtId="0" fontId="33" fillId="7" borderId="12" xfId="0" applyFont="1" applyFill="1" applyBorder="1" applyAlignment="1" applyProtection="1">
      <alignment horizontal="center" vertical="center"/>
      <protection locked="0"/>
    </xf>
    <xf numFmtId="169" fontId="22" fillId="3" borderId="1" xfId="0" applyNumberFormat="1" applyFont="1" applyFill="1" applyBorder="1" applyAlignment="1" applyProtection="1">
      <alignment horizontal="center" vertical="center"/>
      <protection locked="0"/>
    </xf>
    <xf numFmtId="169" fontId="22" fillId="3" borderId="5" xfId="0" applyNumberFormat="1" applyFont="1" applyFill="1" applyBorder="1" applyAlignment="1" applyProtection="1">
      <alignment horizontal="center" vertical="center"/>
      <protection locked="0"/>
    </xf>
    <xf numFmtId="9" fontId="22" fillId="3" borderId="5" xfId="2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7" fillId="3" borderId="12" xfId="0" applyFont="1" applyFill="1" applyBorder="1" applyAlignment="1" applyProtection="1">
      <alignment horizontal="center" vertical="center"/>
      <protection locked="0"/>
    </xf>
    <xf numFmtId="0" fontId="21" fillId="3" borderId="9" xfId="0" applyFont="1" applyFill="1" applyBorder="1" applyAlignment="1" applyProtection="1">
      <alignment horizontal="center" vertical="center"/>
      <protection locked="0"/>
    </xf>
    <xf numFmtId="0" fontId="19" fillId="4" borderId="11" xfId="0" applyFont="1" applyFill="1" applyBorder="1" applyAlignment="1" applyProtection="1">
      <alignment horizontal="center" vertical="center"/>
      <protection locked="0"/>
    </xf>
    <xf numFmtId="2" fontId="10" fillId="4" borderId="11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NumberFormat="1" applyFont="1" applyAlignment="1" applyProtection="1">
      <alignment horizontal="center" vertical="center"/>
      <protection locked="0"/>
    </xf>
    <xf numFmtId="0" fontId="8" fillId="0" borderId="0" xfId="0" applyNumberFormat="1" applyFont="1" applyAlignment="1" applyProtection="1">
      <alignment horizontal="center" vertical="center"/>
      <protection locked="0"/>
    </xf>
    <xf numFmtId="0" fontId="27" fillId="0" borderId="0" xfId="0" applyNumberFormat="1" applyFont="1" applyBorder="1" applyAlignment="1" applyProtection="1">
      <alignment horizontal="center" vertical="center"/>
      <protection locked="0"/>
    </xf>
    <xf numFmtId="0" fontId="27" fillId="6" borderId="11" xfId="0" applyNumberFormat="1" applyFont="1" applyFill="1" applyBorder="1" applyAlignment="1" applyProtection="1">
      <alignment horizontal="center" vertical="center"/>
      <protection locked="0"/>
    </xf>
    <xf numFmtId="0" fontId="37" fillId="3" borderId="28" xfId="0" applyFont="1" applyFill="1" applyBorder="1" applyAlignment="1" applyProtection="1">
      <alignment horizontal="center" vertical="center"/>
      <protection locked="0"/>
    </xf>
    <xf numFmtId="0" fontId="27" fillId="6" borderId="0" xfId="0" applyNumberFormat="1" applyFont="1" applyFill="1" applyAlignment="1" applyProtection="1">
      <alignment horizontal="center" vertical="center"/>
      <protection locked="0"/>
    </xf>
    <xf numFmtId="9" fontId="6" fillId="6" borderId="0" xfId="2" applyFont="1" applyFill="1" applyBorder="1" applyAlignment="1" applyProtection="1">
      <alignment horizontal="center" vertical="center"/>
      <protection locked="0"/>
    </xf>
    <xf numFmtId="0" fontId="27" fillId="0" borderId="12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NumberFormat="1" applyFont="1" applyFill="1" applyAlignment="1" applyProtection="1">
      <alignment horizontal="center" vertical="center"/>
      <protection locked="0"/>
    </xf>
    <xf numFmtId="0" fontId="5" fillId="5" borderId="15" xfId="0" applyFont="1" applyFill="1" applyBorder="1" applyAlignment="1" applyProtection="1">
      <alignment horizontal="center" vertical="center"/>
      <protection locked="0"/>
    </xf>
    <xf numFmtId="0" fontId="27" fillId="0" borderId="38" xfId="0" applyNumberFormat="1" applyFont="1" applyBorder="1" applyAlignment="1" applyProtection="1">
      <alignment horizontal="center" vertical="center"/>
      <protection locked="0"/>
    </xf>
    <xf numFmtId="0" fontId="6" fillId="0" borderId="15" xfId="0" applyNumberFormat="1" applyFont="1" applyFill="1" applyBorder="1" applyAlignment="1" applyProtection="1">
      <alignment horizontal="center" vertical="center"/>
      <protection locked="0"/>
    </xf>
    <xf numFmtId="0" fontId="27" fillId="6" borderId="12" xfId="0" applyNumberFormat="1" applyFont="1" applyFill="1" applyBorder="1" applyAlignment="1" applyProtection="1">
      <alignment horizontal="center" vertical="center"/>
      <protection locked="0"/>
    </xf>
    <xf numFmtId="0" fontId="37" fillId="3" borderId="11" xfId="0" applyFont="1" applyFill="1" applyBorder="1" applyAlignment="1" applyProtection="1">
      <alignment horizontal="center" vertical="center"/>
      <protection locked="0"/>
    </xf>
    <xf numFmtId="0" fontId="6" fillId="5" borderId="17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27" fillId="0" borderId="55" xfId="0" applyNumberFormat="1" applyFont="1" applyBorder="1" applyAlignment="1" applyProtection="1">
      <alignment horizontal="center" vertical="center"/>
      <protection locked="0"/>
    </xf>
    <xf numFmtId="9" fontId="6" fillId="6" borderId="8" xfId="2" applyFont="1" applyFill="1" applyBorder="1" applyAlignment="1" applyProtection="1">
      <alignment horizontal="center" vertical="center"/>
      <protection locked="0"/>
    </xf>
    <xf numFmtId="0" fontId="27" fillId="0" borderId="56" xfId="0" applyNumberFormat="1" applyFont="1" applyFill="1" applyBorder="1" applyAlignment="1" applyProtection="1">
      <alignment horizontal="center" vertical="center"/>
      <protection locked="0"/>
    </xf>
    <xf numFmtId="9" fontId="6" fillId="0" borderId="25" xfId="2" applyFont="1" applyFill="1" applyBorder="1" applyAlignment="1" applyProtection="1">
      <alignment horizontal="center" vertical="center"/>
      <protection locked="0"/>
    </xf>
    <xf numFmtId="0" fontId="27" fillId="0" borderId="38" xfId="0" applyNumberFormat="1" applyFont="1" applyFill="1" applyBorder="1" applyAlignment="1" applyProtection="1">
      <alignment horizontal="center" vertical="center"/>
      <protection locked="0"/>
    </xf>
    <xf numFmtId="0" fontId="27" fillId="0" borderId="22" xfId="0" applyNumberFormat="1" applyFont="1" applyFill="1" applyBorder="1" applyAlignment="1" applyProtection="1">
      <alignment horizontal="center" vertical="center"/>
      <protection locked="0"/>
    </xf>
    <xf numFmtId="0" fontId="8" fillId="0" borderId="38" xfId="0" applyNumberFormat="1" applyFont="1" applyFill="1" applyBorder="1" applyAlignment="1" applyProtection="1">
      <alignment horizontal="center" vertical="center"/>
      <protection locked="0"/>
    </xf>
    <xf numFmtId="0" fontId="27" fillId="0" borderId="11" xfId="0" applyNumberFormat="1" applyFont="1" applyFill="1" applyBorder="1" applyAlignment="1" applyProtection="1">
      <alignment horizontal="center" vertical="center"/>
      <protection locked="0"/>
    </xf>
    <xf numFmtId="0" fontId="27" fillId="0" borderId="33" xfId="0" applyNumberFormat="1" applyFont="1" applyFill="1" applyBorder="1" applyAlignment="1" applyProtection="1">
      <alignment horizontal="center" vertical="center"/>
      <protection locked="0"/>
    </xf>
    <xf numFmtId="9" fontId="6" fillId="2" borderId="11" xfId="2" applyFont="1" applyFill="1" applyBorder="1" applyAlignment="1" applyProtection="1">
      <alignment horizontal="center" vertical="center"/>
      <protection locked="0"/>
    </xf>
    <xf numFmtId="9" fontId="6" fillId="0" borderId="0" xfId="2" applyFont="1" applyFill="1" applyBorder="1" applyAlignment="1" applyProtection="1">
      <alignment horizontal="center" vertical="center"/>
      <protection locked="0"/>
    </xf>
    <xf numFmtId="1" fontId="7" fillId="2" borderId="9" xfId="0" applyNumberFormat="1" applyFont="1" applyFill="1" applyBorder="1" applyAlignment="1" applyProtection="1">
      <alignment horizontal="center" vertical="center"/>
    </xf>
    <xf numFmtId="173" fontId="9" fillId="0" borderId="8" xfId="1" applyNumberFormat="1" applyFont="1" applyFill="1" applyBorder="1" applyAlignment="1" applyProtection="1">
      <alignment horizontal="center" vertical="center"/>
    </xf>
    <xf numFmtId="0" fontId="30" fillId="10" borderId="0" xfId="0" applyNumberFormat="1" applyFont="1" applyFill="1" applyBorder="1" applyAlignment="1" applyProtection="1">
      <alignment horizontal="center" vertical="center"/>
    </xf>
    <xf numFmtId="5" fontId="43" fillId="2" borderId="23" xfId="1" applyNumberFormat="1" applyFont="1" applyFill="1" applyBorder="1" applyAlignment="1" applyProtection="1">
      <alignment horizontal="center" vertical="center"/>
    </xf>
    <xf numFmtId="1" fontId="7" fillId="2" borderId="3" xfId="0" applyNumberFormat="1" applyFont="1" applyFill="1" applyBorder="1" applyAlignment="1" applyProtection="1">
      <alignment horizontal="center" vertical="center"/>
    </xf>
    <xf numFmtId="1" fontId="7" fillId="2" borderId="19" xfId="0" applyNumberFormat="1" applyFont="1" applyFill="1" applyBorder="1" applyAlignment="1" applyProtection="1">
      <alignment horizontal="center" vertical="center"/>
    </xf>
    <xf numFmtId="169" fontId="7" fillId="2" borderId="6" xfId="0" applyNumberFormat="1" applyFont="1" applyFill="1" applyBorder="1" applyAlignment="1" applyProtection="1">
      <alignment horizontal="center" vertical="center"/>
    </xf>
    <xf numFmtId="167" fontId="44" fillId="8" borderId="10" xfId="0" applyNumberFormat="1" applyFont="1" applyFill="1" applyBorder="1" applyAlignment="1" applyProtection="1">
      <alignment horizontal="center" vertical="center"/>
    </xf>
    <xf numFmtId="1" fontId="10" fillId="4" borderId="21" xfId="0" applyNumberFormat="1" applyFont="1" applyFill="1" applyBorder="1" applyAlignment="1" applyProtection="1">
      <alignment horizontal="center" vertical="center"/>
    </xf>
    <xf numFmtId="2" fontId="47" fillId="4" borderId="23" xfId="0" applyNumberFormat="1" applyFont="1" applyFill="1" applyBorder="1" applyAlignment="1" applyProtection="1">
      <alignment horizontal="center" vertical="center"/>
    </xf>
    <xf numFmtId="2" fontId="6" fillId="0" borderId="22" xfId="0" applyNumberFormat="1" applyFont="1" applyBorder="1" applyAlignment="1" applyProtection="1">
      <alignment horizontal="center" vertical="center"/>
    </xf>
    <xf numFmtId="169" fontId="6" fillId="0" borderId="24" xfId="0" applyNumberFormat="1" applyFont="1" applyBorder="1" applyAlignment="1" applyProtection="1">
      <alignment horizontal="center" vertical="center"/>
    </xf>
    <xf numFmtId="1" fontId="10" fillId="4" borderId="10" xfId="0" applyNumberFormat="1" applyFont="1" applyFill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1" fontId="6" fillId="0" borderId="7" xfId="0" applyNumberFormat="1" applyFont="1" applyBorder="1" applyAlignment="1" applyProtection="1">
      <alignment horizontal="center" vertical="center"/>
    </xf>
    <xf numFmtId="9" fontId="6" fillId="0" borderId="24" xfId="2" applyFont="1" applyBorder="1" applyAlignment="1" applyProtection="1">
      <alignment horizontal="center" vertical="center"/>
    </xf>
    <xf numFmtId="4" fontId="9" fillId="0" borderId="24" xfId="0" applyNumberFormat="1" applyFont="1" applyBorder="1" applyAlignment="1" applyProtection="1">
      <alignment horizontal="center" vertical="center"/>
    </xf>
    <xf numFmtId="174" fontId="6" fillId="2" borderId="0" xfId="0" applyNumberFormat="1" applyFont="1" applyFill="1" applyBorder="1" applyAlignment="1" applyProtection="1">
      <alignment vertical="center"/>
      <protection locked="0"/>
    </xf>
    <xf numFmtId="174" fontId="6" fillId="2" borderId="2" xfId="0" applyNumberFormat="1" applyFont="1" applyFill="1" applyBorder="1" applyAlignment="1" applyProtection="1">
      <alignment vertical="center"/>
      <protection locked="0"/>
    </xf>
    <xf numFmtId="0" fontId="23" fillId="2" borderId="5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19" fillId="4" borderId="20" xfId="0" applyFont="1" applyFill="1" applyBorder="1" applyAlignment="1" applyProtection="1">
      <alignment horizontal="center" vertical="center"/>
      <protection locked="0"/>
    </xf>
    <xf numFmtId="0" fontId="6" fillId="2" borderId="47" xfId="0" applyFont="1" applyFill="1" applyBorder="1" applyAlignment="1">
      <alignment horizontal="left" vertical="center"/>
    </xf>
    <xf numFmtId="0" fontId="3" fillId="2" borderId="47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6" fillId="2" borderId="58" xfId="0" applyFont="1" applyFill="1" applyBorder="1" applyAlignment="1">
      <alignment horizontal="left" vertical="center"/>
    </xf>
    <xf numFmtId="0" fontId="0" fillId="2" borderId="59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3" fillId="2" borderId="15" xfId="0" applyFont="1" applyFill="1" applyBorder="1" applyAlignment="1">
      <alignment horizontal="center" vertical="center"/>
    </xf>
    <xf numFmtId="0" fontId="36" fillId="2" borderId="46" xfId="0" applyNumberFormat="1" applyFont="1" applyFill="1" applyBorder="1" applyAlignment="1">
      <alignment horizontal="center" vertical="center"/>
    </xf>
    <xf numFmtId="0" fontId="0" fillId="2" borderId="46" xfId="0" applyFill="1" applyBorder="1" applyAlignment="1">
      <alignment horizontal="left" vertical="center"/>
    </xf>
    <xf numFmtId="0" fontId="0" fillId="2" borderId="57" xfId="0" applyFill="1" applyBorder="1" applyAlignment="1">
      <alignment vertical="center"/>
    </xf>
    <xf numFmtId="0" fontId="36" fillId="2" borderId="40" xfId="0" applyNumberFormat="1" applyFont="1" applyFill="1" applyBorder="1" applyAlignment="1">
      <alignment horizontal="center" vertical="center"/>
    </xf>
    <xf numFmtId="0" fontId="0" fillId="2" borderId="51" xfId="0" applyFill="1" applyBorder="1" applyAlignment="1">
      <alignment vertical="center"/>
    </xf>
    <xf numFmtId="0" fontId="0" fillId="2" borderId="47" xfId="0" applyFill="1" applyBorder="1" applyAlignment="1">
      <alignment vertical="center"/>
    </xf>
    <xf numFmtId="0" fontId="0" fillId="0" borderId="49" xfId="0" applyFill="1" applyBorder="1" applyAlignment="1">
      <alignment vertical="center"/>
    </xf>
    <xf numFmtId="0" fontId="0" fillId="0" borderId="60" xfId="0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2" fontId="7" fillId="2" borderId="19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3" fillId="2" borderId="19" xfId="0" applyFont="1" applyFill="1" applyBorder="1" applyAlignment="1">
      <alignment horizontal="center" vertical="center"/>
    </xf>
    <xf numFmtId="0" fontId="38" fillId="2" borderId="3" xfId="0" applyNumberFormat="1" applyFont="1" applyFill="1" applyBorder="1" applyAlignment="1">
      <alignment horizontal="left" vertical="center"/>
    </xf>
    <xf numFmtId="0" fontId="38" fillId="2" borderId="3" xfId="0" applyFont="1" applyFill="1" applyBorder="1" applyAlignment="1">
      <alignment horizontal="left" vertical="center"/>
    </xf>
    <xf numFmtId="2" fontId="25" fillId="2" borderId="15" xfId="0" applyNumberFormat="1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2" fontId="7" fillId="2" borderId="43" xfId="0" applyNumberFormat="1" applyFont="1" applyFill="1" applyBorder="1" applyAlignment="1">
      <alignment horizontal="center" vertical="center"/>
    </xf>
    <xf numFmtId="2" fontId="7" fillId="2" borderId="37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2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2" fontId="7" fillId="2" borderId="37" xfId="0" applyNumberFormat="1" applyFont="1" applyFill="1" applyBorder="1" applyAlignment="1">
      <alignment vertical="center"/>
    </xf>
    <xf numFmtId="0" fontId="7" fillId="2" borderId="3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2" fontId="23" fillId="2" borderId="43" xfId="0" applyNumberFormat="1" applyFont="1" applyFill="1" applyBorder="1" applyAlignment="1">
      <alignment horizontal="center" vertical="center"/>
    </xf>
    <xf numFmtId="0" fontId="23" fillId="2" borderId="52" xfId="0" applyFont="1" applyFill="1" applyBorder="1" applyAlignment="1">
      <alignment vertical="center"/>
    </xf>
    <xf numFmtId="0" fontId="23" fillId="2" borderId="27" xfId="0" applyFont="1" applyFill="1" applyBorder="1" applyAlignment="1">
      <alignment vertical="center"/>
    </xf>
    <xf numFmtId="0" fontId="23" fillId="2" borderId="27" xfId="0" applyFont="1" applyFill="1" applyBorder="1" applyAlignment="1">
      <alignment horizontal="center" vertical="center"/>
    </xf>
    <xf numFmtId="0" fontId="23" fillId="2" borderId="52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vertical="center"/>
    </xf>
    <xf numFmtId="0" fontId="23" fillId="2" borderId="26" xfId="0" applyFont="1" applyFill="1" applyBorder="1" applyAlignment="1">
      <alignment horizontal="center" vertical="center"/>
    </xf>
    <xf numFmtId="0" fontId="23" fillId="0" borderId="26" xfId="0" applyFont="1" applyFill="1" applyBorder="1" applyAlignment="1">
      <alignment vertical="center"/>
    </xf>
    <xf numFmtId="2" fontId="23" fillId="2" borderId="26" xfId="0" applyNumberFormat="1" applyFont="1" applyFill="1" applyBorder="1" applyAlignment="1">
      <alignment horizontal="center" vertical="center"/>
    </xf>
    <xf numFmtId="0" fontId="0" fillId="2" borderId="26" xfId="0" applyFill="1" applyBorder="1" applyAlignment="1">
      <alignment vertical="center"/>
    </xf>
    <xf numFmtId="0" fontId="23" fillId="2" borderId="6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6" fillId="2" borderId="36" xfId="0" applyFont="1" applyFill="1" applyBorder="1" applyAlignment="1">
      <alignment horizontal="left" vertical="center"/>
    </xf>
    <xf numFmtId="0" fontId="6" fillId="2" borderId="44" xfId="0" applyFont="1" applyFill="1" applyBorder="1" applyAlignment="1">
      <alignment horizontal="left" vertical="center"/>
    </xf>
    <xf numFmtId="0" fontId="23" fillId="2" borderId="45" xfId="0" applyFont="1" applyFill="1" applyBorder="1" applyAlignment="1">
      <alignment horizontal="center" vertical="center"/>
    </xf>
    <xf numFmtId="0" fontId="0" fillId="2" borderId="52" xfId="0" applyFill="1" applyBorder="1" applyAlignment="1">
      <alignment vertical="center"/>
    </xf>
    <xf numFmtId="0" fontId="23" fillId="2" borderId="61" xfId="0" applyFont="1" applyFill="1" applyBorder="1" applyAlignment="1">
      <alignment vertical="center"/>
    </xf>
    <xf numFmtId="0" fontId="23" fillId="2" borderId="45" xfId="0" applyFont="1" applyFill="1" applyBorder="1" applyAlignment="1">
      <alignment vertical="center"/>
    </xf>
    <xf numFmtId="0" fontId="23" fillId="0" borderId="52" xfId="0" applyFont="1" applyFill="1" applyBorder="1" applyAlignment="1">
      <alignment vertical="center"/>
    </xf>
    <xf numFmtId="0" fontId="0" fillId="0" borderId="45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2" fontId="23" fillId="0" borderId="37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2" fontId="23" fillId="0" borderId="25" xfId="0" applyNumberFormat="1" applyFont="1" applyFill="1" applyBorder="1" applyAlignment="1">
      <alignment vertical="center"/>
    </xf>
    <xf numFmtId="2" fontId="23" fillId="0" borderId="52" xfId="0" applyNumberFormat="1" applyFont="1" applyFill="1" applyBorder="1" applyAlignment="1">
      <alignment vertical="center"/>
    </xf>
    <xf numFmtId="0" fontId="3" fillId="2" borderId="61" xfId="0" applyFont="1" applyFill="1" applyBorder="1" applyAlignment="1">
      <alignment vertical="center"/>
    </xf>
    <xf numFmtId="0" fontId="23" fillId="0" borderId="8" xfId="0" applyFont="1" applyFill="1" applyBorder="1" applyAlignment="1">
      <alignment horizontal="center" vertical="center"/>
    </xf>
    <xf numFmtId="0" fontId="38" fillId="2" borderId="0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9" fillId="0" borderId="62" xfId="0" applyFont="1" applyBorder="1" applyAlignment="1">
      <alignment horizontal="center" vertical="center" wrapText="1"/>
    </xf>
    <xf numFmtId="0" fontId="29" fillId="0" borderId="63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168" fontId="24" fillId="0" borderId="65" xfId="0" applyNumberFormat="1" applyFont="1" applyFill="1" applyBorder="1" applyAlignment="1">
      <alignment horizontal="center" vertical="center" wrapText="1"/>
    </xf>
    <xf numFmtId="0" fontId="3" fillId="0" borderId="66" xfId="0" applyFont="1" applyFill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2" fontId="24" fillId="0" borderId="68" xfId="0" applyNumberFormat="1" applyFont="1" applyBorder="1" applyAlignment="1">
      <alignment horizontal="center" vertical="center" wrapText="1"/>
    </xf>
    <xf numFmtId="168" fontId="3" fillId="9" borderId="63" xfId="0" applyNumberFormat="1" applyFont="1" applyFill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6" borderId="69" xfId="0" applyFont="1" applyFill="1" applyBorder="1" applyAlignment="1">
      <alignment horizontal="center" vertical="center" wrapText="1"/>
    </xf>
    <xf numFmtId="2" fontId="24" fillId="11" borderId="64" xfId="0" applyNumberFormat="1" applyFont="1" applyFill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6" borderId="70" xfId="0" applyFont="1" applyFill="1" applyBorder="1" applyAlignment="1">
      <alignment horizontal="center" vertical="center" wrapText="1"/>
    </xf>
    <xf numFmtId="2" fontId="23" fillId="2" borderId="52" xfId="0" applyNumberFormat="1" applyFont="1" applyFill="1" applyBorder="1" applyAlignment="1">
      <alignment vertical="center"/>
    </xf>
    <xf numFmtId="0" fontId="6" fillId="14" borderId="41" xfId="0" applyFont="1" applyFill="1" applyBorder="1" applyAlignment="1" applyProtection="1">
      <alignment horizontal="center" vertical="center"/>
      <protection locked="0"/>
    </xf>
    <xf numFmtId="2" fontId="6" fillId="0" borderId="0" xfId="0" applyNumberFormat="1" applyFont="1" applyAlignment="1" applyProtection="1">
      <alignment horizontal="center" vertical="center"/>
      <protection locked="0"/>
    </xf>
    <xf numFmtId="0" fontId="19" fillId="6" borderId="19" xfId="0" applyFont="1" applyFill="1" applyBorder="1" applyAlignment="1" applyProtection="1">
      <alignment horizontal="center" vertical="center"/>
      <protection locked="0"/>
    </xf>
    <xf numFmtId="0" fontId="19" fillId="6" borderId="11" xfId="0" applyFont="1" applyFill="1" applyBorder="1" applyAlignment="1" applyProtection="1">
      <alignment horizontal="center" vertical="center"/>
      <protection locked="0"/>
    </xf>
    <xf numFmtId="0" fontId="19" fillId="4" borderId="8" xfId="0" applyFont="1" applyFill="1" applyBorder="1" applyAlignment="1" applyProtection="1">
      <alignment horizontal="center" vertical="center"/>
      <protection locked="0"/>
    </xf>
    <xf numFmtId="2" fontId="6" fillId="0" borderId="0" xfId="0" applyNumberFormat="1" applyFont="1" applyFill="1" applyAlignment="1" applyProtection="1">
      <alignment horizontal="center" vertical="center"/>
      <protection locked="0"/>
    </xf>
    <xf numFmtId="2" fontId="6" fillId="0" borderId="25" xfId="0" applyNumberFormat="1" applyFont="1" applyBorder="1" applyAlignment="1" applyProtection="1">
      <alignment horizontal="center" vertical="center"/>
      <protection locked="0"/>
    </xf>
    <xf numFmtId="2" fontId="6" fillId="0" borderId="37" xfId="0" applyNumberFormat="1" applyFont="1" applyBorder="1" applyAlignment="1" applyProtection="1">
      <alignment horizontal="center" vertical="center"/>
      <protection locked="0"/>
    </xf>
    <xf numFmtId="2" fontId="7" fillId="0" borderId="0" xfId="0" applyNumberFormat="1" applyFont="1" applyFill="1" applyAlignment="1" applyProtection="1">
      <alignment horizontal="center" vertical="center"/>
      <protection locked="0"/>
    </xf>
    <xf numFmtId="2" fontId="7" fillId="0" borderId="0" xfId="0" applyNumberFormat="1" applyFont="1" applyAlignment="1" applyProtection="1">
      <alignment horizontal="center" vertical="center"/>
      <protection locked="0"/>
    </xf>
    <xf numFmtId="0" fontId="19" fillId="4" borderId="9" xfId="0" applyFont="1" applyFill="1" applyBorder="1" applyAlignment="1" applyProtection="1">
      <alignment horizontal="center" vertical="center"/>
      <protection locked="0"/>
    </xf>
    <xf numFmtId="0" fontId="19" fillId="4" borderId="19" xfId="0" applyFont="1" applyFill="1" applyBorder="1" applyAlignment="1" applyProtection="1">
      <alignment horizontal="center" vertical="center"/>
      <protection locked="0"/>
    </xf>
    <xf numFmtId="0" fontId="20" fillId="0" borderId="9" xfId="0" applyFont="1" applyFill="1" applyBorder="1" applyAlignment="1" applyProtection="1">
      <alignment horizontal="center" vertical="center"/>
      <protection locked="0"/>
    </xf>
    <xf numFmtId="0" fontId="20" fillId="2" borderId="9" xfId="0" applyFont="1" applyFill="1" applyBorder="1" applyAlignment="1" applyProtection="1">
      <alignment horizontal="center" vertical="center"/>
      <protection locked="0"/>
    </xf>
    <xf numFmtId="170" fontId="6" fillId="0" borderId="0" xfId="0" applyNumberFormat="1" applyFont="1" applyFill="1" applyAlignment="1" applyProtection="1">
      <alignment horizontal="center" vertical="center"/>
      <protection locked="0"/>
    </xf>
    <xf numFmtId="2" fontId="6" fillId="0" borderId="43" xfId="0" applyNumberFormat="1" applyFont="1" applyFill="1" applyBorder="1" applyAlignment="1" applyProtection="1">
      <alignment horizontal="center" vertical="center"/>
      <protection locked="0"/>
    </xf>
    <xf numFmtId="2" fontId="7" fillId="0" borderId="37" xfId="0" applyNumberFormat="1" applyFont="1" applyBorder="1" applyAlignment="1" applyProtection="1">
      <alignment horizontal="center" vertical="center"/>
      <protection locked="0"/>
    </xf>
    <xf numFmtId="2" fontId="7" fillId="0" borderId="2" xfId="0" applyNumberFormat="1" applyFont="1" applyBorder="1" applyAlignment="1" applyProtection="1">
      <alignment horizontal="center" vertical="center"/>
      <protection locked="0"/>
    </xf>
    <xf numFmtId="2" fontId="4" fillId="4" borderId="23" xfId="0" applyNumberFormat="1" applyFont="1" applyFill="1" applyBorder="1" applyAlignment="1" applyProtection="1">
      <alignment horizontal="center" vertical="center"/>
    </xf>
    <xf numFmtId="1" fontId="6" fillId="0" borderId="22" xfId="0" applyNumberFormat="1" applyFont="1" applyBorder="1" applyAlignment="1" applyProtection="1">
      <alignment horizontal="center" vertical="center"/>
    </xf>
    <xf numFmtId="0" fontId="50" fillId="2" borderId="31" xfId="0" applyFont="1" applyFill="1" applyBorder="1" applyAlignment="1">
      <alignment horizontal="center" vertical="center"/>
    </xf>
    <xf numFmtId="0" fontId="50" fillId="2" borderId="15" xfId="0" applyFont="1" applyFill="1" applyBorder="1" applyAlignment="1">
      <alignment horizontal="center" vertical="center"/>
    </xf>
    <xf numFmtId="0" fontId="51" fillId="2" borderId="15" xfId="0" applyFont="1" applyFill="1" applyBorder="1" applyAlignment="1">
      <alignment horizontal="center" vertical="center"/>
    </xf>
    <xf numFmtId="0" fontId="50" fillId="2" borderId="15" xfId="2" applyNumberFormat="1" applyFont="1" applyFill="1" applyBorder="1" applyAlignment="1">
      <alignment horizontal="center" vertical="center"/>
    </xf>
    <xf numFmtId="1" fontId="50" fillId="2" borderId="15" xfId="0" applyNumberFormat="1" applyFont="1" applyFill="1" applyBorder="1" applyAlignment="1">
      <alignment horizontal="center" vertical="center"/>
    </xf>
    <xf numFmtId="0" fontId="50" fillId="2" borderId="15" xfId="0" applyFont="1" applyFill="1" applyBorder="1" applyAlignment="1">
      <alignment vertical="center"/>
    </xf>
    <xf numFmtId="168" fontId="2" fillId="0" borderId="65" xfId="0" applyNumberFormat="1" applyFont="1" applyBorder="1" applyAlignment="1">
      <alignment horizontal="center" vertical="center" wrapText="1"/>
    </xf>
    <xf numFmtId="168" fontId="2" fillId="9" borderId="63" xfId="0" applyNumberFormat="1" applyFont="1" applyFill="1" applyBorder="1" applyAlignment="1">
      <alignment horizontal="center" vertical="center" wrapText="1"/>
    </xf>
    <xf numFmtId="0" fontId="4" fillId="0" borderId="25" xfId="0" applyFont="1" applyFill="1" applyBorder="1" applyAlignment="1" applyProtection="1">
      <alignment horizontal="center" vertical="center" textRotation="90"/>
      <protection locked="0"/>
    </xf>
    <xf numFmtId="0" fontId="4" fillId="0" borderId="37" xfId="0" applyFont="1" applyFill="1" applyBorder="1" applyAlignment="1" applyProtection="1">
      <alignment horizontal="center" vertical="center" textRotation="90"/>
      <protection locked="0"/>
    </xf>
    <xf numFmtId="0" fontId="4" fillId="0" borderId="43" xfId="0" applyFont="1" applyFill="1" applyBorder="1" applyAlignment="1" applyProtection="1">
      <alignment horizontal="center" vertical="center" textRotation="90"/>
      <protection locked="0"/>
    </xf>
    <xf numFmtId="1" fontId="10" fillId="4" borderId="20" xfId="0" applyNumberFormat="1" applyFont="1" applyFill="1" applyBorder="1" applyAlignment="1" applyProtection="1">
      <alignment horizontal="center" vertical="center"/>
      <protection locked="0"/>
    </xf>
    <xf numFmtId="1" fontId="10" fillId="4" borderId="39" xfId="0" applyNumberFormat="1" applyFont="1" applyFill="1" applyBorder="1" applyAlignment="1" applyProtection="1">
      <alignment horizontal="center" vertical="center"/>
      <protection locked="0"/>
    </xf>
    <xf numFmtId="0" fontId="7" fillId="2" borderId="20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16" fillId="3" borderId="25" xfId="0" applyFont="1" applyFill="1" applyBorder="1" applyAlignment="1" applyProtection="1">
      <alignment horizontal="center" vertical="center" wrapText="1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2" fontId="26" fillId="3" borderId="71" xfId="0" applyNumberFormat="1" applyFont="1" applyFill="1" applyBorder="1" applyAlignment="1" applyProtection="1">
      <alignment horizontal="center" vertical="center" wrapText="1"/>
      <protection locked="0"/>
    </xf>
    <xf numFmtId="2" fontId="26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21" fillId="3" borderId="1" xfId="0" applyFont="1" applyFill="1" applyBorder="1" applyAlignment="1" applyProtection="1">
      <alignment horizontal="center" vertical="center"/>
      <protection locked="0"/>
    </xf>
    <xf numFmtId="0" fontId="21" fillId="3" borderId="4" xfId="0" applyFont="1" applyFill="1" applyBorder="1" applyAlignment="1" applyProtection="1">
      <alignment horizontal="center" vertical="center"/>
      <protection locked="0"/>
    </xf>
    <xf numFmtId="0" fontId="21" fillId="3" borderId="25" xfId="0" applyFont="1" applyFill="1" applyBorder="1" applyAlignment="1" applyProtection="1">
      <alignment horizontal="center" vertical="center"/>
      <protection locked="0"/>
    </xf>
    <xf numFmtId="0" fontId="21" fillId="3" borderId="43" xfId="0" applyFont="1" applyFill="1" applyBorder="1" applyAlignment="1" applyProtection="1">
      <alignment horizontal="center" vertical="center"/>
      <protection locked="0"/>
    </xf>
    <xf numFmtId="2" fontId="6" fillId="2" borderId="20" xfId="0" applyNumberFormat="1" applyFont="1" applyFill="1" applyBorder="1" applyAlignment="1" applyProtection="1">
      <alignment horizontal="center" vertical="center"/>
      <protection locked="0"/>
    </xf>
    <xf numFmtId="2" fontId="6" fillId="2" borderId="11" xfId="0" applyNumberFormat="1" applyFont="1" applyFill="1" applyBorder="1" applyAlignment="1" applyProtection="1">
      <alignment horizontal="center" vertical="center"/>
      <protection locked="0"/>
    </xf>
    <xf numFmtId="2" fontId="6" fillId="2" borderId="19" xfId="0" applyNumberFormat="1" applyFont="1" applyFill="1" applyBorder="1" applyAlignment="1" applyProtection="1">
      <alignment horizontal="center" vertical="center"/>
      <protection locked="0"/>
    </xf>
    <xf numFmtId="174" fontId="37" fillId="3" borderId="11" xfId="0" applyNumberFormat="1" applyFont="1" applyFill="1" applyBorder="1" applyAlignment="1" applyProtection="1">
      <alignment horizontal="center" vertical="center"/>
    </xf>
    <xf numFmtId="2" fontId="6" fillId="0" borderId="20" xfId="0" applyNumberFormat="1" applyFont="1" applyBorder="1" applyAlignment="1" applyProtection="1">
      <alignment horizontal="center" vertical="center"/>
      <protection locked="0"/>
    </xf>
    <xf numFmtId="2" fontId="6" fillId="0" borderId="11" xfId="0" applyNumberFormat="1" applyFont="1" applyBorder="1" applyAlignment="1" applyProtection="1">
      <alignment horizontal="center" vertical="center"/>
      <protection locked="0"/>
    </xf>
    <xf numFmtId="2" fontId="6" fillId="0" borderId="19" xfId="0" applyNumberFormat="1" applyFont="1" applyBorder="1" applyAlignment="1" applyProtection="1">
      <alignment horizontal="center" vertical="center"/>
      <protection locked="0"/>
    </xf>
    <xf numFmtId="0" fontId="48" fillId="2" borderId="25" xfId="0" applyFont="1" applyFill="1" applyBorder="1" applyAlignment="1" applyProtection="1">
      <alignment horizontal="center" vertical="center"/>
      <protection locked="0"/>
    </xf>
    <xf numFmtId="0" fontId="48" fillId="2" borderId="37" xfId="0" applyFont="1" applyFill="1" applyBorder="1" applyAlignment="1" applyProtection="1">
      <alignment horizontal="center" vertical="center"/>
      <protection locked="0"/>
    </xf>
    <xf numFmtId="0" fontId="48" fillId="2" borderId="43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174" fontId="6" fillId="2" borderId="20" xfId="0" applyNumberFormat="1" applyFont="1" applyFill="1" applyBorder="1" applyAlignment="1" applyProtection="1">
      <alignment horizontal="center" vertical="center"/>
    </xf>
    <xf numFmtId="174" fontId="6" fillId="2" borderId="11" xfId="0" applyNumberFormat="1" applyFont="1" applyFill="1" applyBorder="1" applyAlignment="1" applyProtection="1">
      <alignment horizontal="center" vertical="center"/>
    </xf>
    <xf numFmtId="174" fontId="6" fillId="2" borderId="19" xfId="0" applyNumberFormat="1" applyFont="1" applyFill="1" applyBorder="1" applyAlignment="1" applyProtection="1">
      <alignment horizontal="center" vertical="center"/>
    </xf>
    <xf numFmtId="0" fontId="23" fillId="2" borderId="25" xfId="0" applyFont="1" applyFill="1" applyBorder="1" applyAlignment="1">
      <alignment horizontal="center" vertical="center"/>
    </xf>
    <xf numFmtId="0" fontId="23" fillId="2" borderId="37" xfId="0" applyFont="1" applyFill="1" applyBorder="1" applyAlignment="1">
      <alignment horizontal="center" vertical="center"/>
    </xf>
    <xf numFmtId="2" fontId="23" fillId="2" borderId="25" xfId="0" applyNumberFormat="1" applyFont="1" applyFill="1" applyBorder="1" applyAlignment="1">
      <alignment horizontal="center" vertical="center"/>
    </xf>
    <xf numFmtId="2" fontId="23" fillId="2" borderId="37" xfId="0" applyNumberFormat="1" applyFont="1" applyFill="1" applyBorder="1" applyAlignment="1">
      <alignment horizontal="center" vertical="center"/>
    </xf>
    <xf numFmtId="2" fontId="23" fillId="2" borderId="43" xfId="0" applyNumberFormat="1" applyFont="1" applyFill="1" applyBorder="1" applyAlignment="1">
      <alignment horizontal="center" vertical="center"/>
    </xf>
    <xf numFmtId="174" fontId="7" fillId="2" borderId="1" xfId="0" applyNumberFormat="1" applyFont="1" applyFill="1" applyBorder="1" applyAlignment="1">
      <alignment horizontal="center" vertical="center"/>
    </xf>
    <xf numFmtId="174" fontId="7" fillId="2" borderId="12" xfId="0" applyNumberFormat="1" applyFont="1" applyFill="1" applyBorder="1" applyAlignment="1">
      <alignment horizontal="center" vertical="center"/>
    </xf>
    <xf numFmtId="174" fontId="7" fillId="2" borderId="5" xfId="0" applyNumberFormat="1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2" fontId="7" fillId="2" borderId="25" xfId="0" applyNumberFormat="1" applyFont="1" applyFill="1" applyBorder="1" applyAlignment="1">
      <alignment horizontal="center" vertical="center"/>
    </xf>
    <xf numFmtId="2" fontId="7" fillId="2" borderId="4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2" fontId="7" fillId="2" borderId="2" xfId="0" applyNumberFormat="1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2" fontId="7" fillId="2" borderId="37" xfId="0" applyNumberFormat="1" applyFont="1" applyFill="1" applyBorder="1" applyAlignment="1">
      <alignment horizontal="center" vertical="center"/>
    </xf>
    <xf numFmtId="0" fontId="29" fillId="0" borderId="70" xfId="0" applyFont="1" applyFill="1" applyBorder="1" applyAlignment="1">
      <alignment horizontal="center" vertical="center" wrapText="1"/>
    </xf>
    <xf numFmtId="0" fontId="29" fillId="0" borderId="75" xfId="0" applyFont="1" applyFill="1" applyBorder="1" applyAlignment="1">
      <alignment horizontal="center" vertical="center" wrapText="1"/>
    </xf>
    <xf numFmtId="0" fontId="3" fillId="12" borderId="72" xfId="0" applyFont="1" applyFill="1" applyBorder="1" applyAlignment="1">
      <alignment horizontal="center" vertical="center" wrapText="1"/>
    </xf>
    <xf numFmtId="0" fontId="3" fillId="12" borderId="74" xfId="0" applyFont="1" applyFill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7" fillId="13" borderId="72" xfId="0" applyFont="1" applyFill="1" applyBorder="1" applyAlignment="1">
      <alignment horizontal="center" vertical="center" wrapText="1"/>
    </xf>
    <xf numFmtId="0" fontId="7" fillId="13" borderId="73" xfId="0" applyFont="1" applyFill="1" applyBorder="1" applyAlignment="1">
      <alignment horizontal="center" vertical="center" wrapText="1"/>
    </xf>
    <xf numFmtId="0" fontId="7" fillId="13" borderId="74" xfId="0" applyFont="1" applyFill="1" applyBorder="1" applyAlignment="1">
      <alignment horizontal="center" vertical="center" wrapText="1"/>
    </xf>
    <xf numFmtId="174" fontId="49" fillId="0" borderId="20" xfId="0" applyNumberFormat="1" applyFont="1" applyBorder="1" applyAlignment="1">
      <alignment horizontal="center" vertical="center" wrapText="1"/>
    </xf>
    <xf numFmtId="174" fontId="49" fillId="0" borderId="11" xfId="0" applyNumberFormat="1" applyFont="1" applyBorder="1" applyAlignment="1">
      <alignment horizontal="center" vertical="center" wrapText="1"/>
    </xf>
    <xf numFmtId="174" fontId="49" fillId="0" borderId="19" xfId="0" applyNumberFormat="1" applyFont="1" applyBorder="1" applyAlignment="1">
      <alignment horizontal="center" vertical="center" wrapText="1"/>
    </xf>
    <xf numFmtId="0" fontId="3" fillId="12" borderId="20" xfId="0" applyFont="1" applyFill="1" applyBorder="1" applyAlignment="1">
      <alignment horizontal="center" vertical="center" wrapText="1"/>
    </xf>
    <xf numFmtId="0" fontId="3" fillId="12" borderId="11" xfId="0" applyFont="1" applyFill="1" applyBorder="1" applyAlignment="1">
      <alignment horizontal="center" vertical="center" wrapText="1"/>
    </xf>
    <xf numFmtId="0" fontId="3" fillId="12" borderId="19" xfId="0" applyFont="1" applyFill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12" borderId="76" xfId="0" applyFont="1" applyFill="1" applyBorder="1" applyAlignment="1">
      <alignment horizontal="center" vertical="center" wrapText="1"/>
    </xf>
    <xf numFmtId="0" fontId="3" fillId="12" borderId="77" xfId="0" applyFont="1" applyFill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3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24D4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542925</xdr:colOff>
      <xdr:row>31</xdr:row>
      <xdr:rowOff>47625</xdr:rowOff>
    </xdr:from>
    <xdr:to>
      <xdr:col>9</xdr:col>
      <xdr:colOff>647700</xdr:colOff>
      <xdr:row>32</xdr:row>
      <xdr:rowOff>28575</xdr:rowOff>
    </xdr:to>
    <xdr:sp macro="" textlink="">
      <xdr:nvSpPr>
        <xdr:cNvPr id="4410962" name="Text Box 21"/>
        <xdr:cNvSpPr txBox="1">
          <a:spLocks noChangeArrowheads="1"/>
        </xdr:cNvSpPr>
      </xdr:nvSpPr>
      <xdr:spPr bwMode="auto">
        <a:xfrm>
          <a:off x="9820275" y="80772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63" name="Text Box 1117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64" name="Text Box 1117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65" name="Text Box 1117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66" name="Text Box 1118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67" name="Text Box 1118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68" name="Text Box 1118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69" name="Text Box 1118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0" name="Text Box 1118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1" name="Text Box 1118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2" name="Text Box 1118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3" name="Text Box 1118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4" name="Text Box 1118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5" name="Text Box 1118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6" name="Text Box 1119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7" name="Text Box 1119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8" name="Text Box 1119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79" name="Text Box 1119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0" name="Text Box 1119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1" name="Text Box 1119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2" name="Text Box 1119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3" name="Text Box 1119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4" name="Text Box 1119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5" name="Text Box 1119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6" name="Text Box 1120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7" name="Text Box 1120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8" name="Text Box 1120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89" name="Text Box 1120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0" name="Text Box 1120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1" name="Text Box 1120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2" name="Text Box 1120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3" name="Text Box 1120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4" name="Text Box 1120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5" name="Text Box 1120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6" name="Text Box 1121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7" name="Text Box 1121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8" name="Text Box 1121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0999" name="Text Box 1121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0" name="Text Box 1121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1" name="Text Box 1121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2" name="Text Box 1121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3" name="Text Box 1121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4" name="Text Box 1121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5" name="Text Box 1121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6" name="Text Box 1122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7" name="Text Box 1122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8" name="Text Box 1122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09" name="Text Box 1122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0" name="Text Box 1122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1" name="Text Box 1122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2" name="Text Box 1122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3" name="Text Box 1122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4" name="Text Box 1122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5" name="Text Box 1122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6" name="Text Box 1123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7" name="Text Box 1123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8" name="Text Box 1123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19" name="Text Box 1123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0" name="Text Box 1123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1" name="Text Box 1123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2" name="Text Box 1123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3" name="Text Box 1123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4" name="Text Box 1123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5" name="Text Box 1123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6" name="Text Box 1124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7" name="Text Box 1124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8" name="Text Box 1124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29" name="Text Box 1124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0" name="Text Box 1124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1" name="Text Box 1124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2" name="Text Box 1124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3" name="Text Box 1124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4" name="Text Box 1124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5" name="Text Box 1124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6" name="Text Box 1125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7" name="Text Box 1125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8" name="Text Box 1125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39" name="Text Box 1125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0" name="Text Box 1125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1" name="Text Box 1125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2" name="Text Box 1125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3" name="Text Box 1125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4" name="Text Box 1125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5" name="Text Box 1125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6" name="Text Box 1126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7" name="Text Box 1126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8" name="Text Box 1126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49" name="Text Box 1126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0" name="Text Box 1126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1" name="Text Box 1126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2" name="Text Box 1126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3" name="Text Box 1126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4" name="Text Box 1126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5" name="Text Box 1126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6" name="Text Box 1127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7" name="Text Box 1127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8" name="Text Box 1127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59" name="Text Box 1127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0" name="Text Box 1127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1" name="Text Box 1127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2" name="Text Box 1127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3" name="Text Box 1127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4" name="Text Box 1127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5" name="Text Box 1127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6" name="Text Box 1128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7" name="Text Box 1128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8" name="Text Box 1128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69" name="Text Box 1128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0" name="Text Box 1128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1" name="Text Box 1128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2" name="Text Box 1128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3" name="Text Box 1128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4" name="Text Box 1128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5" name="Text Box 1128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6" name="Text Box 1129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7" name="Text Box 1129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8" name="Text Box 1129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79" name="Text Box 1129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0" name="Text Box 1129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1" name="Text Box 1129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2" name="Text Box 1129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3" name="Text Box 1129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4" name="Text Box 1129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5" name="Text Box 1129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6" name="Text Box 1130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7" name="Text Box 1130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8" name="Text Box 1130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89" name="Text Box 1130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0" name="Text Box 1130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1" name="Text Box 1130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2" name="Text Box 1130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3" name="Text Box 1130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4" name="Text Box 1130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5" name="Text Box 1130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6" name="Text Box 1131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7" name="Text Box 1131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8" name="Text Box 1131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099" name="Text Box 1131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0" name="Text Box 1131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1" name="Text Box 1131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2" name="Text Box 1131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3" name="Text Box 1131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4" name="Text Box 1131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5" name="Text Box 1131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6" name="Text Box 1132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7" name="Text Box 1132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8" name="Text Box 1132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09" name="Text Box 1132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0" name="Text Box 1132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1" name="Text Box 1132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2" name="Text Box 1132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3" name="Text Box 1132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4" name="Text Box 1132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5" name="Text Box 1132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6" name="Text Box 1133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7" name="Text Box 1133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8" name="Text Box 1133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19" name="Text Box 1133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0" name="Text Box 1133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1" name="Text Box 1133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2" name="Text Box 1133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3" name="Text Box 1133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4" name="Text Box 1133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5" name="Text Box 1133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6" name="Text Box 1134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7" name="Text Box 1134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8" name="Text Box 1134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29" name="Text Box 1134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0" name="Text Box 1134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1" name="Text Box 1134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2" name="Text Box 1134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3" name="Text Box 1134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4" name="Text Box 1134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5" name="Text Box 1134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6" name="Text Box 1135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7" name="Text Box 1135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8" name="Text Box 1135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39" name="Text Box 1135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0" name="Text Box 1135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1" name="Text Box 1135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2" name="Text Box 1135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3" name="Text Box 1135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4" name="Text Box 1135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5" name="Text Box 1135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6" name="Text Box 1136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7" name="Text Box 1136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8" name="Text Box 1136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49" name="Text Box 1136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0" name="Text Box 1136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1" name="Text Box 1136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2" name="Text Box 1136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3" name="Text Box 1136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4" name="Text Box 1136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5" name="Text Box 1136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6" name="Text Box 1137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7" name="Text Box 1137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8" name="Text Box 1137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59" name="Text Box 1137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0" name="Text Box 1137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1" name="Text Box 1137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2" name="Text Box 1137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3" name="Text Box 1137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4" name="Text Box 1137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5" name="Text Box 1137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6" name="Text Box 1138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7" name="Text Box 1138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8" name="Text Box 1138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69" name="Text Box 1138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0" name="Text Box 1138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1" name="Text Box 1138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2" name="Text Box 1138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3" name="Text Box 1138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4" name="Text Box 1138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5" name="Text Box 1138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6" name="Text Box 1139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7" name="Text Box 1139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8" name="Text Box 1139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79" name="Text Box 1139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0" name="Text Box 1139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1" name="Text Box 1139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2" name="Text Box 1139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3" name="Text Box 1139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4" name="Text Box 1139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5" name="Text Box 1139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6" name="Text Box 1140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7" name="Text Box 1140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8" name="Text Box 1140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89" name="Text Box 1140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0" name="Text Box 1140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1" name="Text Box 1140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2" name="Text Box 1140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3" name="Text Box 1140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4" name="Text Box 1140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5" name="Text Box 1140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6" name="Text Box 1141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7" name="Text Box 1141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8" name="Text Box 1141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199" name="Text Box 1141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0" name="Text Box 1141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1" name="Text Box 1141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2" name="Text Box 1141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3" name="Text Box 1141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4" name="Text Box 1141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5" name="Text Box 1141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6" name="Text Box 1142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7" name="Text Box 1142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8" name="Text Box 1142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09" name="Text Box 1142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0" name="Text Box 1142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1" name="Text Box 1142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2" name="Text Box 1142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3" name="Text Box 1142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4" name="Text Box 1142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5" name="Text Box 1142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6" name="Text Box 1143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7" name="Text Box 1143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8" name="Text Box 1143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19" name="Text Box 1143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0" name="Text Box 1143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1" name="Text Box 1143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2" name="Text Box 1143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3" name="Text Box 1143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4" name="Text Box 1143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5" name="Text Box 1143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6" name="Text Box 1144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7" name="Text Box 1144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8" name="Text Box 1144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29" name="Text Box 1144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0" name="Text Box 1144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1" name="Text Box 1144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2" name="Text Box 1144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3" name="Text Box 1144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4" name="Text Box 1144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5" name="Text Box 1144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6" name="Text Box 1145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7" name="Text Box 1145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8" name="Text Box 1145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39" name="Text Box 1145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0" name="Text Box 1145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1" name="Text Box 1145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2" name="Text Box 1145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3" name="Text Box 1145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4" name="Text Box 1145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5" name="Text Box 1145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6" name="Text Box 1146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7" name="Text Box 1146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8" name="Text Box 1146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49" name="Text Box 1146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0" name="Text Box 1146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1" name="Text Box 1146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2" name="Text Box 1146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3" name="Text Box 1146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4" name="Text Box 1146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5" name="Text Box 1146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6" name="Text Box 1147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7" name="Text Box 1147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8" name="Text Box 1147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59" name="Text Box 1147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0" name="Text Box 1147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1" name="Text Box 1147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2" name="Text Box 1147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3" name="Text Box 1147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4" name="Text Box 1147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5" name="Text Box 1147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6" name="Text Box 1148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7" name="Text Box 1148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8" name="Text Box 1148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69" name="Text Box 1148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0" name="Text Box 1148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1" name="Text Box 1148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2" name="Text Box 1148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3" name="Text Box 1148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4" name="Text Box 1148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5" name="Text Box 1148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6" name="Text Box 1149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7" name="Text Box 1149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8" name="Text Box 1149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79" name="Text Box 1149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0" name="Text Box 1149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1" name="Text Box 1149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2" name="Text Box 1149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3" name="Text Box 1149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4" name="Text Box 1149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5" name="Text Box 1149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6" name="Text Box 1150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7" name="Text Box 1150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8" name="Text Box 1150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89" name="Text Box 1150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0" name="Text Box 1150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1" name="Text Box 1150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2" name="Text Box 1150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3" name="Text Box 1150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4" name="Text Box 1150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5" name="Text Box 1150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6" name="Text Box 1151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7" name="Text Box 1151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8" name="Text Box 1151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299" name="Text Box 1151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0" name="Text Box 1151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1" name="Text Box 1151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2" name="Text Box 1151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3" name="Text Box 1151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4" name="Text Box 1151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5" name="Text Box 1151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6" name="Text Box 1152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7" name="Text Box 1152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8" name="Text Box 1152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09" name="Text Box 1152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0" name="Text Box 1152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1" name="Text Box 1152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2" name="Text Box 1152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3" name="Text Box 1152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4" name="Text Box 1152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5" name="Text Box 1152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6" name="Text Box 1153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7" name="Text Box 1153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8" name="Text Box 1153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19" name="Text Box 1153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0" name="Text Box 1153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1" name="Text Box 1153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2" name="Text Box 1153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3" name="Text Box 1153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4" name="Text Box 1153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5" name="Text Box 1153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6" name="Text Box 1154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7" name="Text Box 1154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8" name="Text Box 1154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29" name="Text Box 1154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0" name="Text Box 1154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1" name="Text Box 1154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2" name="Text Box 1154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3" name="Text Box 1154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4" name="Text Box 1154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5" name="Text Box 1154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6" name="Text Box 1155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7" name="Text Box 1155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8" name="Text Box 1155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39" name="Text Box 1155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0" name="Text Box 1155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1" name="Text Box 1155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2" name="Text Box 1155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3" name="Text Box 1155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4" name="Text Box 1155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5" name="Text Box 1155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6" name="Text Box 1156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7" name="Text Box 1156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8" name="Text Box 1156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49" name="Text Box 1156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0" name="Text Box 1156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1" name="Text Box 1156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2" name="Text Box 1156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3" name="Text Box 1156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4" name="Text Box 1156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5" name="Text Box 1156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6" name="Text Box 1157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7" name="Text Box 1157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8" name="Text Box 1157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59" name="Text Box 1157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0" name="Text Box 1157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1" name="Text Box 1157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2" name="Text Box 1157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3" name="Text Box 1157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4" name="Text Box 1157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5" name="Text Box 1157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6" name="Text Box 1158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7" name="Text Box 1158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8" name="Text Box 1158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69" name="Text Box 1158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0" name="Text Box 1158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1" name="Text Box 1158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2" name="Text Box 1158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3" name="Text Box 1158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4" name="Text Box 1158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5" name="Text Box 1158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6" name="Text Box 1159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7" name="Text Box 1159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8" name="Text Box 1159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79" name="Text Box 1159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0" name="Text Box 1159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1" name="Text Box 1159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2" name="Text Box 1159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3" name="Text Box 1159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4" name="Text Box 1159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5" name="Text Box 1159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6" name="Text Box 1160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7" name="Text Box 1160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8" name="Text Box 1160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89" name="Text Box 1160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90" name="Text Box 1160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11391" name="Text Box 1160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56" name="Text Box 1160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57" name="Text Box 1160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58" name="Text Box 1160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59" name="Text Box 1160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0" name="Text Box 1161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1" name="Text Box 1161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2" name="Text Box 1161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3" name="Text Box 1161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4" name="Text Box 1161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5" name="Text Box 1161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6" name="Text Box 1161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7" name="Text Box 1161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8" name="Text Box 1161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69" name="Text Box 1161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0" name="Text Box 1162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1" name="Text Box 1162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2" name="Text Box 1162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3" name="Text Box 1162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4" name="Text Box 1162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5" name="Text Box 1162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6" name="Text Box 1162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7" name="Text Box 1162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8" name="Text Box 1162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79" name="Text Box 1162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0" name="Text Box 1163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1" name="Text Box 1163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2" name="Text Box 1163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3" name="Text Box 1163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4" name="Text Box 1163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5" name="Text Box 1163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6" name="Text Box 1163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7" name="Text Box 1163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8" name="Text Box 1163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89" name="Text Box 1163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0" name="Text Box 1164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1" name="Text Box 1164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2" name="Text Box 1164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3" name="Text Box 1164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4" name="Text Box 1164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5" name="Text Box 1164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6" name="Text Box 1164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7" name="Text Box 1164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8" name="Text Box 1164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299" name="Text Box 1164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0" name="Text Box 1165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1" name="Text Box 1165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2" name="Text Box 1165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3" name="Text Box 1165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4" name="Text Box 1165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5" name="Text Box 1165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6" name="Text Box 1165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7" name="Text Box 1165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8" name="Text Box 1165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09" name="Text Box 1165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0" name="Text Box 1166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1" name="Text Box 1166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2" name="Text Box 1166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3" name="Text Box 1166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4" name="Text Box 1166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5" name="Text Box 1166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6" name="Text Box 1166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7" name="Text Box 1166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8" name="Text Box 1166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19" name="Text Box 1166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0" name="Text Box 1167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1" name="Text Box 1167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2" name="Text Box 1167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3" name="Text Box 1167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4" name="Text Box 1167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5" name="Text Box 1167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6" name="Text Box 1167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7" name="Text Box 1167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8" name="Text Box 1167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29" name="Text Box 1167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0" name="Text Box 1168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1" name="Text Box 1168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2" name="Text Box 1168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3" name="Text Box 1168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4" name="Text Box 1168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5" name="Text Box 1168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6" name="Text Box 1168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7" name="Text Box 1168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8" name="Text Box 1168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39" name="Text Box 1168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0" name="Text Box 1169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1" name="Text Box 1169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2" name="Text Box 1169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3" name="Text Box 1169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4" name="Text Box 1169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5" name="Text Box 1169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6" name="Text Box 1169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7" name="Text Box 1169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8" name="Text Box 1169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49" name="Text Box 1169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0" name="Text Box 1170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1" name="Text Box 1170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2" name="Text Box 1170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3" name="Text Box 1170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4" name="Text Box 1170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5" name="Text Box 1170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6" name="Text Box 1170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7" name="Text Box 1170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8" name="Text Box 1170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59" name="Text Box 1170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0" name="Text Box 1171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1" name="Text Box 1171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2" name="Text Box 1171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3" name="Text Box 1171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4" name="Text Box 1171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5" name="Text Box 1171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6" name="Text Box 1171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7" name="Text Box 1171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8" name="Text Box 1171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69" name="Text Box 1171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0" name="Text Box 1172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1" name="Text Box 1172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2" name="Text Box 1172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3" name="Text Box 1172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4" name="Text Box 1172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5" name="Text Box 1172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6" name="Text Box 1172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7" name="Text Box 1172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8" name="Text Box 1172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79" name="Text Box 1172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0" name="Text Box 1173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1" name="Text Box 1173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2" name="Text Box 1173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3" name="Text Box 1173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4" name="Text Box 1173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5" name="Text Box 1173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6" name="Text Box 1173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7" name="Text Box 1173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8" name="Text Box 1173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89" name="Text Box 1173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0" name="Text Box 1174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1" name="Text Box 1174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2" name="Text Box 1174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3" name="Text Box 1174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4" name="Text Box 1174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5" name="Text Box 1174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6" name="Text Box 1174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7" name="Text Box 1174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8" name="Text Box 1174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399" name="Text Box 1174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0" name="Text Box 1175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1" name="Text Box 1175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2" name="Text Box 1175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3" name="Text Box 1175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4" name="Text Box 1175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5" name="Text Box 1175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6" name="Text Box 1175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7" name="Text Box 1175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8" name="Text Box 1175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09" name="Text Box 1175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0" name="Text Box 1176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1" name="Text Box 1176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2" name="Text Box 1176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3" name="Text Box 1176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4" name="Text Box 1176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5" name="Text Box 1176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6" name="Text Box 1176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7" name="Text Box 1176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8" name="Text Box 1176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19" name="Text Box 1176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0" name="Text Box 1177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1" name="Text Box 1177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2" name="Text Box 1177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3" name="Text Box 1177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4" name="Text Box 1177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5" name="Text Box 1177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6" name="Text Box 1177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7" name="Text Box 1177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8" name="Text Box 1177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29" name="Text Box 1177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0" name="Text Box 1178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1" name="Text Box 1178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2" name="Text Box 1178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3" name="Text Box 1178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4" name="Text Box 1178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5" name="Text Box 1178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6" name="Text Box 1178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7" name="Text Box 1178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8" name="Text Box 1178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39" name="Text Box 1178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0" name="Text Box 1179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1" name="Text Box 1179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2" name="Text Box 1179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3" name="Text Box 1179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4" name="Text Box 1179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5" name="Text Box 1179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6" name="Text Box 1179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7" name="Text Box 1179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8" name="Text Box 1179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49" name="Text Box 1179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0" name="Text Box 1180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1" name="Text Box 1180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2" name="Text Box 1180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3" name="Text Box 1180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4" name="Text Box 1180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5" name="Text Box 1180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6" name="Text Box 1180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7" name="Text Box 1180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8" name="Text Box 1180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59" name="Text Box 1180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0" name="Text Box 1181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1" name="Text Box 1181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2" name="Text Box 1181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3" name="Text Box 1181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4" name="Text Box 1181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5" name="Text Box 1181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6" name="Text Box 1181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7" name="Text Box 1181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8" name="Text Box 1181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69" name="Text Box 1181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0" name="Text Box 1182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1" name="Text Box 1182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2" name="Text Box 1182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3" name="Text Box 1182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4" name="Text Box 1182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5" name="Text Box 1182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6" name="Text Box 1182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7" name="Text Box 1182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8" name="Text Box 1182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79" name="Text Box 1182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0" name="Text Box 1183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1" name="Text Box 1183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2" name="Text Box 1183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3" name="Text Box 1183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4" name="Text Box 1183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5" name="Text Box 1183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6" name="Text Box 1183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7" name="Text Box 1183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8" name="Text Box 1183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89" name="Text Box 1183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0" name="Text Box 1184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1" name="Text Box 1184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2" name="Text Box 1184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3" name="Text Box 1184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4" name="Text Box 1184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5" name="Text Box 1184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6" name="Text Box 1184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7" name="Text Box 1184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8" name="Text Box 1184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499" name="Text Box 1184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0" name="Text Box 1185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1" name="Text Box 1185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2" name="Text Box 1185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3" name="Text Box 1185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4" name="Text Box 1185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5" name="Text Box 1185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6" name="Text Box 1185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7" name="Text Box 1185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8" name="Text Box 1185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09" name="Text Box 1185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0" name="Text Box 1186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1" name="Text Box 1186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2" name="Text Box 1186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3" name="Text Box 1186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4" name="Text Box 1186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5" name="Text Box 1186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6" name="Text Box 1186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7" name="Text Box 1186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8" name="Text Box 1186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19" name="Text Box 1186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0" name="Text Box 1187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1" name="Text Box 1187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2" name="Text Box 1187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3" name="Text Box 1187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4" name="Text Box 1187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5" name="Text Box 1187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6" name="Text Box 1187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7" name="Text Box 1187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8" name="Text Box 1187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29" name="Text Box 1187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0" name="Text Box 1188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1" name="Text Box 1188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2" name="Text Box 1188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3" name="Text Box 1188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4" name="Text Box 1188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5" name="Text Box 1188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6" name="Text Box 1188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7" name="Text Box 1188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8" name="Text Box 1188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39" name="Text Box 1188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0" name="Text Box 1189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1" name="Text Box 1189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2" name="Text Box 1189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3" name="Text Box 1189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4" name="Text Box 1189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5" name="Text Box 1189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6" name="Text Box 1189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7" name="Text Box 1189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8" name="Text Box 1189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49" name="Text Box 1189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0" name="Text Box 1190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1" name="Text Box 1190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2" name="Text Box 1190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3" name="Text Box 1190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4" name="Text Box 1190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5" name="Text Box 1190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6" name="Text Box 1190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7" name="Text Box 1190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8" name="Text Box 1190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59" name="Text Box 1190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0" name="Text Box 1191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1" name="Text Box 1191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2" name="Text Box 1191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3" name="Text Box 1191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4" name="Text Box 1191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5" name="Text Box 1191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6" name="Text Box 1191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7" name="Text Box 1191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8" name="Text Box 1191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69" name="Text Box 1191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0" name="Text Box 1192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1" name="Text Box 1192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2" name="Text Box 1192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3" name="Text Box 1192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4" name="Text Box 1192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5" name="Text Box 1192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6" name="Text Box 1192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7" name="Text Box 1192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8" name="Text Box 1192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79" name="Text Box 1192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0" name="Text Box 1193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1" name="Text Box 1193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2" name="Text Box 1193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3" name="Text Box 1193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4" name="Text Box 1193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5" name="Text Box 1193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6" name="Text Box 1193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7" name="Text Box 1193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8" name="Text Box 1193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89" name="Text Box 1193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0" name="Text Box 1194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1" name="Text Box 1194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2" name="Text Box 1194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3" name="Text Box 1194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4" name="Text Box 11944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5" name="Text Box 11945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6" name="Text Box 11946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7" name="Text Box 11947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8" name="Text Box 11948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599" name="Text Box 11949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600" name="Text Box 11950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601" name="Text Box 1195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602" name="Text Box 11952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603" name="Text Box 11953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32</xdr:row>
      <xdr:rowOff>47625</xdr:rowOff>
    </xdr:from>
    <xdr:to>
      <xdr:col>9</xdr:col>
      <xdr:colOff>647700</xdr:colOff>
      <xdr:row>33</xdr:row>
      <xdr:rowOff>28575</xdr:rowOff>
    </xdr:to>
    <xdr:sp macro="" textlink="">
      <xdr:nvSpPr>
        <xdr:cNvPr id="4448604" name="Text Box 21"/>
        <xdr:cNvSpPr txBox="1">
          <a:spLocks noChangeArrowheads="1"/>
        </xdr:cNvSpPr>
      </xdr:nvSpPr>
      <xdr:spPr bwMode="auto">
        <a:xfrm>
          <a:off x="9820275" y="8334375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31</xdr:row>
      <xdr:rowOff>47625</xdr:rowOff>
    </xdr:from>
    <xdr:to>
      <xdr:col>9</xdr:col>
      <xdr:colOff>647700</xdr:colOff>
      <xdr:row>32</xdr:row>
      <xdr:rowOff>28575</xdr:rowOff>
    </xdr:to>
    <xdr:sp macro="" textlink="">
      <xdr:nvSpPr>
        <xdr:cNvPr id="4448605" name="Text Box 21"/>
        <xdr:cNvSpPr txBox="1">
          <a:spLocks noChangeArrowheads="1"/>
        </xdr:cNvSpPr>
      </xdr:nvSpPr>
      <xdr:spPr bwMode="auto">
        <a:xfrm>
          <a:off x="9820275" y="80772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270</xdr:row>
      <xdr:rowOff>47625</xdr:rowOff>
    </xdr:from>
    <xdr:to>
      <xdr:col>9</xdr:col>
      <xdr:colOff>647700</xdr:colOff>
      <xdr:row>271</xdr:row>
      <xdr:rowOff>28575</xdr:rowOff>
    </xdr:to>
    <xdr:sp macro="" textlink="">
      <xdr:nvSpPr>
        <xdr:cNvPr id="4448606" name="Text Box 21"/>
        <xdr:cNvSpPr txBox="1">
          <a:spLocks noChangeArrowheads="1"/>
        </xdr:cNvSpPr>
      </xdr:nvSpPr>
      <xdr:spPr bwMode="auto">
        <a:xfrm>
          <a:off x="9820275" y="4943475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542925</xdr:colOff>
      <xdr:row>270</xdr:row>
      <xdr:rowOff>47625</xdr:rowOff>
    </xdr:from>
    <xdr:to>
      <xdr:col>9</xdr:col>
      <xdr:colOff>647700</xdr:colOff>
      <xdr:row>271</xdr:row>
      <xdr:rowOff>28575</xdr:rowOff>
    </xdr:to>
    <xdr:sp macro="" textlink="">
      <xdr:nvSpPr>
        <xdr:cNvPr id="4448607" name="Text Box 21"/>
        <xdr:cNvSpPr txBox="1">
          <a:spLocks noChangeArrowheads="1"/>
        </xdr:cNvSpPr>
      </xdr:nvSpPr>
      <xdr:spPr bwMode="auto">
        <a:xfrm>
          <a:off x="9820275" y="4943475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1111">
    <tabColor indexed="10"/>
  </sheetPr>
  <dimension ref="A1:GW312"/>
  <sheetViews>
    <sheetView zoomScale="70" zoomScaleNormal="70" workbookViewId="0">
      <pane ySplit="11" topLeftCell="A12" activePane="bottomLeft" state="frozen"/>
      <selection activeCell="G258" sqref="G258"/>
      <selection pane="bottomLeft" activeCell="X25" sqref="X25"/>
    </sheetView>
  </sheetViews>
  <sheetFormatPr baseColWidth="10" defaultRowHeight="18" x14ac:dyDescent="0.2"/>
  <cols>
    <col min="1" max="1" width="20.7109375" style="4" customWidth="1"/>
    <col min="2" max="2" width="10.7109375" style="4" customWidth="1"/>
    <col min="3" max="3" width="53.5703125" style="4" bestFit="1" customWidth="1"/>
    <col min="4" max="4" width="8.7109375" style="4" customWidth="1"/>
    <col min="5" max="5" width="10.28515625" style="4" customWidth="1"/>
    <col min="6" max="6" width="10.28515625" style="107" hidden="1" customWidth="1"/>
    <col min="7" max="8" width="11.7109375" style="62" customWidth="1"/>
    <col min="9" max="9" width="11.7109375" style="4" customWidth="1"/>
    <col min="10" max="10" width="11.42578125" style="376"/>
    <col min="11" max="11" width="21.7109375" style="1" bestFit="1" customWidth="1"/>
    <col min="12" max="12" width="16.42578125" style="90" bestFit="1" customWidth="1"/>
    <col min="13" max="13" width="15.42578125" style="4" customWidth="1"/>
    <col min="14" max="14" width="16.5703125" style="40" customWidth="1"/>
    <col min="15" max="15" width="3.5703125" style="41" hidden="1" customWidth="1"/>
    <col min="16" max="16" width="16.140625" style="41" customWidth="1"/>
    <col min="17" max="17" width="15" style="1" customWidth="1"/>
    <col min="18" max="19" width="11.140625" style="1" customWidth="1"/>
    <col min="20" max="21" width="12.28515625" style="5" customWidth="1"/>
    <col min="22" max="22" width="4" style="4" customWidth="1"/>
    <col min="23" max="30" width="11.42578125" style="4"/>
    <col min="31" max="31" width="14.7109375" style="4" bestFit="1" customWidth="1"/>
    <col min="32" max="16384" width="11.42578125" style="4"/>
  </cols>
  <sheetData>
    <row r="1" spans="1:22" ht="18.75" customHeight="1" thickBot="1" x14ac:dyDescent="0.25">
      <c r="A1" s="531" t="s">
        <v>201</v>
      </c>
      <c r="B1" s="554">
        <v>18</v>
      </c>
      <c r="C1" s="343" t="s">
        <v>11</v>
      </c>
      <c r="D1" s="45"/>
      <c r="E1" s="7"/>
      <c r="F1" s="106"/>
      <c r="G1" s="3"/>
      <c r="H1" s="3"/>
      <c r="I1" s="8"/>
      <c r="J1" s="344"/>
      <c r="K1" s="2"/>
      <c r="L1" s="89"/>
      <c r="M1" s="8"/>
      <c r="N1" s="33">
        <v>0.3</v>
      </c>
      <c r="O1" s="33"/>
      <c r="P1" s="33"/>
      <c r="Q1" s="536" t="s">
        <v>199</v>
      </c>
      <c r="R1" s="537"/>
      <c r="S1" s="537"/>
      <c r="T1" s="537"/>
      <c r="U1" s="538"/>
      <c r="V1" s="8"/>
    </row>
    <row r="2" spans="1:22" ht="18.75" customHeight="1" thickBot="1" x14ac:dyDescent="0.25">
      <c r="A2" s="532"/>
      <c r="B2" s="555"/>
      <c r="C2" s="8"/>
      <c r="D2" s="8"/>
      <c r="E2" s="8"/>
      <c r="G2" s="560">
        <f>7*B1+DATE(B4,1,3)-WEEKDAY(DATE(B4,1,3))-6</f>
        <v>42120</v>
      </c>
      <c r="H2" s="561"/>
      <c r="I2" s="562"/>
      <c r="J2" s="422"/>
      <c r="K2" s="421"/>
      <c r="L2" s="345"/>
      <c r="M2" s="34" t="s">
        <v>1</v>
      </c>
      <c r="N2" s="36"/>
      <c r="O2" s="35"/>
      <c r="P2" s="336"/>
      <c r="Q2" s="405">
        <f>P12</f>
        <v>1192</v>
      </c>
      <c r="R2" s="547" t="s">
        <v>200</v>
      </c>
      <c r="S2" s="548"/>
      <c r="T2" s="548"/>
      <c r="U2" s="549"/>
      <c r="V2" s="8"/>
    </row>
    <row r="3" spans="1:22" ht="21" customHeight="1" thickBot="1" x14ac:dyDescent="0.25">
      <c r="A3" s="532"/>
      <c r="B3" s="556"/>
      <c r="C3" s="7"/>
      <c r="D3" s="7"/>
      <c r="E3" s="7"/>
      <c r="F3" s="112" t="s">
        <v>34</v>
      </c>
      <c r="G3" s="113"/>
      <c r="H3" s="113"/>
      <c r="I3" s="213"/>
      <c r="J3" s="213"/>
      <c r="K3" s="213"/>
      <c r="L3" s="176"/>
      <c r="M3" s="332"/>
      <c r="N3" s="333"/>
      <c r="O3" s="171"/>
      <c r="P3" s="336"/>
      <c r="Q3" s="405">
        <f>P217+P195+P104</f>
        <v>694</v>
      </c>
      <c r="R3" s="547" t="s">
        <v>32</v>
      </c>
      <c r="S3" s="548"/>
      <c r="T3" s="548"/>
      <c r="U3" s="549"/>
      <c r="V3" s="8"/>
    </row>
    <row r="4" spans="1:22" ht="21" customHeight="1" thickBot="1" x14ac:dyDescent="0.25">
      <c r="A4" s="532"/>
      <c r="B4" s="8">
        <v>2015</v>
      </c>
      <c r="C4" s="31" t="s">
        <v>23</v>
      </c>
      <c r="D4" s="74"/>
      <c r="E4" s="64">
        <v>4500</v>
      </c>
      <c r="F4" s="106" t="s">
        <v>38</v>
      </c>
      <c r="G4" s="346"/>
      <c r="H4" s="346"/>
      <c r="I4" s="238"/>
      <c r="J4" s="239"/>
      <c r="K4" s="240"/>
      <c r="L4" s="176"/>
      <c r="M4" s="330"/>
      <c r="N4" s="334"/>
      <c r="O4" s="30" t="s">
        <v>17</v>
      </c>
      <c r="P4" s="336"/>
      <c r="Q4" s="405">
        <f>P147+P166</f>
        <v>300</v>
      </c>
      <c r="R4" s="557" t="s">
        <v>33</v>
      </c>
      <c r="S4" s="558"/>
      <c r="T4" s="558"/>
      <c r="U4" s="559"/>
      <c r="V4" s="8"/>
    </row>
    <row r="5" spans="1:22" ht="21" customHeight="1" thickBot="1" x14ac:dyDescent="0.25">
      <c r="A5" s="533"/>
      <c r="B5" s="8"/>
      <c r="C5" s="32" t="s">
        <v>24</v>
      </c>
      <c r="D5" s="44"/>
      <c r="E5" s="408">
        <f>+M4</f>
        <v>0</v>
      </c>
      <c r="F5" s="108">
        <v>3840</v>
      </c>
      <c r="G5" s="113"/>
      <c r="H5" s="113"/>
      <c r="I5" s="241"/>
      <c r="J5" s="242"/>
      <c r="K5" s="243"/>
      <c r="L5" s="176"/>
      <c r="M5" s="331"/>
      <c r="N5" s="335"/>
      <c r="O5" s="37"/>
      <c r="Q5" s="405">
        <f>P76</f>
        <v>3440</v>
      </c>
      <c r="R5" s="551" t="s">
        <v>16</v>
      </c>
      <c r="S5" s="552"/>
      <c r="T5" s="552"/>
      <c r="U5" s="553"/>
      <c r="V5" s="8"/>
    </row>
    <row r="6" spans="1:22" ht="18" customHeight="1" thickBot="1" x14ac:dyDescent="0.25">
      <c r="A6" s="73"/>
      <c r="B6" s="8"/>
      <c r="C6" s="32" t="s">
        <v>25</v>
      </c>
      <c r="D6" s="73"/>
      <c r="E6" s="408">
        <f>Q2+Q3+Q4+Q5+Q6</f>
        <v>6215</v>
      </c>
      <c r="F6" s="108"/>
      <c r="G6" s="347"/>
      <c r="H6" s="347"/>
      <c r="I6" s="241"/>
      <c r="J6" s="242"/>
      <c r="K6" s="243"/>
      <c r="L6" s="176"/>
      <c r="M6" s="404">
        <f>Q2+Q3+Q4+Q5+Q6</f>
        <v>6215</v>
      </c>
      <c r="N6" s="406">
        <f>($E4*10)/100+$E4</f>
        <v>4950</v>
      </c>
      <c r="O6" s="348"/>
      <c r="P6" s="336"/>
      <c r="Q6" s="405">
        <f>P243</f>
        <v>589</v>
      </c>
      <c r="R6" s="551" t="s">
        <v>36</v>
      </c>
      <c r="S6" s="552"/>
      <c r="T6" s="552"/>
      <c r="U6" s="553"/>
      <c r="V6" s="8"/>
    </row>
    <row r="7" spans="1:22" ht="21" customHeight="1" thickTop="1" thickBot="1" x14ac:dyDescent="0.25">
      <c r="A7" s="73"/>
      <c r="B7" s="8"/>
      <c r="C7" s="32" t="s">
        <v>39</v>
      </c>
      <c r="D7" s="73"/>
      <c r="E7" s="409">
        <f>+S12+S76+S104+S147+S166+S195+S224+S243</f>
        <v>0</v>
      </c>
      <c r="F7" s="108"/>
      <c r="G7" s="347"/>
      <c r="H7" s="347"/>
      <c r="I7" s="3"/>
      <c r="J7" s="350"/>
      <c r="K7" s="541" t="s">
        <v>144</v>
      </c>
      <c r="L7" s="345"/>
      <c r="M7" s="351" t="s">
        <v>37</v>
      </c>
      <c r="N7" s="407">
        <f>T2+T3+T4+M3</f>
        <v>0</v>
      </c>
      <c r="O7" s="33"/>
      <c r="P7" s="33"/>
      <c r="Q7" s="8"/>
      <c r="R7" s="352"/>
      <c r="S7" s="353"/>
      <c r="T7" s="58"/>
      <c r="U7" s="58"/>
      <c r="V7" s="8"/>
    </row>
    <row r="8" spans="1:22" ht="21" customHeight="1" thickBot="1" x14ac:dyDescent="0.25">
      <c r="A8" s="354"/>
      <c r="B8" s="8"/>
      <c r="C8" s="355" t="s">
        <v>28</v>
      </c>
      <c r="D8" s="354"/>
      <c r="E8" s="410">
        <f>E7/E6</f>
        <v>0</v>
      </c>
      <c r="F8" s="356"/>
      <c r="G8" s="347"/>
      <c r="H8" s="347"/>
      <c r="I8" s="357"/>
      <c r="J8" s="350"/>
      <c r="K8" s="542"/>
      <c r="L8" s="521">
        <f>K12+K76+K104+K147+K166+K195+K217+K243</f>
        <v>3985</v>
      </c>
      <c r="M8" s="411">
        <f>+SUM(D!B75:B85)/163</f>
        <v>0</v>
      </c>
      <c r="N8" s="174" t="s">
        <v>43</v>
      </c>
      <c r="O8" s="33"/>
      <c r="P8" s="358" t="s">
        <v>26</v>
      </c>
      <c r="Q8" s="65"/>
      <c r="R8" s="349"/>
      <c r="S8" s="359" t="s">
        <v>41</v>
      </c>
      <c r="T8" s="360"/>
      <c r="U8" s="58"/>
      <c r="V8" s="8"/>
    </row>
    <row r="9" spans="1:22" ht="21" customHeight="1" thickBot="1" x14ac:dyDescent="0.25">
      <c r="A9" s="361"/>
      <c r="B9" s="8"/>
      <c r="C9" s="25"/>
      <c r="D9" s="361"/>
      <c r="E9" s="362"/>
      <c r="F9" s="106"/>
      <c r="G9" s="347"/>
      <c r="H9" s="347"/>
      <c r="I9" s="8"/>
      <c r="J9" s="344"/>
      <c r="K9" s="2"/>
      <c r="L9" s="363"/>
      <c r="M9" s="7"/>
      <c r="N9" s="33"/>
      <c r="O9" s="33"/>
      <c r="P9" s="33"/>
      <c r="Q9" s="8"/>
      <c r="R9" s="353"/>
      <c r="S9" s="364">
        <v>2.6</v>
      </c>
      <c r="T9" s="365"/>
      <c r="U9" s="366"/>
      <c r="V9" s="10"/>
    </row>
    <row r="10" spans="1:22" ht="21" customHeight="1" thickTop="1" thickBot="1" x14ac:dyDescent="0.25">
      <c r="A10" s="539" t="s">
        <v>221</v>
      </c>
      <c r="B10" s="543" t="s">
        <v>13</v>
      </c>
      <c r="C10" s="545" t="s">
        <v>0</v>
      </c>
      <c r="D10" s="14"/>
      <c r="E10" s="342" t="s">
        <v>27</v>
      </c>
      <c r="F10" s="367"/>
      <c r="G10" s="550">
        <f>7*B1+DATE(B4,1,3)-WEEKDAY(DATE(B4,1,3))-6</f>
        <v>42120</v>
      </c>
      <c r="H10" s="550"/>
      <c r="I10" s="550"/>
      <c r="J10" s="86" t="s">
        <v>346</v>
      </c>
      <c r="K10" s="541" t="s">
        <v>143</v>
      </c>
      <c r="L10" s="91"/>
      <c r="M10" s="72"/>
      <c r="N10" s="77"/>
      <c r="O10" s="78"/>
      <c r="P10" s="79"/>
      <c r="Q10" s="76"/>
      <c r="R10" s="368"/>
      <c r="S10" s="369"/>
      <c r="T10" s="370"/>
      <c r="U10" s="370"/>
      <c r="V10" s="371"/>
    </row>
    <row r="11" spans="1:22" ht="21" customHeight="1" thickBot="1" x14ac:dyDescent="0.25">
      <c r="A11" s="540"/>
      <c r="B11" s="544"/>
      <c r="C11" s="546"/>
      <c r="D11" s="75" t="s">
        <v>22</v>
      </c>
      <c r="E11" s="99" t="s">
        <v>20</v>
      </c>
      <c r="F11" s="109"/>
      <c r="G11" s="372" t="s">
        <v>121</v>
      </c>
      <c r="H11" s="372" t="s">
        <v>145</v>
      </c>
      <c r="I11" s="372" t="s">
        <v>122</v>
      </c>
      <c r="J11" s="85">
        <v>1</v>
      </c>
      <c r="K11" s="542"/>
      <c r="L11" s="373" t="s">
        <v>139</v>
      </c>
      <c r="M11" s="373" t="s">
        <v>18</v>
      </c>
      <c r="N11" s="81" t="s">
        <v>196</v>
      </c>
      <c r="O11" s="82"/>
      <c r="P11" s="82" t="s">
        <v>19</v>
      </c>
      <c r="Q11" s="83" t="s">
        <v>195</v>
      </c>
      <c r="R11" s="99" t="s">
        <v>197</v>
      </c>
      <c r="S11" s="329"/>
      <c r="T11" s="100"/>
      <c r="U11" s="100"/>
      <c r="V11" s="15"/>
    </row>
    <row r="12" spans="1:22" ht="24" customHeight="1" thickBot="1" x14ac:dyDescent="0.25">
      <c r="A12" s="374"/>
      <c r="B12" s="57"/>
      <c r="C12" s="56" t="s">
        <v>12</v>
      </c>
      <c r="D12" s="374"/>
      <c r="E12" s="28"/>
      <c r="F12" s="110" t="s">
        <v>34</v>
      </c>
      <c r="G12" s="237"/>
      <c r="H12" s="84"/>
      <c r="I12" s="84"/>
      <c r="J12" s="84" t="s">
        <v>156</v>
      </c>
      <c r="K12" s="413">
        <f>SUM(K13:K66)</f>
        <v>919</v>
      </c>
      <c r="L12" s="92"/>
      <c r="M12" s="375"/>
      <c r="N12" s="38"/>
      <c r="O12" s="412">
        <f>SUM(O13:O37)</f>
        <v>0</v>
      </c>
      <c r="P12" s="413">
        <f>SUM(P13:P66)</f>
        <v>1192</v>
      </c>
      <c r="Q12" s="38"/>
      <c r="R12" s="534"/>
      <c r="S12" s="535"/>
      <c r="T12" s="60"/>
      <c r="U12" s="66"/>
      <c r="V12" s="11"/>
    </row>
    <row r="13" spans="1:22" ht="20.25" customHeight="1" x14ac:dyDescent="0.2">
      <c r="A13" s="3"/>
      <c r="B13" s="205"/>
      <c r="C13" s="12"/>
      <c r="D13" s="3"/>
      <c r="E13" s="16"/>
      <c r="F13" s="105"/>
      <c r="G13" s="68"/>
      <c r="H13" s="68"/>
      <c r="I13" s="68"/>
      <c r="J13" s="210" t="s">
        <v>156</v>
      </c>
      <c r="K13" s="420" t="str">
        <f>IF(M13="","",IF(ISERROR(IF(L13=0,J13*M13,J13*L13)),"",IF(L13=0,J13*M13,J13*L13)))</f>
        <v/>
      </c>
      <c r="L13" s="93"/>
      <c r="M13" s="200"/>
      <c r="N13" s="279"/>
      <c r="O13" s="71"/>
      <c r="P13" s="522" t="str">
        <f>IF(M13="","",IF(ISERROR(IF(L13=0,G13*M13,G13*L13)),"",IF(L13=0,G13*M13,G13*L13)))</f>
        <v/>
      </c>
      <c r="Q13" s="415" t="str">
        <f>IF(R13&lt;&gt;"","",IF(OR(M13=0,N13=0),"",((M13/1.055)-N13)/(M13/1.055)))</f>
        <v/>
      </c>
      <c r="R13" s="415" t="str">
        <f t="shared" ref="R13:R76" si="0">IF(L13=0,"",((L13/1.055)-N13)/(L13/1.055))</f>
        <v/>
      </c>
      <c r="S13" s="59"/>
      <c r="T13" s="61"/>
      <c r="U13" s="63"/>
      <c r="V13" s="11"/>
    </row>
    <row r="14" spans="1:22" ht="20.25" customHeight="1" x14ac:dyDescent="0.2">
      <c r="A14" s="3">
        <v>1100</v>
      </c>
      <c r="B14" s="103">
        <v>37419</v>
      </c>
      <c r="C14" s="12" t="s">
        <v>4</v>
      </c>
      <c r="D14" s="3">
        <v>1</v>
      </c>
      <c r="E14" s="16"/>
      <c r="G14" s="503">
        <v>200</v>
      </c>
      <c r="H14" s="228"/>
      <c r="I14" s="228"/>
      <c r="J14" s="210">
        <v>34</v>
      </c>
      <c r="K14" s="420">
        <f>IF(M14="","",IF(ISERROR(IF(L14=0,J14*M14,J14*L14)),"",IF(L14=0,J14*M14,J14*L14)))</f>
        <v>34</v>
      </c>
      <c r="L14" s="93"/>
      <c r="M14" s="200">
        <v>1</v>
      </c>
      <c r="N14" s="279">
        <v>0.5</v>
      </c>
      <c r="O14" s="71"/>
      <c r="P14" s="522">
        <f t="shared" ref="P14:P77" si="1">IF(M14="","",IF(ISERROR(IF(L14=0,G14*M14,G14*L14)),"",IF(L14=0,G14*M14,G14*L14)))</f>
        <v>200</v>
      </c>
      <c r="Q14" s="415">
        <f t="shared" ref="Q14:Q77" si="2">IF(R14&lt;&gt;"","",IF(OR(M14=0,N14=0),"",((M14/1.055)-N14)/(M14/1.055)))</f>
        <v>0.47250000000000003</v>
      </c>
      <c r="R14" s="415" t="str">
        <f t="shared" si="0"/>
        <v/>
      </c>
      <c r="S14" s="59"/>
      <c r="T14" s="61"/>
      <c r="U14" s="63"/>
      <c r="V14" s="11"/>
    </row>
    <row r="15" spans="1:22" ht="20.25" customHeight="1" x14ac:dyDescent="0.2">
      <c r="A15" s="3" t="s">
        <v>222</v>
      </c>
      <c r="B15" s="103">
        <v>37416</v>
      </c>
      <c r="C15" s="12" t="s">
        <v>2</v>
      </c>
      <c r="D15" s="3">
        <v>1</v>
      </c>
      <c r="E15" s="16"/>
      <c r="G15" s="503">
        <v>100</v>
      </c>
      <c r="H15" s="228"/>
      <c r="I15" s="228"/>
      <c r="J15" s="210">
        <v>29</v>
      </c>
      <c r="K15" s="420">
        <f t="shared" ref="K15:K66" si="3">IF(M15="","",IF(ISERROR(IF(L15=0,J15*M15,J15*L15)),"",IF(L15=0,J15*M15,J15*L15)))</f>
        <v>29</v>
      </c>
      <c r="L15" s="93"/>
      <c r="M15" s="200">
        <v>1</v>
      </c>
      <c r="N15" s="279">
        <v>0.5</v>
      </c>
      <c r="O15" s="71"/>
      <c r="P15" s="522">
        <f t="shared" si="1"/>
        <v>100</v>
      </c>
      <c r="Q15" s="415">
        <f t="shared" si="2"/>
        <v>0.47250000000000003</v>
      </c>
      <c r="R15" s="415" t="str">
        <f t="shared" si="0"/>
        <v/>
      </c>
      <c r="S15" s="59"/>
      <c r="T15" s="61"/>
      <c r="U15" s="63"/>
      <c r="V15" s="11"/>
    </row>
    <row r="16" spans="1:22" ht="20.25" customHeight="1" x14ac:dyDescent="0.2">
      <c r="A16" s="3" t="s">
        <v>223</v>
      </c>
      <c r="B16" s="103">
        <v>33389</v>
      </c>
      <c r="C16" s="12" t="s">
        <v>3</v>
      </c>
      <c r="D16" s="3">
        <v>1</v>
      </c>
      <c r="E16" s="16"/>
      <c r="G16" s="246">
        <v>10</v>
      </c>
      <c r="H16" s="228"/>
      <c r="I16" s="228"/>
      <c r="J16" s="210">
        <v>6</v>
      </c>
      <c r="K16" s="420">
        <f t="shared" si="3"/>
        <v>6</v>
      </c>
      <c r="L16" s="93"/>
      <c r="M16" s="200">
        <v>1</v>
      </c>
      <c r="N16" s="279">
        <v>0.5</v>
      </c>
      <c r="O16" s="71"/>
      <c r="P16" s="522">
        <f t="shared" si="1"/>
        <v>10</v>
      </c>
      <c r="Q16" s="415">
        <f t="shared" si="2"/>
        <v>0.47250000000000003</v>
      </c>
      <c r="R16" s="415" t="str">
        <f t="shared" si="0"/>
        <v/>
      </c>
      <c r="S16" s="59"/>
      <c r="T16" s="61"/>
      <c r="U16" s="63"/>
      <c r="V16" s="11"/>
    </row>
    <row r="17" spans="1:25" ht="20.25" customHeight="1" x14ac:dyDescent="0.2">
      <c r="A17" s="3" t="s">
        <v>224</v>
      </c>
      <c r="B17" s="103">
        <v>649148</v>
      </c>
      <c r="C17" s="12" t="s">
        <v>119</v>
      </c>
      <c r="D17" s="4">
        <v>1</v>
      </c>
      <c r="E17" s="18"/>
      <c r="G17" s="246">
        <v>20</v>
      </c>
      <c r="H17" s="228"/>
      <c r="I17" s="228"/>
      <c r="J17" s="350">
        <v>9</v>
      </c>
      <c r="K17" s="420">
        <f t="shared" si="3"/>
        <v>9</v>
      </c>
      <c r="L17" s="93"/>
      <c r="M17" s="200">
        <v>1</v>
      </c>
      <c r="N17" s="279">
        <v>0.5</v>
      </c>
      <c r="O17" s="71"/>
      <c r="P17" s="522">
        <f t="shared" si="1"/>
        <v>20</v>
      </c>
      <c r="Q17" s="415">
        <f t="shared" si="2"/>
        <v>0.47250000000000003</v>
      </c>
      <c r="R17" s="415" t="str">
        <f t="shared" si="0"/>
        <v/>
      </c>
      <c r="S17" s="59"/>
      <c r="T17" s="61"/>
      <c r="U17" s="63"/>
      <c r="V17" s="11"/>
    </row>
    <row r="18" spans="1:25" ht="20.25" customHeight="1" x14ac:dyDescent="0.2">
      <c r="A18" s="3" t="s">
        <v>225</v>
      </c>
      <c r="B18" s="103">
        <v>244183</v>
      </c>
      <c r="C18" s="12" t="s">
        <v>120</v>
      </c>
      <c r="D18" s="4">
        <v>1</v>
      </c>
      <c r="E18" s="17"/>
      <c r="G18" s="228"/>
      <c r="H18" s="228"/>
      <c r="I18" s="228"/>
      <c r="J18" s="376" t="s">
        <v>156</v>
      </c>
      <c r="K18" s="420" t="str">
        <f t="shared" si="3"/>
        <v/>
      </c>
      <c r="L18" s="93"/>
      <c r="M18" s="200"/>
      <c r="N18" s="279"/>
      <c r="O18" s="71"/>
      <c r="P18" s="522" t="str">
        <f t="shared" si="1"/>
        <v/>
      </c>
      <c r="Q18" s="415" t="str">
        <f t="shared" si="2"/>
        <v/>
      </c>
      <c r="R18" s="415" t="str">
        <f t="shared" si="0"/>
        <v/>
      </c>
      <c r="S18" s="59"/>
      <c r="T18" s="61"/>
      <c r="U18" s="63"/>
      <c r="V18" s="11"/>
    </row>
    <row r="19" spans="1:25" ht="20.25" customHeight="1" x14ac:dyDescent="0.2">
      <c r="A19" s="3" t="s">
        <v>226</v>
      </c>
      <c r="B19" s="103">
        <v>2929</v>
      </c>
      <c r="C19" s="12" t="s">
        <v>135</v>
      </c>
      <c r="D19" s="4">
        <v>1</v>
      </c>
      <c r="E19" s="17"/>
      <c r="G19" s="228">
        <v>10</v>
      </c>
      <c r="H19" s="228"/>
      <c r="I19" s="228"/>
      <c r="J19" s="376">
        <v>42</v>
      </c>
      <c r="K19" s="420">
        <f t="shared" si="3"/>
        <v>42</v>
      </c>
      <c r="L19" s="93"/>
      <c r="M19" s="200">
        <v>1</v>
      </c>
      <c r="N19" s="279">
        <v>0.5</v>
      </c>
      <c r="O19" s="71"/>
      <c r="P19" s="522">
        <f t="shared" si="1"/>
        <v>10</v>
      </c>
      <c r="Q19" s="415">
        <f t="shared" si="2"/>
        <v>0.47250000000000003</v>
      </c>
      <c r="R19" s="415" t="str">
        <f t="shared" si="0"/>
        <v/>
      </c>
      <c r="S19" s="59"/>
      <c r="T19" s="61"/>
      <c r="U19" s="63"/>
      <c r="V19" s="11"/>
    </row>
    <row r="20" spans="1:25" ht="20.25" customHeight="1" x14ac:dyDescent="0.2">
      <c r="A20" s="3"/>
      <c r="B20" s="103"/>
      <c r="C20" s="12"/>
      <c r="E20" s="17"/>
      <c r="G20" s="228"/>
      <c r="H20" s="228"/>
      <c r="I20" s="228"/>
      <c r="J20" s="376" t="s">
        <v>156</v>
      </c>
      <c r="K20" s="420" t="str">
        <f t="shared" si="3"/>
        <v/>
      </c>
      <c r="L20" s="93"/>
      <c r="M20" s="200"/>
      <c r="N20" s="279"/>
      <c r="O20" s="71"/>
      <c r="P20" s="522" t="str">
        <f t="shared" si="1"/>
        <v/>
      </c>
      <c r="Q20" s="415" t="str">
        <f t="shared" si="2"/>
        <v/>
      </c>
      <c r="R20" s="415" t="str">
        <f t="shared" si="0"/>
        <v/>
      </c>
      <c r="S20" s="59"/>
      <c r="T20" s="61"/>
      <c r="U20" s="63"/>
      <c r="V20" s="11"/>
    </row>
    <row r="21" spans="1:25" ht="20.25" customHeight="1" x14ac:dyDescent="0.2">
      <c r="A21" s="3"/>
      <c r="B21" s="103"/>
      <c r="C21" s="12"/>
      <c r="E21" s="17"/>
      <c r="G21" s="228"/>
      <c r="H21" s="228"/>
      <c r="I21" s="228"/>
      <c r="J21" s="376" t="s">
        <v>156</v>
      </c>
      <c r="K21" s="420" t="str">
        <f t="shared" si="3"/>
        <v/>
      </c>
      <c r="L21" s="93"/>
      <c r="M21" s="200"/>
      <c r="N21" s="279"/>
      <c r="O21" s="71"/>
      <c r="P21" s="522" t="str">
        <f t="shared" si="1"/>
        <v/>
      </c>
      <c r="Q21" s="415" t="str">
        <f t="shared" si="2"/>
        <v/>
      </c>
      <c r="R21" s="415" t="str">
        <f t="shared" si="0"/>
        <v/>
      </c>
      <c r="S21" s="59"/>
      <c r="T21" s="61"/>
      <c r="U21" s="63"/>
      <c r="V21" s="11"/>
    </row>
    <row r="22" spans="1:25" ht="20.25" customHeight="1" x14ac:dyDescent="0.2">
      <c r="A22" s="3" t="s">
        <v>227</v>
      </c>
      <c r="B22" s="103">
        <v>807954</v>
      </c>
      <c r="C22" s="12" t="s">
        <v>140</v>
      </c>
      <c r="D22" s="3">
        <v>1</v>
      </c>
      <c r="E22" s="16"/>
      <c r="F22" s="219"/>
      <c r="G22" s="246">
        <v>160</v>
      </c>
      <c r="H22" s="228"/>
      <c r="I22" s="228"/>
      <c r="J22" s="350">
        <v>61</v>
      </c>
      <c r="K22" s="420">
        <f t="shared" si="3"/>
        <v>61</v>
      </c>
      <c r="L22" s="93"/>
      <c r="M22" s="200">
        <v>1</v>
      </c>
      <c r="N22" s="279">
        <v>0.5</v>
      </c>
      <c r="O22" s="71"/>
      <c r="P22" s="522">
        <f t="shared" si="1"/>
        <v>160</v>
      </c>
      <c r="Q22" s="415">
        <f t="shared" si="2"/>
        <v>0.47250000000000003</v>
      </c>
      <c r="R22" s="415" t="str">
        <f t="shared" si="0"/>
        <v/>
      </c>
      <c r="S22" s="59"/>
      <c r="T22" s="61"/>
      <c r="U22" s="63"/>
      <c r="V22" s="11"/>
    </row>
    <row r="23" spans="1:25" ht="20.25" customHeight="1" x14ac:dyDescent="0.2">
      <c r="A23" s="3"/>
      <c r="B23" s="103"/>
      <c r="C23" s="12"/>
      <c r="D23" s="3"/>
      <c r="E23" s="16"/>
      <c r="G23" s="246"/>
      <c r="H23" s="228"/>
      <c r="I23" s="228"/>
      <c r="J23" s="376" t="s">
        <v>156</v>
      </c>
      <c r="K23" s="420" t="str">
        <f t="shared" si="3"/>
        <v/>
      </c>
      <c r="L23" s="93"/>
      <c r="M23" s="200"/>
      <c r="N23" s="279"/>
      <c r="O23" s="71"/>
      <c r="P23" s="522" t="str">
        <f t="shared" si="1"/>
        <v/>
      </c>
      <c r="Q23" s="415" t="str">
        <f t="shared" si="2"/>
        <v/>
      </c>
      <c r="R23" s="415" t="str">
        <f t="shared" si="0"/>
        <v/>
      </c>
      <c r="S23" s="59"/>
      <c r="T23" s="61"/>
      <c r="U23" s="63"/>
      <c r="V23" s="11"/>
    </row>
    <row r="24" spans="1:25" ht="20.25" customHeight="1" x14ac:dyDescent="0.2">
      <c r="A24" s="3"/>
      <c r="B24" s="103"/>
      <c r="C24" s="12"/>
      <c r="D24" s="3"/>
      <c r="E24" s="16"/>
      <c r="G24" s="246"/>
      <c r="H24" s="228"/>
      <c r="I24" s="228"/>
      <c r="J24" s="376" t="s">
        <v>156</v>
      </c>
      <c r="K24" s="420" t="str">
        <f t="shared" si="3"/>
        <v/>
      </c>
      <c r="L24" s="93"/>
      <c r="M24" s="200"/>
      <c r="N24" s="279"/>
      <c r="O24" s="71"/>
      <c r="P24" s="522" t="str">
        <f t="shared" si="1"/>
        <v/>
      </c>
      <c r="Q24" s="415" t="str">
        <f t="shared" si="2"/>
        <v/>
      </c>
      <c r="R24" s="415" t="str">
        <f t="shared" si="0"/>
        <v/>
      </c>
      <c r="S24" s="59"/>
      <c r="T24" s="61"/>
      <c r="U24" s="63"/>
      <c r="V24" s="11"/>
      <c r="Y24" s="328"/>
    </row>
    <row r="25" spans="1:25" ht="20.25" customHeight="1" x14ac:dyDescent="0.2">
      <c r="A25" s="3" t="s">
        <v>228</v>
      </c>
      <c r="B25" s="103">
        <v>807959</v>
      </c>
      <c r="C25" s="12" t="s">
        <v>46</v>
      </c>
      <c r="D25" s="4">
        <v>1</v>
      </c>
      <c r="E25" s="16"/>
      <c r="G25" s="246">
        <v>140</v>
      </c>
      <c r="H25" s="228"/>
      <c r="I25" s="228"/>
      <c r="J25" s="376">
        <v>43</v>
      </c>
      <c r="K25" s="420">
        <f t="shared" si="3"/>
        <v>43</v>
      </c>
      <c r="L25" s="93"/>
      <c r="M25" s="200">
        <v>1</v>
      </c>
      <c r="N25" s="279">
        <v>0.5</v>
      </c>
      <c r="O25" s="71"/>
      <c r="P25" s="522">
        <f t="shared" si="1"/>
        <v>140</v>
      </c>
      <c r="Q25" s="415">
        <f t="shared" si="2"/>
        <v>0.47250000000000003</v>
      </c>
      <c r="R25" s="415" t="str">
        <f t="shared" si="0"/>
        <v/>
      </c>
      <c r="S25" s="59"/>
      <c r="T25" s="61"/>
      <c r="U25" s="63"/>
      <c r="V25" s="11"/>
    </row>
    <row r="26" spans="1:25" ht="20.25" customHeight="1" x14ac:dyDescent="0.2">
      <c r="A26" s="3" t="s">
        <v>229</v>
      </c>
      <c r="B26" s="103">
        <v>48541</v>
      </c>
      <c r="C26" s="12" t="s">
        <v>47</v>
      </c>
      <c r="D26" s="3">
        <v>1</v>
      </c>
      <c r="E26" s="16"/>
      <c r="G26" s="246">
        <v>15</v>
      </c>
      <c r="H26" s="228"/>
      <c r="I26" s="228"/>
      <c r="J26" s="377">
        <v>54</v>
      </c>
      <c r="K26" s="420">
        <f t="shared" si="3"/>
        <v>54</v>
      </c>
      <c r="L26" s="95"/>
      <c r="M26" s="200">
        <v>1</v>
      </c>
      <c r="N26" s="279">
        <v>0.5</v>
      </c>
      <c r="O26" s="71"/>
      <c r="P26" s="522">
        <f t="shared" si="1"/>
        <v>15</v>
      </c>
      <c r="Q26" s="415">
        <f t="shared" si="2"/>
        <v>0.47250000000000003</v>
      </c>
      <c r="R26" s="415" t="str">
        <f t="shared" si="0"/>
        <v/>
      </c>
      <c r="S26" s="59"/>
      <c r="T26" s="61"/>
      <c r="U26" s="63"/>
      <c r="V26" s="11"/>
    </row>
    <row r="27" spans="1:25" ht="20.25" customHeight="1" x14ac:dyDescent="0.2">
      <c r="A27" s="3" t="s">
        <v>230</v>
      </c>
      <c r="B27" s="103">
        <v>40836</v>
      </c>
      <c r="C27" s="12" t="s">
        <v>48</v>
      </c>
      <c r="D27" s="3">
        <v>1</v>
      </c>
      <c r="E27" s="22"/>
      <c r="F27" s="106"/>
      <c r="G27" s="246">
        <v>50</v>
      </c>
      <c r="H27" s="228"/>
      <c r="I27" s="228"/>
      <c r="J27" s="376">
        <v>47</v>
      </c>
      <c r="K27" s="420">
        <f t="shared" si="3"/>
        <v>47</v>
      </c>
      <c r="L27" s="93"/>
      <c r="M27" s="200">
        <v>1</v>
      </c>
      <c r="N27" s="279">
        <v>0.5</v>
      </c>
      <c r="O27" s="71"/>
      <c r="P27" s="522">
        <f t="shared" si="1"/>
        <v>50</v>
      </c>
      <c r="Q27" s="415">
        <f t="shared" si="2"/>
        <v>0.47250000000000003</v>
      </c>
      <c r="R27" s="415" t="str">
        <f t="shared" si="0"/>
        <v/>
      </c>
      <c r="S27" s="59"/>
      <c r="T27" s="61"/>
      <c r="U27" s="63"/>
      <c r="V27" s="11"/>
    </row>
    <row r="28" spans="1:25" ht="20.25" customHeight="1" x14ac:dyDescent="0.2">
      <c r="A28" s="3" t="s">
        <v>231</v>
      </c>
      <c r="B28" s="103">
        <v>24531</v>
      </c>
      <c r="C28" s="12" t="s">
        <v>49</v>
      </c>
      <c r="D28" s="3">
        <v>1</v>
      </c>
      <c r="E28" s="16"/>
      <c r="G28" s="246">
        <v>10</v>
      </c>
      <c r="H28" s="228"/>
      <c r="I28" s="228"/>
      <c r="J28" s="350">
        <v>8</v>
      </c>
      <c r="K28" s="420">
        <f t="shared" si="3"/>
        <v>8</v>
      </c>
      <c r="L28" s="93"/>
      <c r="M28" s="200">
        <v>1</v>
      </c>
      <c r="N28" s="279">
        <v>0.5</v>
      </c>
      <c r="O28" s="71"/>
      <c r="P28" s="522">
        <f t="shared" si="1"/>
        <v>10</v>
      </c>
      <c r="Q28" s="415">
        <f t="shared" si="2"/>
        <v>0.47250000000000003</v>
      </c>
      <c r="R28" s="415" t="str">
        <f t="shared" si="0"/>
        <v/>
      </c>
      <c r="S28" s="59"/>
      <c r="T28" s="61"/>
      <c r="U28" s="63"/>
      <c r="V28" s="11"/>
    </row>
    <row r="29" spans="1:25" ht="20.25" customHeight="1" x14ac:dyDescent="0.2">
      <c r="A29" s="3"/>
      <c r="B29" s="103"/>
      <c r="C29" s="12"/>
      <c r="D29" s="3"/>
      <c r="E29" s="16"/>
      <c r="G29" s="246"/>
      <c r="H29" s="228"/>
      <c r="I29" s="228"/>
      <c r="J29" s="210" t="s">
        <v>156</v>
      </c>
      <c r="K29" s="420" t="str">
        <f t="shared" si="3"/>
        <v/>
      </c>
      <c r="L29" s="93"/>
      <c r="M29" s="200"/>
      <c r="N29" s="279"/>
      <c r="O29" s="71"/>
      <c r="P29" s="522" t="str">
        <f t="shared" si="1"/>
        <v/>
      </c>
      <c r="Q29" s="415" t="str">
        <f t="shared" si="2"/>
        <v/>
      </c>
      <c r="R29" s="415" t="str">
        <f t="shared" si="0"/>
        <v/>
      </c>
      <c r="S29" s="59"/>
      <c r="T29" s="61"/>
      <c r="U29" s="63"/>
      <c r="V29" s="11"/>
    </row>
    <row r="30" spans="1:25" ht="20.25" customHeight="1" x14ac:dyDescent="0.2">
      <c r="A30" s="3" t="s">
        <v>347</v>
      </c>
      <c r="B30" s="103">
        <v>37956</v>
      </c>
      <c r="C30" s="12" t="s">
        <v>348</v>
      </c>
      <c r="D30" s="4">
        <v>1</v>
      </c>
      <c r="E30" s="16"/>
      <c r="G30" s="246"/>
      <c r="H30" s="228"/>
      <c r="I30" s="228"/>
      <c r="J30" s="210" t="s">
        <v>156</v>
      </c>
      <c r="K30" s="420" t="str">
        <f t="shared" si="3"/>
        <v/>
      </c>
      <c r="L30" s="93"/>
      <c r="M30" s="200">
        <v>1</v>
      </c>
      <c r="N30" s="279">
        <v>0.5</v>
      </c>
      <c r="O30" s="71"/>
      <c r="P30" s="522">
        <f t="shared" si="1"/>
        <v>0</v>
      </c>
      <c r="Q30" s="415">
        <f t="shared" si="2"/>
        <v>0.47250000000000003</v>
      </c>
      <c r="R30" s="415" t="str">
        <f t="shared" si="0"/>
        <v/>
      </c>
      <c r="S30" s="59"/>
      <c r="T30" s="61"/>
      <c r="U30" s="63"/>
      <c r="V30" s="11"/>
    </row>
    <row r="31" spans="1:25" ht="20.25" customHeight="1" x14ac:dyDescent="0.2">
      <c r="A31" s="3"/>
      <c r="B31" s="103"/>
      <c r="C31" s="12"/>
      <c r="D31" s="3"/>
      <c r="E31" s="24"/>
      <c r="F31" s="106"/>
      <c r="G31" s="246"/>
      <c r="H31" s="228"/>
      <c r="I31" s="228"/>
      <c r="J31" s="210" t="s">
        <v>156</v>
      </c>
      <c r="K31" s="420" t="str">
        <f t="shared" si="3"/>
        <v/>
      </c>
      <c r="L31" s="94"/>
      <c r="M31" s="200"/>
      <c r="N31" s="279"/>
      <c r="O31" s="71"/>
      <c r="P31" s="522" t="str">
        <f t="shared" si="1"/>
        <v/>
      </c>
      <c r="Q31" s="415" t="str">
        <f t="shared" si="2"/>
        <v/>
      </c>
      <c r="R31" s="415" t="str">
        <f t="shared" si="0"/>
        <v/>
      </c>
      <c r="S31" s="59"/>
      <c r="T31" s="61"/>
      <c r="U31" s="63"/>
      <c r="V31" s="11"/>
    </row>
    <row r="32" spans="1:25" ht="20.25" customHeight="1" x14ac:dyDescent="0.2">
      <c r="A32" s="3"/>
      <c r="B32" s="103"/>
      <c r="C32" s="12"/>
      <c r="D32" s="3"/>
      <c r="E32" s="18"/>
      <c r="G32" s="246"/>
      <c r="H32" s="228"/>
      <c r="I32" s="228"/>
      <c r="J32" s="210" t="s">
        <v>156</v>
      </c>
      <c r="K32" s="420" t="str">
        <f t="shared" si="3"/>
        <v/>
      </c>
      <c r="L32" s="93"/>
      <c r="M32" s="200"/>
      <c r="N32" s="279"/>
      <c r="O32" s="71"/>
      <c r="P32" s="522" t="str">
        <f t="shared" si="1"/>
        <v/>
      </c>
      <c r="Q32" s="415" t="str">
        <f t="shared" si="2"/>
        <v/>
      </c>
      <c r="R32" s="415" t="str">
        <f t="shared" si="0"/>
        <v/>
      </c>
      <c r="S32" s="59"/>
      <c r="T32" s="61"/>
      <c r="U32" s="63"/>
      <c r="V32" s="11"/>
    </row>
    <row r="33" spans="1:22" ht="20.25" customHeight="1" x14ac:dyDescent="0.2">
      <c r="A33" s="3" t="s">
        <v>232</v>
      </c>
      <c r="B33" s="103">
        <v>544002</v>
      </c>
      <c r="C33" s="12" t="s">
        <v>51</v>
      </c>
      <c r="D33" s="4">
        <v>1</v>
      </c>
      <c r="E33" s="16"/>
      <c r="G33" s="246">
        <v>15</v>
      </c>
      <c r="H33" s="228"/>
      <c r="I33" s="228"/>
      <c r="J33" s="210">
        <v>13</v>
      </c>
      <c r="K33" s="420">
        <f t="shared" si="3"/>
        <v>13</v>
      </c>
      <c r="L33" s="93"/>
      <c r="M33" s="200">
        <v>1</v>
      </c>
      <c r="N33" s="279">
        <v>0.5</v>
      </c>
      <c r="O33" s="71"/>
      <c r="P33" s="522">
        <f t="shared" si="1"/>
        <v>15</v>
      </c>
      <c r="Q33" s="415">
        <f t="shared" si="2"/>
        <v>0.47250000000000003</v>
      </c>
      <c r="R33" s="415" t="str">
        <f t="shared" si="0"/>
        <v/>
      </c>
      <c r="S33" s="59"/>
      <c r="T33" s="61"/>
      <c r="U33" s="63"/>
      <c r="V33" s="11"/>
    </row>
    <row r="34" spans="1:22" ht="20.25" customHeight="1" x14ac:dyDescent="0.2">
      <c r="A34" s="3"/>
      <c r="B34" s="103"/>
      <c r="C34" s="12"/>
      <c r="E34" s="16"/>
      <c r="G34" s="246"/>
      <c r="H34" s="228"/>
      <c r="I34" s="228"/>
      <c r="J34" s="350" t="s">
        <v>156</v>
      </c>
      <c r="K34" s="420" t="str">
        <f t="shared" si="3"/>
        <v/>
      </c>
      <c r="L34" s="93"/>
      <c r="M34" s="200"/>
      <c r="N34" s="279"/>
      <c r="O34" s="71"/>
      <c r="P34" s="522" t="str">
        <f t="shared" si="1"/>
        <v/>
      </c>
      <c r="Q34" s="415" t="str">
        <f t="shared" si="2"/>
        <v/>
      </c>
      <c r="R34" s="415" t="str">
        <f t="shared" si="0"/>
        <v/>
      </c>
      <c r="S34" s="59"/>
      <c r="T34" s="61"/>
      <c r="U34" s="63"/>
      <c r="V34" s="11"/>
    </row>
    <row r="35" spans="1:22" ht="20.25" customHeight="1" x14ac:dyDescent="0.2">
      <c r="A35" s="3"/>
      <c r="B35" s="103"/>
      <c r="C35" s="12"/>
      <c r="E35" s="16"/>
      <c r="G35" s="246"/>
      <c r="H35" s="228"/>
      <c r="I35" s="228"/>
      <c r="J35" s="210" t="s">
        <v>156</v>
      </c>
      <c r="K35" s="420" t="str">
        <f t="shared" si="3"/>
        <v/>
      </c>
      <c r="L35" s="94"/>
      <c r="M35" s="200"/>
      <c r="N35" s="279"/>
      <c r="O35" s="71"/>
      <c r="P35" s="522" t="str">
        <f t="shared" si="1"/>
        <v/>
      </c>
      <c r="Q35" s="415" t="str">
        <f t="shared" si="2"/>
        <v/>
      </c>
      <c r="R35" s="415" t="str">
        <f t="shared" si="0"/>
        <v/>
      </c>
      <c r="S35" s="59"/>
      <c r="T35" s="61"/>
      <c r="U35" s="63"/>
      <c r="V35" s="11"/>
    </row>
    <row r="36" spans="1:22" ht="20.25" customHeight="1" x14ac:dyDescent="0.2">
      <c r="A36" s="3"/>
      <c r="B36" s="103"/>
      <c r="C36" s="12"/>
      <c r="E36" s="16"/>
      <c r="G36" s="246"/>
      <c r="H36" s="228"/>
      <c r="I36" s="228"/>
      <c r="J36" s="210" t="s">
        <v>156</v>
      </c>
      <c r="K36" s="420" t="str">
        <f t="shared" si="3"/>
        <v/>
      </c>
      <c r="L36" s="93"/>
      <c r="M36" s="200"/>
      <c r="N36" s="279"/>
      <c r="O36" s="71"/>
      <c r="P36" s="522" t="str">
        <f t="shared" si="1"/>
        <v/>
      </c>
      <c r="Q36" s="415" t="str">
        <f t="shared" si="2"/>
        <v/>
      </c>
      <c r="R36" s="415" t="str">
        <f t="shared" si="0"/>
        <v/>
      </c>
      <c r="S36" s="59"/>
      <c r="T36" s="61"/>
      <c r="U36" s="63"/>
      <c r="V36" s="11"/>
    </row>
    <row r="37" spans="1:22" ht="20.25" customHeight="1" x14ac:dyDescent="0.2">
      <c r="A37" s="3" t="s">
        <v>233</v>
      </c>
      <c r="B37" s="103">
        <v>33180</v>
      </c>
      <c r="C37" s="12" t="s">
        <v>52</v>
      </c>
      <c r="D37" s="4">
        <v>1</v>
      </c>
      <c r="E37" s="16"/>
      <c r="G37" s="246">
        <v>15</v>
      </c>
      <c r="H37" s="228"/>
      <c r="I37" s="228"/>
      <c r="J37" s="210">
        <v>14</v>
      </c>
      <c r="K37" s="420">
        <f t="shared" si="3"/>
        <v>14</v>
      </c>
      <c r="L37" s="93"/>
      <c r="M37" s="200">
        <v>1</v>
      </c>
      <c r="N37" s="279">
        <v>0.5</v>
      </c>
      <c r="O37" s="71"/>
      <c r="P37" s="522">
        <f t="shared" si="1"/>
        <v>15</v>
      </c>
      <c r="Q37" s="415">
        <f t="shared" si="2"/>
        <v>0.47250000000000003</v>
      </c>
      <c r="R37" s="415" t="str">
        <f t="shared" si="0"/>
        <v/>
      </c>
      <c r="S37" s="59"/>
      <c r="T37" s="61"/>
      <c r="U37" s="63"/>
      <c r="V37" s="11"/>
    </row>
    <row r="38" spans="1:22" ht="20.25" customHeight="1" x14ac:dyDescent="0.2">
      <c r="A38" s="3" t="s">
        <v>234</v>
      </c>
      <c r="B38" s="103">
        <v>33126</v>
      </c>
      <c r="C38" s="12" t="s">
        <v>53</v>
      </c>
      <c r="D38" s="4">
        <v>1</v>
      </c>
      <c r="E38" s="16"/>
      <c r="G38" s="246">
        <v>180</v>
      </c>
      <c r="H38" s="228"/>
      <c r="I38" s="228"/>
      <c r="J38" s="350">
        <v>48</v>
      </c>
      <c r="K38" s="420">
        <f t="shared" si="3"/>
        <v>48</v>
      </c>
      <c r="L38" s="93"/>
      <c r="M38" s="200">
        <v>1</v>
      </c>
      <c r="N38" s="279">
        <v>0.5</v>
      </c>
      <c r="O38" s="71"/>
      <c r="P38" s="522">
        <f t="shared" si="1"/>
        <v>180</v>
      </c>
      <c r="Q38" s="415">
        <f t="shared" si="2"/>
        <v>0.47250000000000003</v>
      </c>
      <c r="R38" s="415" t="str">
        <f t="shared" si="0"/>
        <v/>
      </c>
      <c r="S38" s="59"/>
      <c r="T38" s="61"/>
      <c r="U38" s="63"/>
      <c r="V38" s="11"/>
    </row>
    <row r="39" spans="1:22" ht="20.25" customHeight="1" x14ac:dyDescent="0.2">
      <c r="A39" s="3">
        <v>4371</v>
      </c>
      <c r="B39" s="103">
        <v>2772</v>
      </c>
      <c r="C39" s="12" t="s">
        <v>54</v>
      </c>
      <c r="D39" s="3">
        <v>1</v>
      </c>
      <c r="E39" s="17"/>
      <c r="G39" s="246">
        <v>10</v>
      </c>
      <c r="H39" s="228"/>
      <c r="I39" s="228"/>
      <c r="J39" s="376">
        <v>12</v>
      </c>
      <c r="K39" s="420">
        <f t="shared" si="3"/>
        <v>12</v>
      </c>
      <c r="L39" s="93"/>
      <c r="M39" s="200">
        <v>1</v>
      </c>
      <c r="N39" s="279">
        <v>0.5</v>
      </c>
      <c r="O39" s="71"/>
      <c r="P39" s="522">
        <f t="shared" si="1"/>
        <v>10</v>
      </c>
      <c r="Q39" s="415">
        <f t="shared" si="2"/>
        <v>0.47250000000000003</v>
      </c>
      <c r="R39" s="415" t="str">
        <f t="shared" si="0"/>
        <v/>
      </c>
      <c r="S39" s="59"/>
      <c r="T39" s="61"/>
      <c r="U39" s="63"/>
      <c r="V39" s="11"/>
    </row>
    <row r="40" spans="1:22" ht="20.25" customHeight="1" x14ac:dyDescent="0.2">
      <c r="A40" s="3">
        <v>4012</v>
      </c>
      <c r="B40" s="103">
        <v>2538</v>
      </c>
      <c r="C40" s="12" t="s">
        <v>55</v>
      </c>
      <c r="D40" s="4">
        <v>1</v>
      </c>
      <c r="E40" s="16"/>
      <c r="G40" s="246">
        <v>4</v>
      </c>
      <c r="H40" s="228"/>
      <c r="I40" s="228"/>
      <c r="J40" s="376">
        <v>4</v>
      </c>
      <c r="K40" s="420">
        <f t="shared" si="3"/>
        <v>4</v>
      </c>
      <c r="L40" s="93"/>
      <c r="M40" s="200">
        <v>1</v>
      </c>
      <c r="N40" s="279">
        <v>0.5</v>
      </c>
      <c r="O40" s="71"/>
      <c r="P40" s="522">
        <f t="shared" si="1"/>
        <v>4</v>
      </c>
      <c r="Q40" s="415">
        <f t="shared" si="2"/>
        <v>0.47250000000000003</v>
      </c>
      <c r="R40" s="415" t="str">
        <f t="shared" si="0"/>
        <v/>
      </c>
      <c r="S40" s="59"/>
      <c r="T40" s="61"/>
      <c r="U40" s="63"/>
      <c r="V40" s="11"/>
    </row>
    <row r="41" spans="1:22" ht="20.25" customHeight="1" x14ac:dyDescent="0.2">
      <c r="A41" s="3" t="s">
        <v>235</v>
      </c>
      <c r="B41" s="103">
        <v>24379</v>
      </c>
      <c r="C41" s="12" t="s">
        <v>56</v>
      </c>
      <c r="D41" s="3">
        <v>1</v>
      </c>
      <c r="E41" s="16"/>
      <c r="G41" s="246">
        <v>20</v>
      </c>
      <c r="H41" s="228"/>
      <c r="I41" s="228"/>
      <c r="J41" s="376">
        <v>16</v>
      </c>
      <c r="K41" s="420">
        <f t="shared" si="3"/>
        <v>16</v>
      </c>
      <c r="L41" s="93"/>
      <c r="M41" s="200">
        <v>1</v>
      </c>
      <c r="N41" s="279">
        <v>0.5</v>
      </c>
      <c r="O41" s="71"/>
      <c r="P41" s="522">
        <f t="shared" si="1"/>
        <v>20</v>
      </c>
      <c r="Q41" s="415">
        <f t="shared" si="2"/>
        <v>0.47250000000000003</v>
      </c>
      <c r="R41" s="415" t="str">
        <f t="shared" si="0"/>
        <v/>
      </c>
      <c r="S41" s="59"/>
      <c r="T41" s="61"/>
      <c r="U41" s="63"/>
      <c r="V41" s="11"/>
    </row>
    <row r="42" spans="1:22" ht="20.25" customHeight="1" x14ac:dyDescent="0.2">
      <c r="A42" s="3"/>
      <c r="B42" s="103"/>
      <c r="C42" s="12"/>
      <c r="D42" s="3"/>
      <c r="E42" s="16"/>
      <c r="G42" s="246"/>
      <c r="H42" s="228"/>
      <c r="I42" s="228"/>
      <c r="J42" s="376" t="s">
        <v>156</v>
      </c>
      <c r="K42" s="420" t="str">
        <f t="shared" si="3"/>
        <v/>
      </c>
      <c r="L42" s="93"/>
      <c r="M42" s="200"/>
      <c r="N42" s="279"/>
      <c r="O42" s="71"/>
      <c r="P42" s="522" t="str">
        <f t="shared" si="1"/>
        <v/>
      </c>
      <c r="Q42" s="415" t="str">
        <f t="shared" si="2"/>
        <v/>
      </c>
      <c r="R42" s="415" t="str">
        <f t="shared" si="0"/>
        <v/>
      </c>
      <c r="S42" s="59"/>
      <c r="T42" s="61"/>
      <c r="U42" s="63"/>
      <c r="V42" s="11"/>
    </row>
    <row r="43" spans="1:22" ht="20.25" customHeight="1" x14ac:dyDescent="0.2">
      <c r="A43" s="3"/>
      <c r="B43" s="103"/>
      <c r="C43" s="12"/>
      <c r="D43" s="3"/>
      <c r="E43" s="16"/>
      <c r="G43" s="228"/>
      <c r="H43" s="228"/>
      <c r="I43" s="228"/>
      <c r="J43" s="378" t="s">
        <v>156</v>
      </c>
      <c r="K43" s="420" t="str">
        <f t="shared" si="3"/>
        <v/>
      </c>
      <c r="L43" s="93"/>
      <c r="M43" s="200"/>
      <c r="N43" s="279"/>
      <c r="O43" s="71"/>
      <c r="P43" s="522" t="str">
        <f t="shared" si="1"/>
        <v/>
      </c>
      <c r="Q43" s="415" t="str">
        <f t="shared" si="2"/>
        <v/>
      </c>
      <c r="R43" s="415" t="str">
        <f t="shared" si="0"/>
        <v/>
      </c>
      <c r="S43" s="59"/>
      <c r="T43" s="61"/>
      <c r="U43" s="63"/>
      <c r="V43" s="11"/>
    </row>
    <row r="44" spans="1:22" ht="20.25" customHeight="1" x14ac:dyDescent="0.2">
      <c r="A44" s="3"/>
      <c r="B44" s="103"/>
      <c r="C44" s="12"/>
      <c r="D44" s="3"/>
      <c r="E44" s="16"/>
      <c r="G44" s="228"/>
      <c r="H44" s="228"/>
      <c r="I44" s="228"/>
      <c r="J44" s="376" t="s">
        <v>156</v>
      </c>
      <c r="K44" s="420" t="str">
        <f t="shared" si="3"/>
        <v/>
      </c>
      <c r="L44" s="93"/>
      <c r="M44" s="200"/>
      <c r="N44" s="279"/>
      <c r="O44" s="71"/>
      <c r="P44" s="522" t="str">
        <f t="shared" si="1"/>
        <v/>
      </c>
      <c r="Q44" s="415" t="str">
        <f t="shared" si="2"/>
        <v/>
      </c>
      <c r="R44" s="415" t="str">
        <f t="shared" si="0"/>
        <v/>
      </c>
      <c r="S44" s="59"/>
      <c r="T44" s="61"/>
      <c r="U44" s="63"/>
      <c r="V44" s="11"/>
    </row>
    <row r="45" spans="1:22" ht="20.25" customHeight="1" x14ac:dyDescent="0.2">
      <c r="A45" s="3" t="s">
        <v>241</v>
      </c>
      <c r="B45" s="103">
        <v>11682</v>
      </c>
      <c r="C45" s="12" t="s">
        <v>349</v>
      </c>
      <c r="D45" s="3">
        <v>1</v>
      </c>
      <c r="E45" s="16"/>
      <c r="G45" s="228">
        <v>25</v>
      </c>
      <c r="H45" s="228"/>
      <c r="I45" s="228"/>
      <c r="J45" s="376">
        <v>19</v>
      </c>
      <c r="K45" s="420">
        <f t="shared" si="3"/>
        <v>19</v>
      </c>
      <c r="L45" s="93"/>
      <c r="M45" s="200">
        <v>1</v>
      </c>
      <c r="N45" s="279">
        <v>0.5</v>
      </c>
      <c r="O45" s="71"/>
      <c r="P45" s="522">
        <f t="shared" si="1"/>
        <v>25</v>
      </c>
      <c r="Q45" s="415">
        <f t="shared" si="2"/>
        <v>0.47250000000000003</v>
      </c>
      <c r="R45" s="415" t="str">
        <f t="shared" si="0"/>
        <v/>
      </c>
      <c r="S45" s="59"/>
      <c r="T45" s="61"/>
      <c r="U45" s="63"/>
      <c r="V45" s="11"/>
    </row>
    <row r="46" spans="1:22" ht="20.25" customHeight="1" x14ac:dyDescent="0.2">
      <c r="A46" s="3" t="s">
        <v>236</v>
      </c>
      <c r="B46" s="103">
        <v>653070</v>
      </c>
      <c r="C46" s="12" t="s">
        <v>57</v>
      </c>
      <c r="D46" s="3">
        <v>1</v>
      </c>
      <c r="E46" s="16"/>
      <c r="F46" s="219"/>
      <c r="G46" s="228">
        <v>100</v>
      </c>
      <c r="H46" s="228"/>
      <c r="I46" s="228"/>
      <c r="J46" s="376">
        <v>230</v>
      </c>
      <c r="K46" s="420">
        <f t="shared" si="3"/>
        <v>230</v>
      </c>
      <c r="L46" s="93"/>
      <c r="M46" s="200">
        <v>1</v>
      </c>
      <c r="N46" s="279">
        <v>0.5</v>
      </c>
      <c r="O46" s="71"/>
      <c r="P46" s="522">
        <f t="shared" si="1"/>
        <v>100</v>
      </c>
      <c r="Q46" s="415">
        <f t="shared" si="2"/>
        <v>0.47250000000000003</v>
      </c>
      <c r="R46" s="415" t="str">
        <f t="shared" si="0"/>
        <v/>
      </c>
      <c r="S46" s="59"/>
      <c r="T46" s="61"/>
      <c r="U46" s="63"/>
      <c r="V46" s="11"/>
    </row>
    <row r="47" spans="1:22" ht="20.25" customHeight="1" x14ac:dyDescent="0.2">
      <c r="A47" s="3" t="s">
        <v>237</v>
      </c>
      <c r="B47" s="103">
        <v>653068</v>
      </c>
      <c r="C47" s="12" t="s">
        <v>58</v>
      </c>
      <c r="D47" s="3">
        <v>1</v>
      </c>
      <c r="E47" s="16"/>
      <c r="G47" s="228">
        <v>10</v>
      </c>
      <c r="H47" s="228"/>
      <c r="I47" s="228"/>
      <c r="J47" s="376">
        <v>6</v>
      </c>
      <c r="K47" s="420">
        <f t="shared" si="3"/>
        <v>6</v>
      </c>
      <c r="L47" s="93"/>
      <c r="M47" s="200">
        <v>1</v>
      </c>
      <c r="N47" s="279">
        <v>0.5</v>
      </c>
      <c r="O47" s="71"/>
      <c r="P47" s="522">
        <f t="shared" si="1"/>
        <v>10</v>
      </c>
      <c r="Q47" s="415">
        <f t="shared" si="2"/>
        <v>0.47250000000000003</v>
      </c>
      <c r="R47" s="415" t="str">
        <f t="shared" si="0"/>
        <v/>
      </c>
      <c r="S47" s="59"/>
      <c r="T47" s="61"/>
      <c r="U47" s="63"/>
      <c r="V47" s="11"/>
    </row>
    <row r="48" spans="1:22" ht="20.25" customHeight="1" x14ac:dyDescent="0.2">
      <c r="A48" s="3"/>
      <c r="B48" s="103"/>
      <c r="C48" s="12"/>
      <c r="D48" s="3"/>
      <c r="E48" s="16"/>
      <c r="G48" s="228"/>
      <c r="H48" s="228"/>
      <c r="I48" s="228"/>
      <c r="J48" s="376" t="s">
        <v>156</v>
      </c>
      <c r="K48" s="420" t="str">
        <f t="shared" si="3"/>
        <v/>
      </c>
      <c r="L48" s="93"/>
      <c r="M48" s="200"/>
      <c r="N48" s="279"/>
      <c r="O48" s="71"/>
      <c r="P48" s="522" t="str">
        <f t="shared" si="1"/>
        <v/>
      </c>
      <c r="Q48" s="415" t="str">
        <f t="shared" si="2"/>
        <v/>
      </c>
      <c r="R48" s="415" t="str">
        <f t="shared" si="0"/>
        <v/>
      </c>
      <c r="S48" s="59"/>
      <c r="T48" s="61"/>
      <c r="U48" s="63"/>
      <c r="V48" s="11"/>
    </row>
    <row r="49" spans="1:22" ht="20.25" customHeight="1" x14ac:dyDescent="0.2">
      <c r="A49" s="3">
        <v>599</v>
      </c>
      <c r="B49" s="103">
        <v>792546</v>
      </c>
      <c r="C49" s="12" t="s">
        <v>171</v>
      </c>
      <c r="D49" s="3">
        <v>1</v>
      </c>
      <c r="E49" s="16"/>
      <c r="G49" s="246">
        <v>2</v>
      </c>
      <c r="H49" s="228"/>
      <c r="I49" s="228"/>
      <c r="J49" s="376" t="s">
        <v>156</v>
      </c>
      <c r="K49" s="420" t="str">
        <f t="shared" si="3"/>
        <v/>
      </c>
      <c r="L49" s="93"/>
      <c r="M49" s="200">
        <v>1</v>
      </c>
      <c r="N49" s="279">
        <v>0.5</v>
      </c>
      <c r="O49" s="71"/>
      <c r="P49" s="522">
        <f t="shared" si="1"/>
        <v>2</v>
      </c>
      <c r="Q49" s="415">
        <f t="shared" si="2"/>
        <v>0.47250000000000003</v>
      </c>
      <c r="R49" s="415" t="str">
        <f t="shared" si="0"/>
        <v/>
      </c>
      <c r="S49" s="59"/>
      <c r="T49" s="61"/>
      <c r="U49" s="63"/>
      <c r="V49" s="11"/>
    </row>
    <row r="50" spans="1:22" ht="20.25" customHeight="1" x14ac:dyDescent="0.2">
      <c r="A50" s="12">
        <v>601</v>
      </c>
      <c r="B50" s="12">
        <v>792548</v>
      </c>
      <c r="C50" s="12" t="s">
        <v>172</v>
      </c>
      <c r="D50" s="3">
        <v>1</v>
      </c>
      <c r="E50" s="16"/>
      <c r="G50" s="246">
        <v>4</v>
      </c>
      <c r="H50" s="228"/>
      <c r="I50" s="228"/>
      <c r="J50" s="376">
        <v>1</v>
      </c>
      <c r="K50" s="420">
        <f t="shared" si="3"/>
        <v>1</v>
      </c>
      <c r="L50" s="93"/>
      <c r="M50" s="200">
        <v>1</v>
      </c>
      <c r="N50" s="279">
        <v>0.5</v>
      </c>
      <c r="O50" s="71"/>
      <c r="P50" s="522">
        <f t="shared" si="1"/>
        <v>4</v>
      </c>
      <c r="Q50" s="415">
        <f t="shared" si="2"/>
        <v>0.47250000000000003</v>
      </c>
      <c r="R50" s="415" t="str">
        <f t="shared" si="0"/>
        <v/>
      </c>
      <c r="S50" s="59"/>
      <c r="T50" s="61"/>
      <c r="U50" s="63"/>
      <c r="V50" s="11"/>
    </row>
    <row r="51" spans="1:22" ht="20.25" customHeight="1" x14ac:dyDescent="0.2">
      <c r="A51" s="12">
        <v>616</v>
      </c>
      <c r="B51" s="9">
        <v>793131</v>
      </c>
      <c r="C51" s="12" t="s">
        <v>173</v>
      </c>
      <c r="D51" s="3">
        <v>1</v>
      </c>
      <c r="E51" s="16"/>
      <c r="G51" s="246">
        <v>8</v>
      </c>
      <c r="H51" s="228"/>
      <c r="I51" s="228"/>
      <c r="J51" s="376" t="s">
        <v>156</v>
      </c>
      <c r="K51" s="420" t="str">
        <f t="shared" si="3"/>
        <v/>
      </c>
      <c r="L51" s="93"/>
      <c r="M51" s="200">
        <v>1</v>
      </c>
      <c r="N51" s="279">
        <v>0.5</v>
      </c>
      <c r="O51" s="71"/>
      <c r="P51" s="522">
        <f t="shared" si="1"/>
        <v>8</v>
      </c>
      <c r="Q51" s="415">
        <f t="shared" si="2"/>
        <v>0.47250000000000003</v>
      </c>
      <c r="R51" s="415" t="str">
        <f t="shared" si="0"/>
        <v/>
      </c>
      <c r="S51" s="59"/>
      <c r="T51" s="61"/>
      <c r="U51" s="63"/>
      <c r="V51" s="11"/>
    </row>
    <row r="52" spans="1:22" ht="20.25" customHeight="1" x14ac:dyDescent="0.2">
      <c r="A52" s="12">
        <v>617</v>
      </c>
      <c r="B52" s="9">
        <v>793133</v>
      </c>
      <c r="C52" s="12" t="s">
        <v>174</v>
      </c>
      <c r="D52" s="3">
        <v>1</v>
      </c>
      <c r="E52" s="16"/>
      <c r="G52" s="246">
        <v>6</v>
      </c>
      <c r="H52" s="228"/>
      <c r="I52" s="228"/>
      <c r="J52" s="376">
        <v>3</v>
      </c>
      <c r="K52" s="420">
        <f t="shared" si="3"/>
        <v>3</v>
      </c>
      <c r="L52" s="93"/>
      <c r="M52" s="200">
        <v>1</v>
      </c>
      <c r="N52" s="279">
        <v>0.5</v>
      </c>
      <c r="O52" s="71"/>
      <c r="P52" s="522">
        <f t="shared" si="1"/>
        <v>6</v>
      </c>
      <c r="Q52" s="415">
        <f t="shared" si="2"/>
        <v>0.47250000000000003</v>
      </c>
      <c r="R52" s="415" t="str">
        <f t="shared" si="0"/>
        <v/>
      </c>
      <c r="S52" s="59"/>
      <c r="T52" s="61"/>
      <c r="U52" s="63"/>
      <c r="V52" s="11"/>
    </row>
    <row r="53" spans="1:22" ht="20.25" customHeight="1" x14ac:dyDescent="0.2">
      <c r="A53" s="12">
        <v>618</v>
      </c>
      <c r="B53" s="9">
        <v>793134</v>
      </c>
      <c r="C53" s="12" t="s">
        <v>175</v>
      </c>
      <c r="D53" s="3">
        <v>1</v>
      </c>
      <c r="E53" s="16"/>
      <c r="G53" s="246">
        <v>4</v>
      </c>
      <c r="H53" s="228"/>
      <c r="I53" s="228"/>
      <c r="J53" s="376">
        <v>1</v>
      </c>
      <c r="K53" s="420">
        <f t="shared" si="3"/>
        <v>1</v>
      </c>
      <c r="L53" s="93"/>
      <c r="M53" s="200">
        <v>1</v>
      </c>
      <c r="N53" s="279">
        <v>0.5</v>
      </c>
      <c r="O53" s="71"/>
      <c r="P53" s="522">
        <f t="shared" si="1"/>
        <v>4</v>
      </c>
      <c r="Q53" s="415">
        <f t="shared" si="2"/>
        <v>0.47250000000000003</v>
      </c>
      <c r="R53" s="415" t="str">
        <f t="shared" si="0"/>
        <v/>
      </c>
      <c r="S53" s="59"/>
      <c r="T53" s="61"/>
      <c r="U53" s="63"/>
      <c r="V53" s="11"/>
    </row>
    <row r="54" spans="1:22" ht="20.25" customHeight="1" x14ac:dyDescent="0.2">
      <c r="A54" s="12">
        <v>619</v>
      </c>
      <c r="B54" s="9">
        <v>793136</v>
      </c>
      <c r="C54" s="12" t="s">
        <v>176</v>
      </c>
      <c r="D54" s="3">
        <v>1</v>
      </c>
      <c r="E54" s="16"/>
      <c r="G54" s="246">
        <v>10</v>
      </c>
      <c r="H54" s="228"/>
      <c r="I54" s="229"/>
      <c r="J54" s="376" t="s">
        <v>156</v>
      </c>
      <c r="K54" s="420" t="str">
        <f t="shared" si="3"/>
        <v/>
      </c>
      <c r="L54" s="93"/>
      <c r="M54" s="200">
        <v>1</v>
      </c>
      <c r="N54" s="279">
        <v>0.5</v>
      </c>
      <c r="O54" s="71"/>
      <c r="P54" s="522">
        <f t="shared" si="1"/>
        <v>10</v>
      </c>
      <c r="Q54" s="415">
        <f t="shared" si="2"/>
        <v>0.47250000000000003</v>
      </c>
      <c r="R54" s="415" t="str">
        <f t="shared" si="0"/>
        <v/>
      </c>
      <c r="S54" s="59"/>
      <c r="T54" s="61"/>
      <c r="U54" s="63"/>
      <c r="V54" s="11"/>
    </row>
    <row r="55" spans="1:22" s="3" customFormat="1" ht="20.25" customHeight="1" x14ac:dyDescent="0.2">
      <c r="A55" s="3">
        <v>4612</v>
      </c>
      <c r="B55" s="104">
        <v>2626</v>
      </c>
      <c r="C55" s="12" t="s">
        <v>161</v>
      </c>
      <c r="D55" s="104">
        <v>1</v>
      </c>
      <c r="E55" s="117"/>
      <c r="F55" s="107"/>
      <c r="G55" s="246">
        <v>5</v>
      </c>
      <c r="H55" s="228"/>
      <c r="I55" s="228"/>
      <c r="J55" s="350">
        <v>5</v>
      </c>
      <c r="K55" s="420">
        <f t="shared" si="3"/>
        <v>5</v>
      </c>
      <c r="L55" s="94"/>
      <c r="M55" s="200">
        <v>1</v>
      </c>
      <c r="N55" s="279">
        <v>0.5</v>
      </c>
      <c r="O55" s="71"/>
      <c r="P55" s="522">
        <f t="shared" si="1"/>
        <v>5</v>
      </c>
      <c r="Q55" s="415">
        <f t="shared" si="2"/>
        <v>0.47250000000000003</v>
      </c>
      <c r="R55" s="415" t="str">
        <f t="shared" si="0"/>
        <v/>
      </c>
      <c r="S55" s="59"/>
      <c r="T55" s="61"/>
      <c r="U55" s="122"/>
      <c r="V55" s="11"/>
    </row>
    <row r="56" spans="1:22" ht="20.25" customHeight="1" x14ac:dyDescent="0.2">
      <c r="A56" s="3"/>
      <c r="B56" s="103"/>
      <c r="C56" s="12"/>
      <c r="E56" s="16"/>
      <c r="G56" s="246"/>
      <c r="H56" s="228"/>
      <c r="I56" s="229"/>
      <c r="J56" s="376" t="s">
        <v>156</v>
      </c>
      <c r="K56" s="420" t="str">
        <f t="shared" si="3"/>
        <v/>
      </c>
      <c r="L56" s="93"/>
      <c r="M56" s="200"/>
      <c r="N56" s="279"/>
      <c r="O56" s="71"/>
      <c r="P56" s="522" t="str">
        <f t="shared" si="1"/>
        <v/>
      </c>
      <c r="Q56" s="415" t="str">
        <f t="shared" si="2"/>
        <v/>
      </c>
      <c r="R56" s="415" t="str">
        <f t="shared" si="0"/>
        <v/>
      </c>
      <c r="S56" s="59"/>
      <c r="T56" s="61"/>
      <c r="U56" s="63"/>
      <c r="V56" s="11"/>
    </row>
    <row r="57" spans="1:22" s="3" customFormat="1" ht="20.25" customHeight="1" x14ac:dyDescent="0.2">
      <c r="B57" s="104"/>
      <c r="C57" s="12"/>
      <c r="E57" s="126"/>
      <c r="F57" s="107"/>
      <c r="G57" s="228"/>
      <c r="H57" s="228"/>
      <c r="I57" s="228"/>
      <c r="J57" s="350" t="s">
        <v>156</v>
      </c>
      <c r="K57" s="420" t="str">
        <f t="shared" si="3"/>
        <v/>
      </c>
      <c r="L57" s="94"/>
      <c r="M57" s="200"/>
      <c r="N57" s="279"/>
      <c r="O57" s="71"/>
      <c r="P57" s="522" t="str">
        <f t="shared" si="1"/>
        <v/>
      </c>
      <c r="Q57" s="415" t="str">
        <f t="shared" si="2"/>
        <v/>
      </c>
      <c r="R57" s="415" t="str">
        <f t="shared" si="0"/>
        <v/>
      </c>
      <c r="S57" s="59"/>
      <c r="T57" s="61"/>
      <c r="U57" s="122"/>
      <c r="V57" s="11"/>
    </row>
    <row r="58" spans="1:22" s="3" customFormat="1" ht="20.25" customHeight="1" x14ac:dyDescent="0.2">
      <c r="A58" s="3">
        <v>264</v>
      </c>
      <c r="B58" s="104">
        <v>542285</v>
      </c>
      <c r="C58" s="12" t="s">
        <v>60</v>
      </c>
      <c r="D58" s="3">
        <v>1</v>
      </c>
      <c r="E58" s="126"/>
      <c r="F58" s="107"/>
      <c r="G58" s="228">
        <v>15</v>
      </c>
      <c r="H58" s="228"/>
      <c r="I58" s="228"/>
      <c r="J58" s="350">
        <v>11</v>
      </c>
      <c r="K58" s="420">
        <f t="shared" si="3"/>
        <v>11</v>
      </c>
      <c r="L58" s="94"/>
      <c r="M58" s="200">
        <v>1</v>
      </c>
      <c r="N58" s="279">
        <v>0.5</v>
      </c>
      <c r="O58" s="71"/>
      <c r="P58" s="522">
        <f t="shared" si="1"/>
        <v>15</v>
      </c>
      <c r="Q58" s="415">
        <f t="shared" si="2"/>
        <v>0.47250000000000003</v>
      </c>
      <c r="R58" s="415" t="str">
        <f t="shared" si="0"/>
        <v/>
      </c>
      <c r="S58" s="59"/>
      <c r="T58" s="61"/>
      <c r="U58" s="122"/>
      <c r="V58" s="11"/>
    </row>
    <row r="59" spans="1:22" s="3" customFormat="1" ht="20.25" customHeight="1" x14ac:dyDescent="0.2">
      <c r="A59" s="3">
        <v>4661</v>
      </c>
      <c r="B59" s="104">
        <v>2685</v>
      </c>
      <c r="C59" s="12" t="s">
        <v>211</v>
      </c>
      <c r="D59" s="3">
        <v>1</v>
      </c>
      <c r="E59" s="23"/>
      <c r="F59" s="107"/>
      <c r="G59" s="228">
        <v>24</v>
      </c>
      <c r="H59" s="228"/>
      <c r="I59" s="228"/>
      <c r="J59" s="350">
        <v>98</v>
      </c>
      <c r="K59" s="420">
        <f t="shared" si="3"/>
        <v>98</v>
      </c>
      <c r="L59" s="94"/>
      <c r="M59" s="200">
        <v>1</v>
      </c>
      <c r="N59" s="279">
        <v>0.5</v>
      </c>
      <c r="O59" s="71"/>
      <c r="P59" s="522">
        <f t="shared" si="1"/>
        <v>24</v>
      </c>
      <c r="Q59" s="415">
        <f t="shared" si="2"/>
        <v>0.47250000000000003</v>
      </c>
      <c r="R59" s="415" t="str">
        <f t="shared" si="0"/>
        <v/>
      </c>
      <c r="S59" s="59"/>
      <c r="T59" s="61"/>
      <c r="U59" s="122"/>
      <c r="V59" s="11"/>
    </row>
    <row r="60" spans="1:22" s="3" customFormat="1" ht="20.25" customHeight="1" x14ac:dyDescent="0.2">
      <c r="B60" s="104"/>
      <c r="C60" s="12"/>
      <c r="E60" s="23"/>
      <c r="F60" s="107"/>
      <c r="G60" s="228"/>
      <c r="H60" s="228"/>
      <c r="I60" s="228"/>
      <c r="J60" s="350" t="s">
        <v>156</v>
      </c>
      <c r="K60" s="420" t="str">
        <f t="shared" si="3"/>
        <v/>
      </c>
      <c r="L60" s="94"/>
      <c r="M60" s="200"/>
      <c r="N60" s="279"/>
      <c r="O60" s="71"/>
      <c r="P60" s="522" t="str">
        <f t="shared" si="1"/>
        <v/>
      </c>
      <c r="Q60" s="415" t="str">
        <f t="shared" si="2"/>
        <v/>
      </c>
      <c r="R60" s="415" t="str">
        <f t="shared" si="0"/>
        <v/>
      </c>
      <c r="S60" s="59"/>
      <c r="T60" s="61"/>
      <c r="U60" s="122"/>
      <c r="V60" s="11"/>
    </row>
    <row r="61" spans="1:22" s="3" customFormat="1" ht="20.25" customHeight="1" x14ac:dyDescent="0.2">
      <c r="A61" s="3">
        <v>4660</v>
      </c>
      <c r="B61" s="104">
        <v>2684</v>
      </c>
      <c r="C61" s="12" t="s">
        <v>212</v>
      </c>
      <c r="D61" s="3">
        <v>1</v>
      </c>
      <c r="E61" s="23"/>
      <c r="F61" s="107"/>
      <c r="G61" s="228">
        <v>10</v>
      </c>
      <c r="H61" s="228"/>
      <c r="I61" s="228"/>
      <c r="J61" s="350">
        <v>98</v>
      </c>
      <c r="K61" s="420">
        <f t="shared" si="3"/>
        <v>98</v>
      </c>
      <c r="L61" s="94"/>
      <c r="M61" s="200">
        <v>1</v>
      </c>
      <c r="N61" s="279">
        <v>0.5</v>
      </c>
      <c r="O61" s="71"/>
      <c r="P61" s="522">
        <f t="shared" si="1"/>
        <v>10</v>
      </c>
      <c r="Q61" s="415">
        <f t="shared" si="2"/>
        <v>0.47250000000000003</v>
      </c>
      <c r="R61" s="415" t="str">
        <f t="shared" si="0"/>
        <v/>
      </c>
      <c r="S61" s="59"/>
      <c r="T61" s="61"/>
      <c r="U61" s="122"/>
      <c r="V61" s="11"/>
    </row>
    <row r="62" spans="1:22" x14ac:dyDescent="0.2">
      <c r="A62" s="12">
        <v>4583</v>
      </c>
      <c r="B62" s="9">
        <v>2983</v>
      </c>
      <c r="C62" s="12" t="s">
        <v>141</v>
      </c>
      <c r="D62" s="4">
        <v>1</v>
      </c>
      <c r="E62" s="255"/>
      <c r="G62" s="228">
        <v>10</v>
      </c>
      <c r="H62" s="228"/>
      <c r="I62" s="228"/>
      <c r="J62" s="376">
        <v>7</v>
      </c>
      <c r="K62" s="420">
        <f t="shared" si="3"/>
        <v>7</v>
      </c>
      <c r="L62" s="94"/>
      <c r="M62" s="200">
        <v>1</v>
      </c>
      <c r="N62" s="279">
        <v>0.5</v>
      </c>
      <c r="O62" s="71"/>
      <c r="P62" s="522">
        <f t="shared" si="1"/>
        <v>10</v>
      </c>
      <c r="Q62" s="415">
        <f t="shared" si="2"/>
        <v>0.47250000000000003</v>
      </c>
      <c r="R62" s="415" t="str">
        <f t="shared" si="0"/>
        <v/>
      </c>
      <c r="S62" s="59"/>
      <c r="T62" s="61"/>
      <c r="V62" s="248"/>
    </row>
    <row r="63" spans="1:22" x14ac:dyDescent="0.2">
      <c r="A63" s="12"/>
      <c r="B63" s="9"/>
      <c r="C63" s="12"/>
      <c r="E63" s="255"/>
      <c r="G63" s="228"/>
      <c r="H63" s="228"/>
      <c r="I63" s="228"/>
      <c r="J63" s="376" t="s">
        <v>156</v>
      </c>
      <c r="K63" s="420" t="str">
        <f t="shared" si="3"/>
        <v/>
      </c>
      <c r="L63" s="94"/>
      <c r="M63" s="200"/>
      <c r="N63" s="279"/>
      <c r="O63" s="71"/>
      <c r="P63" s="522" t="str">
        <f t="shared" si="1"/>
        <v/>
      </c>
      <c r="Q63" s="415" t="str">
        <f t="shared" si="2"/>
        <v/>
      </c>
      <c r="R63" s="415" t="str">
        <f t="shared" si="0"/>
        <v/>
      </c>
      <c r="S63" s="59"/>
      <c r="T63" s="61"/>
      <c r="V63" s="248"/>
    </row>
    <row r="64" spans="1:22" x14ac:dyDescent="0.2">
      <c r="A64" s="12"/>
      <c r="B64" s="9"/>
      <c r="C64" s="12"/>
      <c r="E64" s="255"/>
      <c r="G64" s="228"/>
      <c r="H64" s="228"/>
      <c r="I64" s="228"/>
      <c r="J64" s="376" t="s">
        <v>156</v>
      </c>
      <c r="K64" s="420" t="str">
        <f t="shared" si="3"/>
        <v/>
      </c>
      <c r="L64" s="94"/>
      <c r="M64" s="200"/>
      <c r="N64" s="279"/>
      <c r="O64" s="71"/>
      <c r="P64" s="522" t="str">
        <f t="shared" si="1"/>
        <v/>
      </c>
      <c r="Q64" s="415" t="str">
        <f t="shared" si="2"/>
        <v/>
      </c>
      <c r="R64" s="415" t="str">
        <f t="shared" si="0"/>
        <v/>
      </c>
      <c r="S64" s="59"/>
      <c r="T64" s="61"/>
      <c r="V64" s="248"/>
    </row>
    <row r="65" spans="1:23" x14ac:dyDescent="0.2">
      <c r="A65" s="12"/>
      <c r="B65" s="9"/>
      <c r="C65" s="12"/>
      <c r="E65" s="255"/>
      <c r="G65" s="228"/>
      <c r="H65" s="228"/>
      <c r="I65" s="228"/>
      <c r="J65" s="376" t="s">
        <v>156</v>
      </c>
      <c r="K65" s="420" t="str">
        <f t="shared" si="3"/>
        <v/>
      </c>
      <c r="L65" s="94"/>
      <c r="M65" s="200"/>
      <c r="N65" s="279"/>
      <c r="O65" s="71"/>
      <c r="P65" s="522" t="str">
        <f t="shared" si="1"/>
        <v/>
      </c>
      <c r="Q65" s="415" t="str">
        <f t="shared" si="2"/>
        <v/>
      </c>
      <c r="R65" s="415" t="str">
        <f t="shared" si="0"/>
        <v/>
      </c>
      <c r="S65" s="59"/>
      <c r="T65" s="61"/>
      <c r="V65" s="248"/>
    </row>
    <row r="66" spans="1:23" ht="18.75" thickBot="1" x14ac:dyDescent="0.25">
      <c r="A66" s="12"/>
      <c r="B66" s="9"/>
      <c r="C66" s="12"/>
      <c r="E66" s="255"/>
      <c r="G66" s="228"/>
      <c r="H66" s="228"/>
      <c r="I66" s="228"/>
      <c r="J66" s="376" t="s">
        <v>156</v>
      </c>
      <c r="K66" s="420" t="str">
        <f t="shared" si="3"/>
        <v/>
      </c>
      <c r="L66" s="94"/>
      <c r="M66" s="200"/>
      <c r="N66" s="279"/>
      <c r="O66" s="71"/>
      <c r="P66" s="522" t="str">
        <f t="shared" si="1"/>
        <v/>
      </c>
      <c r="Q66" s="415" t="str">
        <f t="shared" si="2"/>
        <v/>
      </c>
      <c r="R66" s="415" t="str">
        <f t="shared" si="0"/>
        <v/>
      </c>
      <c r="S66" s="59"/>
      <c r="T66" s="61"/>
      <c r="V66" s="248"/>
    </row>
    <row r="67" spans="1:23" ht="18.75" hidden="1" customHeight="1" thickBot="1" x14ac:dyDescent="0.25">
      <c r="A67" s="9"/>
      <c r="B67" s="9"/>
      <c r="G67" s="228"/>
      <c r="H67" s="228"/>
      <c r="I67" s="230"/>
      <c r="J67" s="376" t="s">
        <v>156</v>
      </c>
      <c r="K67" s="420" t="str">
        <f t="shared" ref="K67:K75" si="4">IF(M67="","",IF(ISERROR(IF(L67=0,J67*M67,G67*L67)),"",IF(L67=0,J67*M67,G67*L67)))</f>
        <v/>
      </c>
      <c r="M67" s="504"/>
      <c r="P67" s="522" t="str">
        <f t="shared" si="1"/>
        <v/>
      </c>
      <c r="Q67" s="415" t="str">
        <f t="shared" si="2"/>
        <v/>
      </c>
      <c r="R67" s="415" t="str">
        <f t="shared" si="0"/>
        <v/>
      </c>
    </row>
    <row r="68" spans="1:23" ht="18.75" hidden="1" customHeight="1" thickBot="1" x14ac:dyDescent="0.25">
      <c r="A68" s="9"/>
      <c r="B68" s="9"/>
      <c r="G68" s="228"/>
      <c r="H68" s="228"/>
      <c r="I68" s="230"/>
      <c r="J68" s="376" t="s">
        <v>156</v>
      </c>
      <c r="K68" s="420" t="str">
        <f t="shared" si="4"/>
        <v/>
      </c>
      <c r="M68" s="504"/>
      <c r="P68" s="522" t="str">
        <f t="shared" si="1"/>
        <v/>
      </c>
      <c r="Q68" s="415" t="str">
        <f t="shared" si="2"/>
        <v/>
      </c>
      <c r="R68" s="415" t="str">
        <f t="shared" si="0"/>
        <v/>
      </c>
    </row>
    <row r="69" spans="1:23" ht="18.75" hidden="1" customHeight="1" thickBot="1" x14ac:dyDescent="0.25">
      <c r="A69" s="9"/>
      <c r="B69" s="9"/>
      <c r="G69" s="228"/>
      <c r="H69" s="228"/>
      <c r="I69" s="230"/>
      <c r="J69" s="376" t="s">
        <v>156</v>
      </c>
      <c r="K69" s="420" t="str">
        <f t="shared" si="4"/>
        <v/>
      </c>
      <c r="M69" s="504"/>
      <c r="P69" s="522" t="str">
        <f t="shared" si="1"/>
        <v/>
      </c>
      <c r="Q69" s="415" t="str">
        <f t="shared" si="2"/>
        <v/>
      </c>
      <c r="R69" s="415" t="str">
        <f t="shared" si="0"/>
        <v/>
      </c>
    </row>
    <row r="70" spans="1:23" ht="18.75" hidden="1" customHeight="1" thickBot="1" x14ac:dyDescent="0.25">
      <c r="A70" s="9"/>
      <c r="B70" s="9"/>
      <c r="G70" s="228"/>
      <c r="H70" s="228"/>
      <c r="I70" s="230"/>
      <c r="J70" s="376" t="s">
        <v>156</v>
      </c>
      <c r="K70" s="420" t="str">
        <f t="shared" si="4"/>
        <v/>
      </c>
      <c r="M70" s="504"/>
      <c r="P70" s="522" t="str">
        <f t="shared" si="1"/>
        <v/>
      </c>
      <c r="Q70" s="415" t="str">
        <f t="shared" si="2"/>
        <v/>
      </c>
      <c r="R70" s="415" t="str">
        <f t="shared" si="0"/>
        <v/>
      </c>
    </row>
    <row r="71" spans="1:23" s="148" customFormat="1" ht="20.25" hidden="1" customHeight="1" thickBot="1" x14ac:dyDescent="0.25">
      <c r="A71" s="505"/>
      <c r="B71" s="147"/>
      <c r="C71" s="284"/>
      <c r="D71" s="506"/>
      <c r="E71" s="138"/>
      <c r="F71" s="220"/>
      <c r="G71" s="231"/>
      <c r="H71" s="231"/>
      <c r="I71" s="232"/>
      <c r="J71" s="379" t="s">
        <v>156</v>
      </c>
      <c r="K71" s="420" t="str">
        <f t="shared" si="4"/>
        <v/>
      </c>
      <c r="L71" s="139"/>
      <c r="M71" s="504"/>
      <c r="N71" s="140"/>
      <c r="O71" s="141"/>
      <c r="P71" s="522" t="str">
        <f t="shared" si="1"/>
        <v/>
      </c>
      <c r="Q71" s="415" t="str">
        <f t="shared" si="2"/>
        <v/>
      </c>
      <c r="R71" s="415" t="str">
        <f t="shared" si="0"/>
        <v/>
      </c>
      <c r="S71" s="142"/>
      <c r="T71" s="143"/>
      <c r="U71" s="144"/>
      <c r="V71" s="147"/>
    </row>
    <row r="72" spans="1:23" s="3" customFormat="1" ht="20.25" hidden="1" customHeight="1" x14ac:dyDescent="0.2">
      <c r="A72" s="12"/>
      <c r="B72" s="12"/>
      <c r="C72" s="12"/>
      <c r="E72" s="23"/>
      <c r="F72" s="134"/>
      <c r="G72" s="233"/>
      <c r="H72" s="233"/>
      <c r="I72" s="233"/>
      <c r="J72" s="350" t="s">
        <v>156</v>
      </c>
      <c r="K72" s="420" t="str">
        <f t="shared" si="4"/>
        <v/>
      </c>
      <c r="L72" s="94"/>
      <c r="M72" s="504"/>
      <c r="N72" s="118"/>
      <c r="O72" s="119"/>
      <c r="P72" s="522" t="str">
        <f t="shared" si="1"/>
        <v/>
      </c>
      <c r="Q72" s="415" t="str">
        <f t="shared" si="2"/>
        <v/>
      </c>
      <c r="R72" s="415" t="str">
        <f t="shared" si="0"/>
        <v/>
      </c>
      <c r="S72" s="120"/>
      <c r="T72" s="121"/>
      <c r="U72" s="122"/>
      <c r="V72" s="12"/>
    </row>
    <row r="73" spans="1:23" s="3" customFormat="1" ht="20.25" hidden="1" customHeight="1" x14ac:dyDescent="0.2">
      <c r="A73" s="12"/>
      <c r="B73" s="12"/>
      <c r="C73" s="12"/>
      <c r="E73" s="23"/>
      <c r="F73" s="134"/>
      <c r="G73" s="233"/>
      <c r="H73" s="233"/>
      <c r="I73" s="233"/>
      <c r="J73" s="350" t="s">
        <v>156</v>
      </c>
      <c r="K73" s="420" t="str">
        <f t="shared" si="4"/>
        <v/>
      </c>
      <c r="L73" s="94"/>
      <c r="M73" s="504"/>
      <c r="N73" s="118"/>
      <c r="O73" s="119"/>
      <c r="P73" s="522" t="str">
        <f t="shared" si="1"/>
        <v/>
      </c>
      <c r="Q73" s="415" t="str">
        <f t="shared" si="2"/>
        <v/>
      </c>
      <c r="R73" s="415" t="str">
        <f t="shared" si="0"/>
        <v/>
      </c>
      <c r="S73" s="120"/>
      <c r="T73" s="121"/>
      <c r="U73" s="122"/>
      <c r="V73" s="12"/>
    </row>
    <row r="74" spans="1:23" s="3" customFormat="1" ht="20.25" hidden="1" customHeight="1" x14ac:dyDescent="0.2">
      <c r="A74" s="12"/>
      <c r="B74" s="12"/>
      <c r="C74" s="12"/>
      <c r="E74" s="23"/>
      <c r="F74" s="134"/>
      <c r="G74" s="233"/>
      <c r="H74" s="233"/>
      <c r="I74" s="233"/>
      <c r="J74" s="350" t="s">
        <v>156</v>
      </c>
      <c r="K74" s="420" t="str">
        <f t="shared" si="4"/>
        <v/>
      </c>
      <c r="L74" s="94"/>
      <c r="M74" s="504"/>
      <c r="N74" s="118"/>
      <c r="O74" s="119"/>
      <c r="P74" s="522" t="str">
        <f t="shared" si="1"/>
        <v/>
      </c>
      <c r="Q74" s="415" t="str">
        <f t="shared" si="2"/>
        <v/>
      </c>
      <c r="R74" s="415" t="str">
        <f t="shared" si="0"/>
        <v/>
      </c>
      <c r="S74" s="120"/>
      <c r="T74" s="121"/>
      <c r="U74" s="122"/>
      <c r="V74" s="12"/>
    </row>
    <row r="75" spans="1:23" s="3" customFormat="1" ht="20.25" hidden="1" customHeight="1" thickBot="1" x14ac:dyDescent="0.25">
      <c r="A75" s="12"/>
      <c r="B75" s="12"/>
      <c r="C75" s="12"/>
      <c r="E75" s="23"/>
      <c r="F75" s="134"/>
      <c r="G75" s="253"/>
      <c r="H75" s="253"/>
      <c r="I75" s="253"/>
      <c r="J75" s="350" t="s">
        <v>156</v>
      </c>
      <c r="K75" s="420" t="str">
        <f t="shared" si="4"/>
        <v/>
      </c>
      <c r="L75" s="94"/>
      <c r="M75" s="504"/>
      <c r="N75" s="118"/>
      <c r="O75" s="119"/>
      <c r="P75" s="522" t="str">
        <f t="shared" si="1"/>
        <v/>
      </c>
      <c r="Q75" s="415" t="str">
        <f t="shared" si="2"/>
        <v/>
      </c>
      <c r="R75" s="415" t="str">
        <f t="shared" si="0"/>
        <v/>
      </c>
      <c r="S75" s="120"/>
      <c r="T75" s="121"/>
      <c r="U75" s="122"/>
      <c r="V75" s="12"/>
    </row>
    <row r="76" spans="1:23" ht="20.25" customHeight="1" thickBot="1" x14ac:dyDescent="0.25">
      <c r="A76" s="507"/>
      <c r="B76" s="57"/>
      <c r="C76" s="285" t="s">
        <v>5</v>
      </c>
      <c r="D76" s="507"/>
      <c r="E76" s="221"/>
      <c r="F76" s="322"/>
      <c r="G76" s="67"/>
      <c r="H76" s="322"/>
      <c r="I76" s="380" t="s">
        <v>122</v>
      </c>
      <c r="J76" s="326" t="s">
        <v>156</v>
      </c>
      <c r="K76" s="413">
        <f>SUM(K77:K95)</f>
        <v>2216</v>
      </c>
      <c r="L76" s="325"/>
      <c r="M76" s="322"/>
      <c r="N76" s="324"/>
      <c r="O76" s="251"/>
      <c r="P76" s="413">
        <f>SUM(P77:P95)</f>
        <v>3440</v>
      </c>
      <c r="Q76" s="416" t="str">
        <f t="shared" si="2"/>
        <v/>
      </c>
      <c r="R76" s="416" t="str">
        <f t="shared" si="0"/>
        <v/>
      </c>
      <c r="S76" s="327"/>
      <c r="T76" s="323"/>
      <c r="U76" s="66"/>
      <c r="V76" s="44"/>
      <c r="W76" s="255"/>
    </row>
    <row r="77" spans="1:23" ht="20.25" customHeight="1" x14ac:dyDescent="0.2">
      <c r="A77" s="3">
        <v>500</v>
      </c>
      <c r="B77" s="103">
        <v>25610</v>
      </c>
      <c r="C77" s="12" t="s">
        <v>45</v>
      </c>
      <c r="D77" s="3">
        <v>1</v>
      </c>
      <c r="E77" s="16"/>
      <c r="F77" s="219"/>
      <c r="G77" s="246">
        <v>700</v>
      </c>
      <c r="H77" s="252"/>
      <c r="I77" s="252"/>
      <c r="J77" s="376">
        <v>156</v>
      </c>
      <c r="K77" s="420">
        <f>IF(M77="","",IF(ISERROR(IF(L77=0,J77*M77,J77*L77)),"",IF(L77=0,J77*M77,J77*L77)))</f>
        <v>156</v>
      </c>
      <c r="L77" s="93"/>
      <c r="M77" s="200">
        <v>1</v>
      </c>
      <c r="N77" s="279">
        <v>0.5</v>
      </c>
      <c r="O77" s="71"/>
      <c r="P77" s="522">
        <f t="shared" si="1"/>
        <v>700</v>
      </c>
      <c r="Q77" s="415">
        <f t="shared" si="2"/>
        <v>0.47250000000000003</v>
      </c>
      <c r="R77" s="415" t="str">
        <f t="shared" ref="R77:R140" si="5">IF(L77=0,"",((L77/1.055)-N77)/(L77/1.055))</f>
        <v/>
      </c>
      <c r="S77" s="59"/>
      <c r="T77" s="61"/>
      <c r="U77" s="63"/>
      <c r="V77" s="11"/>
    </row>
    <row r="78" spans="1:23" ht="20.25" customHeight="1" x14ac:dyDescent="0.2">
      <c r="A78" s="3">
        <v>520</v>
      </c>
      <c r="B78" s="103">
        <v>656551</v>
      </c>
      <c r="C78" s="12" t="s">
        <v>29</v>
      </c>
      <c r="D78" s="3">
        <v>1</v>
      </c>
      <c r="E78" s="16"/>
      <c r="G78" s="228">
        <v>20</v>
      </c>
      <c r="H78" s="228"/>
      <c r="I78" s="228"/>
      <c r="J78" s="376">
        <v>14</v>
      </c>
      <c r="K78" s="420">
        <f t="shared" ref="K78:K95" si="6">IF(M78="","",IF(ISERROR(IF(L78=0,J78*M78,J78*L78)),"",IF(L78=0,J78*M78,J78*L78)))</f>
        <v>14</v>
      </c>
      <c r="L78" s="93"/>
      <c r="M78" s="200">
        <v>1</v>
      </c>
      <c r="N78" s="279">
        <v>0.5</v>
      </c>
      <c r="O78" s="71"/>
      <c r="P78" s="522">
        <f t="shared" ref="P78:P141" si="7">IF(M78="","",IF(ISERROR(IF(L78=0,G78*M78,G78*L78)),"",IF(L78=0,G78*M78,G78*L78)))</f>
        <v>20</v>
      </c>
      <c r="Q78" s="415">
        <f t="shared" ref="Q78:Q141" si="8">IF(R78&lt;&gt;"","",IF(OR(M78=0,N78=0),"",((M78/1.055)-N78)/(M78/1.055)))</f>
        <v>0.47250000000000003</v>
      </c>
      <c r="R78" s="415" t="str">
        <f t="shared" si="5"/>
        <v/>
      </c>
      <c r="S78" s="59"/>
      <c r="T78" s="61"/>
      <c r="U78" s="63"/>
      <c r="V78" s="11"/>
    </row>
    <row r="79" spans="1:23" ht="20.25" customHeight="1" x14ac:dyDescent="0.2">
      <c r="A79" s="3">
        <v>525</v>
      </c>
      <c r="B79" s="103">
        <v>656699</v>
      </c>
      <c r="C79" s="12" t="s">
        <v>30</v>
      </c>
      <c r="D79" s="3">
        <v>1</v>
      </c>
      <c r="E79" s="16"/>
      <c r="G79" s="228">
        <v>20</v>
      </c>
      <c r="H79" s="228"/>
      <c r="I79" s="228"/>
      <c r="J79" s="376">
        <v>16</v>
      </c>
      <c r="K79" s="420">
        <f t="shared" si="6"/>
        <v>16</v>
      </c>
      <c r="L79" s="93"/>
      <c r="M79" s="200">
        <v>1</v>
      </c>
      <c r="N79" s="279">
        <v>0.5</v>
      </c>
      <c r="O79" s="71"/>
      <c r="P79" s="522">
        <f t="shared" si="7"/>
        <v>20</v>
      </c>
      <c r="Q79" s="415">
        <f t="shared" si="8"/>
        <v>0.47250000000000003</v>
      </c>
      <c r="R79" s="415" t="str">
        <f t="shared" si="5"/>
        <v/>
      </c>
      <c r="S79" s="59"/>
      <c r="T79" s="61"/>
      <c r="U79" s="63"/>
      <c r="V79" s="11"/>
    </row>
    <row r="80" spans="1:23" ht="20.25" customHeight="1" x14ac:dyDescent="0.2">
      <c r="A80" s="4">
        <v>515</v>
      </c>
      <c r="B80" s="103">
        <v>25662</v>
      </c>
      <c r="C80" s="12" t="s">
        <v>59</v>
      </c>
      <c r="D80" s="4">
        <v>1</v>
      </c>
      <c r="E80" s="16"/>
      <c r="G80" s="234">
        <v>70</v>
      </c>
      <c r="H80" s="234"/>
      <c r="I80" s="234"/>
      <c r="J80" s="376">
        <v>20</v>
      </c>
      <c r="K80" s="420">
        <f t="shared" si="6"/>
        <v>20</v>
      </c>
      <c r="L80" s="93"/>
      <c r="M80" s="200">
        <v>1</v>
      </c>
      <c r="N80" s="279">
        <v>0.5</v>
      </c>
      <c r="O80" s="71"/>
      <c r="P80" s="522">
        <f t="shared" si="7"/>
        <v>70</v>
      </c>
      <c r="Q80" s="415">
        <f t="shared" si="8"/>
        <v>0.47250000000000003</v>
      </c>
      <c r="R80" s="415" t="str">
        <f t="shared" si="5"/>
        <v/>
      </c>
      <c r="S80" s="59"/>
      <c r="T80" s="61"/>
      <c r="U80" s="63"/>
      <c r="V80" s="11"/>
    </row>
    <row r="81" spans="1:22" ht="20.25" customHeight="1" x14ac:dyDescent="0.2">
      <c r="A81" s="4">
        <v>900</v>
      </c>
      <c r="B81" s="103">
        <v>13332</v>
      </c>
      <c r="C81" s="12" t="s">
        <v>61</v>
      </c>
      <c r="D81" s="4">
        <v>1</v>
      </c>
      <c r="E81" s="16"/>
      <c r="G81" s="234">
        <v>140</v>
      </c>
      <c r="H81" s="234"/>
      <c r="I81" s="234"/>
      <c r="J81" s="376">
        <v>105</v>
      </c>
      <c r="K81" s="420">
        <f t="shared" si="6"/>
        <v>105</v>
      </c>
      <c r="L81" s="93"/>
      <c r="M81" s="200">
        <v>1</v>
      </c>
      <c r="N81" s="279">
        <v>0.5</v>
      </c>
      <c r="O81" s="71"/>
      <c r="P81" s="522">
        <f t="shared" si="7"/>
        <v>140</v>
      </c>
      <c r="Q81" s="415">
        <f t="shared" si="8"/>
        <v>0.47250000000000003</v>
      </c>
      <c r="R81" s="415" t="str">
        <f t="shared" si="5"/>
        <v/>
      </c>
      <c r="S81" s="59"/>
      <c r="T81" s="61"/>
      <c r="U81" s="63"/>
      <c r="V81" s="11"/>
    </row>
    <row r="82" spans="1:22" ht="20.25" customHeight="1" x14ac:dyDescent="0.2">
      <c r="A82" s="4">
        <v>4272</v>
      </c>
      <c r="B82" s="103">
        <v>2682</v>
      </c>
      <c r="C82" s="12" t="s">
        <v>117</v>
      </c>
      <c r="D82" s="4">
        <v>1</v>
      </c>
      <c r="E82" s="16"/>
      <c r="G82" s="234">
        <v>100</v>
      </c>
      <c r="H82" s="234"/>
      <c r="I82" s="234"/>
      <c r="J82" s="376">
        <v>98</v>
      </c>
      <c r="K82" s="420">
        <f t="shared" si="6"/>
        <v>98</v>
      </c>
      <c r="L82" s="93"/>
      <c r="M82" s="200">
        <v>1</v>
      </c>
      <c r="N82" s="279">
        <v>0.5</v>
      </c>
      <c r="O82" s="71"/>
      <c r="P82" s="522">
        <f t="shared" si="7"/>
        <v>100</v>
      </c>
      <c r="Q82" s="415">
        <f t="shared" si="8"/>
        <v>0.47250000000000003</v>
      </c>
      <c r="R82" s="415" t="str">
        <f t="shared" si="5"/>
        <v/>
      </c>
      <c r="S82" s="59"/>
      <c r="T82" s="61"/>
      <c r="U82" s="63"/>
      <c r="V82" s="11"/>
    </row>
    <row r="83" spans="1:22" ht="20.25" customHeight="1" x14ac:dyDescent="0.2">
      <c r="A83" s="4">
        <v>825</v>
      </c>
      <c r="B83" s="103">
        <v>807965</v>
      </c>
      <c r="C83" s="12" t="s">
        <v>62</v>
      </c>
      <c r="D83" s="4">
        <v>1</v>
      </c>
      <c r="E83" s="16"/>
      <c r="G83" s="234">
        <v>50</v>
      </c>
      <c r="H83" s="234"/>
      <c r="I83" s="234"/>
      <c r="J83" s="376">
        <v>31</v>
      </c>
      <c r="K83" s="420">
        <f t="shared" si="6"/>
        <v>31</v>
      </c>
      <c r="L83" s="93"/>
      <c r="M83" s="200">
        <v>1</v>
      </c>
      <c r="N83" s="279">
        <v>0.5</v>
      </c>
      <c r="O83" s="71"/>
      <c r="P83" s="522">
        <f t="shared" si="7"/>
        <v>50</v>
      </c>
      <c r="Q83" s="415">
        <f t="shared" si="8"/>
        <v>0.47250000000000003</v>
      </c>
      <c r="R83" s="415" t="str">
        <f t="shared" si="5"/>
        <v/>
      </c>
      <c r="S83" s="59"/>
      <c r="T83" s="61"/>
      <c r="U83" s="63"/>
      <c r="V83" s="11"/>
    </row>
    <row r="84" spans="1:22" ht="20.25" customHeight="1" x14ac:dyDescent="0.2">
      <c r="A84" s="4">
        <v>1805</v>
      </c>
      <c r="B84" s="103">
        <v>387322</v>
      </c>
      <c r="C84" s="12" t="s">
        <v>63</v>
      </c>
      <c r="D84" s="4">
        <v>1</v>
      </c>
      <c r="E84" s="16"/>
      <c r="G84" s="228">
        <v>70</v>
      </c>
      <c r="H84" s="228"/>
      <c r="I84" s="228"/>
      <c r="J84" s="376">
        <v>45</v>
      </c>
      <c r="K84" s="420">
        <f t="shared" si="6"/>
        <v>45</v>
      </c>
      <c r="L84" s="93"/>
      <c r="M84" s="200">
        <v>1</v>
      </c>
      <c r="N84" s="279">
        <v>0.5</v>
      </c>
      <c r="O84" s="71"/>
      <c r="P84" s="522">
        <f t="shared" si="7"/>
        <v>70</v>
      </c>
      <c r="Q84" s="415">
        <f t="shared" si="8"/>
        <v>0.47250000000000003</v>
      </c>
      <c r="R84" s="415" t="str">
        <f t="shared" si="5"/>
        <v/>
      </c>
      <c r="S84" s="59"/>
      <c r="T84" s="61"/>
      <c r="U84" s="63"/>
      <c r="V84" s="11"/>
    </row>
    <row r="85" spans="1:22" ht="20.25" customHeight="1" x14ac:dyDescent="0.2">
      <c r="A85" s="3">
        <v>4452</v>
      </c>
      <c r="B85" s="103">
        <v>2850</v>
      </c>
      <c r="C85" s="12" t="s">
        <v>64</v>
      </c>
      <c r="D85" s="3">
        <v>1</v>
      </c>
      <c r="E85" s="16"/>
      <c r="G85" s="228">
        <v>80</v>
      </c>
      <c r="H85" s="228"/>
      <c r="I85" s="228"/>
      <c r="J85" s="376">
        <v>42</v>
      </c>
      <c r="K85" s="420">
        <f t="shared" si="6"/>
        <v>42</v>
      </c>
      <c r="L85" s="93"/>
      <c r="M85" s="200">
        <v>1</v>
      </c>
      <c r="N85" s="279">
        <v>0.5</v>
      </c>
      <c r="O85" s="71"/>
      <c r="P85" s="522">
        <f t="shared" si="7"/>
        <v>80</v>
      </c>
      <c r="Q85" s="415">
        <f t="shared" si="8"/>
        <v>0.47250000000000003</v>
      </c>
      <c r="R85" s="415" t="str">
        <f t="shared" si="5"/>
        <v/>
      </c>
      <c r="S85" s="59"/>
      <c r="T85" s="61"/>
      <c r="U85" s="63"/>
      <c r="V85" s="11"/>
    </row>
    <row r="86" spans="1:22" ht="20.25" customHeight="1" x14ac:dyDescent="0.2">
      <c r="A86" s="3">
        <v>4662</v>
      </c>
      <c r="B86" s="103">
        <v>2683</v>
      </c>
      <c r="C86" s="12" t="s">
        <v>213</v>
      </c>
      <c r="D86" s="3">
        <v>1</v>
      </c>
      <c r="E86" s="19"/>
      <c r="G86" s="228"/>
      <c r="H86" s="228"/>
      <c r="I86" s="228"/>
      <c r="J86" s="376">
        <v>98</v>
      </c>
      <c r="K86" s="420" t="str">
        <f t="shared" si="6"/>
        <v/>
      </c>
      <c r="L86" s="94"/>
      <c r="M86" s="508"/>
      <c r="N86" s="279"/>
      <c r="O86" s="71"/>
      <c r="P86" s="522" t="str">
        <f t="shared" si="7"/>
        <v/>
      </c>
      <c r="Q86" s="415" t="str">
        <f t="shared" si="8"/>
        <v/>
      </c>
      <c r="R86" s="415" t="str">
        <f t="shared" si="5"/>
        <v/>
      </c>
      <c r="S86" s="59"/>
      <c r="T86" s="61"/>
      <c r="U86" s="63"/>
      <c r="V86" s="11"/>
    </row>
    <row r="87" spans="1:22" ht="20.25" customHeight="1" x14ac:dyDescent="0.2">
      <c r="A87" s="3">
        <v>329</v>
      </c>
      <c r="B87" s="103">
        <v>650792</v>
      </c>
      <c r="C87" s="12" t="s">
        <v>179</v>
      </c>
      <c r="D87" s="3">
        <v>1</v>
      </c>
      <c r="E87" s="19"/>
      <c r="G87" s="228">
        <v>540</v>
      </c>
      <c r="H87" s="228"/>
      <c r="I87" s="228"/>
      <c r="J87" s="376">
        <v>374</v>
      </c>
      <c r="K87" s="420">
        <f t="shared" si="6"/>
        <v>374</v>
      </c>
      <c r="L87" s="94"/>
      <c r="M87" s="508">
        <v>1</v>
      </c>
      <c r="N87" s="279">
        <v>0.5</v>
      </c>
      <c r="O87" s="71"/>
      <c r="P87" s="522">
        <f t="shared" si="7"/>
        <v>540</v>
      </c>
      <c r="Q87" s="415">
        <f t="shared" si="8"/>
        <v>0.47250000000000003</v>
      </c>
      <c r="R87" s="415" t="str">
        <f t="shared" si="5"/>
        <v/>
      </c>
      <c r="S87" s="59"/>
      <c r="T87" s="61"/>
      <c r="U87" s="63"/>
      <c r="V87" s="11"/>
    </row>
    <row r="88" spans="1:22" ht="20.25" customHeight="1" x14ac:dyDescent="0.2">
      <c r="A88" s="3"/>
      <c r="B88" s="103"/>
      <c r="C88" s="12"/>
      <c r="D88" s="3"/>
      <c r="E88" s="19"/>
      <c r="G88" s="228"/>
      <c r="H88" s="228"/>
      <c r="I88" s="228"/>
      <c r="J88" s="376" t="s">
        <v>156</v>
      </c>
      <c r="K88" s="420" t="str">
        <f t="shared" si="6"/>
        <v/>
      </c>
      <c r="L88" s="94"/>
      <c r="M88" s="508"/>
      <c r="N88" s="279"/>
      <c r="O88" s="71"/>
      <c r="P88" s="522" t="str">
        <f t="shared" si="7"/>
        <v/>
      </c>
      <c r="Q88" s="415" t="str">
        <f t="shared" si="8"/>
        <v/>
      </c>
      <c r="R88" s="415" t="str">
        <f t="shared" si="5"/>
        <v/>
      </c>
      <c r="S88" s="59"/>
      <c r="T88" s="61"/>
      <c r="U88" s="63"/>
      <c r="V88" s="11"/>
    </row>
    <row r="89" spans="1:22" ht="20.25" customHeight="1" x14ac:dyDescent="0.2">
      <c r="A89" s="3"/>
      <c r="B89" s="103"/>
      <c r="C89" s="12"/>
      <c r="D89" s="3"/>
      <c r="E89" s="19"/>
      <c r="G89" s="228"/>
      <c r="H89" s="228"/>
      <c r="I89" s="228"/>
      <c r="J89" s="376" t="s">
        <v>156</v>
      </c>
      <c r="K89" s="420" t="str">
        <f t="shared" si="6"/>
        <v/>
      </c>
      <c r="L89" s="94"/>
      <c r="M89" s="504"/>
      <c r="N89" s="279"/>
      <c r="O89" s="71"/>
      <c r="P89" s="522" t="str">
        <f t="shared" si="7"/>
        <v/>
      </c>
      <c r="Q89" s="415" t="str">
        <f t="shared" si="8"/>
        <v/>
      </c>
      <c r="R89" s="415" t="str">
        <f t="shared" si="5"/>
        <v/>
      </c>
      <c r="S89" s="59"/>
      <c r="T89" s="61"/>
      <c r="U89" s="63"/>
      <c r="V89" s="11"/>
    </row>
    <row r="90" spans="1:22" ht="20.25" customHeight="1" x14ac:dyDescent="0.2">
      <c r="A90" s="4">
        <v>29</v>
      </c>
      <c r="B90" s="103">
        <v>33185</v>
      </c>
      <c r="C90" s="9" t="s">
        <v>65</v>
      </c>
      <c r="D90" s="4">
        <v>1</v>
      </c>
      <c r="E90" s="16"/>
      <c r="G90" s="228">
        <v>140</v>
      </c>
      <c r="H90" s="228"/>
      <c r="I90" s="228"/>
      <c r="J90" s="376">
        <v>84</v>
      </c>
      <c r="K90" s="420">
        <f t="shared" si="6"/>
        <v>84</v>
      </c>
      <c r="L90" s="93"/>
      <c r="M90" s="504">
        <v>1</v>
      </c>
      <c r="N90" s="279">
        <v>0.5</v>
      </c>
      <c r="O90" s="71"/>
      <c r="P90" s="522">
        <f t="shared" si="7"/>
        <v>140</v>
      </c>
      <c r="Q90" s="415">
        <f t="shared" si="8"/>
        <v>0.47250000000000003</v>
      </c>
      <c r="R90" s="415" t="str">
        <f t="shared" si="5"/>
        <v/>
      </c>
      <c r="S90" s="59"/>
      <c r="T90" s="61"/>
      <c r="U90" s="63"/>
      <c r="V90" s="11"/>
    </row>
    <row r="91" spans="1:22" ht="20.25" customHeight="1" x14ac:dyDescent="0.2">
      <c r="A91" s="4">
        <v>35</v>
      </c>
      <c r="B91" s="103">
        <v>46501</v>
      </c>
      <c r="C91" s="9" t="s">
        <v>67</v>
      </c>
      <c r="D91" s="4">
        <v>1</v>
      </c>
      <c r="E91" s="16"/>
      <c r="G91" s="228">
        <v>50</v>
      </c>
      <c r="H91" s="228"/>
      <c r="I91" s="228"/>
      <c r="J91" s="376">
        <v>29</v>
      </c>
      <c r="K91" s="420">
        <f t="shared" si="6"/>
        <v>29</v>
      </c>
      <c r="L91" s="93"/>
      <c r="M91" s="504">
        <v>1</v>
      </c>
      <c r="N91" s="279">
        <v>0.5</v>
      </c>
      <c r="O91" s="71"/>
      <c r="P91" s="522">
        <f t="shared" si="7"/>
        <v>50</v>
      </c>
      <c r="Q91" s="415">
        <f t="shared" si="8"/>
        <v>0.47250000000000003</v>
      </c>
      <c r="R91" s="415" t="str">
        <f t="shared" si="5"/>
        <v/>
      </c>
      <c r="S91" s="59"/>
      <c r="T91" s="61"/>
      <c r="U91" s="63"/>
      <c r="V91" s="11"/>
    </row>
    <row r="92" spans="1:22" ht="20.25" customHeight="1" x14ac:dyDescent="0.2">
      <c r="A92" s="3">
        <v>20</v>
      </c>
      <c r="B92" s="103">
        <v>23855</v>
      </c>
      <c r="C92" s="12" t="s">
        <v>44</v>
      </c>
      <c r="D92" s="3">
        <v>1</v>
      </c>
      <c r="E92" s="19"/>
      <c r="G92" s="228">
        <v>90</v>
      </c>
      <c r="H92" s="228"/>
      <c r="I92" s="228"/>
      <c r="J92" s="376">
        <v>76</v>
      </c>
      <c r="K92" s="420">
        <f t="shared" si="6"/>
        <v>76</v>
      </c>
      <c r="L92" s="94"/>
      <c r="M92" s="504">
        <v>1</v>
      </c>
      <c r="N92" s="279">
        <v>0.5</v>
      </c>
      <c r="O92" s="71"/>
      <c r="P92" s="522">
        <f t="shared" si="7"/>
        <v>90</v>
      </c>
      <c r="Q92" s="415">
        <f t="shared" si="8"/>
        <v>0.47250000000000003</v>
      </c>
      <c r="R92" s="415" t="str">
        <f t="shared" si="5"/>
        <v/>
      </c>
      <c r="S92" s="59"/>
      <c r="T92" s="61"/>
      <c r="U92" s="63"/>
      <c r="V92" s="11"/>
    </row>
    <row r="93" spans="1:22" ht="20.25" customHeight="1" x14ac:dyDescent="0.2">
      <c r="A93" s="4">
        <v>30</v>
      </c>
      <c r="B93" s="103">
        <v>46506</v>
      </c>
      <c r="C93" s="12" t="s">
        <v>66</v>
      </c>
      <c r="D93" s="4">
        <v>1</v>
      </c>
      <c r="E93" s="16"/>
      <c r="G93" s="228">
        <v>50</v>
      </c>
      <c r="H93" s="228"/>
      <c r="I93" s="228"/>
      <c r="J93" s="378">
        <v>15</v>
      </c>
      <c r="K93" s="420">
        <f t="shared" si="6"/>
        <v>15</v>
      </c>
      <c r="L93" s="93"/>
      <c r="M93" s="504">
        <v>1</v>
      </c>
      <c r="N93" s="279">
        <v>0.5</v>
      </c>
      <c r="O93" s="71"/>
      <c r="P93" s="522">
        <f t="shared" si="7"/>
        <v>50</v>
      </c>
      <c r="Q93" s="415">
        <f t="shared" si="8"/>
        <v>0.47250000000000003</v>
      </c>
      <c r="R93" s="415" t="str">
        <f t="shared" si="5"/>
        <v/>
      </c>
      <c r="S93" s="59"/>
      <c r="T93" s="61"/>
      <c r="U93" s="63"/>
      <c r="V93" s="11"/>
    </row>
    <row r="94" spans="1:22" ht="20.25" customHeight="1" x14ac:dyDescent="0.2">
      <c r="A94" s="4">
        <v>5</v>
      </c>
      <c r="B94" s="103">
        <v>46503</v>
      </c>
      <c r="C94" s="9" t="s">
        <v>6</v>
      </c>
      <c r="D94" s="4">
        <v>1</v>
      </c>
      <c r="E94" s="417">
        <f>+G94/120</f>
        <v>11</v>
      </c>
      <c r="G94" s="503">
        <v>1320</v>
      </c>
      <c r="H94" s="228"/>
      <c r="I94" s="228"/>
      <c r="J94" s="376">
        <v>1111</v>
      </c>
      <c r="K94" s="420">
        <f t="shared" si="6"/>
        <v>1111</v>
      </c>
      <c r="L94" s="145"/>
      <c r="M94" s="504">
        <v>1</v>
      </c>
      <c r="N94" s="279">
        <v>0.5</v>
      </c>
      <c r="O94" s="71"/>
      <c r="P94" s="522">
        <f t="shared" si="7"/>
        <v>1320</v>
      </c>
      <c r="Q94" s="415">
        <f t="shared" si="8"/>
        <v>0.47250000000000003</v>
      </c>
      <c r="R94" s="415" t="str">
        <f t="shared" si="5"/>
        <v/>
      </c>
      <c r="S94" s="59"/>
      <c r="T94" s="61"/>
      <c r="U94" s="63"/>
      <c r="V94" s="11"/>
    </row>
    <row r="95" spans="1:22" ht="20.25" customHeight="1" thickBot="1" x14ac:dyDescent="0.25">
      <c r="B95" s="103"/>
      <c r="C95" s="9"/>
      <c r="E95" s="16"/>
      <c r="G95" s="303"/>
      <c r="H95" s="303"/>
      <c r="I95" s="303"/>
      <c r="J95" s="376" t="s">
        <v>156</v>
      </c>
      <c r="K95" s="420" t="str">
        <f t="shared" si="6"/>
        <v/>
      </c>
      <c r="L95" s="145"/>
      <c r="M95" s="504"/>
      <c r="N95" s="279"/>
      <c r="O95" s="71"/>
      <c r="P95" s="522" t="str">
        <f t="shared" si="7"/>
        <v/>
      </c>
      <c r="Q95" s="415" t="str">
        <f t="shared" si="8"/>
        <v/>
      </c>
      <c r="R95" s="415" t="str">
        <f t="shared" si="5"/>
        <v/>
      </c>
      <c r="S95" s="59"/>
      <c r="T95" s="61"/>
      <c r="U95" s="63"/>
      <c r="V95" s="11"/>
    </row>
    <row r="96" spans="1:22" s="154" customFormat="1" ht="18.75" hidden="1" customHeight="1" thickBot="1" x14ac:dyDescent="0.25">
      <c r="B96" s="337"/>
      <c r="C96" s="160"/>
      <c r="F96" s="155"/>
      <c r="G96" s="232"/>
      <c r="H96" s="311"/>
      <c r="I96" s="311"/>
      <c r="J96" s="381" t="s">
        <v>156</v>
      </c>
      <c r="K96" s="420" t="str">
        <f t="shared" ref="K96:K103" si="9">IF(M96="","",IF(ISERROR(IF(L96=0,J96*M96,G96*L96)),"",IF(L96=0,J96*M96,G96*L96)))</f>
        <v/>
      </c>
      <c r="L96" s="157"/>
      <c r="M96" s="504"/>
      <c r="N96" s="158"/>
      <c r="O96" s="159"/>
      <c r="P96" s="522" t="str">
        <f t="shared" si="7"/>
        <v/>
      </c>
      <c r="Q96" s="415" t="str">
        <f t="shared" si="8"/>
        <v/>
      </c>
      <c r="R96" s="415" t="str">
        <f t="shared" si="5"/>
        <v/>
      </c>
      <c r="S96" s="156"/>
      <c r="T96" s="382"/>
      <c r="U96" s="382"/>
    </row>
    <row r="97" spans="1:22" s="161" customFormat="1" ht="20.25" hidden="1" customHeight="1" x14ac:dyDescent="0.2">
      <c r="B97" s="180"/>
      <c r="E97" s="162"/>
      <c r="F97" s="222"/>
      <c r="G97" s="233"/>
      <c r="H97" s="233"/>
      <c r="I97" s="233"/>
      <c r="J97" s="383" t="s">
        <v>156</v>
      </c>
      <c r="K97" s="420" t="str">
        <f t="shared" si="9"/>
        <v/>
      </c>
      <c r="L97" s="163"/>
      <c r="M97" s="504"/>
      <c r="N97" s="164"/>
      <c r="O97" s="165"/>
      <c r="P97" s="522" t="str">
        <f t="shared" si="7"/>
        <v/>
      </c>
      <c r="Q97" s="415" t="str">
        <f t="shared" si="8"/>
        <v/>
      </c>
      <c r="R97" s="415" t="str">
        <f t="shared" si="5"/>
        <v/>
      </c>
      <c r="S97" s="166"/>
      <c r="T97" s="167"/>
      <c r="U97" s="168"/>
      <c r="V97" s="169"/>
    </row>
    <row r="98" spans="1:22" s="3" customFormat="1" ht="20.25" hidden="1" customHeight="1" x14ac:dyDescent="0.2">
      <c r="B98" s="104"/>
      <c r="C98" s="12"/>
      <c r="E98" s="23"/>
      <c r="F98" s="134"/>
      <c r="G98" s="233"/>
      <c r="H98" s="233"/>
      <c r="I98" s="233"/>
      <c r="J98" s="350" t="s">
        <v>156</v>
      </c>
      <c r="K98" s="420" t="str">
        <f t="shared" si="9"/>
        <v/>
      </c>
      <c r="L98" s="94"/>
      <c r="M98" s="504"/>
      <c r="N98" s="118"/>
      <c r="O98" s="119"/>
      <c r="P98" s="522" t="str">
        <f t="shared" si="7"/>
        <v/>
      </c>
      <c r="Q98" s="415" t="str">
        <f t="shared" si="8"/>
        <v/>
      </c>
      <c r="R98" s="415" t="str">
        <f t="shared" si="5"/>
        <v/>
      </c>
      <c r="S98" s="120"/>
      <c r="T98" s="121"/>
      <c r="U98" s="122"/>
      <c r="V98" s="12"/>
    </row>
    <row r="99" spans="1:22" s="3" customFormat="1" ht="20.25" hidden="1" customHeight="1" thickBot="1" x14ac:dyDescent="0.25">
      <c r="B99" s="104"/>
      <c r="C99" s="12"/>
      <c r="E99" s="23"/>
      <c r="F99" s="134"/>
      <c r="G99" s="233"/>
      <c r="H99" s="233"/>
      <c r="I99" s="233"/>
      <c r="J99" s="350" t="s">
        <v>156</v>
      </c>
      <c r="K99" s="420" t="str">
        <f t="shared" si="9"/>
        <v/>
      </c>
      <c r="L99" s="94"/>
      <c r="M99" s="504"/>
      <c r="N99" s="118"/>
      <c r="O99" s="119"/>
      <c r="P99" s="522" t="str">
        <f t="shared" si="7"/>
        <v/>
      </c>
      <c r="Q99" s="415" t="str">
        <f t="shared" si="8"/>
        <v/>
      </c>
      <c r="R99" s="415" t="str">
        <f t="shared" si="5"/>
        <v/>
      </c>
      <c r="S99" s="120"/>
      <c r="T99" s="121"/>
      <c r="U99" s="122"/>
      <c r="V99" s="12"/>
    </row>
    <row r="100" spans="1:22" s="3" customFormat="1" ht="20.25" hidden="1" customHeight="1" thickBot="1" x14ac:dyDescent="0.25">
      <c r="B100" s="104"/>
      <c r="C100" s="12"/>
      <c r="E100" s="23"/>
      <c r="F100" s="134"/>
      <c r="G100" s="233"/>
      <c r="H100" s="233"/>
      <c r="I100" s="233"/>
      <c r="J100" s="210" t="s">
        <v>156</v>
      </c>
      <c r="K100" s="420" t="str">
        <f t="shared" si="9"/>
        <v/>
      </c>
      <c r="L100" s="94"/>
      <c r="M100" s="504"/>
      <c r="N100" s="118"/>
      <c r="O100" s="119"/>
      <c r="P100" s="522" t="str">
        <f t="shared" si="7"/>
        <v/>
      </c>
      <c r="Q100" s="415" t="str">
        <f t="shared" si="8"/>
        <v/>
      </c>
      <c r="R100" s="415" t="str">
        <f t="shared" si="5"/>
        <v/>
      </c>
      <c r="S100" s="120"/>
      <c r="T100" s="121"/>
      <c r="U100" s="122"/>
      <c r="V100" s="12"/>
    </row>
    <row r="101" spans="1:22" s="3" customFormat="1" ht="20.25" hidden="1" customHeight="1" x14ac:dyDescent="0.2">
      <c r="B101" s="104"/>
      <c r="C101" s="12"/>
      <c r="E101" s="23"/>
      <c r="F101" s="134"/>
      <c r="G101" s="233"/>
      <c r="H101" s="233"/>
      <c r="I101" s="233"/>
      <c r="J101" s="384" t="s">
        <v>156</v>
      </c>
      <c r="K101" s="420" t="str">
        <f t="shared" si="9"/>
        <v/>
      </c>
      <c r="L101" s="128"/>
      <c r="M101" s="504"/>
      <c r="N101" s="118"/>
      <c r="O101" s="119"/>
      <c r="P101" s="522" t="str">
        <f t="shared" si="7"/>
        <v/>
      </c>
      <c r="Q101" s="415" t="str">
        <f t="shared" si="8"/>
        <v/>
      </c>
      <c r="R101" s="415" t="str">
        <f t="shared" si="5"/>
        <v/>
      </c>
      <c r="S101" s="120"/>
      <c r="T101" s="121"/>
      <c r="U101" s="122"/>
      <c r="V101" s="12"/>
    </row>
    <row r="102" spans="1:22" s="3" customFormat="1" ht="20.25" hidden="1" customHeight="1" x14ac:dyDescent="0.2">
      <c r="B102" s="104"/>
      <c r="C102" s="12"/>
      <c r="E102" s="24"/>
      <c r="F102" s="223"/>
      <c r="G102" s="233"/>
      <c r="H102" s="233"/>
      <c r="I102" s="233"/>
      <c r="J102" s="350" t="s">
        <v>156</v>
      </c>
      <c r="K102" s="420" t="str">
        <f t="shared" si="9"/>
        <v/>
      </c>
      <c r="L102" s="94"/>
      <c r="M102" s="504"/>
      <c r="N102" s="118"/>
      <c r="O102" s="119"/>
      <c r="P102" s="522" t="str">
        <f t="shared" si="7"/>
        <v/>
      </c>
      <c r="Q102" s="415" t="str">
        <f t="shared" si="8"/>
        <v/>
      </c>
      <c r="R102" s="415" t="str">
        <f t="shared" si="5"/>
        <v/>
      </c>
      <c r="S102" s="120"/>
      <c r="T102" s="121"/>
      <c r="U102" s="122"/>
      <c r="V102" s="12"/>
    </row>
    <row r="103" spans="1:22" s="3" customFormat="1" ht="20.25" hidden="1" customHeight="1" thickBot="1" x14ac:dyDescent="0.25">
      <c r="A103" s="27"/>
      <c r="B103" s="182"/>
      <c r="C103" s="26"/>
      <c r="D103" s="27"/>
      <c r="E103" s="129"/>
      <c r="F103" s="224"/>
      <c r="G103" s="253"/>
      <c r="H103" s="233"/>
      <c r="I103" s="233"/>
      <c r="J103" s="350" t="s">
        <v>156</v>
      </c>
      <c r="K103" s="420" t="str">
        <f t="shared" si="9"/>
        <v/>
      </c>
      <c r="L103" s="130"/>
      <c r="M103" s="504"/>
      <c r="N103" s="123"/>
      <c r="O103" s="124"/>
      <c r="P103" s="522" t="str">
        <f t="shared" si="7"/>
        <v/>
      </c>
      <c r="Q103" s="415" t="str">
        <f t="shared" si="8"/>
        <v/>
      </c>
      <c r="R103" s="415" t="str">
        <f t="shared" si="5"/>
        <v/>
      </c>
      <c r="S103" s="127"/>
      <c r="T103" s="125"/>
      <c r="U103" s="122"/>
      <c r="V103" s="12"/>
    </row>
    <row r="104" spans="1:22" ht="20.25" customHeight="1" thickBot="1" x14ac:dyDescent="0.25">
      <c r="A104" s="374"/>
      <c r="B104" s="57"/>
      <c r="C104" s="285" t="s">
        <v>40</v>
      </c>
      <c r="D104" s="507"/>
      <c r="E104" s="28"/>
      <c r="F104" s="221"/>
      <c r="G104" s="309"/>
      <c r="H104" s="307"/>
      <c r="I104" s="310"/>
      <c r="J104" s="227" t="s">
        <v>156</v>
      </c>
      <c r="K104" s="413">
        <f>SUM(K105:K138)</f>
        <v>228</v>
      </c>
      <c r="L104" s="92"/>
      <c r="M104" s="322"/>
      <c r="N104" s="38"/>
      <c r="O104" s="80"/>
      <c r="P104" s="413">
        <f>SUM(P105:P138)</f>
        <v>593</v>
      </c>
      <c r="Q104" s="416" t="str">
        <f t="shared" si="8"/>
        <v/>
      </c>
      <c r="R104" s="416" t="str">
        <f t="shared" si="5"/>
        <v/>
      </c>
      <c r="S104" s="38"/>
      <c r="T104" s="60"/>
      <c r="U104" s="66"/>
      <c r="V104" s="11"/>
    </row>
    <row r="105" spans="1:22" ht="20.25" customHeight="1" x14ac:dyDescent="0.2">
      <c r="A105" s="3">
        <v>305</v>
      </c>
      <c r="B105" s="103">
        <v>46902</v>
      </c>
      <c r="C105" s="12" t="s">
        <v>68</v>
      </c>
      <c r="D105" s="205">
        <v>1</v>
      </c>
      <c r="E105" s="146"/>
      <c r="G105" s="308">
        <v>30</v>
      </c>
      <c r="H105" s="308"/>
      <c r="I105" s="308"/>
      <c r="J105" s="376">
        <v>8</v>
      </c>
      <c r="K105" s="420">
        <f>IF(M105="","",IF(ISERROR(IF(L105=0,J105*M105,J105*L105)),"",IF(L105=0,J105*M105,J105*L105)))</f>
        <v>8</v>
      </c>
      <c r="L105" s="93"/>
      <c r="M105" s="509">
        <v>1</v>
      </c>
      <c r="N105" s="279">
        <v>0.5</v>
      </c>
      <c r="O105" s="71"/>
      <c r="P105" s="522">
        <f t="shared" si="7"/>
        <v>30</v>
      </c>
      <c r="Q105" s="415">
        <f t="shared" si="8"/>
        <v>0.47250000000000003</v>
      </c>
      <c r="R105" s="415" t="str">
        <f t="shared" si="5"/>
        <v/>
      </c>
      <c r="S105" s="59"/>
      <c r="T105" s="61"/>
      <c r="U105" s="63"/>
      <c r="V105" s="11"/>
    </row>
    <row r="106" spans="1:22" ht="20.25" customHeight="1" x14ac:dyDescent="0.2">
      <c r="A106" s="3">
        <v>310</v>
      </c>
      <c r="B106" s="103">
        <v>34805</v>
      </c>
      <c r="C106" s="12" t="s">
        <v>69</v>
      </c>
      <c r="D106" s="103">
        <v>1</v>
      </c>
      <c r="E106" s="146"/>
      <c r="G106" s="228">
        <v>420</v>
      </c>
      <c r="H106" s="228"/>
      <c r="I106" s="228"/>
      <c r="J106" s="376">
        <v>44</v>
      </c>
      <c r="K106" s="420">
        <f t="shared" ref="K106:K138" si="10">IF(M106="","",IF(ISERROR(IF(L106=0,J106*M106,J106*L106)),"",IF(L106=0,J106*M106,J106*L106)))</f>
        <v>44</v>
      </c>
      <c r="M106" s="510">
        <v>1</v>
      </c>
      <c r="N106" s="279">
        <v>0.5</v>
      </c>
      <c r="O106" s="71"/>
      <c r="P106" s="522">
        <f t="shared" si="7"/>
        <v>420</v>
      </c>
      <c r="Q106" s="415">
        <f t="shared" si="8"/>
        <v>0.47250000000000003</v>
      </c>
      <c r="R106" s="415" t="str">
        <f t="shared" si="5"/>
        <v/>
      </c>
      <c r="S106" s="59"/>
      <c r="T106" s="61"/>
      <c r="U106" s="63"/>
      <c r="V106" s="11"/>
    </row>
    <row r="107" spans="1:22" ht="20.25" customHeight="1" x14ac:dyDescent="0.2">
      <c r="A107" s="3">
        <v>315</v>
      </c>
      <c r="B107" s="103">
        <v>46904</v>
      </c>
      <c r="C107" s="12" t="s">
        <v>70</v>
      </c>
      <c r="D107" s="206">
        <v>1</v>
      </c>
      <c r="E107" s="146"/>
      <c r="G107" s="228">
        <v>20</v>
      </c>
      <c r="H107" s="228"/>
      <c r="I107" s="228"/>
      <c r="J107" s="376">
        <v>20</v>
      </c>
      <c r="K107" s="420">
        <f t="shared" si="10"/>
        <v>20</v>
      </c>
      <c r="L107" s="93"/>
      <c r="M107" s="510">
        <v>1</v>
      </c>
      <c r="N107" s="279">
        <v>0.5</v>
      </c>
      <c r="O107" s="71"/>
      <c r="P107" s="522">
        <f t="shared" si="7"/>
        <v>20</v>
      </c>
      <c r="Q107" s="415">
        <f t="shared" si="8"/>
        <v>0.47250000000000003</v>
      </c>
      <c r="R107" s="415" t="str">
        <f t="shared" si="5"/>
        <v/>
      </c>
      <c r="S107" s="59"/>
      <c r="T107" s="61"/>
      <c r="U107" s="63"/>
      <c r="V107" s="11"/>
    </row>
    <row r="108" spans="1:22" ht="20.25" customHeight="1" x14ac:dyDescent="0.2">
      <c r="A108" s="3">
        <v>365</v>
      </c>
      <c r="B108" s="103">
        <v>46905</v>
      </c>
      <c r="C108" s="13" t="s">
        <v>71</v>
      </c>
      <c r="D108" s="206">
        <v>1</v>
      </c>
      <c r="E108" s="146"/>
      <c r="G108" s="228">
        <v>20</v>
      </c>
      <c r="H108" s="228"/>
      <c r="I108" s="228"/>
      <c r="J108" s="376">
        <v>6</v>
      </c>
      <c r="K108" s="420">
        <f t="shared" si="10"/>
        <v>6</v>
      </c>
      <c r="L108" s="93"/>
      <c r="M108" s="510">
        <v>1</v>
      </c>
      <c r="N108" s="279">
        <v>0.5</v>
      </c>
      <c r="O108" s="71"/>
      <c r="P108" s="522">
        <f t="shared" si="7"/>
        <v>20</v>
      </c>
      <c r="Q108" s="415">
        <f t="shared" si="8"/>
        <v>0.47250000000000003</v>
      </c>
      <c r="R108" s="415" t="str">
        <f t="shared" si="5"/>
        <v/>
      </c>
      <c r="S108" s="59"/>
      <c r="T108" s="61"/>
      <c r="U108" s="63"/>
      <c r="V108" s="11"/>
    </row>
    <row r="109" spans="1:22" ht="20.25" customHeight="1" x14ac:dyDescent="0.2">
      <c r="A109" s="3">
        <v>370</v>
      </c>
      <c r="B109" s="103">
        <v>46906</v>
      </c>
      <c r="C109" s="13" t="s">
        <v>72</v>
      </c>
      <c r="D109" s="206">
        <v>1</v>
      </c>
      <c r="E109" s="146"/>
      <c r="G109" s="228">
        <v>30</v>
      </c>
      <c r="H109" s="228"/>
      <c r="I109" s="228"/>
      <c r="J109" s="376">
        <v>107</v>
      </c>
      <c r="K109" s="420">
        <f t="shared" si="10"/>
        <v>107</v>
      </c>
      <c r="L109" s="93"/>
      <c r="M109" s="510">
        <v>1</v>
      </c>
      <c r="N109" s="279">
        <v>0.5</v>
      </c>
      <c r="O109" s="71"/>
      <c r="P109" s="522">
        <f t="shared" si="7"/>
        <v>30</v>
      </c>
      <c r="Q109" s="415">
        <f t="shared" si="8"/>
        <v>0.47250000000000003</v>
      </c>
      <c r="R109" s="415" t="str">
        <f t="shared" si="5"/>
        <v/>
      </c>
      <c r="S109" s="59"/>
      <c r="T109" s="61"/>
      <c r="U109" s="63"/>
      <c r="V109" s="11"/>
    </row>
    <row r="110" spans="1:22" ht="20.25" customHeight="1" x14ac:dyDescent="0.2">
      <c r="A110" s="3"/>
      <c r="B110" s="103"/>
      <c r="C110" s="12"/>
      <c r="D110" s="104"/>
      <c r="E110" s="146"/>
      <c r="G110" s="228"/>
      <c r="H110" s="228"/>
      <c r="I110" s="228"/>
      <c r="J110" s="376" t="s">
        <v>156</v>
      </c>
      <c r="K110" s="420" t="str">
        <f t="shared" si="10"/>
        <v/>
      </c>
      <c r="L110" s="93"/>
      <c r="M110" s="511"/>
      <c r="N110" s="279"/>
      <c r="O110" s="71"/>
      <c r="P110" s="522" t="str">
        <f t="shared" si="7"/>
        <v/>
      </c>
      <c r="Q110" s="415" t="str">
        <f t="shared" si="8"/>
        <v/>
      </c>
      <c r="R110" s="415" t="str">
        <f t="shared" si="5"/>
        <v/>
      </c>
      <c r="S110" s="59"/>
      <c r="T110" s="61"/>
      <c r="U110" s="63"/>
      <c r="V110" s="11"/>
    </row>
    <row r="111" spans="1:22" ht="20.25" customHeight="1" x14ac:dyDescent="0.2">
      <c r="A111" s="3">
        <v>390</v>
      </c>
      <c r="B111" s="103">
        <v>10243</v>
      </c>
      <c r="C111" s="12" t="s">
        <v>137</v>
      </c>
      <c r="D111" s="104">
        <v>1</v>
      </c>
      <c r="E111" s="146"/>
      <c r="G111" s="228">
        <v>15</v>
      </c>
      <c r="H111" s="228"/>
      <c r="I111" s="228"/>
      <c r="J111" s="376">
        <v>5</v>
      </c>
      <c r="K111" s="420">
        <f t="shared" si="10"/>
        <v>5</v>
      </c>
      <c r="L111" s="93"/>
      <c r="M111" s="504">
        <v>1</v>
      </c>
      <c r="N111" s="279">
        <v>0.5</v>
      </c>
      <c r="O111" s="71"/>
      <c r="P111" s="522">
        <f t="shared" si="7"/>
        <v>15</v>
      </c>
      <c r="Q111" s="415">
        <f t="shared" si="8"/>
        <v>0.47250000000000003</v>
      </c>
      <c r="R111" s="415" t="str">
        <f t="shared" si="5"/>
        <v/>
      </c>
      <c r="S111" s="59"/>
      <c r="T111" s="61"/>
      <c r="U111" s="63"/>
      <c r="V111" s="11"/>
    </row>
    <row r="112" spans="1:22" ht="20.25" customHeight="1" x14ac:dyDescent="0.2">
      <c r="A112" s="3"/>
      <c r="B112" s="103"/>
      <c r="C112" s="12"/>
      <c r="D112" s="104"/>
      <c r="E112" s="146"/>
      <c r="G112" s="228"/>
      <c r="H112" s="228"/>
      <c r="I112" s="228"/>
      <c r="J112" s="376" t="s">
        <v>156</v>
      </c>
      <c r="K112" s="420" t="str">
        <f t="shared" si="10"/>
        <v/>
      </c>
      <c r="L112" s="93"/>
      <c r="M112" s="504"/>
      <c r="N112" s="279"/>
      <c r="O112" s="71"/>
      <c r="P112" s="522" t="str">
        <f t="shared" si="7"/>
        <v/>
      </c>
      <c r="Q112" s="415" t="str">
        <f t="shared" si="8"/>
        <v/>
      </c>
      <c r="R112" s="415" t="str">
        <f t="shared" si="5"/>
        <v/>
      </c>
      <c r="S112" s="59"/>
      <c r="T112" s="61"/>
      <c r="U112" s="63"/>
      <c r="V112" s="11"/>
    </row>
    <row r="113" spans="1:22" ht="20.25" customHeight="1" x14ac:dyDescent="0.2">
      <c r="A113" s="3"/>
      <c r="B113" s="103"/>
      <c r="C113" s="12"/>
      <c r="D113" s="104"/>
      <c r="E113" s="16"/>
      <c r="G113" s="228"/>
      <c r="H113" s="228"/>
      <c r="I113" s="228"/>
      <c r="J113" s="376" t="s">
        <v>156</v>
      </c>
      <c r="K113" s="420" t="str">
        <f t="shared" si="10"/>
        <v/>
      </c>
      <c r="L113" s="93"/>
      <c r="M113" s="508"/>
      <c r="N113" s="279"/>
      <c r="O113" s="71"/>
      <c r="P113" s="522" t="str">
        <f t="shared" si="7"/>
        <v/>
      </c>
      <c r="Q113" s="415" t="str">
        <f t="shared" si="8"/>
        <v/>
      </c>
      <c r="R113" s="415" t="str">
        <f t="shared" si="5"/>
        <v/>
      </c>
      <c r="S113" s="59"/>
      <c r="T113" s="61"/>
      <c r="V113" s="248"/>
    </row>
    <row r="114" spans="1:22" ht="20.25" customHeight="1" x14ac:dyDescent="0.2">
      <c r="A114" s="3">
        <v>4627</v>
      </c>
      <c r="B114" s="103">
        <v>2639</v>
      </c>
      <c r="C114" s="12" t="s">
        <v>138</v>
      </c>
      <c r="D114" s="104">
        <v>1</v>
      </c>
      <c r="E114" s="24"/>
      <c r="F114" s="106"/>
      <c r="G114" s="228">
        <v>20</v>
      </c>
      <c r="H114" s="228"/>
      <c r="I114" s="236"/>
      <c r="J114" s="210">
        <v>14</v>
      </c>
      <c r="K114" s="420">
        <f t="shared" si="10"/>
        <v>14</v>
      </c>
      <c r="L114" s="98"/>
      <c r="M114" s="508">
        <v>1</v>
      </c>
      <c r="N114" s="279">
        <v>0.5</v>
      </c>
      <c r="O114" s="71"/>
      <c r="P114" s="522">
        <f t="shared" si="7"/>
        <v>20</v>
      </c>
      <c r="Q114" s="415">
        <f t="shared" si="8"/>
        <v>0.47250000000000003</v>
      </c>
      <c r="R114" s="415" t="str">
        <f t="shared" si="5"/>
        <v/>
      </c>
      <c r="S114" s="59"/>
      <c r="T114" s="61"/>
      <c r="V114" s="248"/>
    </row>
    <row r="115" spans="1:22" ht="20.25" customHeight="1" x14ac:dyDescent="0.2">
      <c r="A115" s="3">
        <v>4626</v>
      </c>
      <c r="B115" s="103">
        <v>2638</v>
      </c>
      <c r="C115" s="12" t="s">
        <v>217</v>
      </c>
      <c r="D115" s="104">
        <v>1</v>
      </c>
      <c r="E115" s="16"/>
      <c r="G115" s="228">
        <v>20</v>
      </c>
      <c r="H115" s="228"/>
      <c r="I115" s="234"/>
      <c r="J115" s="210">
        <v>16</v>
      </c>
      <c r="K115" s="420">
        <f t="shared" si="10"/>
        <v>16</v>
      </c>
      <c r="L115" s="93"/>
      <c r="M115" s="508">
        <v>1</v>
      </c>
      <c r="N115" s="279">
        <v>0.5</v>
      </c>
      <c r="O115" s="71"/>
      <c r="P115" s="522">
        <f t="shared" si="7"/>
        <v>20</v>
      </c>
      <c r="Q115" s="415">
        <f t="shared" si="8"/>
        <v>0.47250000000000003</v>
      </c>
      <c r="R115" s="415" t="str">
        <f t="shared" si="5"/>
        <v/>
      </c>
      <c r="S115" s="59"/>
      <c r="T115" s="61"/>
      <c r="V115" s="248"/>
    </row>
    <row r="116" spans="1:22" ht="20.25" customHeight="1" x14ac:dyDescent="0.2">
      <c r="A116" s="3"/>
      <c r="B116" s="103"/>
      <c r="C116" s="12"/>
      <c r="D116" s="104"/>
      <c r="E116" s="146"/>
      <c r="G116" s="228"/>
      <c r="H116" s="228"/>
      <c r="I116" s="228"/>
      <c r="J116" s="376" t="s">
        <v>156</v>
      </c>
      <c r="K116" s="420" t="str">
        <f t="shared" si="10"/>
        <v/>
      </c>
      <c r="L116" s="93"/>
      <c r="M116" s="504"/>
      <c r="N116" s="279"/>
      <c r="O116" s="71"/>
      <c r="P116" s="522" t="str">
        <f t="shared" si="7"/>
        <v/>
      </c>
      <c r="Q116" s="415" t="str">
        <f t="shared" si="8"/>
        <v/>
      </c>
      <c r="R116" s="415" t="str">
        <f t="shared" si="5"/>
        <v/>
      </c>
      <c r="S116" s="59"/>
      <c r="T116" s="61"/>
      <c r="U116" s="63"/>
      <c r="V116" s="11"/>
    </row>
    <row r="117" spans="1:22" ht="20.25" hidden="1" customHeight="1" x14ac:dyDescent="0.2">
      <c r="A117" s="3">
        <v>1</v>
      </c>
      <c r="B117" s="103"/>
      <c r="C117" s="12" t="s">
        <v>91</v>
      </c>
      <c r="D117" s="104">
        <v>1</v>
      </c>
      <c r="E117" s="146"/>
      <c r="G117" s="228"/>
      <c r="H117" s="228"/>
      <c r="I117" s="228"/>
      <c r="J117" s="376" t="s">
        <v>156</v>
      </c>
      <c r="K117" s="420" t="str">
        <f t="shared" si="10"/>
        <v/>
      </c>
      <c r="L117" s="93"/>
      <c r="M117" s="504"/>
      <c r="N117" s="279"/>
      <c r="O117" s="71"/>
      <c r="P117" s="522" t="str">
        <f t="shared" si="7"/>
        <v/>
      </c>
      <c r="Q117" s="415" t="str">
        <f t="shared" si="8"/>
        <v/>
      </c>
      <c r="R117" s="415" t="str">
        <f t="shared" si="5"/>
        <v/>
      </c>
      <c r="S117" s="59"/>
      <c r="T117" s="61"/>
      <c r="U117" s="63"/>
      <c r="V117" s="11"/>
    </row>
    <row r="118" spans="1:22" ht="20.25" hidden="1" customHeight="1" x14ac:dyDescent="0.2">
      <c r="A118" s="3">
        <v>1</v>
      </c>
      <c r="B118" s="103"/>
      <c r="C118" s="12" t="s">
        <v>73</v>
      </c>
      <c r="D118" s="104">
        <v>1</v>
      </c>
      <c r="E118" s="146"/>
      <c r="G118" s="228"/>
      <c r="H118" s="228"/>
      <c r="I118" s="229"/>
      <c r="J118" s="376" t="s">
        <v>156</v>
      </c>
      <c r="K118" s="420" t="str">
        <f t="shared" si="10"/>
        <v/>
      </c>
      <c r="L118" s="69"/>
      <c r="M118" s="508"/>
      <c r="N118" s="279"/>
      <c r="O118" s="71"/>
      <c r="P118" s="522" t="str">
        <f t="shared" si="7"/>
        <v/>
      </c>
      <c r="Q118" s="415" t="str">
        <f t="shared" si="8"/>
        <v/>
      </c>
      <c r="R118" s="415" t="str">
        <f t="shared" si="5"/>
        <v/>
      </c>
      <c r="S118" s="59"/>
      <c r="T118" s="61"/>
      <c r="U118" s="63"/>
      <c r="V118" s="11"/>
    </row>
    <row r="119" spans="1:22" ht="20.25" hidden="1" customHeight="1" x14ac:dyDescent="0.2">
      <c r="A119" s="3">
        <v>1</v>
      </c>
      <c r="B119" s="103"/>
      <c r="C119" s="12" t="s">
        <v>74</v>
      </c>
      <c r="D119" s="104">
        <v>1</v>
      </c>
      <c r="E119" s="146"/>
      <c r="G119" s="228"/>
      <c r="H119" s="228"/>
      <c r="I119" s="228"/>
      <c r="J119" s="376" t="s">
        <v>156</v>
      </c>
      <c r="K119" s="420" t="str">
        <f t="shared" si="10"/>
        <v/>
      </c>
      <c r="L119" s="93"/>
      <c r="M119" s="511"/>
      <c r="N119" s="279"/>
      <c r="O119" s="71"/>
      <c r="P119" s="522" t="str">
        <f t="shared" si="7"/>
        <v/>
      </c>
      <c r="Q119" s="415" t="str">
        <f t="shared" si="8"/>
        <v/>
      </c>
      <c r="R119" s="415" t="str">
        <f t="shared" si="5"/>
        <v/>
      </c>
      <c r="S119" s="59"/>
      <c r="T119" s="61"/>
      <c r="U119" s="63"/>
      <c r="V119" s="11"/>
    </row>
    <row r="120" spans="1:22" ht="20.25" hidden="1" customHeight="1" x14ac:dyDescent="0.2">
      <c r="A120" s="3">
        <v>1</v>
      </c>
      <c r="B120" s="103"/>
      <c r="C120" s="12" t="s">
        <v>75</v>
      </c>
      <c r="D120" s="104">
        <v>1</v>
      </c>
      <c r="E120" s="146"/>
      <c r="G120" s="385"/>
      <c r="H120" s="385"/>
      <c r="I120" s="228"/>
      <c r="J120" s="378" t="s">
        <v>156</v>
      </c>
      <c r="K120" s="420" t="str">
        <f t="shared" si="10"/>
        <v/>
      </c>
      <c r="L120" s="93"/>
      <c r="M120" s="512"/>
      <c r="N120" s="279"/>
      <c r="O120" s="71"/>
      <c r="P120" s="522" t="str">
        <f t="shared" si="7"/>
        <v/>
      </c>
      <c r="Q120" s="415" t="str">
        <f t="shared" si="8"/>
        <v/>
      </c>
      <c r="R120" s="415" t="str">
        <f t="shared" si="5"/>
        <v/>
      </c>
      <c r="S120" s="59"/>
      <c r="T120" s="61"/>
      <c r="U120" s="63"/>
      <c r="V120" s="11"/>
    </row>
    <row r="121" spans="1:22" ht="20.25" hidden="1" customHeight="1" x14ac:dyDescent="0.2">
      <c r="A121" s="3">
        <v>1</v>
      </c>
      <c r="B121" s="103"/>
      <c r="C121" s="12" t="s">
        <v>76</v>
      </c>
      <c r="D121" s="104">
        <v>1</v>
      </c>
      <c r="E121" s="146"/>
      <c r="G121" s="235"/>
      <c r="H121" s="235"/>
      <c r="I121" s="235"/>
      <c r="J121" s="376" t="s">
        <v>156</v>
      </c>
      <c r="K121" s="420" t="str">
        <f t="shared" si="10"/>
        <v/>
      </c>
      <c r="L121" s="93"/>
      <c r="M121" s="511"/>
      <c r="N121" s="279"/>
      <c r="O121" s="71"/>
      <c r="P121" s="522" t="str">
        <f t="shared" si="7"/>
        <v/>
      </c>
      <c r="Q121" s="415" t="str">
        <f t="shared" si="8"/>
        <v/>
      </c>
      <c r="R121" s="415" t="str">
        <f t="shared" si="5"/>
        <v/>
      </c>
      <c r="S121" s="59"/>
      <c r="T121" s="61"/>
      <c r="U121" s="63"/>
      <c r="V121" s="11"/>
    </row>
    <row r="122" spans="1:22" ht="20.25" hidden="1" customHeight="1" thickBot="1" x14ac:dyDescent="0.25">
      <c r="A122" s="3">
        <v>1</v>
      </c>
      <c r="B122" s="103"/>
      <c r="C122" s="12" t="s">
        <v>77</v>
      </c>
      <c r="D122" s="104">
        <v>1</v>
      </c>
      <c r="E122" s="146"/>
      <c r="G122" s="385"/>
      <c r="H122" s="385"/>
      <c r="I122" s="228"/>
      <c r="J122" s="376" t="s">
        <v>156</v>
      </c>
      <c r="K122" s="420" t="str">
        <f t="shared" si="10"/>
        <v/>
      </c>
      <c r="L122" s="93"/>
      <c r="M122" s="512"/>
      <c r="N122" s="279"/>
      <c r="O122" s="71"/>
      <c r="P122" s="522" t="str">
        <f t="shared" si="7"/>
        <v/>
      </c>
      <c r="Q122" s="415" t="str">
        <f t="shared" si="8"/>
        <v/>
      </c>
      <c r="R122" s="415" t="str">
        <f t="shared" si="5"/>
        <v/>
      </c>
      <c r="S122" s="59"/>
      <c r="T122" s="61"/>
      <c r="U122" s="63"/>
      <c r="V122" s="11"/>
    </row>
    <row r="123" spans="1:22" ht="20.25" hidden="1" customHeight="1" x14ac:dyDescent="0.2">
      <c r="A123" s="3">
        <v>1</v>
      </c>
      <c r="B123" s="103"/>
      <c r="C123" s="12" t="s">
        <v>78</v>
      </c>
      <c r="D123" s="104">
        <v>1</v>
      </c>
      <c r="E123" s="146"/>
      <c r="G123" s="228"/>
      <c r="H123" s="228"/>
      <c r="I123" s="228"/>
      <c r="J123" s="376" t="s">
        <v>156</v>
      </c>
      <c r="K123" s="420" t="str">
        <f t="shared" si="10"/>
        <v/>
      </c>
      <c r="L123" s="93"/>
      <c r="M123" s="512"/>
      <c r="N123" s="279"/>
      <c r="O123" s="71"/>
      <c r="P123" s="522" t="str">
        <f t="shared" si="7"/>
        <v/>
      </c>
      <c r="Q123" s="415" t="str">
        <f t="shared" si="8"/>
        <v/>
      </c>
      <c r="R123" s="415" t="str">
        <f t="shared" si="5"/>
        <v/>
      </c>
      <c r="S123" s="59"/>
      <c r="T123" s="61"/>
      <c r="U123" s="63"/>
      <c r="V123" s="11"/>
    </row>
    <row r="124" spans="1:22" ht="20.25" hidden="1" customHeight="1" x14ac:dyDescent="0.2">
      <c r="A124" s="3">
        <v>1</v>
      </c>
      <c r="B124" s="103"/>
      <c r="C124" s="12" t="s">
        <v>79</v>
      </c>
      <c r="D124" s="104">
        <v>1</v>
      </c>
      <c r="E124" s="146"/>
      <c r="G124" s="228"/>
      <c r="H124" s="228"/>
      <c r="I124" s="228"/>
      <c r="J124" s="376" t="s">
        <v>156</v>
      </c>
      <c r="K124" s="420" t="str">
        <f t="shared" si="10"/>
        <v/>
      </c>
      <c r="L124" s="93"/>
      <c r="M124" s="512"/>
      <c r="N124" s="279"/>
      <c r="O124" s="71"/>
      <c r="P124" s="522" t="str">
        <f t="shared" si="7"/>
        <v/>
      </c>
      <c r="Q124" s="415" t="str">
        <f t="shared" si="8"/>
        <v/>
      </c>
      <c r="R124" s="415" t="str">
        <f t="shared" si="5"/>
        <v/>
      </c>
      <c r="S124" s="59"/>
      <c r="T124" s="61"/>
      <c r="U124" s="63"/>
      <c r="V124" s="11"/>
    </row>
    <row r="125" spans="1:22" ht="20.25" hidden="1" customHeight="1" x14ac:dyDescent="0.2">
      <c r="A125" s="3">
        <v>1</v>
      </c>
      <c r="B125" s="103"/>
      <c r="C125" s="12" t="s">
        <v>80</v>
      </c>
      <c r="D125" s="104">
        <v>1</v>
      </c>
      <c r="E125" s="146"/>
      <c r="G125" s="228"/>
      <c r="H125" s="228"/>
      <c r="I125" s="228"/>
      <c r="J125" s="376" t="s">
        <v>156</v>
      </c>
      <c r="K125" s="420" t="str">
        <f t="shared" si="10"/>
        <v/>
      </c>
      <c r="L125" s="93"/>
      <c r="M125" s="511"/>
      <c r="N125" s="279"/>
      <c r="O125" s="71"/>
      <c r="P125" s="522" t="str">
        <f t="shared" si="7"/>
        <v/>
      </c>
      <c r="Q125" s="415" t="str">
        <f t="shared" si="8"/>
        <v/>
      </c>
      <c r="R125" s="415" t="str">
        <f t="shared" si="5"/>
        <v/>
      </c>
      <c r="S125" s="59"/>
      <c r="T125" s="61"/>
      <c r="U125" s="63"/>
      <c r="V125" s="11"/>
    </row>
    <row r="126" spans="1:22" ht="20.25" hidden="1" customHeight="1" x14ac:dyDescent="0.2">
      <c r="A126" s="3">
        <v>1</v>
      </c>
      <c r="B126" s="103"/>
      <c r="C126" s="12" t="s">
        <v>82</v>
      </c>
      <c r="D126" s="104">
        <v>1</v>
      </c>
      <c r="E126" s="146"/>
      <c r="G126" s="385"/>
      <c r="H126" s="385"/>
      <c r="I126" s="228"/>
      <c r="J126" s="376" t="s">
        <v>156</v>
      </c>
      <c r="K126" s="420" t="str">
        <f t="shared" si="10"/>
        <v/>
      </c>
      <c r="L126" s="93"/>
      <c r="M126" s="512"/>
      <c r="N126" s="279"/>
      <c r="O126" s="71"/>
      <c r="P126" s="522" t="str">
        <f t="shared" si="7"/>
        <v/>
      </c>
      <c r="Q126" s="415" t="str">
        <f t="shared" si="8"/>
        <v/>
      </c>
      <c r="R126" s="415" t="str">
        <f t="shared" si="5"/>
        <v/>
      </c>
      <c r="S126" s="59"/>
      <c r="T126" s="61"/>
      <c r="U126" s="63"/>
      <c r="V126" s="11"/>
    </row>
    <row r="127" spans="1:22" ht="20.25" hidden="1" customHeight="1" x14ac:dyDescent="0.2">
      <c r="A127" s="3">
        <v>1</v>
      </c>
      <c r="B127" s="103"/>
      <c r="C127" s="12" t="s">
        <v>81</v>
      </c>
      <c r="D127" s="104">
        <v>1</v>
      </c>
      <c r="E127" s="146"/>
      <c r="G127" s="228"/>
      <c r="H127" s="228"/>
      <c r="I127" s="228"/>
      <c r="J127" s="376" t="s">
        <v>156</v>
      </c>
      <c r="K127" s="420" t="str">
        <f t="shared" si="10"/>
        <v/>
      </c>
      <c r="L127" s="93"/>
      <c r="M127" s="504"/>
      <c r="N127" s="279"/>
      <c r="O127" s="71"/>
      <c r="P127" s="522" t="str">
        <f t="shared" si="7"/>
        <v/>
      </c>
      <c r="Q127" s="415" t="str">
        <f t="shared" si="8"/>
        <v/>
      </c>
      <c r="R127" s="415" t="str">
        <f t="shared" si="5"/>
        <v/>
      </c>
      <c r="S127" s="59"/>
      <c r="T127" s="61"/>
      <c r="U127" s="63"/>
      <c r="V127" s="11"/>
    </row>
    <row r="128" spans="1:22" ht="20.25" hidden="1" customHeight="1" x14ac:dyDescent="0.2">
      <c r="A128" s="3">
        <v>1</v>
      </c>
      <c r="B128" s="103"/>
      <c r="C128" s="12" t="s">
        <v>83</v>
      </c>
      <c r="D128" s="104">
        <v>1</v>
      </c>
      <c r="E128" s="146"/>
      <c r="G128" s="385"/>
      <c r="H128" s="385"/>
      <c r="I128" s="228"/>
      <c r="J128" s="376" t="s">
        <v>156</v>
      </c>
      <c r="K128" s="420" t="str">
        <f t="shared" si="10"/>
        <v/>
      </c>
      <c r="L128" s="93"/>
      <c r="M128" s="504"/>
      <c r="N128" s="279"/>
      <c r="O128" s="71"/>
      <c r="P128" s="522" t="str">
        <f t="shared" si="7"/>
        <v/>
      </c>
      <c r="Q128" s="415" t="str">
        <f t="shared" si="8"/>
        <v/>
      </c>
      <c r="R128" s="415" t="str">
        <f t="shared" si="5"/>
        <v/>
      </c>
      <c r="S128" s="59"/>
      <c r="T128" s="61"/>
      <c r="U128" s="63"/>
      <c r="V128" s="11"/>
    </row>
    <row r="129" spans="1:22" ht="20.25" hidden="1" customHeight="1" x14ac:dyDescent="0.2">
      <c r="A129" s="3">
        <v>1</v>
      </c>
      <c r="B129" s="103"/>
      <c r="C129" s="12" t="s">
        <v>84</v>
      </c>
      <c r="D129" s="104">
        <v>1</v>
      </c>
      <c r="E129" s="146"/>
      <c r="G129" s="228"/>
      <c r="H129" s="228"/>
      <c r="I129" s="228"/>
      <c r="J129" s="376" t="s">
        <v>156</v>
      </c>
      <c r="K129" s="420" t="str">
        <f t="shared" si="10"/>
        <v/>
      </c>
      <c r="L129" s="93"/>
      <c r="M129" s="504"/>
      <c r="N129" s="279"/>
      <c r="O129" s="71"/>
      <c r="P129" s="522" t="str">
        <f t="shared" si="7"/>
        <v/>
      </c>
      <c r="Q129" s="415" t="str">
        <f t="shared" si="8"/>
        <v/>
      </c>
      <c r="R129" s="415" t="str">
        <f t="shared" si="5"/>
        <v/>
      </c>
      <c r="S129" s="59"/>
      <c r="T129" s="61"/>
      <c r="U129" s="63"/>
      <c r="V129" s="11"/>
    </row>
    <row r="130" spans="1:22" ht="20.25" hidden="1" customHeight="1" x14ac:dyDescent="0.2">
      <c r="A130" s="3">
        <v>1</v>
      </c>
      <c r="B130" s="103"/>
      <c r="C130" s="12" t="s">
        <v>85</v>
      </c>
      <c r="D130" s="104">
        <v>1</v>
      </c>
      <c r="E130" s="146"/>
      <c r="G130" s="228"/>
      <c r="H130" s="228"/>
      <c r="I130" s="228"/>
      <c r="J130" s="376" t="s">
        <v>156</v>
      </c>
      <c r="K130" s="420" t="str">
        <f t="shared" si="10"/>
        <v/>
      </c>
      <c r="L130" s="93"/>
      <c r="M130" s="504"/>
      <c r="N130" s="279"/>
      <c r="O130" s="71"/>
      <c r="P130" s="522" t="str">
        <f t="shared" si="7"/>
        <v/>
      </c>
      <c r="Q130" s="415" t="str">
        <f t="shared" si="8"/>
        <v/>
      </c>
      <c r="R130" s="415" t="str">
        <f t="shared" si="5"/>
        <v/>
      </c>
      <c r="S130" s="59"/>
      <c r="T130" s="61"/>
      <c r="U130" s="63"/>
      <c r="V130" s="11"/>
    </row>
    <row r="131" spans="1:22" s="8" customFormat="1" ht="20.25" hidden="1" customHeight="1" x14ac:dyDescent="0.2">
      <c r="A131" s="3">
        <v>1</v>
      </c>
      <c r="B131" s="338"/>
      <c r="C131" s="12" t="s">
        <v>86</v>
      </c>
      <c r="D131" s="104">
        <v>1</v>
      </c>
      <c r="E131" s="146"/>
      <c r="F131" s="107"/>
      <c r="G131" s="228"/>
      <c r="H131" s="228"/>
      <c r="I131" s="228"/>
      <c r="J131" s="386" t="s">
        <v>156</v>
      </c>
      <c r="K131" s="420" t="str">
        <f t="shared" si="10"/>
        <v/>
      </c>
      <c r="L131" s="101"/>
      <c r="M131" s="508"/>
      <c r="N131" s="279"/>
      <c r="O131" s="71"/>
      <c r="P131" s="522" t="str">
        <f t="shared" si="7"/>
        <v/>
      </c>
      <c r="Q131" s="415" t="str">
        <f t="shared" si="8"/>
        <v/>
      </c>
      <c r="R131" s="415" t="str">
        <f t="shared" si="5"/>
        <v/>
      </c>
      <c r="S131" s="59"/>
      <c r="T131" s="61"/>
      <c r="U131" s="5"/>
      <c r="V131" s="11"/>
    </row>
    <row r="132" spans="1:22" s="8" customFormat="1" ht="20.25" hidden="1" customHeight="1" x14ac:dyDescent="0.2">
      <c r="A132" s="3">
        <v>1</v>
      </c>
      <c r="B132" s="338"/>
      <c r="C132" s="3" t="s">
        <v>87</v>
      </c>
      <c r="D132" s="104">
        <v>1</v>
      </c>
      <c r="E132" s="4"/>
      <c r="F132" s="107"/>
      <c r="G132" s="228"/>
      <c r="H132" s="228"/>
      <c r="I132" s="228"/>
      <c r="J132" s="386" t="s">
        <v>156</v>
      </c>
      <c r="K132" s="420" t="str">
        <f t="shared" si="10"/>
        <v/>
      </c>
      <c r="L132" s="101"/>
      <c r="M132" s="504"/>
      <c r="N132" s="279"/>
      <c r="O132" s="71"/>
      <c r="P132" s="522" t="str">
        <f t="shared" si="7"/>
        <v/>
      </c>
      <c r="Q132" s="415" t="str">
        <f t="shared" si="8"/>
        <v/>
      </c>
      <c r="R132" s="415" t="str">
        <f t="shared" si="5"/>
        <v/>
      </c>
      <c r="S132" s="59"/>
      <c r="T132" s="61"/>
      <c r="U132" s="5"/>
      <c r="V132" s="11"/>
    </row>
    <row r="133" spans="1:22" s="3" customFormat="1" ht="20.25" hidden="1" customHeight="1" x14ac:dyDescent="0.2">
      <c r="A133" s="3">
        <v>1</v>
      </c>
      <c r="B133" s="104"/>
      <c r="C133" s="3" t="s">
        <v>88</v>
      </c>
      <c r="D133" s="104">
        <v>1</v>
      </c>
      <c r="E133" s="4"/>
      <c r="F133" s="107"/>
      <c r="G133" s="235"/>
      <c r="H133" s="235"/>
      <c r="I133" s="235"/>
      <c r="J133" s="350" t="s">
        <v>156</v>
      </c>
      <c r="K133" s="420" t="str">
        <f t="shared" si="10"/>
        <v/>
      </c>
      <c r="L133" s="94"/>
      <c r="M133" s="508"/>
      <c r="N133" s="279"/>
      <c r="O133" s="71"/>
      <c r="P133" s="522" t="str">
        <f t="shared" si="7"/>
        <v/>
      </c>
      <c r="Q133" s="415" t="str">
        <f t="shared" si="8"/>
        <v/>
      </c>
      <c r="R133" s="415" t="str">
        <f t="shared" si="5"/>
        <v/>
      </c>
      <c r="S133" s="59"/>
      <c r="T133" s="61"/>
      <c r="U133" s="122"/>
      <c r="V133" s="11"/>
    </row>
    <row r="134" spans="1:22" s="3" customFormat="1" ht="20.25" hidden="1" customHeight="1" x14ac:dyDescent="0.2">
      <c r="A134" s="3">
        <v>1</v>
      </c>
      <c r="B134" s="104"/>
      <c r="C134" s="13" t="s">
        <v>89</v>
      </c>
      <c r="D134" s="104">
        <v>1</v>
      </c>
      <c r="E134" s="4"/>
      <c r="F134" s="107"/>
      <c r="G134" s="235"/>
      <c r="H134" s="235"/>
      <c r="I134" s="235"/>
      <c r="J134" s="350" t="s">
        <v>156</v>
      </c>
      <c r="K134" s="420" t="str">
        <f t="shared" si="10"/>
        <v/>
      </c>
      <c r="L134" s="94"/>
      <c r="M134" s="508"/>
      <c r="N134" s="279"/>
      <c r="O134" s="71"/>
      <c r="P134" s="522" t="str">
        <f t="shared" si="7"/>
        <v/>
      </c>
      <c r="Q134" s="415" t="str">
        <f t="shared" si="8"/>
        <v/>
      </c>
      <c r="R134" s="415" t="str">
        <f t="shared" si="5"/>
        <v/>
      </c>
      <c r="S134" s="59"/>
      <c r="T134" s="61"/>
      <c r="U134" s="122"/>
      <c r="V134" s="11"/>
    </row>
    <row r="135" spans="1:22" s="3" customFormat="1" ht="20.25" hidden="1" customHeight="1" x14ac:dyDescent="0.2">
      <c r="A135" s="3">
        <v>1</v>
      </c>
      <c r="B135" s="104"/>
      <c r="C135" s="13" t="s">
        <v>90</v>
      </c>
      <c r="D135" s="104">
        <v>1</v>
      </c>
      <c r="E135" s="4"/>
      <c r="F135" s="107"/>
      <c r="G135" s="235"/>
      <c r="H135" s="235"/>
      <c r="I135" s="235"/>
      <c r="J135" s="350" t="s">
        <v>156</v>
      </c>
      <c r="K135" s="420" t="str">
        <f t="shared" si="10"/>
        <v/>
      </c>
      <c r="L135" s="94"/>
      <c r="M135" s="508"/>
      <c r="N135" s="279"/>
      <c r="O135" s="71"/>
      <c r="P135" s="522" t="str">
        <f t="shared" si="7"/>
        <v/>
      </c>
      <c r="Q135" s="415" t="str">
        <f t="shared" si="8"/>
        <v/>
      </c>
      <c r="R135" s="415" t="str">
        <f t="shared" si="5"/>
        <v/>
      </c>
      <c r="S135" s="59"/>
      <c r="T135" s="61"/>
      <c r="U135" s="122"/>
      <c r="V135" s="11"/>
    </row>
    <row r="136" spans="1:22" s="3" customFormat="1" ht="20.25" customHeight="1" x14ac:dyDescent="0.2">
      <c r="A136" s="3">
        <v>52</v>
      </c>
      <c r="B136" s="104">
        <v>646904</v>
      </c>
      <c r="C136" s="13" t="s">
        <v>92</v>
      </c>
      <c r="D136" s="104">
        <v>1</v>
      </c>
      <c r="E136" s="4"/>
      <c r="F136" s="107"/>
      <c r="G136" s="228">
        <v>10</v>
      </c>
      <c r="H136" s="235"/>
      <c r="I136" s="235"/>
      <c r="J136" s="350">
        <v>7</v>
      </c>
      <c r="K136" s="420">
        <f t="shared" si="10"/>
        <v>7</v>
      </c>
      <c r="L136" s="94"/>
      <c r="M136" s="508">
        <v>1</v>
      </c>
      <c r="N136" s="279">
        <v>0.5</v>
      </c>
      <c r="O136" s="418">
        <f>I136*N136</f>
        <v>0</v>
      </c>
      <c r="P136" s="522">
        <f t="shared" si="7"/>
        <v>10</v>
      </c>
      <c r="Q136" s="415">
        <f t="shared" si="8"/>
        <v>0.47250000000000003</v>
      </c>
      <c r="R136" s="415" t="str">
        <f t="shared" si="5"/>
        <v/>
      </c>
      <c r="S136" s="59"/>
      <c r="T136" s="61"/>
      <c r="U136" s="122"/>
      <c r="V136" s="11"/>
    </row>
    <row r="137" spans="1:22" s="3" customFormat="1" ht="20.25" customHeight="1" x14ac:dyDescent="0.2">
      <c r="A137" s="3">
        <v>4073</v>
      </c>
      <c r="B137" s="104">
        <v>2520</v>
      </c>
      <c r="C137" s="13" t="s">
        <v>136</v>
      </c>
      <c r="D137" s="104">
        <v>1</v>
      </c>
      <c r="E137" s="4"/>
      <c r="F137" s="107"/>
      <c r="G137" s="228">
        <v>8</v>
      </c>
      <c r="H137" s="235"/>
      <c r="I137" s="235"/>
      <c r="J137" s="350">
        <v>1</v>
      </c>
      <c r="K137" s="420">
        <f t="shared" si="10"/>
        <v>1</v>
      </c>
      <c r="L137" s="94"/>
      <c r="M137" s="508">
        <v>1</v>
      </c>
      <c r="N137" s="279">
        <v>0.5</v>
      </c>
      <c r="O137" s="71"/>
      <c r="P137" s="522">
        <f t="shared" si="7"/>
        <v>8</v>
      </c>
      <c r="Q137" s="415">
        <f t="shared" si="8"/>
        <v>0.47250000000000003</v>
      </c>
      <c r="R137" s="415" t="str">
        <f t="shared" si="5"/>
        <v/>
      </c>
      <c r="S137" s="59"/>
      <c r="T137" s="61"/>
      <c r="U137" s="122"/>
      <c r="V137" s="11"/>
    </row>
    <row r="138" spans="1:22" s="3" customFormat="1" ht="20.25" customHeight="1" thickBot="1" x14ac:dyDescent="0.25">
      <c r="A138" s="27"/>
      <c r="B138" s="182"/>
      <c r="C138" s="13"/>
      <c r="D138" s="104"/>
      <c r="E138" s="4"/>
      <c r="F138" s="107"/>
      <c r="G138" s="235"/>
      <c r="H138" s="235"/>
      <c r="I138" s="235"/>
      <c r="J138" s="350" t="s">
        <v>156</v>
      </c>
      <c r="K138" s="420" t="str">
        <f t="shared" si="10"/>
        <v/>
      </c>
      <c r="L138" s="94"/>
      <c r="M138" s="508"/>
      <c r="N138" s="279"/>
      <c r="O138" s="71"/>
      <c r="P138" s="522" t="str">
        <f t="shared" si="7"/>
        <v/>
      </c>
      <c r="Q138" s="415" t="str">
        <f t="shared" si="8"/>
        <v/>
      </c>
      <c r="R138" s="415" t="str">
        <f t="shared" si="5"/>
        <v/>
      </c>
      <c r="S138" s="59"/>
      <c r="T138" s="61"/>
      <c r="U138" s="122"/>
      <c r="V138" s="11"/>
    </row>
    <row r="139" spans="1:22" s="3" customFormat="1" ht="20.25" hidden="1" customHeight="1" x14ac:dyDescent="0.25">
      <c r="A139" s="42"/>
      <c r="B139" s="104"/>
      <c r="C139" s="13"/>
      <c r="D139" s="42"/>
      <c r="E139" s="131"/>
      <c r="F139" s="132"/>
      <c r="G139" s="387"/>
      <c r="H139" s="387"/>
      <c r="I139" s="387"/>
      <c r="J139" s="350" t="s">
        <v>156</v>
      </c>
      <c r="K139" s="420" t="str">
        <f t="shared" ref="K139:K146" si="11">IF(M139="","",IF(ISERROR(IF(L139=0,J139*M139,G139*L139)),"",IF(L139=0,J139*M139,G139*L139)))</f>
        <v/>
      </c>
      <c r="L139" s="94"/>
      <c r="M139" s="504"/>
      <c r="N139" s="39"/>
      <c r="O139" s="71"/>
      <c r="P139" s="522" t="str">
        <f t="shared" si="7"/>
        <v/>
      </c>
      <c r="Q139" s="415" t="str">
        <f t="shared" si="8"/>
        <v/>
      </c>
      <c r="R139" s="415" t="str">
        <f t="shared" si="5"/>
        <v/>
      </c>
      <c r="S139" s="414" t="e">
        <f>R139/$S$9</f>
        <v>#VALUE!</v>
      </c>
      <c r="T139" s="419" t="e">
        <f>S139/N139</f>
        <v>#VALUE!</v>
      </c>
      <c r="U139" s="122"/>
      <c r="V139" s="11"/>
    </row>
    <row r="140" spans="1:22" s="3" customFormat="1" ht="20.25" hidden="1" customHeight="1" x14ac:dyDescent="0.25">
      <c r="A140" s="42"/>
      <c r="B140" s="104"/>
      <c r="C140" s="13"/>
      <c r="D140" s="42"/>
      <c r="E140" s="131"/>
      <c r="F140" s="132"/>
      <c r="G140" s="387"/>
      <c r="H140" s="387"/>
      <c r="I140" s="387"/>
      <c r="J140" s="350" t="s">
        <v>156</v>
      </c>
      <c r="K140" s="420" t="str">
        <f t="shared" si="11"/>
        <v/>
      </c>
      <c r="L140" s="94"/>
      <c r="M140" s="504"/>
      <c r="N140" s="118"/>
      <c r="O140" s="119"/>
      <c r="P140" s="522" t="str">
        <f t="shared" si="7"/>
        <v/>
      </c>
      <c r="Q140" s="415" t="str">
        <f t="shared" si="8"/>
        <v/>
      </c>
      <c r="R140" s="415" t="str">
        <f t="shared" si="5"/>
        <v/>
      </c>
      <c r="S140" s="120"/>
      <c r="T140" s="121"/>
      <c r="U140" s="122"/>
      <c r="V140" s="11"/>
    </row>
    <row r="141" spans="1:22" s="3" customFormat="1" ht="20.25" hidden="1" customHeight="1" x14ac:dyDescent="0.25">
      <c r="B141" s="104"/>
      <c r="C141" s="12"/>
      <c r="E141" s="131"/>
      <c r="F141" s="132"/>
      <c r="G141" s="387"/>
      <c r="H141" s="387"/>
      <c r="I141" s="387"/>
      <c r="J141" s="350" t="s">
        <v>156</v>
      </c>
      <c r="K141" s="420" t="str">
        <f t="shared" si="11"/>
        <v/>
      </c>
      <c r="L141" s="94"/>
      <c r="M141" s="504"/>
      <c r="N141" s="118"/>
      <c r="O141" s="119"/>
      <c r="P141" s="522" t="str">
        <f t="shared" si="7"/>
        <v/>
      </c>
      <c r="Q141" s="415" t="str">
        <f t="shared" si="8"/>
        <v/>
      </c>
      <c r="R141" s="415" t="str">
        <f t="shared" ref="R141:R204" si="12">IF(L141=0,"",((L141/1.055)-N141)/(L141/1.055))</f>
        <v/>
      </c>
      <c r="S141" s="120"/>
      <c r="T141" s="121"/>
      <c r="U141" s="122"/>
      <c r="V141" s="11"/>
    </row>
    <row r="142" spans="1:22" s="3" customFormat="1" ht="20.25" hidden="1" customHeight="1" x14ac:dyDescent="0.25">
      <c r="B142" s="104"/>
      <c r="C142" s="12"/>
      <c r="E142" s="131"/>
      <c r="F142" s="132"/>
      <c r="G142" s="387"/>
      <c r="H142" s="387"/>
      <c r="I142" s="387"/>
      <c r="J142" s="350" t="s">
        <v>156</v>
      </c>
      <c r="K142" s="420" t="str">
        <f t="shared" si="11"/>
        <v/>
      </c>
      <c r="L142" s="94"/>
      <c r="M142" s="504"/>
      <c r="N142" s="118"/>
      <c r="O142" s="119"/>
      <c r="P142" s="522" t="str">
        <f t="shared" ref="P142:P205" si="13">IF(M142="","",IF(ISERROR(IF(L142=0,G142*M142,G142*L142)),"",IF(L142=0,G142*M142,G142*L142)))</f>
        <v/>
      </c>
      <c r="Q142" s="415" t="str">
        <f t="shared" ref="Q142:Q205" si="14">IF(R142&lt;&gt;"","",IF(OR(M142=0,N142=0),"",((M142/1.055)-N142)/(M142/1.055)))</f>
        <v/>
      </c>
      <c r="R142" s="415" t="str">
        <f t="shared" si="12"/>
        <v/>
      </c>
      <c r="S142" s="120"/>
      <c r="T142" s="121"/>
      <c r="U142" s="122"/>
      <c r="V142" s="11"/>
    </row>
    <row r="143" spans="1:22" s="3" customFormat="1" ht="20.25" hidden="1" customHeight="1" x14ac:dyDescent="0.25">
      <c r="B143" s="104"/>
      <c r="C143" s="12"/>
      <c r="E143" s="131"/>
      <c r="F143" s="132"/>
      <c r="G143" s="387"/>
      <c r="H143" s="387"/>
      <c r="I143" s="387"/>
      <c r="J143" s="350" t="s">
        <v>156</v>
      </c>
      <c r="K143" s="420" t="str">
        <f t="shared" si="11"/>
        <v/>
      </c>
      <c r="L143" s="128"/>
      <c r="M143" s="504"/>
      <c r="N143" s="118"/>
      <c r="O143" s="119"/>
      <c r="P143" s="522" t="str">
        <f t="shared" si="13"/>
        <v/>
      </c>
      <c r="Q143" s="415" t="str">
        <f t="shared" si="14"/>
        <v/>
      </c>
      <c r="R143" s="415" t="str">
        <f t="shared" si="12"/>
        <v/>
      </c>
      <c r="S143" s="120"/>
      <c r="T143" s="121"/>
      <c r="U143" s="122"/>
      <c r="V143" s="11"/>
    </row>
    <row r="144" spans="1:22" s="3" customFormat="1" ht="20.25" hidden="1" customHeight="1" x14ac:dyDescent="0.25">
      <c r="B144" s="104"/>
      <c r="C144" s="12"/>
      <c r="E144" s="131"/>
      <c r="F144" s="132"/>
      <c r="G144" s="387"/>
      <c r="H144" s="387"/>
      <c r="I144" s="387"/>
      <c r="J144" s="350" t="s">
        <v>156</v>
      </c>
      <c r="K144" s="420" t="str">
        <f t="shared" si="11"/>
        <v/>
      </c>
      <c r="L144" s="128"/>
      <c r="M144" s="504"/>
      <c r="N144" s="118"/>
      <c r="O144" s="119"/>
      <c r="P144" s="522" t="str">
        <f t="shared" si="13"/>
        <v/>
      </c>
      <c r="Q144" s="415" t="str">
        <f t="shared" si="14"/>
        <v/>
      </c>
      <c r="R144" s="415" t="str">
        <f t="shared" si="12"/>
        <v/>
      </c>
      <c r="S144" s="120"/>
      <c r="T144" s="121"/>
      <c r="U144" s="122"/>
      <c r="V144" s="11"/>
    </row>
    <row r="145" spans="1:22" s="3" customFormat="1" ht="20.25" hidden="1" customHeight="1" thickBot="1" x14ac:dyDescent="0.3">
      <c r="A145" s="42"/>
      <c r="B145" s="104"/>
      <c r="C145" s="13"/>
      <c r="D145" s="42"/>
      <c r="E145" s="149"/>
      <c r="F145" s="225"/>
      <c r="G145" s="233"/>
      <c r="H145" s="233"/>
      <c r="I145" s="233"/>
      <c r="J145" s="350" t="s">
        <v>156</v>
      </c>
      <c r="K145" s="420" t="str">
        <f t="shared" si="11"/>
        <v/>
      </c>
      <c r="L145" s="128"/>
      <c r="M145" s="504"/>
      <c r="N145" s="118"/>
      <c r="O145" s="119"/>
      <c r="P145" s="522" t="str">
        <f t="shared" si="13"/>
        <v/>
      </c>
      <c r="Q145" s="415" t="str">
        <f t="shared" si="14"/>
        <v/>
      </c>
      <c r="R145" s="415" t="str">
        <f t="shared" si="12"/>
        <v/>
      </c>
      <c r="S145" s="120"/>
      <c r="T145" s="121"/>
      <c r="U145" s="122"/>
      <c r="V145" s="11"/>
    </row>
    <row r="146" spans="1:22" s="148" customFormat="1" ht="20.25" hidden="1" customHeight="1" thickBot="1" x14ac:dyDescent="0.3">
      <c r="B146" s="137"/>
      <c r="C146" s="147"/>
      <c r="D146" s="296"/>
      <c r="E146" s="304"/>
      <c r="F146" s="305"/>
      <c r="G146" s="254"/>
      <c r="H146" s="254"/>
      <c r="I146" s="254"/>
      <c r="J146" s="388" t="s">
        <v>156</v>
      </c>
      <c r="K146" s="420" t="str">
        <f t="shared" si="11"/>
        <v/>
      </c>
      <c r="L146" s="306"/>
      <c r="M146" s="504"/>
      <c r="N146" s="215"/>
      <c r="O146" s="216"/>
      <c r="P146" s="522" t="str">
        <f t="shared" si="13"/>
        <v/>
      </c>
      <c r="Q146" s="415" t="str">
        <f t="shared" si="14"/>
        <v/>
      </c>
      <c r="R146" s="415" t="str">
        <f t="shared" si="12"/>
        <v/>
      </c>
      <c r="S146" s="217"/>
      <c r="T146" s="299"/>
      <c r="U146" s="300"/>
      <c r="V146" s="11"/>
    </row>
    <row r="147" spans="1:22" ht="20.25" customHeight="1" thickBot="1" x14ac:dyDescent="0.25">
      <c r="A147" s="513"/>
      <c r="B147" s="339"/>
      <c r="C147" s="285" t="s">
        <v>9</v>
      </c>
      <c r="D147" s="425"/>
      <c r="E147" s="28"/>
      <c r="F147" s="301"/>
      <c r="G147" s="84"/>
      <c r="H147" s="84"/>
      <c r="I147" s="389" t="s">
        <v>122</v>
      </c>
      <c r="J147" s="302" t="s">
        <v>156</v>
      </c>
      <c r="K147" s="413">
        <f>SUM(K148:K164)</f>
        <v>78</v>
      </c>
      <c r="L147" s="92"/>
      <c r="M147" s="322"/>
      <c r="N147" s="38"/>
      <c r="O147" s="80"/>
      <c r="P147" s="413">
        <f>SUM(P148:P164)</f>
        <v>99</v>
      </c>
      <c r="Q147" s="416" t="str">
        <f t="shared" si="14"/>
        <v/>
      </c>
      <c r="R147" s="416" t="str">
        <f t="shared" si="12"/>
        <v/>
      </c>
      <c r="S147" s="218"/>
      <c r="T147" s="60"/>
      <c r="U147" s="66"/>
      <c r="V147" s="11"/>
    </row>
    <row r="148" spans="1:22" ht="20.25" customHeight="1" x14ac:dyDescent="0.25">
      <c r="A148" s="42">
        <v>2205</v>
      </c>
      <c r="B148" s="103">
        <v>47764</v>
      </c>
      <c r="C148" s="13" t="s">
        <v>102</v>
      </c>
      <c r="D148" s="104">
        <v>1</v>
      </c>
      <c r="E148" s="212"/>
      <c r="F148" s="111"/>
      <c r="G148" s="503">
        <v>40</v>
      </c>
      <c r="H148" s="390"/>
      <c r="I148" s="390"/>
      <c r="J148" s="376">
        <v>26</v>
      </c>
      <c r="K148" s="420">
        <f>IF(M148="","",IF(ISERROR(IF(L148=0,J148*M148,J148*L148)),"",IF(L148=0,J148*M148,J148*L148)))</f>
        <v>26</v>
      </c>
      <c r="L148" s="93"/>
      <c r="M148" s="508">
        <v>1</v>
      </c>
      <c r="N148" s="279">
        <v>0.5</v>
      </c>
      <c r="O148" s="71"/>
      <c r="P148" s="522">
        <f t="shared" si="13"/>
        <v>40</v>
      </c>
      <c r="Q148" s="415">
        <f t="shared" si="14"/>
        <v>0.47250000000000003</v>
      </c>
      <c r="R148" s="415" t="str">
        <f t="shared" si="12"/>
        <v/>
      </c>
      <c r="S148" s="59"/>
      <c r="T148" s="61"/>
      <c r="U148" s="63"/>
      <c r="V148" s="11"/>
    </row>
    <row r="149" spans="1:22" ht="20.25" customHeight="1" x14ac:dyDescent="0.25">
      <c r="A149" s="42">
        <v>265</v>
      </c>
      <c r="B149" s="103">
        <v>48431</v>
      </c>
      <c r="C149" s="13" t="s">
        <v>103</v>
      </c>
      <c r="D149" s="104">
        <v>1</v>
      </c>
      <c r="E149" s="212"/>
      <c r="F149" s="111"/>
      <c r="G149" s="235">
        <v>10</v>
      </c>
      <c r="H149" s="235"/>
      <c r="I149" s="235"/>
      <c r="J149" s="376" t="s">
        <v>156</v>
      </c>
      <c r="K149" s="420" t="str">
        <f t="shared" ref="K149:K164" si="15">IF(M149="","",IF(ISERROR(IF(L149=0,J149*M149,J149*L149)),"",IF(L149=0,J149*M149,J149*L149)))</f>
        <v/>
      </c>
      <c r="L149" s="93"/>
      <c r="M149" s="508">
        <v>1</v>
      </c>
      <c r="N149" s="279">
        <v>0.5</v>
      </c>
      <c r="O149" s="71"/>
      <c r="P149" s="522">
        <f t="shared" si="13"/>
        <v>10</v>
      </c>
      <c r="Q149" s="415">
        <f t="shared" si="14"/>
        <v>0.47250000000000003</v>
      </c>
      <c r="R149" s="415" t="str">
        <f t="shared" si="12"/>
        <v/>
      </c>
      <c r="S149" s="59"/>
      <c r="T149" s="61"/>
      <c r="U149" s="63"/>
      <c r="V149" s="11"/>
    </row>
    <row r="150" spans="1:22" ht="20.25" customHeight="1" x14ac:dyDescent="0.25">
      <c r="A150" s="42">
        <v>2100</v>
      </c>
      <c r="B150" s="103">
        <v>373373</v>
      </c>
      <c r="C150" s="13" t="s">
        <v>104</v>
      </c>
      <c r="D150" s="104">
        <v>1</v>
      </c>
      <c r="E150" s="212"/>
      <c r="F150" s="111"/>
      <c r="G150" s="235"/>
      <c r="H150" s="235"/>
      <c r="I150" s="235"/>
      <c r="J150" s="376" t="s">
        <v>156</v>
      </c>
      <c r="K150" s="420" t="str">
        <f t="shared" si="15"/>
        <v/>
      </c>
      <c r="L150" s="93"/>
      <c r="M150" s="504"/>
      <c r="N150" s="279"/>
      <c r="O150" s="71"/>
      <c r="P150" s="522" t="str">
        <f t="shared" si="13"/>
        <v/>
      </c>
      <c r="Q150" s="415" t="str">
        <f t="shared" si="14"/>
        <v/>
      </c>
      <c r="R150" s="415" t="str">
        <f t="shared" si="12"/>
        <v/>
      </c>
      <c r="S150" s="59"/>
      <c r="T150" s="61"/>
      <c r="U150" s="63"/>
      <c r="V150" s="11"/>
    </row>
    <row r="151" spans="1:22" ht="20.25" customHeight="1" x14ac:dyDescent="0.25">
      <c r="A151" s="3">
        <v>34</v>
      </c>
      <c r="B151" s="103">
        <v>46482</v>
      </c>
      <c r="C151" s="12" t="s">
        <v>105</v>
      </c>
      <c r="D151" s="104">
        <v>1</v>
      </c>
      <c r="E151" s="212"/>
      <c r="F151" s="111"/>
      <c r="G151" s="235"/>
      <c r="H151" s="235"/>
      <c r="I151" s="235"/>
      <c r="J151" s="376" t="s">
        <v>156</v>
      </c>
      <c r="K151" s="420" t="str">
        <f t="shared" si="15"/>
        <v/>
      </c>
      <c r="L151" s="93"/>
      <c r="M151" s="511"/>
      <c r="N151" s="279"/>
      <c r="O151" s="71"/>
      <c r="P151" s="522" t="str">
        <f t="shared" si="13"/>
        <v/>
      </c>
      <c r="Q151" s="415" t="str">
        <f t="shared" si="14"/>
        <v/>
      </c>
      <c r="R151" s="415" t="str">
        <f t="shared" si="12"/>
        <v/>
      </c>
      <c r="S151" s="59"/>
      <c r="T151" s="61"/>
      <c r="U151" s="63"/>
      <c r="V151" s="11"/>
    </row>
    <row r="152" spans="1:22" ht="20.25" customHeight="1" x14ac:dyDescent="0.2">
      <c r="A152" s="3">
        <v>197</v>
      </c>
      <c r="B152" s="103">
        <v>39792</v>
      </c>
      <c r="C152" s="12" t="s">
        <v>189</v>
      </c>
      <c r="D152" s="104">
        <v>1</v>
      </c>
      <c r="E152" s="87"/>
      <c r="F152" s="226"/>
      <c r="G152" s="228"/>
      <c r="H152" s="228"/>
      <c r="I152" s="228"/>
      <c r="J152" s="376">
        <v>20</v>
      </c>
      <c r="K152" s="420">
        <f t="shared" si="15"/>
        <v>20</v>
      </c>
      <c r="L152" s="94"/>
      <c r="M152" s="508">
        <v>1</v>
      </c>
      <c r="N152" s="279">
        <v>0.5</v>
      </c>
      <c r="O152" s="71"/>
      <c r="P152" s="522">
        <f t="shared" si="13"/>
        <v>0</v>
      </c>
      <c r="Q152" s="415">
        <f t="shared" si="14"/>
        <v>0.47250000000000003</v>
      </c>
      <c r="R152" s="415" t="str">
        <f t="shared" si="12"/>
        <v/>
      </c>
      <c r="S152" s="59"/>
      <c r="T152" s="61"/>
      <c r="U152" s="63"/>
      <c r="V152" s="11"/>
    </row>
    <row r="153" spans="1:22" ht="20.25" customHeight="1" x14ac:dyDescent="0.2">
      <c r="A153" s="3">
        <v>211</v>
      </c>
      <c r="B153" s="103">
        <v>39926</v>
      </c>
      <c r="C153" s="12" t="s">
        <v>190</v>
      </c>
      <c r="D153" s="104">
        <v>1</v>
      </c>
      <c r="E153" s="87"/>
      <c r="F153" s="226"/>
      <c r="G153" s="228"/>
      <c r="H153" s="228"/>
      <c r="I153" s="228"/>
      <c r="J153" s="376">
        <v>9</v>
      </c>
      <c r="K153" s="420">
        <f t="shared" si="15"/>
        <v>9</v>
      </c>
      <c r="L153" s="94"/>
      <c r="M153" s="508">
        <v>1</v>
      </c>
      <c r="N153" s="279">
        <v>0.5</v>
      </c>
      <c r="O153" s="71"/>
      <c r="P153" s="522">
        <f t="shared" si="13"/>
        <v>0</v>
      </c>
      <c r="Q153" s="415">
        <f t="shared" si="14"/>
        <v>0.47250000000000003</v>
      </c>
      <c r="R153" s="415" t="str">
        <f t="shared" si="12"/>
        <v/>
      </c>
      <c r="S153" s="59"/>
      <c r="T153" s="61"/>
      <c r="U153" s="63"/>
      <c r="V153" s="11"/>
    </row>
    <row r="154" spans="1:22" ht="20.25" customHeight="1" x14ac:dyDescent="0.2">
      <c r="A154" s="3">
        <v>212</v>
      </c>
      <c r="B154" s="103">
        <v>39927</v>
      </c>
      <c r="C154" s="12" t="s">
        <v>191</v>
      </c>
      <c r="D154" s="104">
        <v>1</v>
      </c>
      <c r="E154" s="87"/>
      <c r="F154" s="226"/>
      <c r="G154" s="228"/>
      <c r="H154" s="228"/>
      <c r="I154" s="228"/>
      <c r="J154" s="376">
        <v>3</v>
      </c>
      <c r="K154" s="420">
        <f t="shared" si="15"/>
        <v>3</v>
      </c>
      <c r="L154" s="94"/>
      <c r="M154" s="508">
        <v>1</v>
      </c>
      <c r="N154" s="279">
        <v>0.5</v>
      </c>
      <c r="O154" s="314"/>
      <c r="P154" s="522">
        <f t="shared" si="13"/>
        <v>0</v>
      </c>
      <c r="Q154" s="415">
        <f t="shared" si="14"/>
        <v>0.47250000000000003</v>
      </c>
      <c r="R154" s="415" t="str">
        <f t="shared" si="12"/>
        <v/>
      </c>
      <c r="S154" s="59"/>
      <c r="T154" s="61"/>
      <c r="U154" s="63"/>
      <c r="V154" s="11"/>
    </row>
    <row r="155" spans="1:22" ht="20.25" customHeight="1" x14ac:dyDescent="0.25">
      <c r="A155" s="42"/>
      <c r="B155" s="103"/>
      <c r="C155" s="13"/>
      <c r="D155" s="104"/>
      <c r="E155" s="212"/>
      <c r="F155" s="111"/>
      <c r="G155" s="235"/>
      <c r="H155" s="235"/>
      <c r="I155" s="235"/>
      <c r="J155" s="376" t="s">
        <v>156</v>
      </c>
      <c r="K155" s="420" t="str">
        <f t="shared" si="15"/>
        <v/>
      </c>
      <c r="L155" s="93"/>
      <c r="M155" s="508"/>
      <c r="N155" s="279"/>
      <c r="O155" s="71"/>
      <c r="P155" s="522" t="str">
        <f t="shared" si="13"/>
        <v/>
      </c>
      <c r="Q155" s="415" t="str">
        <f t="shared" si="14"/>
        <v/>
      </c>
      <c r="R155" s="415" t="str">
        <f t="shared" si="12"/>
        <v/>
      </c>
      <c r="S155" s="59"/>
      <c r="T155" s="61"/>
      <c r="U155" s="63"/>
      <c r="V155" s="11"/>
    </row>
    <row r="156" spans="1:22" ht="20.25" customHeight="1" x14ac:dyDescent="0.25">
      <c r="A156" s="42">
        <v>4017</v>
      </c>
      <c r="B156" s="103">
        <v>2541</v>
      </c>
      <c r="C156" s="12" t="s">
        <v>106</v>
      </c>
      <c r="D156" s="104">
        <v>1</v>
      </c>
      <c r="E156" s="212"/>
      <c r="F156" s="219"/>
      <c r="G156" s="235">
        <v>15</v>
      </c>
      <c r="H156" s="235"/>
      <c r="I156" s="235"/>
      <c r="J156" s="376">
        <v>6</v>
      </c>
      <c r="K156" s="420">
        <f t="shared" si="15"/>
        <v>6</v>
      </c>
      <c r="L156" s="93"/>
      <c r="M156" s="508">
        <v>1</v>
      </c>
      <c r="N156" s="279">
        <v>0.5</v>
      </c>
      <c r="O156" s="71"/>
      <c r="P156" s="522">
        <f t="shared" si="13"/>
        <v>15</v>
      </c>
      <c r="Q156" s="415">
        <f t="shared" si="14"/>
        <v>0.47250000000000003</v>
      </c>
      <c r="R156" s="415" t="str">
        <f t="shared" si="12"/>
        <v/>
      </c>
      <c r="S156" s="59"/>
      <c r="T156" s="61"/>
      <c r="U156" s="63"/>
      <c r="V156" s="11"/>
    </row>
    <row r="157" spans="1:22" ht="20.25" customHeight="1" x14ac:dyDescent="0.25">
      <c r="A157" s="42">
        <v>4357</v>
      </c>
      <c r="B157" s="103">
        <v>2759</v>
      </c>
      <c r="C157" s="13" t="s">
        <v>107</v>
      </c>
      <c r="D157" s="104">
        <v>1</v>
      </c>
      <c r="E157" s="212"/>
      <c r="F157" s="111"/>
      <c r="G157" s="235">
        <v>10</v>
      </c>
      <c r="H157" s="235"/>
      <c r="I157" s="235"/>
      <c r="J157" s="376">
        <v>4</v>
      </c>
      <c r="K157" s="420">
        <f t="shared" si="15"/>
        <v>4</v>
      </c>
      <c r="L157" s="93"/>
      <c r="M157" s="508">
        <v>1</v>
      </c>
      <c r="N157" s="279">
        <v>0.5</v>
      </c>
      <c r="O157" s="71"/>
      <c r="P157" s="522">
        <f t="shared" si="13"/>
        <v>10</v>
      </c>
      <c r="Q157" s="415">
        <f t="shared" si="14"/>
        <v>0.47250000000000003</v>
      </c>
      <c r="R157" s="415" t="str">
        <f t="shared" si="12"/>
        <v/>
      </c>
      <c r="S157" s="59"/>
      <c r="T157" s="61"/>
      <c r="U157" s="63"/>
      <c r="V157" s="11"/>
    </row>
    <row r="158" spans="1:22" ht="20.25" customHeight="1" x14ac:dyDescent="0.25">
      <c r="A158" s="3">
        <v>4013</v>
      </c>
      <c r="B158" s="103">
        <v>2540</v>
      </c>
      <c r="C158" s="12" t="s">
        <v>108</v>
      </c>
      <c r="D158" s="104">
        <v>1</v>
      </c>
      <c r="E158" s="212"/>
      <c r="F158" s="111"/>
      <c r="G158" s="235">
        <v>8</v>
      </c>
      <c r="H158" s="235"/>
      <c r="I158" s="391"/>
      <c r="J158" s="376">
        <v>2</v>
      </c>
      <c r="K158" s="420">
        <f t="shared" si="15"/>
        <v>2</v>
      </c>
      <c r="L158" s="93"/>
      <c r="M158" s="508">
        <v>1</v>
      </c>
      <c r="N158" s="279">
        <v>0.5</v>
      </c>
      <c r="O158" s="71"/>
      <c r="P158" s="522">
        <f t="shared" si="13"/>
        <v>8</v>
      </c>
      <c r="Q158" s="415">
        <f t="shared" si="14"/>
        <v>0.47250000000000003</v>
      </c>
      <c r="R158" s="415" t="str">
        <f t="shared" si="12"/>
        <v/>
      </c>
      <c r="S158" s="59"/>
      <c r="T158" s="61"/>
      <c r="U158" s="63"/>
      <c r="V158" s="11"/>
    </row>
    <row r="159" spans="1:22" ht="20.25" customHeight="1" x14ac:dyDescent="0.2">
      <c r="A159" s="3">
        <v>4034</v>
      </c>
      <c r="B159" s="103">
        <v>2581</v>
      </c>
      <c r="C159" s="12" t="s">
        <v>109</v>
      </c>
      <c r="D159" s="104">
        <v>1</v>
      </c>
      <c r="E159" s="211"/>
      <c r="G159" s="228">
        <v>8</v>
      </c>
      <c r="H159" s="228"/>
      <c r="I159" s="228"/>
      <c r="J159" s="376">
        <v>4</v>
      </c>
      <c r="K159" s="420">
        <f t="shared" si="15"/>
        <v>4</v>
      </c>
      <c r="L159" s="96"/>
      <c r="M159" s="508">
        <v>1</v>
      </c>
      <c r="N159" s="279">
        <v>0.5</v>
      </c>
      <c r="O159" s="71"/>
      <c r="P159" s="522">
        <f t="shared" si="13"/>
        <v>8</v>
      </c>
      <c r="Q159" s="415">
        <f t="shared" si="14"/>
        <v>0.47250000000000003</v>
      </c>
      <c r="R159" s="415" t="str">
        <f t="shared" si="12"/>
        <v/>
      </c>
      <c r="S159" s="59"/>
      <c r="T159" s="61"/>
      <c r="U159" s="63"/>
      <c r="V159" s="11"/>
    </row>
    <row r="160" spans="1:22" ht="20.25" customHeight="1" x14ac:dyDescent="0.2">
      <c r="A160" s="3">
        <v>4018</v>
      </c>
      <c r="B160" s="103">
        <v>2542</v>
      </c>
      <c r="C160" s="12" t="s">
        <v>110</v>
      </c>
      <c r="D160" s="104">
        <v>1</v>
      </c>
      <c r="E160" s="17"/>
      <c r="G160" s="228">
        <v>8</v>
      </c>
      <c r="H160" s="228"/>
      <c r="I160" s="228"/>
      <c r="J160" s="376">
        <v>4</v>
      </c>
      <c r="K160" s="420">
        <f t="shared" si="15"/>
        <v>4</v>
      </c>
      <c r="L160" s="96"/>
      <c r="M160" s="508">
        <v>1</v>
      </c>
      <c r="N160" s="279">
        <v>0.5</v>
      </c>
      <c r="O160" s="71"/>
      <c r="P160" s="522">
        <f t="shared" si="13"/>
        <v>8</v>
      </c>
      <c r="Q160" s="415">
        <f t="shared" si="14"/>
        <v>0.47250000000000003</v>
      </c>
      <c r="R160" s="415" t="str">
        <f t="shared" si="12"/>
        <v/>
      </c>
      <c r="S160" s="59"/>
      <c r="T160" s="61"/>
      <c r="U160" s="63"/>
      <c r="V160" s="11"/>
    </row>
    <row r="161" spans="1:22" s="3" customFormat="1" ht="20.25" customHeight="1" x14ac:dyDescent="0.2">
      <c r="B161" s="104"/>
      <c r="C161" s="12"/>
      <c r="D161" s="104"/>
      <c r="E161" s="133"/>
      <c r="F161" s="107"/>
      <c r="G161" s="228"/>
      <c r="H161" s="228"/>
      <c r="I161" s="228"/>
      <c r="J161" s="350" t="s">
        <v>156</v>
      </c>
      <c r="K161" s="420" t="str">
        <f t="shared" si="15"/>
        <v/>
      </c>
      <c r="L161" s="94"/>
      <c r="M161" s="508"/>
      <c r="N161" s="279"/>
      <c r="O161" s="71"/>
      <c r="P161" s="522" t="str">
        <f t="shared" si="13"/>
        <v/>
      </c>
      <c r="Q161" s="415" t="str">
        <f t="shared" si="14"/>
        <v/>
      </c>
      <c r="R161" s="415" t="str">
        <f t="shared" si="12"/>
        <v/>
      </c>
      <c r="S161" s="59"/>
      <c r="T161" s="61"/>
      <c r="U161" s="122"/>
      <c r="V161" s="11"/>
    </row>
    <row r="162" spans="1:22" s="3" customFormat="1" ht="20.25" customHeight="1" x14ac:dyDescent="0.2">
      <c r="B162" s="104"/>
      <c r="C162" s="12"/>
      <c r="D162" s="104"/>
      <c r="E162" s="117"/>
      <c r="F162" s="107"/>
      <c r="G162" s="228"/>
      <c r="H162" s="228"/>
      <c r="I162" s="228"/>
      <c r="J162" s="350" t="s">
        <v>156</v>
      </c>
      <c r="K162" s="420" t="str">
        <f t="shared" si="15"/>
        <v/>
      </c>
      <c r="L162" s="94"/>
      <c r="M162" s="508"/>
      <c r="N162" s="279"/>
      <c r="O162" s="71"/>
      <c r="P162" s="522" t="str">
        <f t="shared" si="13"/>
        <v/>
      </c>
      <c r="Q162" s="415" t="str">
        <f t="shared" si="14"/>
        <v/>
      </c>
      <c r="R162" s="415" t="str">
        <f t="shared" si="12"/>
        <v/>
      </c>
      <c r="S162" s="59"/>
      <c r="T162" s="61"/>
      <c r="U162" s="122"/>
      <c r="V162" s="11"/>
    </row>
    <row r="163" spans="1:22" s="3" customFormat="1" ht="20.25" customHeight="1" x14ac:dyDescent="0.2">
      <c r="A163" s="12"/>
      <c r="B163" s="12"/>
      <c r="C163" s="12"/>
      <c r="D163" s="104"/>
      <c r="E163" s="133"/>
      <c r="F163" s="107"/>
      <c r="G163" s="228"/>
      <c r="H163" s="228"/>
      <c r="I163" s="228"/>
      <c r="J163" s="350" t="s">
        <v>156</v>
      </c>
      <c r="K163" s="420" t="str">
        <f t="shared" si="15"/>
        <v/>
      </c>
      <c r="L163" s="128"/>
      <c r="M163" s="508"/>
      <c r="N163" s="279"/>
      <c r="O163" s="71"/>
      <c r="P163" s="522" t="str">
        <f t="shared" si="13"/>
        <v/>
      </c>
      <c r="Q163" s="415" t="str">
        <f t="shared" si="14"/>
        <v/>
      </c>
      <c r="R163" s="415" t="str">
        <f t="shared" si="12"/>
        <v/>
      </c>
      <c r="S163" s="59"/>
      <c r="T163" s="61"/>
      <c r="U163" s="122"/>
      <c r="V163" s="11"/>
    </row>
    <row r="164" spans="1:22" s="3" customFormat="1" ht="20.25" customHeight="1" thickBot="1" x14ac:dyDescent="0.25">
      <c r="A164" s="26"/>
      <c r="B164" s="12"/>
      <c r="C164" s="12"/>
      <c r="D164" s="104"/>
      <c r="E164" s="117"/>
      <c r="F164" s="107"/>
      <c r="G164" s="228"/>
      <c r="H164" s="228"/>
      <c r="I164" s="228"/>
      <c r="J164" s="350" t="s">
        <v>156</v>
      </c>
      <c r="K164" s="420" t="str">
        <f t="shared" si="15"/>
        <v/>
      </c>
      <c r="L164" s="94"/>
      <c r="M164" s="508"/>
      <c r="N164" s="279"/>
      <c r="O164" s="71"/>
      <c r="P164" s="522" t="str">
        <f t="shared" si="13"/>
        <v/>
      </c>
      <c r="Q164" s="415" t="str">
        <f t="shared" si="14"/>
        <v/>
      </c>
      <c r="R164" s="415" t="str">
        <f t="shared" si="12"/>
        <v/>
      </c>
      <c r="S164" s="59"/>
      <c r="T164" s="61"/>
      <c r="U164" s="122"/>
      <c r="V164" s="11"/>
    </row>
    <row r="165" spans="1:22" s="148" customFormat="1" ht="20.25" hidden="1" customHeight="1" thickBot="1" x14ac:dyDescent="0.25">
      <c r="A165" s="286"/>
      <c r="B165" s="295"/>
      <c r="C165" s="295"/>
      <c r="D165" s="296"/>
      <c r="E165" s="214"/>
      <c r="F165" s="297"/>
      <c r="G165" s="254"/>
      <c r="H165" s="254"/>
      <c r="I165" s="254"/>
      <c r="J165" s="388" t="s">
        <v>156</v>
      </c>
      <c r="K165" s="420" t="str">
        <f>IF(M165="","",IF(ISERROR(IF(L165=0,J165*M165,G165*L165)),"",IF(L165=0,J165*M165,G165*L165)))</f>
        <v/>
      </c>
      <c r="L165" s="298"/>
      <c r="M165" s="504"/>
      <c r="N165" s="215"/>
      <c r="O165" s="216"/>
      <c r="P165" s="522" t="str">
        <f t="shared" si="13"/>
        <v/>
      </c>
      <c r="Q165" s="415" t="str">
        <f t="shared" si="14"/>
        <v/>
      </c>
      <c r="R165" s="415" t="str">
        <f t="shared" si="12"/>
        <v/>
      </c>
      <c r="S165" s="217"/>
      <c r="T165" s="299"/>
      <c r="U165" s="300"/>
      <c r="V165" s="11"/>
    </row>
    <row r="166" spans="1:22" ht="20.25" customHeight="1" thickBot="1" x14ac:dyDescent="0.25">
      <c r="A166" s="513"/>
      <c r="B166" s="57"/>
      <c r="C166" s="285" t="s">
        <v>10</v>
      </c>
      <c r="D166" s="507"/>
      <c r="E166" s="28"/>
      <c r="F166" s="301"/>
      <c r="G166" s="84"/>
      <c r="H166" s="84"/>
      <c r="I166" s="84"/>
      <c r="J166" s="302" t="s">
        <v>156</v>
      </c>
      <c r="K166" s="413">
        <f>SUM(K167:K194)</f>
        <v>72</v>
      </c>
      <c r="L166" s="92"/>
      <c r="M166" s="322"/>
      <c r="N166" s="38"/>
      <c r="O166" s="80"/>
      <c r="P166" s="413">
        <f>SUM(P167:P194)</f>
        <v>201</v>
      </c>
      <c r="Q166" s="416" t="str">
        <f t="shared" si="14"/>
        <v/>
      </c>
      <c r="R166" s="416" t="str">
        <f t="shared" si="12"/>
        <v/>
      </c>
      <c r="S166" s="38"/>
      <c r="T166" s="60"/>
      <c r="U166" s="66"/>
      <c r="V166" s="11"/>
    </row>
    <row r="167" spans="1:22" ht="20.25" customHeight="1" x14ac:dyDescent="0.2">
      <c r="A167" s="3">
        <v>2520</v>
      </c>
      <c r="B167" s="103">
        <v>49256</v>
      </c>
      <c r="C167" s="12" t="s">
        <v>111</v>
      </c>
      <c r="D167" s="104">
        <v>1</v>
      </c>
      <c r="E167" s="87"/>
      <c r="G167" s="252"/>
      <c r="H167" s="252"/>
      <c r="I167" s="252"/>
      <c r="J167" s="376">
        <v>13</v>
      </c>
      <c r="K167" s="420">
        <f>IF(M167="","",IF(ISERROR(IF(L167=0,J167*M167,J167*L167)),"",IF(L167=0,J167*M167,J167*L167)))</f>
        <v>13</v>
      </c>
      <c r="L167" s="93"/>
      <c r="M167" s="508">
        <v>1</v>
      </c>
      <c r="N167" s="279">
        <v>0.5</v>
      </c>
      <c r="O167" s="71"/>
      <c r="P167" s="522">
        <f t="shared" si="13"/>
        <v>0</v>
      </c>
      <c r="Q167" s="415">
        <f t="shared" si="14"/>
        <v>0.47250000000000003</v>
      </c>
      <c r="R167" s="415" t="str">
        <f t="shared" si="12"/>
        <v/>
      </c>
      <c r="S167" s="59"/>
      <c r="T167" s="61"/>
      <c r="U167" s="63"/>
      <c r="V167" s="11"/>
    </row>
    <row r="168" spans="1:22" ht="20.25" customHeight="1" x14ac:dyDescent="0.2">
      <c r="A168" s="3">
        <v>2505</v>
      </c>
      <c r="B168" s="103">
        <v>49180</v>
      </c>
      <c r="C168" s="12" t="s">
        <v>112</v>
      </c>
      <c r="D168" s="104">
        <v>1</v>
      </c>
      <c r="E168" s="16"/>
      <c r="G168" s="246">
        <v>100</v>
      </c>
      <c r="H168" s="228"/>
      <c r="I168" s="228"/>
      <c r="J168" s="376">
        <v>4</v>
      </c>
      <c r="K168" s="420">
        <f t="shared" ref="K168:K194" si="16">IF(M168="","",IF(ISERROR(IF(L168=0,J168*M168,J168*L168)),"",IF(L168=0,J168*M168,J168*L168)))</f>
        <v>4</v>
      </c>
      <c r="L168" s="93"/>
      <c r="M168" s="508">
        <v>1</v>
      </c>
      <c r="N168" s="279">
        <v>0.5</v>
      </c>
      <c r="O168" s="71"/>
      <c r="P168" s="522">
        <f t="shared" si="13"/>
        <v>100</v>
      </c>
      <c r="Q168" s="415">
        <f t="shared" si="14"/>
        <v>0.47250000000000003</v>
      </c>
      <c r="R168" s="415" t="str">
        <f t="shared" si="12"/>
        <v/>
      </c>
      <c r="S168" s="59"/>
      <c r="T168" s="61"/>
      <c r="U168" s="63"/>
      <c r="V168" s="11"/>
    </row>
    <row r="169" spans="1:22" s="3" customFormat="1" ht="20.25" customHeight="1" x14ac:dyDescent="0.2">
      <c r="A169" s="3">
        <v>2565</v>
      </c>
      <c r="B169" s="104">
        <v>49557</v>
      </c>
      <c r="C169" s="12" t="s">
        <v>113</v>
      </c>
      <c r="D169" s="104">
        <v>1</v>
      </c>
      <c r="E169" s="87"/>
      <c r="F169" s="107"/>
      <c r="G169" s="246"/>
      <c r="H169" s="228"/>
      <c r="I169" s="228"/>
      <c r="J169" s="210">
        <v>8</v>
      </c>
      <c r="K169" s="420">
        <f t="shared" si="16"/>
        <v>8</v>
      </c>
      <c r="L169" s="94"/>
      <c r="M169" s="508">
        <v>1</v>
      </c>
      <c r="N169" s="279">
        <v>0.5</v>
      </c>
      <c r="O169" s="314"/>
      <c r="P169" s="522">
        <f t="shared" si="13"/>
        <v>0</v>
      </c>
      <c r="Q169" s="415">
        <f t="shared" si="14"/>
        <v>0.47250000000000003</v>
      </c>
      <c r="R169" s="415" t="str">
        <f t="shared" si="12"/>
        <v/>
      </c>
      <c r="S169" s="59"/>
      <c r="T169" s="61"/>
      <c r="U169" s="122"/>
      <c r="V169" s="11"/>
    </row>
    <row r="170" spans="1:22" s="3" customFormat="1" ht="20.25" customHeight="1" x14ac:dyDescent="0.2">
      <c r="A170" s="3">
        <v>2550</v>
      </c>
      <c r="B170" s="104">
        <v>49494</v>
      </c>
      <c r="C170" s="12" t="s">
        <v>114</v>
      </c>
      <c r="D170" s="104">
        <v>1</v>
      </c>
      <c r="E170" s="87"/>
      <c r="F170" s="107"/>
      <c r="G170" s="246">
        <v>50</v>
      </c>
      <c r="H170" s="228"/>
      <c r="I170" s="228"/>
      <c r="J170" s="210">
        <v>7</v>
      </c>
      <c r="K170" s="420">
        <f t="shared" si="16"/>
        <v>7</v>
      </c>
      <c r="L170" s="94"/>
      <c r="M170" s="508">
        <v>1</v>
      </c>
      <c r="N170" s="279">
        <v>0.5</v>
      </c>
      <c r="O170" s="71"/>
      <c r="P170" s="522">
        <f t="shared" si="13"/>
        <v>50</v>
      </c>
      <c r="Q170" s="415">
        <f t="shared" si="14"/>
        <v>0.47250000000000003</v>
      </c>
      <c r="R170" s="415" t="str">
        <f t="shared" si="12"/>
        <v/>
      </c>
      <c r="S170" s="59"/>
      <c r="T170" s="61"/>
      <c r="U170" s="122"/>
      <c r="V170" s="11"/>
    </row>
    <row r="171" spans="1:22" s="3" customFormat="1" ht="20.25" customHeight="1" x14ac:dyDescent="0.2">
      <c r="A171" s="3">
        <v>614</v>
      </c>
      <c r="B171" s="104">
        <v>793121</v>
      </c>
      <c r="C171" s="12" t="s">
        <v>181</v>
      </c>
      <c r="D171" s="104">
        <v>1</v>
      </c>
      <c r="E171" s="87"/>
      <c r="F171" s="107"/>
      <c r="G171" s="246">
        <v>8</v>
      </c>
      <c r="H171" s="228"/>
      <c r="I171" s="228"/>
      <c r="J171" s="210">
        <v>6</v>
      </c>
      <c r="K171" s="420">
        <f t="shared" si="16"/>
        <v>6</v>
      </c>
      <c r="L171" s="94"/>
      <c r="M171" s="508">
        <v>1</v>
      </c>
      <c r="N171" s="279">
        <v>0.5</v>
      </c>
      <c r="O171" s="71"/>
      <c r="P171" s="522">
        <f t="shared" si="13"/>
        <v>8</v>
      </c>
      <c r="Q171" s="415">
        <f t="shared" si="14"/>
        <v>0.47250000000000003</v>
      </c>
      <c r="R171" s="415" t="str">
        <f t="shared" si="12"/>
        <v/>
      </c>
      <c r="S171" s="59"/>
      <c r="T171" s="61"/>
      <c r="U171" s="122"/>
      <c r="V171" s="11"/>
    </row>
    <row r="172" spans="1:22" ht="20.25" customHeight="1" x14ac:dyDescent="0.2">
      <c r="A172" s="3">
        <v>644</v>
      </c>
      <c r="B172" s="103">
        <v>797439</v>
      </c>
      <c r="C172" s="12" t="s">
        <v>182</v>
      </c>
      <c r="D172" s="104">
        <v>1</v>
      </c>
      <c r="E172" s="87"/>
      <c r="F172" s="226"/>
      <c r="G172" s="246">
        <v>8</v>
      </c>
      <c r="H172" s="228"/>
      <c r="I172" s="228"/>
      <c r="J172" s="376">
        <v>4</v>
      </c>
      <c r="K172" s="420">
        <f t="shared" si="16"/>
        <v>4</v>
      </c>
      <c r="L172" s="94"/>
      <c r="M172" s="508">
        <v>1</v>
      </c>
      <c r="N172" s="279">
        <v>0.5</v>
      </c>
      <c r="O172" s="71"/>
      <c r="P172" s="522">
        <f t="shared" si="13"/>
        <v>8</v>
      </c>
      <c r="Q172" s="415">
        <f t="shared" si="14"/>
        <v>0.47250000000000003</v>
      </c>
      <c r="R172" s="415" t="str">
        <f t="shared" si="12"/>
        <v/>
      </c>
      <c r="S172" s="59"/>
      <c r="T172" s="61"/>
      <c r="U172" s="63"/>
      <c r="V172" s="11"/>
    </row>
    <row r="173" spans="1:22" ht="20.25" customHeight="1" x14ac:dyDescent="0.2">
      <c r="A173" s="3">
        <v>3001</v>
      </c>
      <c r="B173" s="103">
        <v>230725</v>
      </c>
      <c r="C173" s="12" t="s">
        <v>115</v>
      </c>
      <c r="D173" s="104">
        <v>1</v>
      </c>
      <c r="E173" s="87"/>
      <c r="F173" s="226"/>
      <c r="G173" s="246">
        <v>25</v>
      </c>
      <c r="H173" s="228"/>
      <c r="I173" s="228"/>
      <c r="J173" s="376">
        <v>19</v>
      </c>
      <c r="K173" s="420">
        <f t="shared" si="16"/>
        <v>19</v>
      </c>
      <c r="L173" s="94"/>
      <c r="M173" s="508">
        <v>1</v>
      </c>
      <c r="N173" s="279">
        <v>0.5</v>
      </c>
      <c r="O173" s="71"/>
      <c r="P173" s="522">
        <f t="shared" si="13"/>
        <v>25</v>
      </c>
      <c r="Q173" s="415">
        <f t="shared" si="14"/>
        <v>0.47250000000000003</v>
      </c>
      <c r="R173" s="415" t="str">
        <f t="shared" si="12"/>
        <v/>
      </c>
      <c r="S173" s="59"/>
      <c r="T173" s="61"/>
      <c r="U173" s="63"/>
      <c r="V173" s="11"/>
    </row>
    <row r="174" spans="1:22" ht="20.25" customHeight="1" x14ac:dyDescent="0.2">
      <c r="A174" s="3">
        <v>2580</v>
      </c>
      <c r="B174" s="103">
        <v>49558</v>
      </c>
      <c r="C174" s="12" t="s">
        <v>162</v>
      </c>
      <c r="D174" s="104">
        <v>1</v>
      </c>
      <c r="E174" s="87"/>
      <c r="F174" s="226"/>
      <c r="G174" s="228">
        <v>10</v>
      </c>
      <c r="H174" s="228"/>
      <c r="I174" s="228"/>
      <c r="J174" s="376">
        <v>4</v>
      </c>
      <c r="K174" s="420">
        <f t="shared" si="16"/>
        <v>4</v>
      </c>
      <c r="L174" s="94"/>
      <c r="M174" s="508">
        <v>1</v>
      </c>
      <c r="N174" s="279">
        <v>0.5</v>
      </c>
      <c r="O174" s="71"/>
      <c r="P174" s="522">
        <f t="shared" si="13"/>
        <v>10</v>
      </c>
      <c r="Q174" s="415">
        <f t="shared" si="14"/>
        <v>0.47250000000000003</v>
      </c>
      <c r="R174" s="415" t="str">
        <f t="shared" si="12"/>
        <v/>
      </c>
      <c r="S174" s="59"/>
      <c r="T174" s="61"/>
      <c r="U174" s="63"/>
      <c r="V174" s="11"/>
    </row>
    <row r="175" spans="1:22" ht="20.25" customHeight="1" x14ac:dyDescent="0.2">
      <c r="A175" s="3">
        <v>227</v>
      </c>
      <c r="B175" s="103">
        <v>42614</v>
      </c>
      <c r="C175" s="12" t="s">
        <v>116</v>
      </c>
      <c r="D175" s="104">
        <v>1</v>
      </c>
      <c r="E175" s="87"/>
      <c r="F175" s="226"/>
      <c r="G175" s="228"/>
      <c r="H175" s="228"/>
      <c r="I175" s="228"/>
      <c r="J175" s="376" t="s">
        <v>156</v>
      </c>
      <c r="K175" s="420" t="str">
        <f t="shared" si="16"/>
        <v/>
      </c>
      <c r="L175" s="94"/>
      <c r="M175" s="508">
        <v>1</v>
      </c>
      <c r="N175" s="279">
        <v>0.5</v>
      </c>
      <c r="O175" s="71"/>
      <c r="P175" s="522">
        <f t="shared" si="13"/>
        <v>0</v>
      </c>
      <c r="Q175" s="415">
        <f t="shared" si="14"/>
        <v>0.47250000000000003</v>
      </c>
      <c r="R175" s="415" t="str">
        <f t="shared" si="12"/>
        <v/>
      </c>
      <c r="S175" s="59"/>
      <c r="T175" s="61"/>
      <c r="U175" s="63"/>
      <c r="V175" s="11"/>
    </row>
    <row r="176" spans="1:22" ht="20.25" customHeight="1" x14ac:dyDescent="0.2">
      <c r="A176" s="3"/>
      <c r="B176" s="103"/>
      <c r="C176" s="12"/>
      <c r="D176" s="104"/>
      <c r="E176" s="87"/>
      <c r="F176" s="226"/>
      <c r="G176" s="228"/>
      <c r="H176" s="228"/>
      <c r="I176" s="228"/>
      <c r="J176" s="376" t="s">
        <v>156</v>
      </c>
      <c r="K176" s="420" t="str">
        <f t="shared" si="16"/>
        <v/>
      </c>
      <c r="L176" s="94"/>
      <c r="M176" s="504"/>
      <c r="N176" s="279"/>
      <c r="O176" s="71"/>
      <c r="P176" s="522" t="str">
        <f t="shared" si="13"/>
        <v/>
      </c>
      <c r="Q176" s="415" t="str">
        <f t="shared" si="14"/>
        <v/>
      </c>
      <c r="R176" s="415" t="str">
        <f t="shared" si="12"/>
        <v/>
      </c>
      <c r="S176" s="59"/>
      <c r="T176" s="61"/>
      <c r="U176" s="63"/>
      <c r="V176" s="11"/>
    </row>
    <row r="177" spans="1:22" ht="20.25" customHeight="1" x14ac:dyDescent="0.2">
      <c r="A177" s="3"/>
      <c r="B177" s="103"/>
      <c r="C177" s="12"/>
      <c r="D177" s="104"/>
      <c r="E177" s="87"/>
      <c r="F177" s="226"/>
      <c r="G177" s="228"/>
      <c r="H177" s="228"/>
      <c r="I177" s="228"/>
      <c r="J177" s="376" t="s">
        <v>156</v>
      </c>
      <c r="K177" s="420" t="str">
        <f t="shared" si="16"/>
        <v/>
      </c>
      <c r="L177" s="94"/>
      <c r="M177" s="504"/>
      <c r="N177" s="279"/>
      <c r="O177" s="71"/>
      <c r="P177" s="522" t="str">
        <f t="shared" si="13"/>
        <v/>
      </c>
      <c r="Q177" s="415" t="str">
        <f t="shared" si="14"/>
        <v/>
      </c>
      <c r="R177" s="415" t="str">
        <f t="shared" si="12"/>
        <v/>
      </c>
      <c r="S177" s="59"/>
      <c r="T177" s="61"/>
      <c r="U177" s="63"/>
      <c r="V177" s="11"/>
    </row>
    <row r="178" spans="1:22" ht="20.25" customHeight="1" x14ac:dyDescent="0.2">
      <c r="A178" s="3"/>
      <c r="B178" s="103"/>
      <c r="C178" s="12"/>
      <c r="D178" s="104"/>
      <c r="E178" s="87"/>
      <c r="F178" s="226"/>
      <c r="G178" s="228"/>
      <c r="H178" s="228"/>
      <c r="I178" s="228"/>
      <c r="J178" s="376" t="s">
        <v>156</v>
      </c>
      <c r="K178" s="420" t="str">
        <f t="shared" si="16"/>
        <v/>
      </c>
      <c r="L178" s="94"/>
      <c r="M178" s="504"/>
      <c r="N178" s="279"/>
      <c r="O178" s="314"/>
      <c r="P178" s="522" t="str">
        <f t="shared" si="13"/>
        <v/>
      </c>
      <c r="Q178" s="415" t="str">
        <f t="shared" si="14"/>
        <v/>
      </c>
      <c r="R178" s="415" t="str">
        <f t="shared" si="12"/>
        <v/>
      </c>
      <c r="S178" s="59"/>
      <c r="T178" s="61"/>
      <c r="U178" s="63"/>
      <c r="V178" s="11"/>
    </row>
    <row r="179" spans="1:22" ht="20.25" customHeight="1" x14ac:dyDescent="0.2">
      <c r="A179" s="3">
        <v>603</v>
      </c>
      <c r="B179" s="103">
        <v>792783</v>
      </c>
      <c r="C179" s="12" t="s">
        <v>183</v>
      </c>
      <c r="D179" s="104">
        <v>1</v>
      </c>
      <c r="E179" s="175"/>
      <c r="F179" s="226"/>
      <c r="G179" s="228"/>
      <c r="H179" s="228"/>
      <c r="I179" s="228"/>
      <c r="J179" s="376" t="s">
        <v>156</v>
      </c>
      <c r="K179" s="420" t="str">
        <f t="shared" si="16"/>
        <v/>
      </c>
      <c r="L179" s="183"/>
      <c r="M179" s="508">
        <v>1</v>
      </c>
      <c r="N179" s="279">
        <v>0.5</v>
      </c>
      <c r="O179" s="314"/>
      <c r="P179" s="522">
        <f t="shared" si="13"/>
        <v>0</v>
      </c>
      <c r="Q179" s="415">
        <f t="shared" si="14"/>
        <v>0.47250000000000003</v>
      </c>
      <c r="R179" s="415" t="str">
        <f t="shared" si="12"/>
        <v/>
      </c>
      <c r="S179" s="59"/>
      <c r="T179" s="61"/>
      <c r="U179" s="63"/>
      <c r="V179" s="11"/>
    </row>
    <row r="180" spans="1:22" s="3" customFormat="1" ht="20.25" customHeight="1" x14ac:dyDescent="0.2">
      <c r="A180" s="3">
        <v>598</v>
      </c>
      <c r="B180" s="103">
        <v>790927</v>
      </c>
      <c r="C180" s="3" t="s">
        <v>184</v>
      </c>
      <c r="D180" s="104">
        <v>1</v>
      </c>
      <c r="E180" s="175"/>
      <c r="F180" s="107"/>
      <c r="G180" s="228"/>
      <c r="H180" s="228"/>
      <c r="I180" s="228"/>
      <c r="J180" s="43">
        <v>4</v>
      </c>
      <c r="K180" s="420">
        <f t="shared" si="16"/>
        <v>4</v>
      </c>
      <c r="L180" s="282"/>
      <c r="M180" s="508">
        <v>1</v>
      </c>
      <c r="N180" s="279">
        <v>0.5</v>
      </c>
      <c r="O180" s="314"/>
      <c r="P180" s="522">
        <f t="shared" si="13"/>
        <v>0</v>
      </c>
      <c r="Q180" s="415">
        <f t="shared" si="14"/>
        <v>0.47250000000000003</v>
      </c>
      <c r="R180" s="415" t="str">
        <f t="shared" si="12"/>
        <v/>
      </c>
      <c r="S180" s="59"/>
      <c r="T180" s="61"/>
      <c r="U180" s="122"/>
      <c r="V180" s="11"/>
    </row>
    <row r="181" spans="1:22" x14ac:dyDescent="0.2">
      <c r="A181" s="3">
        <v>3203</v>
      </c>
      <c r="B181" s="103">
        <v>546823</v>
      </c>
      <c r="C181" s="3" t="s">
        <v>160</v>
      </c>
      <c r="D181" s="104">
        <v>1</v>
      </c>
      <c r="G181" s="228"/>
      <c r="H181" s="228"/>
      <c r="I181" s="228"/>
      <c r="J181" s="376">
        <v>3</v>
      </c>
      <c r="K181" s="420">
        <f t="shared" si="16"/>
        <v>3</v>
      </c>
      <c r="L181" s="101"/>
      <c r="M181" s="508">
        <v>1</v>
      </c>
      <c r="N181" s="279">
        <v>0.5</v>
      </c>
      <c r="O181" s="314"/>
      <c r="P181" s="522">
        <f t="shared" si="13"/>
        <v>0</v>
      </c>
      <c r="Q181" s="415">
        <f t="shared" si="14"/>
        <v>0.47250000000000003</v>
      </c>
      <c r="R181" s="415" t="str">
        <f t="shared" si="12"/>
        <v/>
      </c>
      <c r="S181" s="59"/>
      <c r="T181" s="61"/>
      <c r="V181" s="248"/>
    </row>
    <row r="182" spans="1:22" s="3" customFormat="1" ht="20.25" customHeight="1" x14ac:dyDescent="0.2">
      <c r="A182" s="3">
        <v>548</v>
      </c>
      <c r="B182" s="104">
        <v>47778</v>
      </c>
      <c r="C182" s="3" t="s">
        <v>194</v>
      </c>
      <c r="D182" s="104">
        <v>1</v>
      </c>
      <c r="E182" s="175"/>
      <c r="F182" s="107"/>
      <c r="G182" s="228"/>
      <c r="H182" s="228"/>
      <c r="I182" s="228"/>
      <c r="J182" s="350" t="s">
        <v>156</v>
      </c>
      <c r="K182" s="420" t="str">
        <f t="shared" si="16"/>
        <v/>
      </c>
      <c r="L182" s="183"/>
      <c r="M182" s="508">
        <v>1</v>
      </c>
      <c r="N182" s="279">
        <v>0.5</v>
      </c>
      <c r="O182" s="314"/>
      <c r="P182" s="522">
        <f t="shared" si="13"/>
        <v>0</v>
      </c>
      <c r="Q182" s="415">
        <f t="shared" si="14"/>
        <v>0.47250000000000003</v>
      </c>
      <c r="R182" s="415" t="str">
        <f t="shared" si="12"/>
        <v/>
      </c>
      <c r="S182" s="59"/>
      <c r="T182" s="61"/>
      <c r="U182" s="122"/>
      <c r="V182" s="11"/>
    </row>
    <row r="183" spans="1:22" s="3" customFormat="1" ht="20.25" customHeight="1" x14ac:dyDescent="0.2">
      <c r="B183" s="104"/>
      <c r="D183" s="104"/>
      <c r="E183" s="6"/>
      <c r="F183" s="107"/>
      <c r="G183" s="228"/>
      <c r="H183" s="228"/>
      <c r="I183" s="228"/>
      <c r="J183" s="350" t="s">
        <v>156</v>
      </c>
      <c r="K183" s="420" t="str">
        <f t="shared" si="16"/>
        <v/>
      </c>
      <c r="L183" s="183"/>
      <c r="M183" s="504"/>
      <c r="N183" s="279"/>
      <c r="O183" s="314"/>
      <c r="P183" s="522" t="str">
        <f t="shared" si="13"/>
        <v/>
      </c>
      <c r="Q183" s="415" t="str">
        <f t="shared" si="14"/>
        <v/>
      </c>
      <c r="R183" s="415" t="str">
        <f t="shared" si="12"/>
        <v/>
      </c>
      <c r="S183" s="59"/>
      <c r="T183" s="61"/>
      <c r="U183" s="122"/>
      <c r="V183" s="11"/>
    </row>
    <row r="184" spans="1:22" s="3" customFormat="1" ht="20.25" customHeight="1" x14ac:dyDescent="0.2">
      <c r="B184" s="104"/>
      <c r="D184" s="104"/>
      <c r="E184" s="6"/>
      <c r="F184" s="107"/>
      <c r="G184" s="228"/>
      <c r="H184" s="228"/>
      <c r="I184" s="228"/>
      <c r="J184" s="350" t="s">
        <v>156</v>
      </c>
      <c r="K184" s="420" t="str">
        <f t="shared" si="16"/>
        <v/>
      </c>
      <c r="L184" s="183"/>
      <c r="M184" s="504"/>
      <c r="N184" s="279"/>
      <c r="O184" s="314"/>
      <c r="P184" s="522" t="str">
        <f t="shared" si="13"/>
        <v/>
      </c>
      <c r="Q184" s="415" t="str">
        <f t="shared" si="14"/>
        <v/>
      </c>
      <c r="R184" s="415" t="str">
        <f t="shared" si="12"/>
        <v/>
      </c>
      <c r="S184" s="59"/>
      <c r="T184" s="61"/>
      <c r="U184" s="122"/>
      <c r="V184" s="11"/>
    </row>
    <row r="185" spans="1:22" s="3" customFormat="1" ht="20.25" customHeight="1" x14ac:dyDescent="0.2">
      <c r="B185" s="104"/>
      <c r="D185" s="104"/>
      <c r="E185" s="6"/>
      <c r="F185" s="107"/>
      <c r="G185" s="228"/>
      <c r="H185" s="228"/>
      <c r="I185" s="228"/>
      <c r="J185" s="350" t="s">
        <v>156</v>
      </c>
      <c r="K185" s="420" t="str">
        <f t="shared" si="16"/>
        <v/>
      </c>
      <c r="L185" s="183"/>
      <c r="M185" s="504"/>
      <c r="N185" s="279"/>
      <c r="O185" s="71"/>
      <c r="P185" s="522" t="str">
        <f t="shared" si="13"/>
        <v/>
      </c>
      <c r="Q185" s="415" t="str">
        <f t="shared" si="14"/>
        <v/>
      </c>
      <c r="R185" s="415" t="str">
        <f t="shared" si="12"/>
        <v/>
      </c>
      <c r="S185" s="59"/>
      <c r="T185" s="61"/>
      <c r="U185" s="317"/>
      <c r="V185" s="11"/>
    </row>
    <row r="186" spans="1:22" s="3" customFormat="1" ht="20.25" customHeight="1" x14ac:dyDescent="0.2">
      <c r="A186" s="12"/>
      <c r="B186" s="12"/>
      <c r="D186" s="104"/>
      <c r="E186" s="6"/>
      <c r="F186" s="107"/>
      <c r="G186" s="228"/>
      <c r="H186" s="228"/>
      <c r="I186" s="228"/>
      <c r="J186" s="350" t="s">
        <v>156</v>
      </c>
      <c r="K186" s="420" t="str">
        <f t="shared" si="16"/>
        <v/>
      </c>
      <c r="L186" s="183"/>
      <c r="M186" s="504"/>
      <c r="N186" s="279"/>
      <c r="O186" s="314"/>
      <c r="P186" s="522" t="str">
        <f t="shared" si="13"/>
        <v/>
      </c>
      <c r="Q186" s="415" t="str">
        <f t="shared" si="14"/>
        <v/>
      </c>
      <c r="R186" s="415" t="str">
        <f t="shared" si="12"/>
        <v/>
      </c>
      <c r="S186" s="59"/>
      <c r="T186" s="61"/>
      <c r="U186" s="317"/>
      <c r="V186" s="11"/>
    </row>
    <row r="187" spans="1:22" s="3" customFormat="1" ht="20.25" customHeight="1" x14ac:dyDescent="0.2">
      <c r="A187" s="12"/>
      <c r="B187" s="12"/>
      <c r="D187" s="104"/>
      <c r="E187" s="6"/>
      <c r="F187" s="107"/>
      <c r="G187" s="228"/>
      <c r="H187" s="228"/>
      <c r="I187" s="228"/>
      <c r="J187" s="350" t="s">
        <v>156</v>
      </c>
      <c r="K187" s="420" t="str">
        <f t="shared" si="16"/>
        <v/>
      </c>
      <c r="L187" s="183"/>
      <c r="M187" s="504"/>
      <c r="N187" s="279"/>
      <c r="O187" s="71"/>
      <c r="P187" s="522" t="str">
        <f t="shared" si="13"/>
        <v/>
      </c>
      <c r="Q187" s="415" t="str">
        <f t="shared" si="14"/>
        <v/>
      </c>
      <c r="R187" s="415" t="str">
        <f t="shared" si="12"/>
        <v/>
      </c>
      <c r="S187" s="59"/>
      <c r="T187" s="61"/>
      <c r="U187" s="317"/>
      <c r="V187" s="11"/>
    </row>
    <row r="188" spans="1:22" s="3" customFormat="1" ht="20.25" customHeight="1" x14ac:dyDescent="0.2">
      <c r="A188" s="12"/>
      <c r="B188" s="12"/>
      <c r="D188" s="104"/>
      <c r="E188" s="6"/>
      <c r="F188" s="107"/>
      <c r="G188" s="228"/>
      <c r="H188" s="228"/>
      <c r="I188" s="228"/>
      <c r="J188" s="350" t="s">
        <v>156</v>
      </c>
      <c r="K188" s="420" t="str">
        <f t="shared" si="16"/>
        <v/>
      </c>
      <c r="L188" s="183"/>
      <c r="M188" s="504"/>
      <c r="N188" s="279"/>
      <c r="O188" s="314"/>
      <c r="P188" s="522" t="str">
        <f t="shared" si="13"/>
        <v/>
      </c>
      <c r="Q188" s="415" t="str">
        <f t="shared" si="14"/>
        <v/>
      </c>
      <c r="R188" s="415" t="str">
        <f t="shared" si="12"/>
        <v/>
      </c>
      <c r="S188" s="59"/>
      <c r="T188" s="61"/>
      <c r="U188" s="317"/>
      <c r="V188" s="11"/>
    </row>
    <row r="189" spans="1:22" ht="20.25" customHeight="1" x14ac:dyDescent="0.2">
      <c r="A189" s="12">
        <v>4656</v>
      </c>
      <c r="B189" s="9">
        <v>2673</v>
      </c>
      <c r="C189" s="3" t="s">
        <v>193</v>
      </c>
      <c r="D189" s="104">
        <v>1</v>
      </c>
      <c r="G189" s="228">
        <v>10</v>
      </c>
      <c r="H189" s="228"/>
      <c r="I189" s="228"/>
      <c r="J189" s="376" t="s">
        <v>156</v>
      </c>
      <c r="K189" s="420" t="str">
        <f t="shared" si="16"/>
        <v/>
      </c>
      <c r="L189" s="101"/>
      <c r="M189" s="504"/>
      <c r="N189" s="279"/>
      <c r="O189" s="71"/>
      <c r="P189" s="522" t="str">
        <f t="shared" si="13"/>
        <v/>
      </c>
      <c r="Q189" s="415" t="str">
        <f t="shared" si="14"/>
        <v/>
      </c>
      <c r="R189" s="415" t="str">
        <f t="shared" si="12"/>
        <v/>
      </c>
      <c r="S189" s="59"/>
      <c r="T189" s="61"/>
      <c r="U189" s="318"/>
      <c r="V189" s="11"/>
    </row>
    <row r="190" spans="1:22" s="3" customFormat="1" ht="13.5" hidden="1" customHeight="1" x14ac:dyDescent="0.2">
      <c r="B190" s="12"/>
      <c r="D190" s="104">
        <v>1</v>
      </c>
      <c r="F190" s="107"/>
      <c r="G190" s="228"/>
      <c r="H190" s="228"/>
      <c r="I190" s="228"/>
      <c r="J190" s="43" t="s">
        <v>156</v>
      </c>
      <c r="K190" s="420" t="str">
        <f t="shared" si="16"/>
        <v/>
      </c>
      <c r="L190" s="282"/>
      <c r="M190" s="504"/>
      <c r="N190" s="279"/>
      <c r="O190" s="71"/>
      <c r="P190" s="522" t="str">
        <f t="shared" si="13"/>
        <v/>
      </c>
      <c r="Q190" s="415" t="str">
        <f t="shared" si="14"/>
        <v/>
      </c>
      <c r="R190" s="415" t="str">
        <f t="shared" si="12"/>
        <v/>
      </c>
      <c r="S190" s="59"/>
      <c r="T190" s="61"/>
      <c r="U190" s="317"/>
      <c r="V190" s="11"/>
    </row>
    <row r="191" spans="1:22" s="3" customFormat="1" ht="20.25" customHeight="1" x14ac:dyDescent="0.2">
      <c r="A191" s="3">
        <v>4655</v>
      </c>
      <c r="B191" s="104">
        <v>2672</v>
      </c>
      <c r="C191" s="280" t="s">
        <v>192</v>
      </c>
      <c r="D191" s="104">
        <v>1</v>
      </c>
      <c r="E191" s="175"/>
      <c r="F191" s="107"/>
      <c r="G191" s="228"/>
      <c r="H191" s="228"/>
      <c r="I191" s="228"/>
      <c r="J191" s="350" t="s">
        <v>156</v>
      </c>
      <c r="K191" s="420" t="str">
        <f t="shared" si="16"/>
        <v/>
      </c>
      <c r="L191" s="183"/>
      <c r="M191" s="504"/>
      <c r="N191" s="279"/>
      <c r="O191" s="71"/>
      <c r="P191" s="522" t="str">
        <f t="shared" si="13"/>
        <v/>
      </c>
      <c r="Q191" s="415" t="str">
        <f t="shared" si="14"/>
        <v/>
      </c>
      <c r="R191" s="415" t="str">
        <f t="shared" si="12"/>
        <v/>
      </c>
      <c r="S191" s="59"/>
      <c r="T191" s="61"/>
      <c r="U191" s="317"/>
      <c r="V191" s="11"/>
    </row>
    <row r="192" spans="1:22" x14ac:dyDescent="0.2">
      <c r="A192" s="3">
        <v>4609</v>
      </c>
      <c r="B192" s="104">
        <v>2623</v>
      </c>
      <c r="C192" s="280" t="s">
        <v>157</v>
      </c>
      <c r="D192" s="104">
        <v>1</v>
      </c>
      <c r="G192" s="246"/>
      <c r="H192" s="246"/>
      <c r="I192" s="246"/>
      <c r="J192" s="376" t="s">
        <v>156</v>
      </c>
      <c r="K192" s="420" t="str">
        <f t="shared" si="16"/>
        <v/>
      </c>
      <c r="L192" s="101"/>
      <c r="M192" s="504"/>
      <c r="N192" s="279"/>
      <c r="O192" s="314"/>
      <c r="P192" s="522" t="str">
        <f t="shared" si="13"/>
        <v/>
      </c>
      <c r="Q192" s="415" t="str">
        <f t="shared" si="14"/>
        <v/>
      </c>
      <c r="R192" s="415" t="str">
        <f t="shared" si="12"/>
        <v/>
      </c>
      <c r="S192" s="59"/>
      <c r="T192" s="61"/>
      <c r="U192" s="318"/>
      <c r="V192" s="11"/>
    </row>
    <row r="193" spans="1:22" s="3" customFormat="1" ht="20.25" customHeight="1" x14ac:dyDescent="0.2">
      <c r="A193" s="12">
        <v>4608</v>
      </c>
      <c r="B193" s="12">
        <v>2621</v>
      </c>
      <c r="C193" s="12" t="s">
        <v>158</v>
      </c>
      <c r="D193" s="12">
        <v>1</v>
      </c>
      <c r="E193" s="6"/>
      <c r="F193" s="107"/>
      <c r="G193" s="228"/>
      <c r="H193" s="392"/>
      <c r="I193" s="228"/>
      <c r="J193" s="210" t="s">
        <v>156</v>
      </c>
      <c r="K193" s="420" t="str">
        <f t="shared" si="16"/>
        <v/>
      </c>
      <c r="L193" s="183"/>
      <c r="M193" s="504"/>
      <c r="N193" s="279"/>
      <c r="O193" s="40"/>
      <c r="P193" s="522" t="str">
        <f t="shared" si="13"/>
        <v/>
      </c>
      <c r="Q193" s="415" t="str">
        <f t="shared" si="14"/>
        <v/>
      </c>
      <c r="R193" s="415" t="str">
        <f t="shared" si="12"/>
        <v/>
      </c>
      <c r="S193" s="59"/>
      <c r="T193" s="320"/>
      <c r="U193" s="321"/>
      <c r="V193" s="248"/>
    </row>
    <row r="194" spans="1:22" ht="18.75" thickBot="1" x14ac:dyDescent="0.25">
      <c r="A194" s="12">
        <v>4610</v>
      </c>
      <c r="B194" s="12">
        <v>2624</v>
      </c>
      <c r="C194" s="280" t="s">
        <v>159</v>
      </c>
      <c r="D194" s="104">
        <v>1</v>
      </c>
      <c r="G194" s="319"/>
      <c r="H194" s="319"/>
      <c r="I194" s="319"/>
      <c r="J194" s="393" t="s">
        <v>156</v>
      </c>
      <c r="K194" s="420" t="str">
        <f t="shared" si="16"/>
        <v/>
      </c>
      <c r="L194" s="283"/>
      <c r="M194" s="504"/>
      <c r="N194" s="279"/>
      <c r="O194" s="71"/>
      <c r="P194" s="522" t="str">
        <f t="shared" si="13"/>
        <v/>
      </c>
      <c r="Q194" s="415" t="str">
        <f t="shared" si="14"/>
        <v/>
      </c>
      <c r="R194" s="415" t="str">
        <f t="shared" si="12"/>
        <v/>
      </c>
      <c r="S194" s="59"/>
      <c r="T194" s="61"/>
      <c r="U194" s="318"/>
      <c r="V194" s="11"/>
    </row>
    <row r="195" spans="1:22" ht="20.25" customHeight="1" thickBot="1" x14ac:dyDescent="0.25">
      <c r="A195" s="513"/>
      <c r="B195" s="57"/>
      <c r="C195" s="312" t="s">
        <v>7</v>
      </c>
      <c r="D195" s="374"/>
      <c r="E195" s="28"/>
      <c r="F195" s="221"/>
      <c r="G195" s="67"/>
      <c r="H195" s="67"/>
      <c r="I195" s="237"/>
      <c r="J195" s="227" t="s">
        <v>156</v>
      </c>
      <c r="K195" s="413">
        <f>SUM(K196:K204)</f>
        <v>43</v>
      </c>
      <c r="L195" s="92"/>
      <c r="M195" s="92"/>
      <c r="N195" s="38"/>
      <c r="O195" s="80"/>
      <c r="P195" s="413">
        <f>SUM(P196:P204)</f>
        <v>53</v>
      </c>
      <c r="Q195" s="416" t="str">
        <f t="shared" si="14"/>
        <v/>
      </c>
      <c r="R195" s="416" t="str">
        <f t="shared" si="12"/>
        <v/>
      </c>
      <c r="S195" s="38"/>
      <c r="T195" s="60"/>
      <c r="U195" s="66"/>
      <c r="V195" s="11"/>
    </row>
    <row r="196" spans="1:22" ht="20.25" customHeight="1" x14ac:dyDescent="0.2">
      <c r="A196" s="3" t="s">
        <v>238</v>
      </c>
      <c r="B196" s="103">
        <v>46508</v>
      </c>
      <c r="C196" s="9" t="s">
        <v>8</v>
      </c>
      <c r="D196" s="104">
        <v>1</v>
      </c>
      <c r="E196" s="16"/>
      <c r="G196" s="252">
        <v>15</v>
      </c>
      <c r="H196" s="252"/>
      <c r="I196" s="252"/>
      <c r="J196" s="376">
        <v>13</v>
      </c>
      <c r="K196" s="420">
        <f>IF(M196="","",IF(ISERROR(IF(L196=0,J196*M196,J196*L196)),"",IF(L196=0,J196*M196,J196*L196)))</f>
        <v>13</v>
      </c>
      <c r="L196" s="93"/>
      <c r="M196" s="508">
        <v>1</v>
      </c>
      <c r="N196" s="279">
        <v>0.5</v>
      </c>
      <c r="O196" s="71"/>
      <c r="P196" s="522">
        <f t="shared" si="13"/>
        <v>15</v>
      </c>
      <c r="Q196" s="415">
        <f t="shared" si="14"/>
        <v>0.47250000000000003</v>
      </c>
      <c r="R196" s="415" t="str">
        <f t="shared" si="12"/>
        <v/>
      </c>
      <c r="S196" s="59"/>
      <c r="T196" s="61"/>
      <c r="U196" s="318"/>
      <c r="V196" s="11"/>
    </row>
    <row r="197" spans="1:22" ht="20.25" customHeight="1" x14ac:dyDescent="0.2">
      <c r="A197" s="12" t="s">
        <v>242</v>
      </c>
      <c r="B197" s="9">
        <v>48588</v>
      </c>
      <c r="C197" s="12" t="s">
        <v>93</v>
      </c>
      <c r="D197" s="104">
        <v>1</v>
      </c>
      <c r="E197" s="16"/>
      <c r="G197" s="228"/>
      <c r="H197" s="228"/>
      <c r="I197" s="228"/>
      <c r="J197" s="376" t="s">
        <v>156</v>
      </c>
      <c r="K197" s="420" t="str">
        <f t="shared" ref="K197:K204" si="17">IF(M197="","",IF(ISERROR(IF(L197=0,J197*M197,J197*L197)),"",IF(L197=0,J197*M197,J197*L197)))</f>
        <v/>
      </c>
      <c r="L197" s="93"/>
      <c r="M197" s="508">
        <v>1</v>
      </c>
      <c r="N197" s="279">
        <v>0.5</v>
      </c>
      <c r="O197" s="71"/>
      <c r="P197" s="522">
        <f t="shared" si="13"/>
        <v>0</v>
      </c>
      <c r="Q197" s="415">
        <f t="shared" si="14"/>
        <v>0.47250000000000003</v>
      </c>
      <c r="R197" s="415" t="str">
        <f t="shared" si="12"/>
        <v/>
      </c>
      <c r="S197" s="59"/>
      <c r="T197" s="61"/>
      <c r="U197" s="318"/>
      <c r="V197" s="11"/>
    </row>
    <row r="198" spans="1:22" ht="20.25" customHeight="1" x14ac:dyDescent="0.2">
      <c r="A198" s="12" t="s">
        <v>239</v>
      </c>
      <c r="B198" s="9">
        <v>41807</v>
      </c>
      <c r="C198" s="9" t="s">
        <v>94</v>
      </c>
      <c r="D198" s="104">
        <v>1</v>
      </c>
      <c r="G198" s="228">
        <v>15</v>
      </c>
      <c r="H198" s="228"/>
      <c r="I198" s="228"/>
      <c r="J198" s="386">
        <v>24</v>
      </c>
      <c r="K198" s="420">
        <f t="shared" si="17"/>
        <v>24</v>
      </c>
      <c r="L198" s="101"/>
      <c r="M198" s="508">
        <v>1</v>
      </c>
      <c r="N198" s="279">
        <v>0.5</v>
      </c>
      <c r="P198" s="522">
        <f t="shared" si="13"/>
        <v>15</v>
      </c>
      <c r="Q198" s="415">
        <f t="shared" si="14"/>
        <v>0.47250000000000003</v>
      </c>
      <c r="R198" s="415" t="str">
        <f t="shared" si="12"/>
        <v/>
      </c>
      <c r="S198" s="59"/>
      <c r="T198" s="61"/>
      <c r="U198" s="318"/>
      <c r="V198" s="11"/>
    </row>
    <row r="199" spans="1:22" ht="20.25" customHeight="1" x14ac:dyDescent="0.2">
      <c r="A199" s="12" t="s">
        <v>240</v>
      </c>
      <c r="B199" s="9">
        <v>46806</v>
      </c>
      <c r="C199" s="3" t="s">
        <v>95</v>
      </c>
      <c r="D199" s="104">
        <v>1</v>
      </c>
      <c r="G199" s="228">
        <v>8</v>
      </c>
      <c r="H199" s="228"/>
      <c r="I199" s="228"/>
      <c r="J199" s="386">
        <v>4</v>
      </c>
      <c r="K199" s="420">
        <f t="shared" si="17"/>
        <v>4</v>
      </c>
      <c r="L199" s="101"/>
      <c r="M199" s="508">
        <v>1</v>
      </c>
      <c r="N199" s="279">
        <v>0.5</v>
      </c>
      <c r="P199" s="522">
        <f t="shared" si="13"/>
        <v>8</v>
      </c>
      <c r="Q199" s="415">
        <f t="shared" si="14"/>
        <v>0.47250000000000003</v>
      </c>
      <c r="R199" s="415" t="str">
        <f t="shared" si="12"/>
        <v/>
      </c>
      <c r="S199" s="59"/>
      <c r="T199" s="61"/>
      <c r="U199" s="318"/>
      <c r="V199" s="11"/>
    </row>
    <row r="200" spans="1:22" x14ac:dyDescent="0.2">
      <c r="A200" s="12">
        <v>4645</v>
      </c>
      <c r="B200" s="9">
        <v>2659</v>
      </c>
      <c r="C200" s="4" t="s">
        <v>177</v>
      </c>
      <c r="D200" s="104">
        <v>1</v>
      </c>
      <c r="G200" s="246">
        <v>10</v>
      </c>
      <c r="H200" s="228"/>
      <c r="I200" s="228"/>
      <c r="J200" s="386" t="s">
        <v>156</v>
      </c>
      <c r="K200" s="420" t="str">
        <f t="shared" si="17"/>
        <v/>
      </c>
      <c r="L200" s="101"/>
      <c r="M200" s="508">
        <v>1</v>
      </c>
      <c r="N200" s="279">
        <v>0.5</v>
      </c>
      <c r="P200" s="522">
        <f t="shared" si="13"/>
        <v>10</v>
      </c>
      <c r="Q200" s="415">
        <f t="shared" si="14"/>
        <v>0.47250000000000003</v>
      </c>
      <c r="R200" s="415" t="str">
        <f t="shared" si="12"/>
        <v/>
      </c>
      <c r="S200" s="59"/>
      <c r="T200" s="61"/>
      <c r="U200" s="318"/>
      <c r="V200" s="248"/>
    </row>
    <row r="201" spans="1:22" x14ac:dyDescent="0.2">
      <c r="A201" s="12">
        <v>4015</v>
      </c>
      <c r="B201" s="9">
        <v>2539</v>
      </c>
      <c r="C201" s="3" t="s">
        <v>96</v>
      </c>
      <c r="D201" s="104">
        <v>1</v>
      </c>
      <c r="G201" s="228">
        <v>5</v>
      </c>
      <c r="H201" s="228"/>
      <c r="I201" s="228"/>
      <c r="J201" s="386">
        <v>2</v>
      </c>
      <c r="K201" s="420">
        <f t="shared" si="17"/>
        <v>2</v>
      </c>
      <c r="L201" s="101"/>
      <c r="M201" s="508">
        <v>1</v>
      </c>
      <c r="N201" s="279">
        <v>0.5</v>
      </c>
      <c r="P201" s="522">
        <f t="shared" si="13"/>
        <v>5</v>
      </c>
      <c r="Q201" s="415">
        <f t="shared" si="14"/>
        <v>0.47250000000000003</v>
      </c>
      <c r="R201" s="415" t="str">
        <f t="shared" si="12"/>
        <v/>
      </c>
      <c r="S201" s="59"/>
      <c r="T201" s="61"/>
      <c r="U201" s="318"/>
      <c r="V201" s="11"/>
    </row>
    <row r="202" spans="1:22" x14ac:dyDescent="0.2">
      <c r="A202" s="12"/>
      <c r="B202" s="9"/>
      <c r="C202" s="3"/>
      <c r="D202" s="104"/>
      <c r="G202" s="228"/>
      <c r="H202" s="228"/>
      <c r="I202" s="228"/>
      <c r="J202" s="386" t="s">
        <v>156</v>
      </c>
      <c r="K202" s="420" t="str">
        <f t="shared" si="17"/>
        <v/>
      </c>
      <c r="L202" s="101"/>
      <c r="M202" s="508"/>
      <c r="N202" s="279"/>
      <c r="P202" s="522" t="str">
        <f t="shared" si="13"/>
        <v/>
      </c>
      <c r="Q202" s="415" t="str">
        <f t="shared" si="14"/>
        <v/>
      </c>
      <c r="R202" s="415" t="str">
        <f t="shared" si="12"/>
        <v/>
      </c>
      <c r="S202" s="59"/>
      <c r="T202" s="61"/>
      <c r="U202" s="318"/>
      <c r="V202" s="11"/>
    </row>
    <row r="203" spans="1:22" x14ac:dyDescent="0.2">
      <c r="A203" s="12"/>
      <c r="B203" s="9"/>
      <c r="D203" s="104"/>
      <c r="G203" s="228"/>
      <c r="H203" s="228"/>
      <c r="I203" s="228"/>
      <c r="J203" s="386" t="s">
        <v>156</v>
      </c>
      <c r="K203" s="420" t="str">
        <f t="shared" si="17"/>
        <v/>
      </c>
      <c r="L203" s="101"/>
      <c r="M203" s="508"/>
      <c r="N203" s="279"/>
      <c r="P203" s="522" t="str">
        <f t="shared" si="13"/>
        <v/>
      </c>
      <c r="Q203" s="415" t="str">
        <f t="shared" si="14"/>
        <v/>
      </c>
      <c r="R203" s="415" t="str">
        <f t="shared" si="12"/>
        <v/>
      </c>
      <c r="S203" s="59"/>
      <c r="T203" s="61"/>
      <c r="U203" s="318"/>
      <c r="V203" s="11"/>
    </row>
    <row r="204" spans="1:22" ht="18.75" customHeight="1" thickBot="1" x14ac:dyDescent="0.25">
      <c r="A204" s="12"/>
      <c r="B204" s="9"/>
      <c r="C204" s="3"/>
      <c r="D204" s="104"/>
      <c r="G204" s="228"/>
      <c r="H204" s="228"/>
      <c r="I204" s="228"/>
      <c r="J204" s="386" t="s">
        <v>156</v>
      </c>
      <c r="K204" s="420" t="str">
        <f t="shared" si="17"/>
        <v/>
      </c>
      <c r="L204" s="101"/>
      <c r="M204" s="508"/>
      <c r="N204" s="279"/>
      <c r="P204" s="522" t="str">
        <f t="shared" si="13"/>
        <v/>
      </c>
      <c r="Q204" s="415" t="str">
        <f t="shared" si="14"/>
        <v/>
      </c>
      <c r="R204" s="415" t="str">
        <f t="shared" si="12"/>
        <v/>
      </c>
      <c r="S204" s="59"/>
      <c r="T204" s="61"/>
      <c r="U204" s="318"/>
      <c r="V204" s="11"/>
    </row>
    <row r="205" spans="1:22" ht="18.75" hidden="1" customHeight="1" x14ac:dyDescent="0.2">
      <c r="A205" s="9"/>
      <c r="B205" s="9"/>
      <c r="G205" s="228"/>
      <c r="H205" s="228"/>
      <c r="I205" s="230"/>
      <c r="J205" s="376" t="s">
        <v>156</v>
      </c>
      <c r="K205" s="420" t="str">
        <f t="shared" ref="K205:K216" si="18">IF(M205="","",IF(ISERROR(IF(L205=0,J205*M205,G205*L205)),"",IF(L205=0,J205*M205,G205*L205)))</f>
        <v/>
      </c>
      <c r="M205" s="504"/>
      <c r="P205" s="522" t="str">
        <f t="shared" si="13"/>
        <v/>
      </c>
      <c r="Q205" s="415" t="str">
        <f t="shared" si="14"/>
        <v/>
      </c>
      <c r="R205" s="415" t="str">
        <f t="shared" ref="R205:R268" si="19">IF(L205=0,"",((L205/1.055)-N205)/(L205/1.055))</f>
        <v/>
      </c>
      <c r="S205" s="59"/>
      <c r="T205" s="61"/>
      <c r="U205" s="318"/>
      <c r="V205" s="11"/>
    </row>
    <row r="206" spans="1:22" ht="18.75" hidden="1" customHeight="1" x14ac:dyDescent="0.2">
      <c r="A206" s="9"/>
      <c r="B206" s="9"/>
      <c r="G206" s="228"/>
      <c r="H206" s="228"/>
      <c r="I206" s="230"/>
      <c r="J206" s="376" t="s">
        <v>156</v>
      </c>
      <c r="K206" s="420" t="str">
        <f t="shared" si="18"/>
        <v/>
      </c>
      <c r="M206" s="504"/>
      <c r="P206" s="522" t="str">
        <f t="shared" ref="P206:P269" si="20">IF(M206="","",IF(ISERROR(IF(L206=0,G206*M206,G206*L206)),"",IF(L206=0,G206*M206,G206*L206)))</f>
        <v/>
      </c>
      <c r="Q206" s="415" t="str">
        <f t="shared" ref="Q206:Q269" si="21">IF(R206&lt;&gt;"","",IF(OR(M206=0,N206=0),"",((M206/1.055)-N206)/(M206/1.055)))</f>
        <v/>
      </c>
      <c r="R206" s="415" t="str">
        <f t="shared" si="19"/>
        <v/>
      </c>
      <c r="S206" s="59"/>
      <c r="T206" s="61"/>
      <c r="U206" s="318"/>
      <c r="V206" s="11"/>
    </row>
    <row r="207" spans="1:22" ht="18.75" hidden="1" customHeight="1" x14ac:dyDescent="0.2">
      <c r="A207" s="9"/>
      <c r="B207" s="9"/>
      <c r="G207" s="228"/>
      <c r="H207" s="228"/>
      <c r="I207" s="230"/>
      <c r="J207" s="376" t="s">
        <v>156</v>
      </c>
      <c r="K207" s="420" t="str">
        <f t="shared" si="18"/>
        <v/>
      </c>
      <c r="M207" s="504"/>
      <c r="P207" s="522" t="str">
        <f t="shared" si="20"/>
        <v/>
      </c>
      <c r="Q207" s="415" t="str">
        <f t="shared" si="21"/>
        <v/>
      </c>
      <c r="R207" s="415" t="str">
        <f t="shared" si="19"/>
        <v/>
      </c>
      <c r="S207" s="59"/>
      <c r="T207" s="61"/>
      <c r="U207" s="318"/>
      <c r="V207" s="11"/>
    </row>
    <row r="208" spans="1:22" ht="18.75" hidden="1" customHeight="1" x14ac:dyDescent="0.2">
      <c r="A208" s="9"/>
      <c r="B208" s="9"/>
      <c r="G208" s="228"/>
      <c r="H208" s="228"/>
      <c r="I208" s="230"/>
      <c r="J208" s="376" t="s">
        <v>156</v>
      </c>
      <c r="K208" s="420" t="str">
        <f t="shared" si="18"/>
        <v/>
      </c>
      <c r="M208" s="504"/>
      <c r="P208" s="522" t="str">
        <f t="shared" si="20"/>
        <v/>
      </c>
      <c r="Q208" s="415" t="str">
        <f t="shared" si="21"/>
        <v/>
      </c>
      <c r="R208" s="415" t="str">
        <f t="shared" si="19"/>
        <v/>
      </c>
      <c r="S208" s="59"/>
      <c r="T208" s="61"/>
      <c r="U208" s="318"/>
      <c r="V208" s="11"/>
    </row>
    <row r="209" spans="1:205" ht="18.75" hidden="1" customHeight="1" x14ac:dyDescent="0.2">
      <c r="A209" s="9"/>
      <c r="B209" s="9"/>
      <c r="G209" s="228"/>
      <c r="H209" s="228"/>
      <c r="I209" s="230"/>
      <c r="J209" s="376" t="s">
        <v>156</v>
      </c>
      <c r="K209" s="420" t="str">
        <f t="shared" si="18"/>
        <v/>
      </c>
      <c r="M209" s="504"/>
      <c r="P209" s="522" t="str">
        <f t="shared" si="20"/>
        <v/>
      </c>
      <c r="Q209" s="415" t="str">
        <f t="shared" si="21"/>
        <v/>
      </c>
      <c r="R209" s="415" t="str">
        <f t="shared" si="19"/>
        <v/>
      </c>
      <c r="S209" s="59"/>
      <c r="T209" s="61"/>
      <c r="U209" s="318"/>
      <c r="V209" s="11"/>
    </row>
    <row r="210" spans="1:205" ht="18.75" hidden="1" customHeight="1" x14ac:dyDescent="0.2">
      <c r="A210" s="9"/>
      <c r="B210" s="9"/>
      <c r="G210" s="228"/>
      <c r="H210" s="228"/>
      <c r="I210" s="230"/>
      <c r="J210" s="376" t="s">
        <v>156</v>
      </c>
      <c r="K210" s="420" t="str">
        <f t="shared" si="18"/>
        <v/>
      </c>
      <c r="M210" s="504"/>
      <c r="P210" s="522" t="str">
        <f t="shared" si="20"/>
        <v/>
      </c>
      <c r="Q210" s="415" t="str">
        <f t="shared" si="21"/>
        <v/>
      </c>
      <c r="R210" s="415" t="str">
        <f t="shared" si="19"/>
        <v/>
      </c>
      <c r="S210" s="59"/>
      <c r="T210" s="61"/>
      <c r="U210" s="318"/>
      <c r="V210" s="11"/>
    </row>
    <row r="211" spans="1:205" ht="18.75" hidden="1" customHeight="1" x14ac:dyDescent="0.2">
      <c r="A211" s="9"/>
      <c r="B211" s="9"/>
      <c r="G211" s="228"/>
      <c r="H211" s="228"/>
      <c r="I211" s="230"/>
      <c r="J211" s="376" t="s">
        <v>156</v>
      </c>
      <c r="K211" s="420" t="str">
        <f t="shared" si="18"/>
        <v/>
      </c>
      <c r="M211" s="504"/>
      <c r="P211" s="522" t="str">
        <f t="shared" si="20"/>
        <v/>
      </c>
      <c r="Q211" s="415" t="str">
        <f t="shared" si="21"/>
        <v/>
      </c>
      <c r="R211" s="415" t="str">
        <f t="shared" si="19"/>
        <v/>
      </c>
      <c r="S211" s="59"/>
      <c r="T211" s="61"/>
      <c r="U211" s="318"/>
      <c r="V211" s="11"/>
    </row>
    <row r="212" spans="1:205" ht="18.75" hidden="1" customHeight="1" x14ac:dyDescent="0.2">
      <c r="A212" s="9"/>
      <c r="B212" s="9"/>
      <c r="G212" s="228"/>
      <c r="H212" s="228"/>
      <c r="I212" s="230"/>
      <c r="J212" s="376" t="s">
        <v>156</v>
      </c>
      <c r="K212" s="420" t="str">
        <f t="shared" si="18"/>
        <v/>
      </c>
      <c r="M212" s="504"/>
      <c r="P212" s="522" t="str">
        <f t="shared" si="20"/>
        <v/>
      </c>
      <c r="Q212" s="415" t="str">
        <f t="shared" si="21"/>
        <v/>
      </c>
      <c r="R212" s="415" t="str">
        <f t="shared" si="19"/>
        <v/>
      </c>
      <c r="S212" s="59"/>
      <c r="T212" s="61"/>
      <c r="U212" s="318"/>
      <c r="V212" s="11"/>
    </row>
    <row r="213" spans="1:205" ht="18.75" hidden="1" customHeight="1" x14ac:dyDescent="0.2">
      <c r="A213" s="9"/>
      <c r="B213" s="9"/>
      <c r="G213" s="228"/>
      <c r="H213" s="228"/>
      <c r="I213" s="230"/>
      <c r="J213" s="376" t="s">
        <v>156</v>
      </c>
      <c r="K213" s="420" t="str">
        <f t="shared" si="18"/>
        <v/>
      </c>
      <c r="M213" s="504"/>
      <c r="P213" s="522" t="str">
        <f t="shared" si="20"/>
        <v/>
      </c>
      <c r="Q213" s="415" t="str">
        <f t="shared" si="21"/>
        <v/>
      </c>
      <c r="R213" s="415" t="str">
        <f t="shared" si="19"/>
        <v/>
      </c>
      <c r="S213" s="59"/>
      <c r="T213" s="61"/>
      <c r="U213" s="318"/>
      <c r="V213" s="11"/>
    </row>
    <row r="214" spans="1:205" ht="18.75" hidden="1" customHeight="1" thickBot="1" x14ac:dyDescent="0.25">
      <c r="A214" s="9"/>
      <c r="B214" s="9"/>
      <c r="G214" s="228"/>
      <c r="H214" s="228"/>
      <c r="I214" s="230"/>
      <c r="J214" s="376" t="s">
        <v>156</v>
      </c>
      <c r="K214" s="420" t="str">
        <f t="shared" si="18"/>
        <v/>
      </c>
      <c r="M214" s="504"/>
      <c r="P214" s="522" t="str">
        <f t="shared" si="20"/>
        <v/>
      </c>
      <c r="Q214" s="415" t="str">
        <f t="shared" si="21"/>
        <v/>
      </c>
      <c r="R214" s="415" t="str">
        <f t="shared" si="19"/>
        <v/>
      </c>
      <c r="S214" s="59"/>
      <c r="T214" s="61"/>
      <c r="U214" s="318"/>
      <c r="V214" s="11"/>
    </row>
    <row r="215" spans="1:205" ht="18.75" hidden="1" customHeight="1" thickBot="1" x14ac:dyDescent="0.25">
      <c r="A215" s="9"/>
      <c r="B215" s="9"/>
      <c r="G215" s="228"/>
      <c r="H215" s="228"/>
      <c r="I215" s="230"/>
      <c r="J215" s="376" t="s">
        <v>156</v>
      </c>
      <c r="K215" s="420" t="str">
        <f t="shared" si="18"/>
        <v/>
      </c>
      <c r="M215" s="504"/>
      <c r="P215" s="522" t="str">
        <f t="shared" si="20"/>
        <v/>
      </c>
      <c r="Q215" s="415" t="str">
        <f t="shared" si="21"/>
        <v/>
      </c>
      <c r="R215" s="415" t="str">
        <f t="shared" si="19"/>
        <v/>
      </c>
      <c r="S215" s="59"/>
      <c r="T215" s="61"/>
      <c r="U215" s="318"/>
      <c r="V215" s="11"/>
    </row>
    <row r="216" spans="1:205" s="148" customFormat="1" ht="18.75" hidden="1" customHeight="1" thickBot="1" x14ac:dyDescent="0.25">
      <c r="A216" s="147"/>
      <c r="B216" s="147"/>
      <c r="F216" s="173"/>
      <c r="G216" s="228"/>
      <c r="H216" s="228"/>
      <c r="I216" s="228"/>
      <c r="J216" s="379" t="s">
        <v>156</v>
      </c>
      <c r="K216" s="420" t="str">
        <f t="shared" si="18"/>
        <v/>
      </c>
      <c r="L216" s="150"/>
      <c r="M216" s="504"/>
      <c r="N216" s="151"/>
      <c r="O216" s="152"/>
      <c r="P216" s="522" t="str">
        <f t="shared" si="20"/>
        <v/>
      </c>
      <c r="Q216" s="415" t="str">
        <f t="shared" si="21"/>
        <v/>
      </c>
      <c r="R216" s="415" t="str">
        <f t="shared" si="19"/>
        <v/>
      </c>
      <c r="S216" s="59"/>
      <c r="T216" s="61"/>
      <c r="U216" s="394"/>
      <c r="V216" s="11"/>
    </row>
    <row r="217" spans="1:205" s="8" customFormat="1" ht="18.75" customHeight="1" thickBot="1" x14ac:dyDescent="0.25">
      <c r="A217" s="514"/>
      <c r="B217" s="514"/>
      <c r="C217" s="285" t="s">
        <v>97</v>
      </c>
      <c r="D217" s="425"/>
      <c r="E217" s="374"/>
      <c r="F217" s="374"/>
      <c r="G217" s="374"/>
      <c r="H217" s="374"/>
      <c r="I217" s="374"/>
      <c r="J217" s="374" t="s">
        <v>156</v>
      </c>
      <c r="K217" s="413">
        <f>SUM(K218:K242)</f>
        <v>35</v>
      </c>
      <c r="L217" s="374"/>
      <c r="M217" s="374"/>
      <c r="N217" s="38"/>
      <c r="O217" s="374"/>
      <c r="P217" s="413">
        <f>SUM(P218:P242)</f>
        <v>48</v>
      </c>
      <c r="Q217" s="416" t="str">
        <f t="shared" si="21"/>
        <v/>
      </c>
      <c r="R217" s="416" t="str">
        <f t="shared" si="19"/>
        <v/>
      </c>
      <c r="S217" s="38"/>
      <c r="T217" s="38"/>
      <c r="U217" s="250"/>
      <c r="V217" s="11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3"/>
      <c r="EF217" s="3"/>
      <c r="EG217" s="3"/>
      <c r="EH217" s="3"/>
      <c r="EI217" s="3"/>
      <c r="EJ217" s="3"/>
      <c r="EK217" s="3"/>
      <c r="EL217" s="3"/>
      <c r="EM217" s="3"/>
      <c r="EN217" s="3"/>
      <c r="EO217" s="3"/>
      <c r="EP217" s="3"/>
      <c r="EQ217" s="3"/>
      <c r="ER217" s="3"/>
      <c r="ES217" s="3"/>
      <c r="ET217" s="3"/>
      <c r="EU217" s="3"/>
      <c r="EV217" s="3"/>
      <c r="EW217" s="3"/>
      <c r="EX217" s="3"/>
      <c r="EY217" s="3"/>
      <c r="EZ217" s="3"/>
      <c r="FA217" s="3"/>
      <c r="FB217" s="3"/>
      <c r="FC217" s="3"/>
      <c r="FD217" s="3"/>
      <c r="FE217" s="3"/>
      <c r="FF217" s="3"/>
      <c r="FG217" s="3"/>
      <c r="FH217" s="3"/>
      <c r="FI217" s="3"/>
      <c r="FJ217" s="3"/>
      <c r="FK217" s="3"/>
      <c r="FL217" s="3"/>
      <c r="FM217" s="3"/>
      <c r="FN217" s="3"/>
      <c r="FO217" s="3"/>
      <c r="FP217" s="3"/>
      <c r="FQ217" s="3"/>
      <c r="FR217" s="3"/>
      <c r="FS217" s="3"/>
      <c r="FT217" s="3"/>
      <c r="FU217" s="3"/>
      <c r="FV217" s="3"/>
      <c r="FW217" s="3"/>
      <c r="FX217" s="3"/>
      <c r="FY217" s="3"/>
      <c r="FZ217" s="3"/>
      <c r="GA217" s="3"/>
      <c r="GB217" s="3"/>
      <c r="GC217" s="3"/>
      <c r="GD217" s="3"/>
      <c r="GE217" s="3"/>
      <c r="GF217" s="3"/>
      <c r="GG217" s="3"/>
      <c r="GH217" s="3"/>
      <c r="GI217" s="3"/>
      <c r="GJ217" s="3"/>
      <c r="GK217" s="3"/>
      <c r="GL217" s="3"/>
      <c r="GM217" s="3"/>
      <c r="GN217" s="3"/>
      <c r="GO217" s="3"/>
      <c r="GP217" s="3"/>
      <c r="GQ217" s="3"/>
      <c r="GR217" s="3"/>
      <c r="GS217" s="3"/>
      <c r="GT217" s="3"/>
      <c r="GU217" s="3"/>
      <c r="GV217" s="3"/>
      <c r="GW217" s="3"/>
    </row>
    <row r="218" spans="1:205" s="8" customFormat="1" ht="18.75" customHeight="1" x14ac:dyDescent="0.2">
      <c r="A218" s="3">
        <v>195</v>
      </c>
      <c r="B218" s="180">
        <v>45142</v>
      </c>
      <c r="C218" s="161" t="s">
        <v>98</v>
      </c>
      <c r="D218" s="256">
        <v>1</v>
      </c>
      <c r="E218" s="257"/>
      <c r="F218" s="258"/>
      <c r="G218" s="228">
        <v>10</v>
      </c>
      <c r="H218" s="228"/>
      <c r="I218" s="228"/>
      <c r="J218" s="395">
        <v>10</v>
      </c>
      <c r="K218" s="420">
        <f>IF(M218="","",IF(ISERROR(IF(L218=0,J218*M218,J218*L218)),"",IF(L218=0,J218*M218,J218*L218)))</f>
        <v>10</v>
      </c>
      <c r="L218" s="181"/>
      <c r="M218" s="508">
        <v>1</v>
      </c>
      <c r="N218" s="279">
        <v>0.5</v>
      </c>
      <c r="O218" s="287"/>
      <c r="P218" s="522">
        <f t="shared" si="20"/>
        <v>10</v>
      </c>
      <c r="Q218" s="415">
        <f t="shared" si="21"/>
        <v>0.47250000000000003</v>
      </c>
      <c r="R218" s="415" t="str">
        <f t="shared" si="19"/>
        <v/>
      </c>
      <c r="S218" s="166"/>
      <c r="T218" s="168"/>
      <c r="U218" s="396"/>
      <c r="V218" s="11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3"/>
      <c r="EF218" s="3"/>
      <c r="EG218" s="3"/>
      <c r="EH218" s="3"/>
      <c r="EI218" s="3"/>
      <c r="EJ218" s="3"/>
      <c r="EK218" s="3"/>
      <c r="EL218" s="3"/>
      <c r="EM218" s="3"/>
      <c r="EN218" s="3"/>
      <c r="EO218" s="3"/>
      <c r="EP218" s="3"/>
      <c r="EQ218" s="3"/>
      <c r="ER218" s="3"/>
      <c r="ES218" s="3"/>
      <c r="ET218" s="3"/>
      <c r="EU218" s="3"/>
      <c r="EV218" s="3"/>
      <c r="EW218" s="3"/>
      <c r="EX218" s="3"/>
      <c r="EY218" s="3"/>
      <c r="EZ218" s="3"/>
      <c r="FA218" s="3"/>
      <c r="FB218" s="3"/>
      <c r="FC218" s="3"/>
      <c r="FD218" s="3"/>
      <c r="FE218" s="3"/>
      <c r="FF218" s="3"/>
      <c r="FG218" s="3"/>
      <c r="FH218" s="3"/>
      <c r="FI218" s="3"/>
      <c r="FJ218" s="3"/>
      <c r="FK218" s="3"/>
      <c r="FL218" s="3"/>
      <c r="FM218" s="3"/>
      <c r="FN218" s="3"/>
      <c r="FO218" s="3"/>
      <c r="FP218" s="3"/>
      <c r="FQ218" s="3"/>
      <c r="FR218" s="3"/>
      <c r="FS218" s="3"/>
      <c r="FT218" s="3"/>
      <c r="FU218" s="3"/>
      <c r="FV218" s="3"/>
      <c r="FW218" s="3"/>
      <c r="FX218" s="3"/>
      <c r="FY218" s="3"/>
      <c r="FZ218" s="3"/>
      <c r="GA218" s="3"/>
      <c r="GB218" s="3"/>
      <c r="GC218" s="3"/>
      <c r="GD218" s="3"/>
      <c r="GE218" s="3"/>
      <c r="GF218" s="3"/>
      <c r="GG218" s="3"/>
      <c r="GH218" s="3"/>
      <c r="GI218" s="3"/>
      <c r="GJ218" s="3"/>
      <c r="GK218" s="3"/>
      <c r="GL218" s="3"/>
      <c r="GM218" s="3"/>
      <c r="GN218" s="3"/>
      <c r="GO218" s="3"/>
      <c r="GP218" s="3"/>
      <c r="GQ218" s="3"/>
      <c r="GR218" s="3"/>
      <c r="GS218" s="3"/>
      <c r="GT218" s="3"/>
      <c r="GU218" s="3"/>
      <c r="GV218" s="3"/>
      <c r="GW218" s="3"/>
    </row>
    <row r="219" spans="1:205" s="8" customFormat="1" ht="18.75" customHeight="1" x14ac:dyDescent="0.2">
      <c r="A219" s="3">
        <v>4420</v>
      </c>
      <c r="B219" s="104">
        <v>2818</v>
      </c>
      <c r="C219" s="3" t="s">
        <v>99</v>
      </c>
      <c r="D219" s="256">
        <v>1</v>
      </c>
      <c r="E219" s="259"/>
      <c r="F219" s="260"/>
      <c r="G219" s="228">
        <v>20</v>
      </c>
      <c r="H219" s="228"/>
      <c r="I219" s="228"/>
      <c r="J219" s="397" t="s">
        <v>156</v>
      </c>
      <c r="K219" s="420" t="str">
        <f t="shared" ref="K219:K242" si="22">IF(M219="","",IF(ISERROR(IF(L219=0,J219*M219,J219*L219)),"",IF(L219=0,J219*M219,J219*L219)))</f>
        <v/>
      </c>
      <c r="L219" s="183"/>
      <c r="M219" s="508">
        <v>1</v>
      </c>
      <c r="N219" s="279">
        <v>0.5</v>
      </c>
      <c r="O219" s="135"/>
      <c r="P219" s="522">
        <f t="shared" si="20"/>
        <v>20</v>
      </c>
      <c r="Q219" s="415">
        <f t="shared" si="21"/>
        <v>0.47250000000000003</v>
      </c>
      <c r="R219" s="415" t="str">
        <f t="shared" si="19"/>
        <v/>
      </c>
      <c r="S219" s="120"/>
      <c r="T219" s="122"/>
      <c r="U219" s="317"/>
      <c r="V219" s="11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/>
      <c r="CX219" s="3"/>
      <c r="CY219" s="3"/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3"/>
      <c r="EF219" s="3"/>
      <c r="EG219" s="3"/>
      <c r="EH219" s="3"/>
      <c r="EI219" s="3"/>
      <c r="EJ219" s="3"/>
      <c r="EK219" s="3"/>
      <c r="EL219" s="3"/>
      <c r="EM219" s="3"/>
      <c r="EN219" s="3"/>
      <c r="EO219" s="3"/>
      <c r="EP219" s="3"/>
      <c r="EQ219" s="3"/>
      <c r="ER219" s="3"/>
      <c r="ES219" s="3"/>
      <c r="ET219" s="3"/>
      <c r="EU219" s="3"/>
      <c r="EV219" s="3"/>
      <c r="EW219" s="3"/>
      <c r="EX219" s="3"/>
      <c r="EY219" s="3"/>
      <c r="EZ219" s="3"/>
      <c r="FA219" s="3"/>
      <c r="FB219" s="3"/>
      <c r="FC219" s="3"/>
      <c r="FD219" s="3"/>
      <c r="FE219" s="3"/>
      <c r="FF219" s="3"/>
      <c r="FG219" s="3"/>
      <c r="FH219" s="3"/>
      <c r="FI219" s="3"/>
      <c r="FJ219" s="3"/>
      <c r="FK219" s="3"/>
      <c r="FL219" s="3"/>
      <c r="FM219" s="3"/>
      <c r="FN219" s="3"/>
      <c r="FO219" s="3"/>
      <c r="FP219" s="3"/>
      <c r="FQ219" s="3"/>
      <c r="FR219" s="3"/>
      <c r="FS219" s="3"/>
      <c r="FT219" s="3"/>
      <c r="FU219" s="3"/>
      <c r="FV219" s="3"/>
      <c r="FW219" s="3"/>
      <c r="FX219" s="3"/>
      <c r="FY219" s="3"/>
      <c r="FZ219" s="3"/>
      <c r="GA219" s="3"/>
      <c r="GB219" s="3"/>
      <c r="GC219" s="3"/>
      <c r="GD219" s="3"/>
      <c r="GE219" s="3"/>
      <c r="GF219" s="3"/>
      <c r="GG219" s="3"/>
      <c r="GH219" s="3"/>
      <c r="GI219" s="3"/>
      <c r="GJ219" s="3"/>
      <c r="GK219" s="3"/>
      <c r="GL219" s="3"/>
      <c r="GM219" s="3"/>
      <c r="GN219" s="3"/>
      <c r="GO219" s="3"/>
      <c r="GP219" s="3"/>
      <c r="GQ219" s="3"/>
      <c r="GR219" s="3"/>
      <c r="GS219" s="3"/>
      <c r="GT219" s="3"/>
      <c r="GU219" s="3"/>
      <c r="GV219" s="3"/>
      <c r="GW219" s="3"/>
    </row>
    <row r="220" spans="1:205" s="8" customFormat="1" ht="18.75" customHeight="1" x14ac:dyDescent="0.2">
      <c r="A220" s="3">
        <v>4419</v>
      </c>
      <c r="B220" s="104">
        <v>2817</v>
      </c>
      <c r="C220" s="3" t="s">
        <v>100</v>
      </c>
      <c r="D220" s="256">
        <v>1</v>
      </c>
      <c r="E220" s="259"/>
      <c r="F220" s="260"/>
      <c r="G220" s="228">
        <v>8</v>
      </c>
      <c r="H220" s="228"/>
      <c r="I220" s="228"/>
      <c r="J220" s="397">
        <v>10</v>
      </c>
      <c r="K220" s="420">
        <f t="shared" si="22"/>
        <v>10</v>
      </c>
      <c r="L220" s="183"/>
      <c r="M220" s="508">
        <v>1</v>
      </c>
      <c r="N220" s="279">
        <v>0.5</v>
      </c>
      <c r="O220" s="135"/>
      <c r="P220" s="522">
        <f t="shared" si="20"/>
        <v>8</v>
      </c>
      <c r="Q220" s="415">
        <f t="shared" si="21"/>
        <v>0.47250000000000003</v>
      </c>
      <c r="R220" s="415" t="str">
        <f t="shared" si="19"/>
        <v/>
      </c>
      <c r="S220" s="120"/>
      <c r="T220" s="122"/>
      <c r="U220" s="317"/>
      <c r="V220" s="11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</row>
    <row r="221" spans="1:205" s="8" customFormat="1" ht="18.75" customHeight="1" thickBot="1" x14ac:dyDescent="0.25">
      <c r="A221" s="3">
        <v>4418</v>
      </c>
      <c r="B221" s="104">
        <v>2816</v>
      </c>
      <c r="C221" s="3" t="s">
        <v>101</v>
      </c>
      <c r="D221" s="256">
        <v>1</v>
      </c>
      <c r="E221" s="259"/>
      <c r="F221" s="262"/>
      <c r="G221" s="228">
        <v>10</v>
      </c>
      <c r="H221" s="228"/>
      <c r="I221" s="228"/>
      <c r="J221" s="398">
        <v>15</v>
      </c>
      <c r="K221" s="420">
        <f t="shared" si="22"/>
        <v>15</v>
      </c>
      <c r="L221" s="183"/>
      <c r="M221" s="508">
        <v>1</v>
      </c>
      <c r="N221" s="279">
        <v>0.5</v>
      </c>
      <c r="O221" s="135"/>
      <c r="P221" s="522">
        <f t="shared" si="20"/>
        <v>10</v>
      </c>
      <c r="Q221" s="415">
        <f t="shared" si="21"/>
        <v>0.47250000000000003</v>
      </c>
      <c r="R221" s="415" t="str">
        <f t="shared" si="19"/>
        <v/>
      </c>
      <c r="S221" s="120"/>
      <c r="T221" s="122"/>
      <c r="U221" s="317"/>
      <c r="V221" s="11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3"/>
      <c r="EF221" s="3"/>
      <c r="EG221" s="3"/>
      <c r="EH221" s="3"/>
      <c r="EI221" s="3"/>
      <c r="EJ221" s="3"/>
      <c r="EK221" s="3"/>
      <c r="EL221" s="3"/>
      <c r="EM221" s="3"/>
      <c r="EN221" s="3"/>
      <c r="EO221" s="3"/>
      <c r="EP221" s="3"/>
      <c r="EQ221" s="3"/>
      <c r="ER221" s="3"/>
      <c r="ES221" s="3"/>
      <c r="ET221" s="3"/>
      <c r="EU221" s="3"/>
      <c r="EV221" s="3"/>
      <c r="EW221" s="3"/>
      <c r="EX221" s="3"/>
      <c r="EY221" s="3"/>
      <c r="EZ221" s="3"/>
      <c r="FA221" s="3"/>
      <c r="FB221" s="3"/>
      <c r="FC221" s="3"/>
      <c r="FD221" s="3"/>
      <c r="FE221" s="3"/>
      <c r="FF221" s="3"/>
      <c r="FG221" s="3"/>
      <c r="FH221" s="3"/>
      <c r="FI221" s="3"/>
      <c r="FJ221" s="3"/>
      <c r="FK221" s="3"/>
      <c r="FL221" s="3"/>
      <c r="FM221" s="3"/>
      <c r="FN221" s="3"/>
      <c r="FO221" s="3"/>
      <c r="FP221" s="3"/>
      <c r="FQ221" s="3"/>
      <c r="FR221" s="3"/>
      <c r="FS221" s="3"/>
      <c r="FT221" s="3"/>
      <c r="FU221" s="3"/>
      <c r="FV221" s="3"/>
      <c r="FW221" s="3"/>
      <c r="FX221" s="3"/>
      <c r="FY221" s="3"/>
      <c r="FZ221" s="3"/>
      <c r="GA221" s="3"/>
      <c r="GB221" s="3"/>
      <c r="GC221" s="3"/>
      <c r="GD221" s="3"/>
      <c r="GE221" s="3"/>
      <c r="GF221" s="3"/>
      <c r="GG221" s="3"/>
      <c r="GH221" s="3"/>
      <c r="GI221" s="3"/>
      <c r="GJ221" s="3"/>
      <c r="GK221" s="3"/>
      <c r="GL221" s="3"/>
      <c r="GM221" s="3"/>
      <c r="GN221" s="3"/>
      <c r="GO221" s="3"/>
      <c r="GP221" s="3"/>
      <c r="GQ221" s="3"/>
      <c r="GR221" s="3"/>
      <c r="GS221" s="3"/>
      <c r="GT221" s="3"/>
      <c r="GU221" s="3"/>
      <c r="GV221" s="3"/>
      <c r="GW221" s="3"/>
    </row>
    <row r="222" spans="1:205" s="8" customFormat="1" ht="18.75" customHeight="1" thickBot="1" x14ac:dyDescent="0.25">
      <c r="A222" s="3"/>
      <c r="B222" s="104"/>
      <c r="C222" s="3"/>
      <c r="D222" s="256"/>
      <c r="E222" s="259"/>
      <c r="F222" s="262"/>
      <c r="G222" s="228"/>
      <c r="H222" s="228"/>
      <c r="I222" s="228"/>
      <c r="J222" s="398" t="s">
        <v>156</v>
      </c>
      <c r="K222" s="420" t="str">
        <f t="shared" si="22"/>
        <v/>
      </c>
      <c r="L222" s="183"/>
      <c r="M222" s="200"/>
      <c r="N222" s="279"/>
      <c r="O222" s="135"/>
      <c r="P222" s="522" t="str">
        <f t="shared" si="20"/>
        <v/>
      </c>
      <c r="Q222" s="415" t="str">
        <f t="shared" si="21"/>
        <v/>
      </c>
      <c r="R222" s="415" t="str">
        <f t="shared" si="19"/>
        <v/>
      </c>
      <c r="S222" s="120"/>
      <c r="T222" s="122"/>
      <c r="U222" s="317"/>
      <c r="V222" s="11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3"/>
      <c r="EF222" s="3"/>
      <c r="EG222" s="3"/>
      <c r="EH222" s="3"/>
      <c r="EI222" s="3"/>
      <c r="EJ222" s="3"/>
      <c r="EK222" s="3"/>
      <c r="EL222" s="3"/>
      <c r="EM222" s="3"/>
      <c r="EN222" s="3"/>
      <c r="EO222" s="3"/>
      <c r="EP222" s="3"/>
      <c r="EQ222" s="3"/>
      <c r="ER222" s="3"/>
      <c r="ES222" s="3"/>
      <c r="ET222" s="3"/>
      <c r="EU222" s="3"/>
      <c r="EV222" s="3"/>
      <c r="EW222" s="3"/>
      <c r="EX222" s="3"/>
      <c r="EY222" s="3"/>
      <c r="EZ222" s="3"/>
      <c r="FA222" s="3"/>
      <c r="FB222" s="3"/>
      <c r="FC222" s="3"/>
      <c r="FD222" s="3"/>
      <c r="FE222" s="3"/>
      <c r="FF222" s="3"/>
      <c r="FG222" s="3"/>
      <c r="FH222" s="3"/>
      <c r="FI222" s="3"/>
      <c r="FJ222" s="3"/>
      <c r="FK222" s="3"/>
      <c r="FL222" s="3"/>
      <c r="FM222" s="3"/>
      <c r="FN222" s="3"/>
      <c r="FO222" s="3"/>
      <c r="FP222" s="3"/>
      <c r="FQ222" s="3"/>
      <c r="FR222" s="3"/>
      <c r="FS222" s="3"/>
      <c r="FT222" s="3"/>
      <c r="FU222" s="3"/>
      <c r="FV222" s="3"/>
      <c r="FW222" s="3"/>
      <c r="FX222" s="3"/>
      <c r="FY222" s="3"/>
      <c r="FZ222" s="3"/>
      <c r="GA222" s="3"/>
      <c r="GB222" s="3"/>
      <c r="GC222" s="3"/>
      <c r="GD222" s="3"/>
      <c r="GE222" s="3"/>
      <c r="GF222" s="3"/>
      <c r="GG222" s="3"/>
      <c r="GH222" s="3"/>
      <c r="GI222" s="3"/>
      <c r="GJ222" s="3"/>
      <c r="GK222" s="3"/>
      <c r="GL222" s="3"/>
      <c r="GM222" s="3"/>
      <c r="GN222" s="3"/>
      <c r="GO222" s="3"/>
      <c r="GP222" s="3"/>
      <c r="GQ222" s="3"/>
      <c r="GR222" s="3"/>
      <c r="GS222" s="3"/>
      <c r="GT222" s="3"/>
      <c r="GU222" s="3"/>
      <c r="GV222" s="3"/>
      <c r="GW222" s="3"/>
    </row>
    <row r="223" spans="1:205" s="8" customFormat="1" ht="18.75" customHeight="1" thickBot="1" x14ac:dyDescent="0.25">
      <c r="A223" s="3"/>
      <c r="B223" s="104"/>
      <c r="C223" s="12"/>
      <c r="D223" s="256"/>
      <c r="E223" s="259"/>
      <c r="F223" s="262"/>
      <c r="G223" s="228"/>
      <c r="H223" s="228"/>
      <c r="I223" s="228"/>
      <c r="J223" s="398" t="s">
        <v>156</v>
      </c>
      <c r="K223" s="420" t="str">
        <f t="shared" si="22"/>
        <v/>
      </c>
      <c r="L223" s="183"/>
      <c r="M223" s="200"/>
      <c r="N223" s="279"/>
      <c r="O223" s="135"/>
      <c r="P223" s="522" t="str">
        <f t="shared" si="20"/>
        <v/>
      </c>
      <c r="Q223" s="415" t="str">
        <f t="shared" si="21"/>
        <v/>
      </c>
      <c r="R223" s="415" t="str">
        <f t="shared" si="19"/>
        <v/>
      </c>
      <c r="S223" s="120"/>
      <c r="T223" s="122"/>
      <c r="U223" s="317"/>
      <c r="V223" s="11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3"/>
      <c r="EF223" s="3"/>
      <c r="EG223" s="3"/>
      <c r="EH223" s="3"/>
      <c r="EI223" s="3"/>
      <c r="EJ223" s="3"/>
      <c r="EK223" s="3"/>
      <c r="EL223" s="3"/>
      <c r="EM223" s="3"/>
      <c r="EN223" s="3"/>
      <c r="EO223" s="3"/>
      <c r="EP223" s="3"/>
      <c r="EQ223" s="3"/>
      <c r="ER223" s="3"/>
      <c r="ES223" s="3"/>
      <c r="ET223" s="3"/>
      <c r="EU223" s="3"/>
      <c r="EV223" s="3"/>
      <c r="EW223" s="3"/>
      <c r="EX223" s="3"/>
      <c r="EY223" s="3"/>
      <c r="EZ223" s="3"/>
      <c r="FA223" s="3"/>
      <c r="FB223" s="3"/>
      <c r="FC223" s="3"/>
      <c r="FD223" s="3"/>
      <c r="FE223" s="3"/>
      <c r="FF223" s="3"/>
      <c r="FG223" s="3"/>
      <c r="FH223" s="3"/>
      <c r="FI223" s="3"/>
      <c r="FJ223" s="3"/>
      <c r="FK223" s="3"/>
      <c r="FL223" s="3"/>
      <c r="FM223" s="3"/>
      <c r="FN223" s="3"/>
      <c r="FO223" s="3"/>
      <c r="FP223" s="3"/>
      <c r="FQ223" s="3"/>
      <c r="FR223" s="3"/>
      <c r="FS223" s="3"/>
      <c r="FT223" s="3"/>
      <c r="FU223" s="3"/>
      <c r="FV223" s="3"/>
      <c r="FW223" s="3"/>
      <c r="FX223" s="3"/>
      <c r="FY223" s="3"/>
      <c r="FZ223" s="3"/>
      <c r="GA223" s="3"/>
      <c r="GB223" s="3"/>
      <c r="GC223" s="3"/>
      <c r="GD223" s="3"/>
      <c r="GE223" s="3"/>
      <c r="GF223" s="3"/>
      <c r="GG223" s="3"/>
      <c r="GH223" s="3"/>
      <c r="GI223" s="3"/>
      <c r="GJ223" s="3"/>
      <c r="GK223" s="3"/>
      <c r="GL223" s="3"/>
      <c r="GM223" s="3"/>
      <c r="GN223" s="3"/>
      <c r="GO223" s="3"/>
      <c r="GP223" s="3"/>
      <c r="GQ223" s="3"/>
      <c r="GR223" s="3"/>
      <c r="GS223" s="3"/>
      <c r="GT223" s="3"/>
      <c r="GU223" s="3"/>
      <c r="GV223" s="3"/>
      <c r="GW223" s="3"/>
    </row>
    <row r="224" spans="1:205" s="8" customFormat="1" ht="20.25" hidden="1" customHeight="1" thickBot="1" x14ac:dyDescent="0.25">
      <c r="A224" s="515"/>
      <c r="B224" s="182"/>
      <c r="C224" s="313" t="s">
        <v>21</v>
      </c>
      <c r="D224" s="516"/>
      <c r="E224" s="263"/>
      <c r="F224" s="264"/>
      <c r="G224" s="228"/>
      <c r="H224" s="228"/>
      <c r="I224" s="228"/>
      <c r="J224" s="288" t="s">
        <v>156</v>
      </c>
      <c r="K224" s="420" t="str">
        <f t="shared" si="22"/>
        <v/>
      </c>
      <c r="L224" s="289"/>
      <c r="M224" s="290"/>
      <c r="N224" s="279"/>
      <c r="O224" s="315"/>
      <c r="P224" s="522" t="str">
        <f t="shared" si="20"/>
        <v/>
      </c>
      <c r="Q224" s="415" t="str">
        <f t="shared" si="21"/>
        <v/>
      </c>
      <c r="R224" s="415" t="str">
        <f t="shared" si="19"/>
        <v/>
      </c>
      <c r="S224" s="291"/>
      <c r="T224" s="316"/>
      <c r="U224" s="292"/>
      <c r="V224" s="11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3"/>
      <c r="EF224" s="3"/>
      <c r="EG224" s="3"/>
      <c r="EH224" s="3"/>
      <c r="EI224" s="3"/>
      <c r="EJ224" s="3"/>
      <c r="EK224" s="3"/>
      <c r="EL224" s="3"/>
      <c r="EM224" s="3"/>
      <c r="EN224" s="3"/>
      <c r="EO224" s="3"/>
      <c r="EP224" s="3"/>
      <c r="EQ224" s="3"/>
      <c r="ER224" s="3"/>
      <c r="ES224" s="3"/>
      <c r="ET224" s="3"/>
      <c r="EU224" s="3"/>
      <c r="EV224" s="3"/>
      <c r="EW224" s="3"/>
      <c r="EX224" s="3"/>
      <c r="EY224" s="3"/>
      <c r="EZ224" s="3"/>
      <c r="FA224" s="3"/>
      <c r="FB224" s="3"/>
      <c r="FC224" s="3"/>
      <c r="FD224" s="3"/>
      <c r="FE224" s="3"/>
      <c r="FF224" s="3"/>
      <c r="FG224" s="3"/>
      <c r="FH224" s="3"/>
      <c r="FI224" s="3"/>
      <c r="FJ224" s="3"/>
      <c r="FK224" s="3"/>
      <c r="FL224" s="3"/>
      <c r="FM224" s="3"/>
      <c r="FN224" s="3"/>
      <c r="FO224" s="3"/>
      <c r="FP224" s="3"/>
      <c r="FQ224" s="3"/>
      <c r="FR224" s="3"/>
      <c r="FS224" s="3"/>
      <c r="FT224" s="3"/>
      <c r="FU224" s="3"/>
      <c r="FV224" s="3"/>
      <c r="FW224" s="3"/>
      <c r="FX224" s="3"/>
      <c r="FY224" s="3"/>
      <c r="FZ224" s="3"/>
      <c r="GA224" s="3"/>
      <c r="GB224" s="3"/>
      <c r="GC224" s="3"/>
      <c r="GD224" s="3"/>
      <c r="GE224" s="3"/>
      <c r="GF224" s="3"/>
      <c r="GG224" s="3"/>
      <c r="GH224" s="3"/>
      <c r="GI224" s="3"/>
      <c r="GJ224" s="3"/>
      <c r="GK224" s="3"/>
      <c r="GL224" s="3"/>
      <c r="GM224" s="3"/>
      <c r="GN224" s="3"/>
      <c r="GO224" s="3"/>
      <c r="GP224" s="3"/>
      <c r="GQ224" s="3"/>
      <c r="GR224" s="3"/>
      <c r="GS224" s="3"/>
      <c r="GT224" s="3"/>
      <c r="GU224" s="3"/>
      <c r="GV224" s="3"/>
      <c r="GW224" s="3"/>
    </row>
    <row r="225" spans="1:205" s="8" customFormat="1" ht="20.25" hidden="1" customHeight="1" x14ac:dyDescent="0.2">
      <c r="A225" s="3">
        <v>1</v>
      </c>
      <c r="B225" s="104"/>
      <c r="C225" s="12"/>
      <c r="D225" s="256">
        <v>1</v>
      </c>
      <c r="E225" s="265"/>
      <c r="F225" s="266"/>
      <c r="G225" s="228"/>
      <c r="H225" s="228"/>
      <c r="I225" s="228"/>
      <c r="J225" s="350" t="s">
        <v>156</v>
      </c>
      <c r="K225" s="420" t="str">
        <f t="shared" si="22"/>
        <v/>
      </c>
      <c r="L225" s="94"/>
      <c r="M225" s="511"/>
      <c r="N225" s="279"/>
      <c r="O225" s="170"/>
      <c r="P225" s="522" t="str">
        <f t="shared" si="20"/>
        <v/>
      </c>
      <c r="Q225" s="415" t="str">
        <f t="shared" si="21"/>
        <v/>
      </c>
      <c r="R225" s="415" t="str">
        <f t="shared" si="19"/>
        <v/>
      </c>
      <c r="S225" s="120"/>
      <c r="T225" s="122"/>
      <c r="U225" s="122"/>
      <c r="V225" s="11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</row>
    <row r="226" spans="1:205" s="8" customFormat="1" ht="20.25" hidden="1" customHeight="1" x14ac:dyDescent="0.2">
      <c r="A226" s="3">
        <v>1</v>
      </c>
      <c r="B226" s="104"/>
      <c r="C226" s="12"/>
      <c r="D226" s="256">
        <v>1</v>
      </c>
      <c r="E226" s="265"/>
      <c r="F226" s="266"/>
      <c r="G226" s="228"/>
      <c r="H226" s="228"/>
      <c r="I226" s="228"/>
      <c r="J226" s="350" t="s">
        <v>156</v>
      </c>
      <c r="K226" s="420" t="str">
        <f t="shared" si="22"/>
        <v/>
      </c>
      <c r="L226" s="94"/>
      <c r="M226" s="511"/>
      <c r="N226" s="279"/>
      <c r="O226" s="170"/>
      <c r="P226" s="522" t="str">
        <f t="shared" si="20"/>
        <v/>
      </c>
      <c r="Q226" s="415" t="str">
        <f t="shared" si="21"/>
        <v/>
      </c>
      <c r="R226" s="415" t="str">
        <f t="shared" si="19"/>
        <v/>
      </c>
      <c r="S226" s="120"/>
      <c r="T226" s="122"/>
      <c r="U226" s="122"/>
      <c r="V226" s="11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3"/>
      <c r="EF226" s="3"/>
      <c r="EG226" s="3"/>
      <c r="EH226" s="3"/>
      <c r="EI226" s="3"/>
      <c r="EJ226" s="3"/>
      <c r="EK226" s="3"/>
      <c r="EL226" s="3"/>
      <c r="EM226" s="3"/>
      <c r="EN226" s="3"/>
      <c r="EO226" s="3"/>
      <c r="EP226" s="3"/>
      <c r="EQ226" s="3"/>
      <c r="ER226" s="3"/>
      <c r="ES226" s="3"/>
      <c r="ET226" s="3"/>
      <c r="EU226" s="3"/>
      <c r="EV226" s="3"/>
      <c r="EW226" s="3"/>
      <c r="EX226" s="3"/>
      <c r="EY226" s="3"/>
      <c r="EZ226" s="3"/>
      <c r="FA226" s="3"/>
      <c r="FB226" s="3"/>
      <c r="FC226" s="3"/>
      <c r="FD226" s="3"/>
      <c r="FE226" s="3"/>
      <c r="FF226" s="3"/>
      <c r="FG226" s="3"/>
      <c r="FH226" s="3"/>
      <c r="FI226" s="3"/>
      <c r="FJ226" s="3"/>
      <c r="FK226" s="3"/>
      <c r="FL226" s="3"/>
      <c r="FM226" s="3"/>
      <c r="FN226" s="3"/>
      <c r="FO226" s="3"/>
      <c r="FP226" s="3"/>
      <c r="FQ226" s="3"/>
      <c r="FR226" s="3"/>
      <c r="FS226" s="3"/>
      <c r="FT226" s="3"/>
      <c r="FU226" s="3"/>
      <c r="FV226" s="3"/>
      <c r="FW226" s="3"/>
      <c r="FX226" s="3"/>
      <c r="FY226" s="3"/>
      <c r="FZ226" s="3"/>
      <c r="GA226" s="3"/>
      <c r="GB226" s="3"/>
      <c r="GC226" s="3"/>
      <c r="GD226" s="3"/>
      <c r="GE226" s="3"/>
      <c r="GF226" s="3"/>
      <c r="GG226" s="3"/>
      <c r="GH226" s="3"/>
      <c r="GI226" s="3"/>
      <c r="GJ226" s="3"/>
      <c r="GK226" s="3"/>
      <c r="GL226" s="3"/>
      <c r="GM226" s="3"/>
      <c r="GN226" s="3"/>
      <c r="GO226" s="3"/>
      <c r="GP226" s="3"/>
      <c r="GQ226" s="3"/>
      <c r="GR226" s="3"/>
      <c r="GS226" s="3"/>
      <c r="GT226" s="3"/>
      <c r="GU226" s="3"/>
      <c r="GV226" s="3"/>
      <c r="GW226" s="3"/>
    </row>
    <row r="227" spans="1:205" s="8" customFormat="1" ht="20.25" hidden="1" customHeight="1" x14ac:dyDescent="0.2">
      <c r="A227" s="3">
        <v>1</v>
      </c>
      <c r="B227" s="104"/>
      <c r="C227" s="3"/>
      <c r="D227" s="256">
        <v>1</v>
      </c>
      <c r="G227" s="228"/>
      <c r="H227" s="228"/>
      <c r="I227" s="228"/>
      <c r="J227" s="399" t="s">
        <v>156</v>
      </c>
      <c r="K227" s="420" t="str">
        <f t="shared" si="22"/>
        <v/>
      </c>
      <c r="L227" s="183"/>
      <c r="M227" s="511"/>
      <c r="N227" s="279"/>
      <c r="O227" s="170"/>
      <c r="P227" s="522" t="str">
        <f t="shared" si="20"/>
        <v/>
      </c>
      <c r="Q227" s="415" t="str">
        <f t="shared" si="21"/>
        <v/>
      </c>
      <c r="R227" s="415" t="str">
        <f t="shared" si="19"/>
        <v/>
      </c>
      <c r="S227" s="70"/>
      <c r="T227" s="122"/>
      <c r="U227" s="122"/>
      <c r="V227" s="11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3"/>
      <c r="EF227" s="3"/>
      <c r="EG227" s="3"/>
      <c r="EH227" s="3"/>
      <c r="EI227" s="3"/>
      <c r="EJ227" s="3"/>
      <c r="EK227" s="3"/>
      <c r="EL227" s="3"/>
      <c r="EM227" s="3"/>
      <c r="EN227" s="3"/>
      <c r="EO227" s="3"/>
      <c r="EP227" s="3"/>
      <c r="EQ227" s="3"/>
      <c r="ER227" s="3"/>
      <c r="ES227" s="3"/>
      <c r="ET227" s="3"/>
      <c r="EU227" s="3"/>
      <c r="EV227" s="3"/>
      <c r="EW227" s="3"/>
      <c r="EX227" s="3"/>
      <c r="EY227" s="3"/>
      <c r="EZ227" s="3"/>
      <c r="FA227" s="3"/>
      <c r="FB227" s="3"/>
      <c r="FC227" s="3"/>
      <c r="FD227" s="3"/>
      <c r="FE227" s="3"/>
      <c r="FF227" s="3"/>
      <c r="FG227" s="3"/>
      <c r="FH227" s="3"/>
      <c r="FI227" s="3"/>
      <c r="FJ227" s="3"/>
      <c r="FK227" s="3"/>
      <c r="FL227" s="3"/>
      <c r="FM227" s="3"/>
      <c r="FN227" s="3"/>
      <c r="FO227" s="3"/>
      <c r="FP227" s="3"/>
      <c r="FQ227" s="3"/>
      <c r="FR227" s="3"/>
      <c r="FS227" s="3"/>
      <c r="FT227" s="3"/>
      <c r="FU227" s="3"/>
      <c r="FV227" s="3"/>
      <c r="FW227" s="3"/>
      <c r="FX227" s="3"/>
      <c r="FY227" s="3"/>
      <c r="FZ227" s="3"/>
      <c r="GA227" s="3"/>
      <c r="GB227" s="3"/>
      <c r="GC227" s="3"/>
      <c r="GD227" s="3"/>
      <c r="GE227" s="3"/>
      <c r="GF227" s="3"/>
      <c r="GG227" s="3"/>
      <c r="GH227" s="3"/>
      <c r="GI227" s="3"/>
      <c r="GJ227" s="3"/>
      <c r="GK227" s="3"/>
      <c r="GL227" s="3"/>
      <c r="GM227" s="3"/>
      <c r="GN227" s="3"/>
      <c r="GO227" s="3"/>
      <c r="GP227" s="3"/>
      <c r="GQ227" s="3"/>
      <c r="GR227" s="3"/>
      <c r="GS227" s="3"/>
      <c r="GT227" s="3"/>
      <c r="GU227" s="3"/>
      <c r="GV227" s="3"/>
      <c r="GW227" s="3"/>
    </row>
    <row r="228" spans="1:205" s="8" customFormat="1" ht="20.25" hidden="1" customHeight="1" thickBot="1" x14ac:dyDescent="0.25">
      <c r="A228" s="3">
        <v>1</v>
      </c>
      <c r="B228" s="104"/>
      <c r="C228" s="12"/>
      <c r="D228" s="256">
        <v>1</v>
      </c>
      <c r="E228" s="259"/>
      <c r="F228" s="266"/>
      <c r="G228" s="228"/>
      <c r="H228" s="228"/>
      <c r="I228" s="228"/>
      <c r="J228" s="350" t="s">
        <v>156</v>
      </c>
      <c r="K228" s="420" t="str">
        <f t="shared" si="22"/>
        <v/>
      </c>
      <c r="L228" s="128"/>
      <c r="M228" s="517"/>
      <c r="N228" s="279"/>
      <c r="O228" s="170"/>
      <c r="P228" s="522" t="str">
        <f t="shared" si="20"/>
        <v/>
      </c>
      <c r="Q228" s="415" t="str">
        <f t="shared" si="21"/>
        <v/>
      </c>
      <c r="R228" s="415" t="str">
        <f t="shared" si="19"/>
        <v/>
      </c>
      <c r="S228" s="120"/>
      <c r="T228" s="122"/>
      <c r="U228" s="122"/>
      <c r="V228" s="11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</row>
    <row r="229" spans="1:205" s="269" customFormat="1" ht="20.25" hidden="1" customHeight="1" thickBot="1" x14ac:dyDescent="0.25">
      <c r="A229" s="3">
        <v>1</v>
      </c>
      <c r="B229" s="340"/>
      <c r="C229" s="172"/>
      <c r="D229" s="256">
        <v>1</v>
      </c>
      <c r="E229" s="259"/>
      <c r="F229" s="268"/>
      <c r="G229" s="228"/>
      <c r="H229" s="228"/>
      <c r="I229" s="228"/>
      <c r="J229" s="400" t="s">
        <v>156</v>
      </c>
      <c r="K229" s="420" t="str">
        <f t="shared" si="22"/>
        <v/>
      </c>
      <c r="L229" s="293"/>
      <c r="M229" s="508"/>
      <c r="N229" s="279"/>
      <c r="O229" s="170"/>
      <c r="P229" s="522" t="str">
        <f t="shared" si="20"/>
        <v/>
      </c>
      <c r="Q229" s="415" t="str">
        <f t="shared" si="21"/>
        <v/>
      </c>
      <c r="R229" s="415" t="str">
        <f t="shared" si="19"/>
        <v/>
      </c>
      <c r="S229" s="120"/>
      <c r="T229" s="122"/>
      <c r="U229" s="294"/>
      <c r="V229" s="11"/>
      <c r="W229" s="153"/>
      <c r="X229" s="153"/>
      <c r="Y229" s="153"/>
      <c r="Z229" s="153"/>
      <c r="AA229" s="153"/>
      <c r="AB229" s="153"/>
      <c r="AC229" s="153"/>
      <c r="AD229" s="153"/>
      <c r="AE229" s="153"/>
      <c r="AF229" s="153"/>
      <c r="AG229" s="153"/>
      <c r="AH229" s="153"/>
      <c r="AI229" s="153"/>
      <c r="AJ229" s="153"/>
      <c r="AK229" s="153"/>
      <c r="AL229" s="153"/>
      <c r="AM229" s="153"/>
      <c r="AN229" s="153"/>
      <c r="AO229" s="153"/>
      <c r="AP229" s="153"/>
      <c r="AQ229" s="153"/>
      <c r="AR229" s="153"/>
      <c r="AS229" s="153"/>
      <c r="AT229" s="153"/>
      <c r="AU229" s="153"/>
      <c r="AV229" s="153"/>
      <c r="AW229" s="153"/>
      <c r="AX229" s="153"/>
      <c r="AY229" s="153"/>
      <c r="AZ229" s="153"/>
      <c r="BA229" s="153"/>
      <c r="BB229" s="153"/>
      <c r="BC229" s="153"/>
      <c r="BD229" s="153"/>
      <c r="BE229" s="153"/>
      <c r="BF229" s="153"/>
      <c r="BG229" s="153"/>
      <c r="BH229" s="153"/>
      <c r="BI229" s="153"/>
      <c r="BJ229" s="153"/>
      <c r="BK229" s="153"/>
      <c r="BL229" s="153"/>
      <c r="BM229" s="153"/>
      <c r="BN229" s="153"/>
      <c r="BO229" s="153"/>
      <c r="BP229" s="153"/>
      <c r="BQ229" s="153"/>
      <c r="BR229" s="153"/>
      <c r="BS229" s="153"/>
      <c r="BT229" s="153"/>
      <c r="BU229" s="153"/>
      <c r="BV229" s="153"/>
      <c r="BW229" s="153"/>
      <c r="BX229" s="153"/>
      <c r="BY229" s="153"/>
      <c r="BZ229" s="153"/>
      <c r="CA229" s="153"/>
      <c r="CB229" s="153"/>
      <c r="CC229" s="153"/>
      <c r="CD229" s="153"/>
      <c r="CE229" s="153"/>
      <c r="CF229" s="153"/>
      <c r="CG229" s="153"/>
      <c r="CH229" s="153"/>
      <c r="CI229" s="153"/>
      <c r="CJ229" s="153"/>
      <c r="CK229" s="153"/>
      <c r="CL229" s="153"/>
      <c r="CM229" s="153"/>
      <c r="CN229" s="153"/>
      <c r="CO229" s="153"/>
      <c r="CP229" s="153"/>
      <c r="CQ229" s="153"/>
      <c r="CR229" s="153"/>
      <c r="CS229" s="153"/>
      <c r="CT229" s="153"/>
      <c r="CU229" s="153"/>
      <c r="CV229" s="153"/>
      <c r="CW229" s="153"/>
      <c r="CX229" s="153"/>
      <c r="CY229" s="153"/>
      <c r="CZ229" s="153"/>
      <c r="DA229" s="153"/>
      <c r="DB229" s="153"/>
      <c r="DC229" s="153"/>
      <c r="DD229" s="153"/>
      <c r="DE229" s="153"/>
      <c r="DF229" s="153"/>
      <c r="DG229" s="153"/>
      <c r="DH229" s="153"/>
      <c r="DI229" s="153"/>
      <c r="DJ229" s="153"/>
      <c r="DK229" s="153"/>
      <c r="DL229" s="153"/>
      <c r="DM229" s="153"/>
      <c r="DN229" s="153"/>
      <c r="DO229" s="153"/>
      <c r="DP229" s="153"/>
      <c r="DQ229" s="153"/>
      <c r="DR229" s="153"/>
      <c r="DS229" s="153"/>
      <c r="DT229" s="153"/>
      <c r="DU229" s="153"/>
      <c r="DV229" s="153"/>
      <c r="DW229" s="153"/>
      <c r="DX229" s="153"/>
      <c r="DY229" s="153"/>
      <c r="DZ229" s="153"/>
      <c r="EA229" s="153"/>
      <c r="EB229" s="153"/>
      <c r="EC229" s="153"/>
      <c r="ED229" s="153"/>
      <c r="EE229" s="153"/>
      <c r="EF229" s="153"/>
      <c r="EG229" s="153"/>
      <c r="EH229" s="153"/>
      <c r="EI229" s="153"/>
      <c r="EJ229" s="153"/>
      <c r="EK229" s="153"/>
      <c r="EL229" s="153"/>
      <c r="EM229" s="153"/>
      <c r="EN229" s="153"/>
      <c r="EO229" s="153"/>
      <c r="EP229" s="153"/>
      <c r="EQ229" s="153"/>
      <c r="ER229" s="153"/>
      <c r="ES229" s="153"/>
      <c r="ET229" s="153"/>
      <c r="EU229" s="153"/>
      <c r="EV229" s="153"/>
      <c r="EW229" s="153"/>
      <c r="EX229" s="153"/>
      <c r="EY229" s="153"/>
      <c r="EZ229" s="153"/>
      <c r="FA229" s="153"/>
      <c r="FB229" s="153"/>
      <c r="FC229" s="153"/>
      <c r="FD229" s="153"/>
      <c r="FE229" s="153"/>
      <c r="FF229" s="153"/>
      <c r="FG229" s="153"/>
      <c r="FH229" s="153"/>
      <c r="FI229" s="153"/>
      <c r="FJ229" s="153"/>
      <c r="FK229" s="153"/>
      <c r="FL229" s="153"/>
      <c r="FM229" s="153"/>
      <c r="FN229" s="153"/>
      <c r="FO229" s="153"/>
      <c r="FP229" s="153"/>
      <c r="FQ229" s="153"/>
      <c r="FR229" s="153"/>
      <c r="FS229" s="153"/>
      <c r="FT229" s="153"/>
      <c r="FU229" s="153"/>
      <c r="FV229" s="153"/>
      <c r="FW229" s="153"/>
      <c r="FX229" s="153"/>
      <c r="FY229" s="153"/>
      <c r="FZ229" s="153"/>
      <c r="GA229" s="153"/>
      <c r="GB229" s="153"/>
      <c r="GC229" s="153"/>
      <c r="GD229" s="153"/>
      <c r="GE229" s="153"/>
      <c r="GF229" s="153"/>
      <c r="GG229" s="153"/>
      <c r="GH229" s="153"/>
      <c r="GI229" s="153"/>
      <c r="GJ229" s="153"/>
      <c r="GK229" s="153"/>
      <c r="GL229" s="153"/>
      <c r="GM229" s="153"/>
      <c r="GN229" s="153"/>
      <c r="GO229" s="153"/>
      <c r="GP229" s="153"/>
      <c r="GQ229" s="153"/>
      <c r="GR229" s="153"/>
      <c r="GS229" s="153"/>
      <c r="GT229" s="153"/>
      <c r="GU229" s="153"/>
      <c r="GV229" s="153"/>
      <c r="GW229" s="153"/>
    </row>
    <row r="230" spans="1:205" s="269" customFormat="1" ht="21.75" hidden="1" customHeight="1" thickBot="1" x14ac:dyDescent="0.25">
      <c r="A230" s="3">
        <v>1</v>
      </c>
      <c r="B230" s="340"/>
      <c r="C230" s="172"/>
      <c r="D230" s="256">
        <v>1</v>
      </c>
      <c r="E230" s="259"/>
      <c r="F230" s="268"/>
      <c r="G230" s="228"/>
      <c r="H230" s="228"/>
      <c r="I230" s="228"/>
      <c r="J230" s="400" t="s">
        <v>156</v>
      </c>
      <c r="K230" s="420" t="str">
        <f t="shared" si="22"/>
        <v/>
      </c>
      <c r="L230" s="293"/>
      <c r="M230" s="508"/>
      <c r="N230" s="279"/>
      <c r="O230" s="170"/>
      <c r="P230" s="522" t="str">
        <f t="shared" si="20"/>
        <v/>
      </c>
      <c r="Q230" s="415" t="str">
        <f t="shared" si="21"/>
        <v/>
      </c>
      <c r="R230" s="415" t="str">
        <f t="shared" si="19"/>
        <v/>
      </c>
      <c r="S230" s="120"/>
      <c r="T230" s="122"/>
      <c r="U230" s="294"/>
      <c r="V230" s="11"/>
      <c r="W230" s="153"/>
      <c r="X230" s="153"/>
      <c r="Y230" s="153"/>
      <c r="Z230" s="153"/>
      <c r="AA230" s="153"/>
      <c r="AB230" s="153"/>
      <c r="AC230" s="153"/>
      <c r="AD230" s="153"/>
      <c r="AE230" s="153"/>
      <c r="AF230" s="153"/>
      <c r="AG230" s="153"/>
      <c r="AH230" s="153"/>
      <c r="AI230" s="153"/>
      <c r="AJ230" s="153"/>
      <c r="AK230" s="153"/>
      <c r="AL230" s="153"/>
      <c r="AM230" s="153"/>
      <c r="AN230" s="153"/>
      <c r="AO230" s="153"/>
      <c r="AP230" s="153"/>
      <c r="AQ230" s="153"/>
      <c r="AR230" s="153"/>
      <c r="AS230" s="153"/>
      <c r="AT230" s="153"/>
      <c r="AU230" s="153"/>
      <c r="AV230" s="153"/>
      <c r="AW230" s="153"/>
      <c r="AX230" s="153"/>
      <c r="AY230" s="153"/>
      <c r="AZ230" s="153"/>
      <c r="BA230" s="153"/>
      <c r="BB230" s="153"/>
      <c r="BC230" s="153"/>
      <c r="BD230" s="153"/>
      <c r="BE230" s="153"/>
      <c r="BF230" s="153"/>
      <c r="BG230" s="153"/>
      <c r="BH230" s="153"/>
      <c r="BI230" s="153"/>
      <c r="BJ230" s="153"/>
      <c r="BK230" s="153"/>
      <c r="BL230" s="153"/>
      <c r="BM230" s="153"/>
      <c r="BN230" s="153"/>
      <c r="BO230" s="153"/>
      <c r="BP230" s="153"/>
      <c r="BQ230" s="153"/>
      <c r="BR230" s="153"/>
      <c r="BS230" s="153"/>
      <c r="BT230" s="153"/>
      <c r="BU230" s="153"/>
      <c r="BV230" s="153"/>
      <c r="BW230" s="153"/>
      <c r="BX230" s="153"/>
      <c r="BY230" s="153"/>
      <c r="BZ230" s="153"/>
      <c r="CA230" s="153"/>
      <c r="CB230" s="153"/>
      <c r="CC230" s="153"/>
      <c r="CD230" s="153"/>
      <c r="CE230" s="153"/>
      <c r="CF230" s="153"/>
      <c r="CG230" s="153"/>
      <c r="CH230" s="153"/>
      <c r="CI230" s="153"/>
      <c r="CJ230" s="153"/>
      <c r="CK230" s="153"/>
      <c r="CL230" s="153"/>
      <c r="CM230" s="153"/>
      <c r="CN230" s="153"/>
      <c r="CO230" s="153"/>
      <c r="CP230" s="153"/>
      <c r="CQ230" s="153"/>
      <c r="CR230" s="153"/>
      <c r="CS230" s="153"/>
      <c r="CT230" s="153"/>
      <c r="CU230" s="153"/>
      <c r="CV230" s="153"/>
      <c r="CW230" s="153"/>
      <c r="CX230" s="153"/>
      <c r="CY230" s="153"/>
      <c r="CZ230" s="153"/>
      <c r="DA230" s="153"/>
      <c r="DB230" s="153"/>
      <c r="DC230" s="153"/>
      <c r="DD230" s="153"/>
      <c r="DE230" s="153"/>
      <c r="DF230" s="153"/>
      <c r="DG230" s="153"/>
      <c r="DH230" s="153"/>
      <c r="DI230" s="153"/>
      <c r="DJ230" s="153"/>
      <c r="DK230" s="153"/>
      <c r="DL230" s="153"/>
      <c r="DM230" s="153"/>
      <c r="DN230" s="153"/>
      <c r="DO230" s="153"/>
      <c r="DP230" s="153"/>
      <c r="DQ230" s="153"/>
      <c r="DR230" s="153"/>
      <c r="DS230" s="153"/>
      <c r="DT230" s="153"/>
      <c r="DU230" s="153"/>
      <c r="DV230" s="153"/>
      <c r="DW230" s="153"/>
      <c r="DX230" s="153"/>
      <c r="DY230" s="153"/>
      <c r="DZ230" s="153"/>
      <c r="EA230" s="153"/>
      <c r="EB230" s="153"/>
      <c r="EC230" s="153"/>
      <c r="ED230" s="153"/>
      <c r="EE230" s="153"/>
      <c r="EF230" s="153"/>
      <c r="EG230" s="153"/>
      <c r="EH230" s="153"/>
      <c r="EI230" s="153"/>
      <c r="EJ230" s="153"/>
      <c r="EK230" s="153"/>
      <c r="EL230" s="153"/>
      <c r="EM230" s="153"/>
      <c r="EN230" s="153"/>
      <c r="EO230" s="153"/>
      <c r="EP230" s="153"/>
      <c r="EQ230" s="153"/>
      <c r="ER230" s="153"/>
      <c r="ES230" s="153"/>
      <c r="ET230" s="153"/>
      <c r="EU230" s="153"/>
      <c r="EV230" s="153"/>
      <c r="EW230" s="153"/>
      <c r="EX230" s="153"/>
      <c r="EY230" s="153"/>
      <c r="EZ230" s="153"/>
      <c r="FA230" s="153"/>
      <c r="FB230" s="153"/>
      <c r="FC230" s="153"/>
      <c r="FD230" s="153"/>
      <c r="FE230" s="153"/>
      <c r="FF230" s="153"/>
      <c r="FG230" s="153"/>
      <c r="FH230" s="153"/>
      <c r="FI230" s="153"/>
      <c r="FJ230" s="153"/>
      <c r="FK230" s="153"/>
      <c r="FL230" s="153"/>
      <c r="FM230" s="153"/>
      <c r="FN230" s="153"/>
      <c r="FO230" s="153"/>
      <c r="FP230" s="153"/>
      <c r="FQ230" s="153"/>
      <c r="FR230" s="153"/>
      <c r="FS230" s="153"/>
      <c r="FT230" s="153"/>
      <c r="FU230" s="153"/>
      <c r="FV230" s="153"/>
      <c r="FW230" s="153"/>
      <c r="FX230" s="153"/>
      <c r="FY230" s="153"/>
      <c r="FZ230" s="153"/>
      <c r="GA230" s="153"/>
      <c r="GB230" s="153"/>
      <c r="GC230" s="153"/>
      <c r="GD230" s="153"/>
      <c r="GE230" s="153"/>
      <c r="GF230" s="153"/>
      <c r="GG230" s="153"/>
      <c r="GH230" s="153"/>
      <c r="GI230" s="153"/>
      <c r="GJ230" s="153"/>
      <c r="GK230" s="153"/>
      <c r="GL230" s="153"/>
      <c r="GM230" s="153"/>
      <c r="GN230" s="153"/>
      <c r="GO230" s="153"/>
      <c r="GP230" s="153"/>
      <c r="GQ230" s="153"/>
      <c r="GR230" s="153"/>
      <c r="GS230" s="153"/>
      <c r="GT230" s="153"/>
      <c r="GU230" s="153"/>
      <c r="GV230" s="153"/>
      <c r="GW230" s="153"/>
    </row>
    <row r="231" spans="1:205" s="8" customFormat="1" ht="20.25" hidden="1" customHeight="1" x14ac:dyDescent="0.2">
      <c r="A231" s="3">
        <v>1</v>
      </c>
      <c r="B231" s="104"/>
      <c r="C231" s="12"/>
      <c r="D231" s="256">
        <v>1</v>
      </c>
      <c r="E231" s="259"/>
      <c r="F231" s="270"/>
      <c r="G231" s="228"/>
      <c r="H231" s="228"/>
      <c r="I231" s="228"/>
      <c r="J231" s="350" t="s">
        <v>156</v>
      </c>
      <c r="K231" s="420" t="str">
        <f t="shared" si="22"/>
        <v/>
      </c>
      <c r="L231" s="94"/>
      <c r="M231" s="517"/>
      <c r="N231" s="279"/>
      <c r="O231" s="170"/>
      <c r="P231" s="522" t="str">
        <f t="shared" si="20"/>
        <v/>
      </c>
      <c r="Q231" s="415" t="str">
        <f t="shared" si="21"/>
        <v/>
      </c>
      <c r="R231" s="415" t="str">
        <f t="shared" si="19"/>
        <v/>
      </c>
      <c r="S231" s="120"/>
      <c r="T231" s="122"/>
      <c r="U231" s="122"/>
      <c r="V231" s="11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</row>
    <row r="232" spans="1:205" s="8" customFormat="1" ht="20.25" hidden="1" customHeight="1" x14ac:dyDescent="0.2">
      <c r="A232" s="3">
        <v>1</v>
      </c>
      <c r="B232" s="104"/>
      <c r="C232" s="12"/>
      <c r="D232" s="256">
        <v>1</v>
      </c>
      <c r="E232" s="259"/>
      <c r="F232" s="270"/>
      <c r="G232" s="228"/>
      <c r="H232" s="228"/>
      <c r="I232" s="228"/>
      <c r="J232" s="350" t="s">
        <v>156</v>
      </c>
      <c r="K232" s="420" t="str">
        <f t="shared" si="22"/>
        <v/>
      </c>
      <c r="L232" s="94"/>
      <c r="M232" s="517"/>
      <c r="N232" s="279"/>
      <c r="O232" s="170"/>
      <c r="P232" s="522" t="str">
        <f t="shared" si="20"/>
        <v/>
      </c>
      <c r="Q232" s="415" t="str">
        <f t="shared" si="21"/>
        <v/>
      </c>
      <c r="R232" s="415" t="str">
        <f t="shared" si="19"/>
        <v/>
      </c>
      <c r="S232" s="120"/>
      <c r="T232" s="122"/>
      <c r="U232" s="122"/>
      <c r="V232" s="11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3"/>
      <c r="EF232" s="3"/>
      <c r="EG232" s="3"/>
      <c r="EH232" s="3"/>
      <c r="EI232" s="3"/>
      <c r="EJ232" s="3"/>
      <c r="EK232" s="3"/>
      <c r="EL232" s="3"/>
      <c r="EM232" s="3"/>
      <c r="EN232" s="3"/>
      <c r="EO232" s="3"/>
      <c r="EP232" s="3"/>
      <c r="EQ232" s="3"/>
      <c r="ER232" s="3"/>
      <c r="ES232" s="3"/>
      <c r="ET232" s="3"/>
      <c r="EU232" s="3"/>
      <c r="EV232" s="3"/>
      <c r="EW232" s="3"/>
      <c r="EX232" s="3"/>
      <c r="EY232" s="3"/>
      <c r="EZ232" s="3"/>
      <c r="FA232" s="3"/>
      <c r="FB232" s="3"/>
      <c r="FC232" s="3"/>
      <c r="FD232" s="3"/>
      <c r="FE232" s="3"/>
      <c r="FF232" s="3"/>
      <c r="FG232" s="3"/>
      <c r="FH232" s="3"/>
      <c r="FI232" s="3"/>
      <c r="FJ232" s="3"/>
      <c r="FK232" s="3"/>
      <c r="FL232" s="3"/>
      <c r="FM232" s="3"/>
      <c r="FN232" s="3"/>
      <c r="FO232" s="3"/>
      <c r="FP232" s="3"/>
      <c r="FQ232" s="3"/>
      <c r="FR232" s="3"/>
      <c r="FS232" s="3"/>
      <c r="FT232" s="3"/>
      <c r="FU232" s="3"/>
      <c r="FV232" s="3"/>
      <c r="FW232" s="3"/>
      <c r="FX232" s="3"/>
      <c r="FY232" s="3"/>
      <c r="FZ232" s="3"/>
      <c r="GA232" s="3"/>
      <c r="GB232" s="3"/>
      <c r="GC232" s="3"/>
      <c r="GD232" s="3"/>
      <c r="GE232" s="3"/>
      <c r="GF232" s="3"/>
      <c r="GG232" s="3"/>
      <c r="GH232" s="3"/>
      <c r="GI232" s="3"/>
      <c r="GJ232" s="3"/>
      <c r="GK232" s="3"/>
      <c r="GL232" s="3"/>
      <c r="GM232" s="3"/>
      <c r="GN232" s="3"/>
      <c r="GO232" s="3"/>
      <c r="GP232" s="3"/>
      <c r="GQ232" s="3"/>
      <c r="GR232" s="3"/>
      <c r="GS232" s="3"/>
      <c r="GT232" s="3"/>
      <c r="GU232" s="3"/>
      <c r="GV232" s="3"/>
      <c r="GW232" s="3"/>
    </row>
    <row r="233" spans="1:205" s="8" customFormat="1" ht="20.25" hidden="1" customHeight="1" x14ac:dyDescent="0.2">
      <c r="A233" s="3">
        <v>1</v>
      </c>
      <c r="B233" s="104"/>
      <c r="C233" s="12"/>
      <c r="D233" s="256">
        <v>1</v>
      </c>
      <c r="E233" s="259"/>
      <c r="F233" s="270"/>
      <c r="G233" s="228"/>
      <c r="H233" s="228"/>
      <c r="I233" s="228"/>
      <c r="J233" s="350" t="s">
        <v>156</v>
      </c>
      <c r="K233" s="420" t="str">
        <f t="shared" si="22"/>
        <v/>
      </c>
      <c r="L233" s="94"/>
      <c r="M233" s="508"/>
      <c r="N233" s="279"/>
      <c r="O233" s="170"/>
      <c r="P233" s="522" t="str">
        <f t="shared" si="20"/>
        <v/>
      </c>
      <c r="Q233" s="415" t="str">
        <f t="shared" si="21"/>
        <v/>
      </c>
      <c r="R233" s="415" t="str">
        <f t="shared" si="19"/>
        <v/>
      </c>
      <c r="S233" s="120"/>
      <c r="T233" s="122"/>
      <c r="U233" s="122"/>
      <c r="V233" s="11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3"/>
      <c r="EF233" s="3"/>
      <c r="EG233" s="3"/>
      <c r="EH233" s="3"/>
      <c r="EI233" s="3"/>
      <c r="EJ233" s="3"/>
      <c r="EK233" s="3"/>
      <c r="EL233" s="3"/>
      <c r="EM233" s="3"/>
      <c r="EN233" s="3"/>
      <c r="EO233" s="3"/>
      <c r="EP233" s="3"/>
      <c r="EQ233" s="3"/>
      <c r="ER233" s="3"/>
      <c r="ES233" s="3"/>
      <c r="ET233" s="3"/>
      <c r="EU233" s="3"/>
      <c r="EV233" s="3"/>
      <c r="EW233" s="3"/>
      <c r="EX233" s="3"/>
      <c r="EY233" s="3"/>
      <c r="EZ233" s="3"/>
      <c r="FA233" s="3"/>
      <c r="FB233" s="3"/>
      <c r="FC233" s="3"/>
      <c r="FD233" s="3"/>
      <c r="FE233" s="3"/>
      <c r="FF233" s="3"/>
      <c r="FG233" s="3"/>
      <c r="FH233" s="3"/>
      <c r="FI233" s="3"/>
      <c r="FJ233" s="3"/>
      <c r="FK233" s="3"/>
      <c r="FL233" s="3"/>
      <c r="FM233" s="3"/>
      <c r="FN233" s="3"/>
      <c r="FO233" s="3"/>
      <c r="FP233" s="3"/>
      <c r="FQ233" s="3"/>
      <c r="FR233" s="3"/>
      <c r="FS233" s="3"/>
      <c r="FT233" s="3"/>
      <c r="FU233" s="3"/>
      <c r="FV233" s="3"/>
      <c r="FW233" s="3"/>
      <c r="FX233" s="3"/>
      <c r="FY233" s="3"/>
      <c r="FZ233" s="3"/>
      <c r="GA233" s="3"/>
      <c r="GB233" s="3"/>
      <c r="GC233" s="3"/>
      <c r="GD233" s="3"/>
      <c r="GE233" s="3"/>
      <c r="GF233" s="3"/>
      <c r="GG233" s="3"/>
      <c r="GH233" s="3"/>
      <c r="GI233" s="3"/>
      <c r="GJ233" s="3"/>
      <c r="GK233" s="3"/>
      <c r="GL233" s="3"/>
      <c r="GM233" s="3"/>
      <c r="GN233" s="3"/>
      <c r="GO233" s="3"/>
      <c r="GP233" s="3"/>
      <c r="GQ233" s="3"/>
      <c r="GR233" s="3"/>
      <c r="GS233" s="3"/>
      <c r="GT233" s="3"/>
      <c r="GU233" s="3"/>
      <c r="GV233" s="3"/>
      <c r="GW233" s="3"/>
    </row>
    <row r="234" spans="1:205" s="8" customFormat="1" ht="20.25" hidden="1" customHeight="1" x14ac:dyDescent="0.2">
      <c r="A234" s="3">
        <v>1</v>
      </c>
      <c r="B234" s="104"/>
      <c r="C234" s="12"/>
      <c r="D234" s="256">
        <v>1</v>
      </c>
      <c r="E234" s="259"/>
      <c r="F234" s="270"/>
      <c r="G234" s="228"/>
      <c r="H234" s="228"/>
      <c r="I234" s="228"/>
      <c r="J234" s="350" t="s">
        <v>156</v>
      </c>
      <c r="K234" s="420" t="str">
        <f t="shared" si="22"/>
        <v/>
      </c>
      <c r="L234" s="94"/>
      <c r="M234" s="508"/>
      <c r="N234" s="279"/>
      <c r="O234" s="170"/>
      <c r="P234" s="522" t="str">
        <f t="shared" si="20"/>
        <v/>
      </c>
      <c r="Q234" s="415" t="str">
        <f t="shared" si="21"/>
        <v/>
      </c>
      <c r="R234" s="415" t="str">
        <f t="shared" si="19"/>
        <v/>
      </c>
      <c r="S234" s="120"/>
      <c r="T234" s="122"/>
      <c r="U234" s="122"/>
      <c r="V234" s="11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3"/>
      <c r="EF234" s="3"/>
      <c r="EG234" s="3"/>
      <c r="EH234" s="3"/>
      <c r="EI234" s="3"/>
      <c r="EJ234" s="3"/>
      <c r="EK234" s="3"/>
      <c r="EL234" s="3"/>
      <c r="EM234" s="3"/>
      <c r="EN234" s="3"/>
      <c r="EO234" s="3"/>
      <c r="EP234" s="3"/>
      <c r="EQ234" s="3"/>
      <c r="ER234" s="3"/>
      <c r="ES234" s="3"/>
      <c r="ET234" s="3"/>
      <c r="EU234" s="3"/>
      <c r="EV234" s="3"/>
      <c r="EW234" s="3"/>
      <c r="EX234" s="3"/>
      <c r="EY234" s="3"/>
      <c r="EZ234" s="3"/>
      <c r="FA234" s="3"/>
      <c r="FB234" s="3"/>
      <c r="FC234" s="3"/>
      <c r="FD234" s="3"/>
      <c r="FE234" s="3"/>
      <c r="FF234" s="3"/>
      <c r="FG234" s="3"/>
      <c r="FH234" s="3"/>
      <c r="FI234" s="3"/>
      <c r="FJ234" s="3"/>
      <c r="FK234" s="3"/>
      <c r="FL234" s="3"/>
      <c r="FM234" s="3"/>
      <c r="FN234" s="3"/>
      <c r="FO234" s="3"/>
      <c r="FP234" s="3"/>
      <c r="FQ234" s="3"/>
      <c r="FR234" s="3"/>
      <c r="FS234" s="3"/>
      <c r="FT234" s="3"/>
      <c r="FU234" s="3"/>
      <c r="FV234" s="3"/>
      <c r="FW234" s="3"/>
      <c r="FX234" s="3"/>
      <c r="FY234" s="3"/>
      <c r="FZ234" s="3"/>
      <c r="GA234" s="3"/>
      <c r="GB234" s="3"/>
      <c r="GC234" s="3"/>
      <c r="GD234" s="3"/>
      <c r="GE234" s="3"/>
      <c r="GF234" s="3"/>
      <c r="GG234" s="3"/>
      <c r="GH234" s="3"/>
      <c r="GI234" s="3"/>
      <c r="GJ234" s="3"/>
      <c r="GK234" s="3"/>
      <c r="GL234" s="3"/>
      <c r="GM234" s="3"/>
      <c r="GN234" s="3"/>
      <c r="GO234" s="3"/>
      <c r="GP234" s="3"/>
      <c r="GQ234" s="3"/>
      <c r="GR234" s="3"/>
      <c r="GS234" s="3"/>
      <c r="GT234" s="3"/>
      <c r="GU234" s="3"/>
      <c r="GV234" s="3"/>
      <c r="GW234" s="3"/>
    </row>
    <row r="235" spans="1:205" s="8" customFormat="1" ht="20.25" hidden="1" customHeight="1" x14ac:dyDescent="0.2">
      <c r="A235" s="3">
        <v>1</v>
      </c>
      <c r="B235" s="104"/>
      <c r="C235" s="12"/>
      <c r="D235" s="256">
        <v>1</v>
      </c>
      <c r="E235" s="259"/>
      <c r="F235" s="270"/>
      <c r="G235" s="228"/>
      <c r="H235" s="228"/>
      <c r="I235" s="228"/>
      <c r="J235" s="350" t="s">
        <v>156</v>
      </c>
      <c r="K235" s="420" t="str">
        <f t="shared" si="22"/>
        <v/>
      </c>
      <c r="L235" s="94"/>
      <c r="M235" s="508"/>
      <c r="N235" s="279"/>
      <c r="O235" s="170"/>
      <c r="P235" s="522" t="str">
        <f t="shared" si="20"/>
        <v/>
      </c>
      <c r="Q235" s="415" t="str">
        <f t="shared" si="21"/>
        <v/>
      </c>
      <c r="R235" s="415" t="str">
        <f t="shared" si="19"/>
        <v/>
      </c>
      <c r="S235" s="120"/>
      <c r="T235" s="122"/>
      <c r="U235" s="122"/>
      <c r="V235" s="11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3"/>
      <c r="EF235" s="3"/>
      <c r="EG235" s="3"/>
      <c r="EH235" s="3"/>
      <c r="EI235" s="3"/>
      <c r="EJ235" s="3"/>
      <c r="EK235" s="3"/>
      <c r="EL235" s="3"/>
      <c r="EM235" s="3"/>
      <c r="EN235" s="3"/>
      <c r="EO235" s="3"/>
      <c r="EP235" s="3"/>
      <c r="EQ235" s="3"/>
      <c r="ER235" s="3"/>
      <c r="ES235" s="3"/>
      <c r="ET235" s="3"/>
      <c r="EU235" s="3"/>
      <c r="EV235" s="3"/>
      <c r="EW235" s="3"/>
      <c r="EX235" s="3"/>
      <c r="EY235" s="3"/>
      <c r="EZ235" s="3"/>
      <c r="FA235" s="3"/>
      <c r="FB235" s="3"/>
      <c r="FC235" s="3"/>
      <c r="FD235" s="3"/>
      <c r="FE235" s="3"/>
      <c r="FF235" s="3"/>
      <c r="FG235" s="3"/>
      <c r="FH235" s="3"/>
      <c r="FI235" s="3"/>
      <c r="FJ235" s="3"/>
      <c r="FK235" s="3"/>
      <c r="FL235" s="3"/>
      <c r="FM235" s="3"/>
      <c r="FN235" s="3"/>
      <c r="FO235" s="3"/>
      <c r="FP235" s="3"/>
      <c r="FQ235" s="3"/>
      <c r="FR235" s="3"/>
      <c r="FS235" s="3"/>
      <c r="FT235" s="3"/>
      <c r="FU235" s="3"/>
      <c r="FV235" s="3"/>
      <c r="FW235" s="3"/>
      <c r="FX235" s="3"/>
      <c r="FY235" s="3"/>
      <c r="FZ235" s="3"/>
      <c r="GA235" s="3"/>
      <c r="GB235" s="3"/>
      <c r="GC235" s="3"/>
      <c r="GD235" s="3"/>
      <c r="GE235" s="3"/>
      <c r="GF235" s="3"/>
      <c r="GG235" s="3"/>
      <c r="GH235" s="3"/>
      <c r="GI235" s="3"/>
      <c r="GJ235" s="3"/>
      <c r="GK235" s="3"/>
      <c r="GL235" s="3"/>
      <c r="GM235" s="3"/>
      <c r="GN235" s="3"/>
      <c r="GO235" s="3"/>
      <c r="GP235" s="3"/>
      <c r="GQ235" s="3"/>
      <c r="GR235" s="3"/>
      <c r="GS235" s="3"/>
      <c r="GT235" s="3"/>
      <c r="GU235" s="3"/>
      <c r="GV235" s="3"/>
      <c r="GW235" s="3"/>
    </row>
    <row r="236" spans="1:205" s="8" customFormat="1" ht="20.25" hidden="1" customHeight="1" x14ac:dyDescent="0.2">
      <c r="A236" s="3">
        <v>1</v>
      </c>
      <c r="B236" s="104"/>
      <c r="C236" s="12"/>
      <c r="D236" s="256">
        <v>1</v>
      </c>
      <c r="E236" s="259"/>
      <c r="F236" s="270"/>
      <c r="G236" s="228"/>
      <c r="H236" s="228"/>
      <c r="I236" s="228"/>
      <c r="J236" s="350" t="s">
        <v>156</v>
      </c>
      <c r="K236" s="420" t="str">
        <f t="shared" si="22"/>
        <v/>
      </c>
      <c r="L236" s="94"/>
      <c r="M236" s="508"/>
      <c r="N236" s="279"/>
      <c r="O236" s="170"/>
      <c r="P236" s="522" t="str">
        <f t="shared" si="20"/>
        <v/>
      </c>
      <c r="Q236" s="415" t="str">
        <f t="shared" si="21"/>
        <v/>
      </c>
      <c r="R236" s="415" t="str">
        <f t="shared" si="19"/>
        <v/>
      </c>
      <c r="S236" s="120"/>
      <c r="T236" s="122"/>
      <c r="U236" s="122"/>
      <c r="V236" s="11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</row>
    <row r="237" spans="1:205" s="8" customFormat="1" ht="20.25" hidden="1" customHeight="1" x14ac:dyDescent="0.2">
      <c r="A237" s="3">
        <v>1</v>
      </c>
      <c r="B237" s="104"/>
      <c r="C237" s="12"/>
      <c r="D237" s="256">
        <v>1</v>
      </c>
      <c r="E237" s="259"/>
      <c r="F237" s="270"/>
      <c r="G237" s="228"/>
      <c r="H237" s="228"/>
      <c r="I237" s="228"/>
      <c r="J237" s="350" t="s">
        <v>156</v>
      </c>
      <c r="K237" s="420" t="str">
        <f t="shared" si="22"/>
        <v/>
      </c>
      <c r="L237" s="94"/>
      <c r="M237" s="508"/>
      <c r="N237" s="279"/>
      <c r="O237" s="170"/>
      <c r="P237" s="522" t="str">
        <f t="shared" si="20"/>
        <v/>
      </c>
      <c r="Q237" s="415" t="str">
        <f t="shared" si="21"/>
        <v/>
      </c>
      <c r="R237" s="415" t="str">
        <f t="shared" si="19"/>
        <v/>
      </c>
      <c r="S237" s="120"/>
      <c r="T237" s="122"/>
      <c r="U237" s="122"/>
      <c r="V237" s="11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3"/>
      <c r="EF237" s="3"/>
      <c r="EG237" s="3"/>
      <c r="EH237" s="3"/>
      <c r="EI237" s="3"/>
      <c r="EJ237" s="3"/>
      <c r="EK237" s="3"/>
      <c r="EL237" s="3"/>
      <c r="EM237" s="3"/>
      <c r="EN237" s="3"/>
      <c r="EO237" s="3"/>
      <c r="EP237" s="3"/>
      <c r="EQ237" s="3"/>
      <c r="ER237" s="3"/>
      <c r="ES237" s="3"/>
      <c r="ET237" s="3"/>
      <c r="EU237" s="3"/>
      <c r="EV237" s="3"/>
      <c r="EW237" s="3"/>
      <c r="EX237" s="3"/>
      <c r="EY237" s="3"/>
      <c r="EZ237" s="3"/>
      <c r="FA237" s="3"/>
      <c r="FB237" s="3"/>
      <c r="FC237" s="3"/>
      <c r="FD237" s="3"/>
      <c r="FE237" s="3"/>
      <c r="FF237" s="3"/>
      <c r="FG237" s="3"/>
      <c r="FH237" s="3"/>
      <c r="FI237" s="3"/>
      <c r="FJ237" s="3"/>
      <c r="FK237" s="3"/>
      <c r="FL237" s="3"/>
      <c r="FM237" s="3"/>
      <c r="FN237" s="3"/>
      <c r="FO237" s="3"/>
      <c r="FP237" s="3"/>
      <c r="FQ237" s="3"/>
      <c r="FR237" s="3"/>
      <c r="FS237" s="3"/>
      <c r="FT237" s="3"/>
      <c r="FU237" s="3"/>
      <c r="FV237" s="3"/>
      <c r="FW237" s="3"/>
      <c r="FX237" s="3"/>
      <c r="FY237" s="3"/>
      <c r="FZ237" s="3"/>
      <c r="GA237" s="3"/>
      <c r="GB237" s="3"/>
      <c r="GC237" s="3"/>
      <c r="GD237" s="3"/>
      <c r="GE237" s="3"/>
      <c r="GF237" s="3"/>
      <c r="GG237" s="3"/>
      <c r="GH237" s="3"/>
      <c r="GI237" s="3"/>
      <c r="GJ237" s="3"/>
      <c r="GK237" s="3"/>
      <c r="GL237" s="3"/>
      <c r="GM237" s="3"/>
      <c r="GN237" s="3"/>
      <c r="GO237" s="3"/>
      <c r="GP237" s="3"/>
      <c r="GQ237" s="3"/>
      <c r="GR237" s="3"/>
      <c r="GS237" s="3"/>
      <c r="GT237" s="3"/>
      <c r="GU237" s="3"/>
      <c r="GV237" s="3"/>
      <c r="GW237" s="3"/>
    </row>
    <row r="238" spans="1:205" s="8" customFormat="1" ht="20.25" hidden="1" customHeight="1" x14ac:dyDescent="0.2">
      <c r="A238" s="3">
        <v>1</v>
      </c>
      <c r="B238" s="104"/>
      <c r="C238" s="12"/>
      <c r="D238" s="256">
        <v>1</v>
      </c>
      <c r="E238" s="259"/>
      <c r="F238" s="270"/>
      <c r="G238" s="228"/>
      <c r="H238" s="228"/>
      <c r="I238" s="228"/>
      <c r="J238" s="350" t="s">
        <v>156</v>
      </c>
      <c r="K238" s="420" t="str">
        <f t="shared" si="22"/>
        <v/>
      </c>
      <c r="L238" s="98"/>
      <c r="M238" s="508"/>
      <c r="N238" s="279"/>
      <c r="O238" s="170"/>
      <c r="P238" s="522" t="str">
        <f t="shared" si="20"/>
        <v/>
      </c>
      <c r="Q238" s="415" t="str">
        <f t="shared" si="21"/>
        <v/>
      </c>
      <c r="R238" s="415" t="str">
        <f t="shared" si="19"/>
        <v/>
      </c>
      <c r="S238" s="120"/>
      <c r="T238" s="122"/>
      <c r="U238" s="122"/>
      <c r="V238" s="11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3"/>
      <c r="EF238" s="3"/>
      <c r="EG238" s="3"/>
      <c r="EH238" s="3"/>
      <c r="EI238" s="3"/>
      <c r="EJ238" s="3"/>
      <c r="EK238" s="3"/>
      <c r="EL238" s="3"/>
      <c r="EM238" s="3"/>
      <c r="EN238" s="3"/>
      <c r="EO238" s="3"/>
      <c r="EP238" s="3"/>
      <c r="EQ238" s="3"/>
      <c r="ER238" s="3"/>
      <c r="ES238" s="3"/>
      <c r="ET238" s="3"/>
      <c r="EU238" s="3"/>
      <c r="EV238" s="3"/>
      <c r="EW238" s="3"/>
      <c r="EX238" s="3"/>
      <c r="EY238" s="3"/>
      <c r="EZ238" s="3"/>
      <c r="FA238" s="3"/>
      <c r="FB238" s="3"/>
      <c r="FC238" s="3"/>
      <c r="FD238" s="3"/>
      <c r="FE238" s="3"/>
      <c r="FF238" s="3"/>
      <c r="FG238" s="3"/>
      <c r="FH238" s="3"/>
      <c r="FI238" s="3"/>
      <c r="FJ238" s="3"/>
      <c r="FK238" s="3"/>
      <c r="FL238" s="3"/>
      <c r="FM238" s="3"/>
      <c r="FN238" s="3"/>
      <c r="FO238" s="3"/>
      <c r="FP238" s="3"/>
      <c r="FQ238" s="3"/>
      <c r="FR238" s="3"/>
      <c r="FS238" s="3"/>
      <c r="FT238" s="3"/>
      <c r="FU238" s="3"/>
      <c r="FV238" s="3"/>
      <c r="FW238" s="3"/>
      <c r="FX238" s="3"/>
      <c r="FY238" s="3"/>
      <c r="FZ238" s="3"/>
      <c r="GA238" s="3"/>
      <c r="GB238" s="3"/>
      <c r="GC238" s="3"/>
      <c r="GD238" s="3"/>
      <c r="GE238" s="3"/>
      <c r="GF238" s="3"/>
      <c r="GG238" s="3"/>
      <c r="GH238" s="3"/>
      <c r="GI238" s="3"/>
      <c r="GJ238" s="3"/>
      <c r="GK238" s="3"/>
      <c r="GL238" s="3"/>
      <c r="GM238" s="3"/>
      <c r="GN238" s="3"/>
      <c r="GO238" s="3"/>
      <c r="GP238" s="3"/>
      <c r="GQ238" s="3"/>
      <c r="GR238" s="3"/>
      <c r="GS238" s="3"/>
      <c r="GT238" s="3"/>
      <c r="GU238" s="3"/>
      <c r="GV238" s="3"/>
      <c r="GW238" s="3"/>
    </row>
    <row r="239" spans="1:205" s="8" customFormat="1" ht="20.25" hidden="1" customHeight="1" x14ac:dyDescent="0.2">
      <c r="A239" s="3">
        <v>1</v>
      </c>
      <c r="B239" s="104"/>
      <c r="C239" s="12"/>
      <c r="D239" s="256">
        <v>1</v>
      </c>
      <c r="E239" s="259"/>
      <c r="F239" s="270"/>
      <c r="G239" s="228"/>
      <c r="H239" s="228"/>
      <c r="I239" s="228"/>
      <c r="J239" s="350" t="s">
        <v>156</v>
      </c>
      <c r="K239" s="420" t="str">
        <f t="shared" si="22"/>
        <v/>
      </c>
      <c r="L239" s="94"/>
      <c r="M239" s="508"/>
      <c r="N239" s="279"/>
      <c r="O239" s="170"/>
      <c r="P239" s="522" t="str">
        <f t="shared" si="20"/>
        <v/>
      </c>
      <c r="Q239" s="415" t="str">
        <f t="shared" si="21"/>
        <v/>
      </c>
      <c r="R239" s="415" t="str">
        <f t="shared" si="19"/>
        <v/>
      </c>
      <c r="S239" s="120"/>
      <c r="T239" s="122"/>
      <c r="U239" s="122"/>
      <c r="V239" s="11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3"/>
      <c r="EF239" s="3"/>
      <c r="EG239" s="3"/>
      <c r="EH239" s="3"/>
      <c r="EI239" s="3"/>
      <c r="EJ239" s="3"/>
      <c r="EK239" s="3"/>
      <c r="EL239" s="3"/>
      <c r="EM239" s="3"/>
      <c r="EN239" s="3"/>
      <c r="EO239" s="3"/>
      <c r="EP239" s="3"/>
      <c r="EQ239" s="3"/>
      <c r="ER239" s="3"/>
      <c r="ES239" s="3"/>
      <c r="ET239" s="3"/>
      <c r="EU239" s="3"/>
      <c r="EV239" s="3"/>
      <c r="EW239" s="3"/>
      <c r="EX239" s="3"/>
      <c r="EY239" s="3"/>
      <c r="EZ239" s="3"/>
      <c r="FA239" s="3"/>
      <c r="FB239" s="3"/>
      <c r="FC239" s="3"/>
      <c r="FD239" s="3"/>
      <c r="FE239" s="3"/>
      <c r="FF239" s="3"/>
      <c r="FG239" s="3"/>
      <c r="FH239" s="3"/>
      <c r="FI239" s="3"/>
      <c r="FJ239" s="3"/>
      <c r="FK239" s="3"/>
      <c r="FL239" s="3"/>
      <c r="FM239" s="3"/>
      <c r="FN239" s="3"/>
      <c r="FO239" s="3"/>
      <c r="FP239" s="3"/>
      <c r="FQ239" s="3"/>
      <c r="FR239" s="3"/>
      <c r="FS239" s="3"/>
      <c r="FT239" s="3"/>
      <c r="FU239" s="3"/>
      <c r="FV239" s="3"/>
      <c r="FW239" s="3"/>
      <c r="FX239" s="3"/>
      <c r="FY239" s="3"/>
      <c r="FZ239" s="3"/>
      <c r="GA239" s="3"/>
      <c r="GB239" s="3"/>
      <c r="GC239" s="3"/>
      <c r="GD239" s="3"/>
      <c r="GE239" s="3"/>
      <c r="GF239" s="3"/>
      <c r="GG239" s="3"/>
      <c r="GH239" s="3"/>
      <c r="GI239" s="3"/>
      <c r="GJ239" s="3"/>
      <c r="GK239" s="3"/>
      <c r="GL239" s="3"/>
      <c r="GM239" s="3"/>
      <c r="GN239" s="3"/>
      <c r="GO239" s="3"/>
      <c r="GP239" s="3"/>
      <c r="GQ239" s="3"/>
      <c r="GR239" s="3"/>
      <c r="GS239" s="3"/>
      <c r="GT239" s="3"/>
      <c r="GU239" s="3"/>
      <c r="GV239" s="3"/>
      <c r="GW239" s="3"/>
    </row>
    <row r="240" spans="1:205" s="8" customFormat="1" ht="24" hidden="1" customHeight="1" x14ac:dyDescent="0.2">
      <c r="A240" s="3">
        <v>1</v>
      </c>
      <c r="B240" s="104"/>
      <c r="C240" s="12"/>
      <c r="D240" s="256">
        <v>1</v>
      </c>
      <c r="E240" s="259"/>
      <c r="F240" s="270"/>
      <c r="G240" s="228"/>
      <c r="H240" s="228"/>
      <c r="I240" s="228"/>
      <c r="J240" s="350" t="s">
        <v>156</v>
      </c>
      <c r="K240" s="420" t="str">
        <f t="shared" si="22"/>
        <v/>
      </c>
      <c r="L240" s="98"/>
      <c r="M240" s="508"/>
      <c r="N240" s="279"/>
      <c r="O240" s="170"/>
      <c r="P240" s="522" t="str">
        <f t="shared" si="20"/>
        <v/>
      </c>
      <c r="Q240" s="415" t="str">
        <f t="shared" si="21"/>
        <v/>
      </c>
      <c r="R240" s="415" t="str">
        <f t="shared" si="19"/>
        <v/>
      </c>
      <c r="S240" s="120"/>
      <c r="T240" s="122"/>
      <c r="U240" s="122"/>
      <c r="V240" s="11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3"/>
      <c r="EF240" s="3"/>
      <c r="EG240" s="3"/>
      <c r="EH240" s="3"/>
      <c r="EI240" s="3"/>
      <c r="EJ240" s="3"/>
      <c r="EK240" s="3"/>
      <c r="EL240" s="3"/>
      <c r="EM240" s="3"/>
      <c r="EN240" s="3"/>
      <c r="EO240" s="3"/>
      <c r="EP240" s="3"/>
      <c r="EQ240" s="3"/>
      <c r="ER240" s="3"/>
      <c r="ES240" s="3"/>
      <c r="ET240" s="3"/>
      <c r="EU240" s="3"/>
      <c r="EV240" s="3"/>
      <c r="EW240" s="3"/>
      <c r="EX240" s="3"/>
      <c r="EY240" s="3"/>
      <c r="EZ240" s="3"/>
      <c r="FA240" s="3"/>
      <c r="FB240" s="3"/>
      <c r="FC240" s="3"/>
      <c r="FD240" s="3"/>
      <c r="FE240" s="3"/>
      <c r="FF240" s="3"/>
      <c r="FG240" s="3"/>
      <c r="FH240" s="3"/>
      <c r="FI240" s="3"/>
      <c r="FJ240" s="3"/>
      <c r="FK240" s="3"/>
      <c r="FL240" s="3"/>
      <c r="FM240" s="3"/>
      <c r="FN240" s="3"/>
      <c r="FO240" s="3"/>
      <c r="FP240" s="3"/>
      <c r="FQ240" s="3"/>
      <c r="FR240" s="3"/>
      <c r="FS240" s="3"/>
      <c r="FT240" s="3"/>
      <c r="FU240" s="3"/>
      <c r="FV240" s="3"/>
      <c r="FW240" s="3"/>
      <c r="FX240" s="3"/>
      <c r="FY240" s="3"/>
      <c r="FZ240" s="3"/>
      <c r="GA240" s="3"/>
      <c r="GB240" s="3"/>
      <c r="GC240" s="3"/>
      <c r="GD240" s="3"/>
      <c r="GE240" s="3"/>
      <c r="GF240" s="3"/>
      <c r="GG240" s="3"/>
      <c r="GH240" s="3"/>
      <c r="GI240" s="3"/>
      <c r="GJ240" s="3"/>
      <c r="GK240" s="3"/>
      <c r="GL240" s="3"/>
      <c r="GM240" s="3"/>
      <c r="GN240" s="3"/>
      <c r="GO240" s="3"/>
      <c r="GP240" s="3"/>
      <c r="GQ240" s="3"/>
      <c r="GR240" s="3"/>
      <c r="GS240" s="3"/>
      <c r="GT240" s="3"/>
      <c r="GU240" s="3"/>
      <c r="GV240" s="3"/>
      <c r="GW240" s="3"/>
    </row>
    <row r="241" spans="1:205" s="8" customFormat="1" ht="30" hidden="1" customHeight="1" x14ac:dyDescent="0.2">
      <c r="A241" s="3">
        <v>1</v>
      </c>
      <c r="B241" s="104"/>
      <c r="C241" s="12"/>
      <c r="D241" s="256">
        <v>1</v>
      </c>
      <c r="F241" s="270"/>
      <c r="G241" s="228"/>
      <c r="H241" s="228"/>
      <c r="I241" s="228"/>
      <c r="J241" s="350" t="s">
        <v>156</v>
      </c>
      <c r="K241" s="420" t="str">
        <f t="shared" si="22"/>
        <v/>
      </c>
      <c r="L241" s="94"/>
      <c r="M241" s="508"/>
      <c r="N241" s="279"/>
      <c r="O241" s="170"/>
      <c r="P241" s="522" t="str">
        <f t="shared" si="20"/>
        <v/>
      </c>
      <c r="Q241" s="415" t="str">
        <f t="shared" si="21"/>
        <v/>
      </c>
      <c r="R241" s="415" t="str">
        <f t="shared" si="19"/>
        <v/>
      </c>
      <c r="S241" s="120"/>
      <c r="T241" s="122"/>
      <c r="U241" s="122"/>
      <c r="V241" s="11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3"/>
      <c r="EF241" s="3"/>
      <c r="EG241" s="3"/>
      <c r="EH241" s="3"/>
      <c r="EI241" s="3"/>
      <c r="EJ241" s="3"/>
      <c r="EK241" s="3"/>
      <c r="EL241" s="3"/>
      <c r="EM241" s="3"/>
      <c r="EN241" s="3"/>
      <c r="EO241" s="3"/>
      <c r="EP241" s="3"/>
      <c r="EQ241" s="3"/>
      <c r="ER241" s="3"/>
      <c r="ES241" s="3"/>
      <c r="ET241" s="3"/>
      <c r="EU241" s="3"/>
      <c r="EV241" s="3"/>
      <c r="EW241" s="3"/>
      <c r="EX241" s="3"/>
      <c r="EY241" s="3"/>
      <c r="EZ241" s="3"/>
      <c r="FA241" s="3"/>
      <c r="FB241" s="3"/>
      <c r="FC241" s="3"/>
      <c r="FD241" s="3"/>
      <c r="FE241" s="3"/>
      <c r="FF241" s="3"/>
      <c r="FG241" s="3"/>
      <c r="FH241" s="3"/>
      <c r="FI241" s="3"/>
      <c r="FJ241" s="3"/>
      <c r="FK241" s="3"/>
      <c r="FL241" s="3"/>
      <c r="FM241" s="3"/>
      <c r="FN241" s="3"/>
      <c r="FO241" s="3"/>
      <c r="FP241" s="3"/>
      <c r="FQ241" s="3"/>
      <c r="FR241" s="3"/>
      <c r="FS241" s="3"/>
      <c r="FT241" s="3"/>
      <c r="FU241" s="3"/>
      <c r="FV241" s="3"/>
      <c r="FW241" s="3"/>
      <c r="FX241" s="3"/>
      <c r="FY241" s="3"/>
      <c r="FZ241" s="3"/>
      <c r="GA241" s="3"/>
      <c r="GB241" s="3"/>
      <c r="GC241" s="3"/>
      <c r="GD241" s="3"/>
      <c r="GE241" s="3"/>
      <c r="GF241" s="3"/>
      <c r="GG241" s="3"/>
      <c r="GH241" s="3"/>
      <c r="GI241" s="3"/>
      <c r="GJ241" s="3"/>
      <c r="GK241" s="3"/>
      <c r="GL241" s="3"/>
      <c r="GM241" s="3"/>
      <c r="GN241" s="3"/>
      <c r="GO241" s="3"/>
      <c r="GP241" s="3"/>
      <c r="GQ241" s="3"/>
      <c r="GR241" s="3"/>
      <c r="GS241" s="3"/>
      <c r="GT241" s="3"/>
      <c r="GU241" s="3"/>
      <c r="GV241" s="3"/>
      <c r="GW241" s="3"/>
    </row>
    <row r="242" spans="1:205" s="8" customFormat="1" ht="20.25" customHeight="1" thickBot="1" x14ac:dyDescent="0.25">
      <c r="A242" s="3"/>
      <c r="B242" s="182"/>
      <c r="C242" s="27"/>
      <c r="D242" s="261"/>
      <c r="F242" s="270"/>
      <c r="G242" s="228"/>
      <c r="H242" s="228"/>
      <c r="I242" s="228"/>
      <c r="J242" s="401" t="s">
        <v>156</v>
      </c>
      <c r="K242" s="420" t="str">
        <f t="shared" si="22"/>
        <v/>
      </c>
      <c r="L242" s="94"/>
      <c r="M242" s="518"/>
      <c r="N242" s="279"/>
      <c r="O242" s="170"/>
      <c r="P242" s="522" t="str">
        <f t="shared" si="20"/>
        <v/>
      </c>
      <c r="Q242" s="415" t="str">
        <f t="shared" si="21"/>
        <v/>
      </c>
      <c r="R242" s="415" t="str">
        <f t="shared" si="19"/>
        <v/>
      </c>
      <c r="S242" s="127"/>
      <c r="T242" s="122"/>
      <c r="U242" s="122"/>
      <c r="V242" s="11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3"/>
      <c r="EF242" s="3"/>
      <c r="EG242" s="3"/>
      <c r="EH242" s="3"/>
      <c r="EI242" s="3"/>
      <c r="EJ242" s="3"/>
      <c r="EK242" s="3"/>
      <c r="EL242" s="3"/>
      <c r="EM242" s="3"/>
      <c r="EN242" s="3"/>
      <c r="EO242" s="3"/>
      <c r="EP242" s="3"/>
      <c r="EQ242" s="3"/>
      <c r="ER242" s="3"/>
      <c r="ES242" s="3"/>
      <c r="ET242" s="3"/>
      <c r="EU242" s="3"/>
      <c r="EV242" s="3"/>
      <c r="EW242" s="3"/>
      <c r="EX242" s="3"/>
      <c r="EY242" s="3"/>
      <c r="EZ242" s="3"/>
      <c r="FA242" s="3"/>
      <c r="FB242" s="3"/>
      <c r="FC242" s="3"/>
      <c r="FD242" s="3"/>
      <c r="FE242" s="3"/>
      <c r="FF242" s="3"/>
      <c r="FG242" s="3"/>
      <c r="FH242" s="3"/>
      <c r="FI242" s="3"/>
      <c r="FJ242" s="3"/>
      <c r="FK242" s="3"/>
      <c r="FL242" s="3"/>
      <c r="FM242" s="3"/>
      <c r="FN242" s="3"/>
      <c r="FO242" s="3"/>
      <c r="FP242" s="3"/>
      <c r="FQ242" s="3"/>
      <c r="FR242" s="3"/>
      <c r="FS242" s="3"/>
      <c r="FT242" s="3"/>
      <c r="FU242" s="3"/>
      <c r="FV242" s="3"/>
      <c r="FW242" s="3"/>
      <c r="FX242" s="3"/>
      <c r="FY242" s="3"/>
      <c r="FZ242" s="3"/>
      <c r="GA242" s="3"/>
      <c r="GB242" s="3"/>
      <c r="GC242" s="3"/>
      <c r="GD242" s="3"/>
      <c r="GE242" s="3"/>
      <c r="GF242" s="3"/>
      <c r="GG242" s="3"/>
      <c r="GH242" s="3"/>
      <c r="GI242" s="3"/>
      <c r="GJ242" s="3"/>
      <c r="GK242" s="3"/>
      <c r="GL242" s="3"/>
      <c r="GM242" s="3"/>
      <c r="GN242" s="3"/>
      <c r="GO242" s="3"/>
      <c r="GP242" s="3"/>
      <c r="GQ242" s="3"/>
      <c r="GR242" s="3"/>
      <c r="GS242" s="3"/>
      <c r="GT242" s="3"/>
      <c r="GU242" s="3"/>
      <c r="GV242" s="3"/>
      <c r="GW242" s="3"/>
    </row>
    <row r="243" spans="1:205" ht="20.25" customHeight="1" thickBot="1" x14ac:dyDescent="0.25">
      <c r="A243" s="374"/>
      <c r="B243" s="57"/>
      <c r="C243" s="312" t="s">
        <v>35</v>
      </c>
      <c r="D243" s="374"/>
      <c r="E243" s="28"/>
      <c r="F243" s="221"/>
      <c r="G243" s="227"/>
      <c r="H243" s="67"/>
      <c r="I243" s="389" t="s">
        <v>122</v>
      </c>
      <c r="J243" s="227" t="s">
        <v>156</v>
      </c>
      <c r="K243" s="413">
        <f>SUM(K244:K281)</f>
        <v>394</v>
      </c>
      <c r="L243" s="92"/>
      <c r="M243" s="322"/>
      <c r="N243" s="38"/>
      <c r="O243" s="80"/>
      <c r="P243" s="413">
        <f>SUM(P244:P281)</f>
        <v>589</v>
      </c>
      <c r="Q243" s="416" t="str">
        <f t="shared" si="21"/>
        <v/>
      </c>
      <c r="R243" s="416" t="str">
        <f t="shared" si="19"/>
        <v/>
      </c>
      <c r="S243" s="38"/>
      <c r="T243" s="60"/>
      <c r="U243" s="66"/>
      <c r="V243" s="29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3"/>
      <c r="EF243" s="3"/>
      <c r="EG243" s="3"/>
      <c r="EH243" s="3"/>
      <c r="EI243" s="3"/>
      <c r="EJ243" s="3"/>
      <c r="EK243" s="3"/>
      <c r="EL243" s="3"/>
      <c r="EM243" s="3"/>
      <c r="EN243" s="3"/>
      <c r="EO243" s="3"/>
      <c r="EP243" s="3"/>
      <c r="EQ243" s="3"/>
      <c r="ER243" s="3"/>
      <c r="ES243" s="3"/>
      <c r="ET243" s="3"/>
      <c r="EU243" s="3"/>
      <c r="EV243" s="3"/>
      <c r="EW243" s="3"/>
      <c r="EX243" s="3"/>
      <c r="EY243" s="3"/>
      <c r="EZ243" s="3"/>
      <c r="FA243" s="3"/>
      <c r="FB243" s="3"/>
      <c r="FC243" s="3"/>
      <c r="FD243" s="3"/>
      <c r="FE243" s="3"/>
      <c r="FF243" s="3"/>
      <c r="FG243" s="3"/>
      <c r="FH243" s="3"/>
      <c r="FI243" s="3"/>
      <c r="FJ243" s="3"/>
      <c r="FK243" s="3"/>
      <c r="FL243" s="3"/>
      <c r="FM243" s="3"/>
      <c r="FN243" s="3"/>
      <c r="FO243" s="3"/>
      <c r="FP243" s="3"/>
      <c r="FQ243" s="3"/>
      <c r="FR243" s="3"/>
      <c r="FS243" s="3"/>
      <c r="FT243" s="3"/>
      <c r="FU243" s="3"/>
      <c r="FV243" s="3"/>
      <c r="FW243" s="3"/>
      <c r="FX243" s="3"/>
      <c r="FY243" s="3"/>
      <c r="FZ243" s="3"/>
      <c r="GA243" s="3"/>
      <c r="GB243" s="3"/>
      <c r="GC243" s="3"/>
      <c r="GD243" s="3"/>
      <c r="GE243" s="3"/>
      <c r="GF243" s="3"/>
      <c r="GG243" s="3"/>
      <c r="GH243" s="3"/>
      <c r="GI243" s="3"/>
      <c r="GJ243" s="3"/>
      <c r="GK243" s="3"/>
      <c r="GL243" s="3"/>
      <c r="GM243" s="3"/>
      <c r="GN243" s="3"/>
      <c r="GO243" s="3"/>
      <c r="GP243" s="3"/>
      <c r="GQ243" s="3"/>
      <c r="GR243" s="3"/>
      <c r="GS243" s="3"/>
      <c r="GT243" s="3"/>
      <c r="GU243" s="3"/>
      <c r="GV243" s="3"/>
      <c r="GW243" s="3"/>
    </row>
    <row r="244" spans="1:205" ht="20.25" customHeight="1" x14ac:dyDescent="0.2">
      <c r="A244" s="3">
        <v>4630</v>
      </c>
      <c r="B244" s="103">
        <v>2645</v>
      </c>
      <c r="C244" s="12" t="s">
        <v>166</v>
      </c>
      <c r="D244" s="104">
        <v>1</v>
      </c>
      <c r="E244" s="16"/>
      <c r="G244" s="246">
        <v>80</v>
      </c>
      <c r="H244" s="252"/>
      <c r="I244" s="252"/>
      <c r="J244" s="376">
        <v>40</v>
      </c>
      <c r="K244" s="420">
        <f>IF(M244="","",IF(ISERROR(IF(L244=0,J244*M244,J244*L244)),"",IF(L244=0,J244*M244,J244*L244)))</f>
        <v>40</v>
      </c>
      <c r="L244" s="93"/>
      <c r="M244" s="508">
        <v>1</v>
      </c>
      <c r="N244" s="279">
        <v>0.5</v>
      </c>
      <c r="O244" s="71"/>
      <c r="P244" s="522">
        <f t="shared" si="20"/>
        <v>80</v>
      </c>
      <c r="Q244" s="415">
        <f t="shared" si="21"/>
        <v>0.47250000000000003</v>
      </c>
      <c r="R244" s="415" t="str">
        <f t="shared" si="19"/>
        <v/>
      </c>
      <c r="S244" s="59"/>
      <c r="T244" s="61"/>
      <c r="U244" s="63"/>
      <c r="V244" s="11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3"/>
      <c r="EF244" s="3"/>
      <c r="EG244" s="3"/>
      <c r="EH244" s="3"/>
      <c r="EI244" s="3"/>
      <c r="EJ244" s="3"/>
      <c r="EK244" s="3"/>
      <c r="EL244" s="3"/>
      <c r="EM244" s="3"/>
      <c r="EN244" s="3"/>
      <c r="EO244" s="3"/>
      <c r="EP244" s="3"/>
      <c r="EQ244" s="3"/>
      <c r="ER244" s="3"/>
      <c r="ES244" s="3"/>
      <c r="ET244" s="3"/>
      <c r="EU244" s="3"/>
      <c r="EV244" s="3"/>
      <c r="EW244" s="3"/>
      <c r="EX244" s="3"/>
      <c r="EY244" s="3"/>
      <c r="EZ244" s="3"/>
      <c r="FA244" s="3"/>
      <c r="FB244" s="3"/>
      <c r="FC244" s="3"/>
      <c r="FD244" s="3"/>
      <c r="FE244" s="3"/>
      <c r="FF244" s="3"/>
      <c r="FG244" s="3"/>
      <c r="FH244" s="3"/>
      <c r="FI244" s="3"/>
      <c r="FJ244" s="3"/>
      <c r="FK244" s="3"/>
      <c r="FL244" s="3"/>
      <c r="FM244" s="3"/>
      <c r="FN244" s="3"/>
      <c r="FO244" s="3"/>
      <c r="FP244" s="3"/>
      <c r="FQ244" s="3"/>
      <c r="FR244" s="3"/>
      <c r="FS244" s="3"/>
      <c r="FT244" s="3"/>
      <c r="FU244" s="3"/>
      <c r="FV244" s="3"/>
      <c r="FW244" s="3"/>
      <c r="FX244" s="3"/>
      <c r="FY244" s="3"/>
      <c r="FZ244" s="3"/>
      <c r="GA244" s="3"/>
      <c r="GB244" s="3"/>
      <c r="GC244" s="3"/>
      <c r="GD244" s="3"/>
      <c r="GE244" s="3"/>
      <c r="GF244" s="3"/>
      <c r="GG244" s="3"/>
      <c r="GH244" s="3"/>
      <c r="GI244" s="3"/>
      <c r="GJ244" s="3"/>
      <c r="GK244" s="3"/>
      <c r="GL244" s="3"/>
      <c r="GM244" s="3"/>
      <c r="GN244" s="3"/>
      <c r="GO244" s="3"/>
      <c r="GP244" s="3"/>
      <c r="GQ244" s="3"/>
      <c r="GR244" s="3"/>
      <c r="GS244" s="3"/>
      <c r="GT244" s="3"/>
      <c r="GU244" s="3"/>
      <c r="GV244" s="3"/>
      <c r="GW244" s="3"/>
    </row>
    <row r="245" spans="1:205" ht="20.25" customHeight="1" x14ac:dyDescent="0.2">
      <c r="A245" s="3">
        <v>4633</v>
      </c>
      <c r="B245" s="103">
        <v>2650</v>
      </c>
      <c r="C245" s="12" t="s">
        <v>167</v>
      </c>
      <c r="D245" s="104">
        <v>1</v>
      </c>
      <c r="E245" s="16"/>
      <c r="G245" s="246"/>
      <c r="H245" s="228"/>
      <c r="I245" s="228"/>
      <c r="J245" s="376">
        <v>31</v>
      </c>
      <c r="K245" s="420">
        <f t="shared" ref="K245:K281" si="23">IF(M245="","",IF(ISERROR(IF(L245=0,J245*M245,J245*L245)),"",IF(L245=0,J245*M245,J245*L245)))</f>
        <v>31</v>
      </c>
      <c r="L245" s="93"/>
      <c r="M245" s="508">
        <v>1</v>
      </c>
      <c r="N245" s="279">
        <v>0.5</v>
      </c>
      <c r="O245" s="71"/>
      <c r="P245" s="522">
        <f t="shared" si="20"/>
        <v>0</v>
      </c>
      <c r="Q245" s="415">
        <f t="shared" si="21"/>
        <v>0.47250000000000003</v>
      </c>
      <c r="R245" s="415" t="str">
        <f t="shared" si="19"/>
        <v/>
      </c>
      <c r="S245" s="59"/>
      <c r="T245" s="61"/>
      <c r="U245" s="63"/>
      <c r="V245" s="11"/>
    </row>
    <row r="246" spans="1:205" ht="20.25" customHeight="1" x14ac:dyDescent="0.2">
      <c r="A246" s="3"/>
      <c r="B246" s="103"/>
      <c r="C246" s="12"/>
      <c r="D246" s="104"/>
      <c r="E246" s="16"/>
      <c r="G246" s="228"/>
      <c r="H246" s="228"/>
      <c r="I246" s="228"/>
      <c r="J246" s="376" t="s">
        <v>156</v>
      </c>
      <c r="K246" s="420" t="str">
        <f t="shared" si="23"/>
        <v/>
      </c>
      <c r="L246" s="93"/>
      <c r="M246" s="508"/>
      <c r="N246" s="279"/>
      <c r="O246" s="71"/>
      <c r="P246" s="522" t="str">
        <f t="shared" si="20"/>
        <v/>
      </c>
      <c r="Q246" s="415" t="str">
        <f t="shared" si="21"/>
        <v/>
      </c>
      <c r="R246" s="415" t="str">
        <f t="shared" si="19"/>
        <v/>
      </c>
      <c r="S246" s="59"/>
      <c r="T246" s="61"/>
      <c r="V246" s="248"/>
    </row>
    <row r="247" spans="1:205" ht="20.25" customHeight="1" x14ac:dyDescent="0.2">
      <c r="A247" s="3">
        <v>4650</v>
      </c>
      <c r="B247" s="103">
        <v>2667</v>
      </c>
      <c r="C247" s="12" t="s">
        <v>247</v>
      </c>
      <c r="D247" s="104">
        <v>1</v>
      </c>
      <c r="E247" s="16"/>
      <c r="G247" s="228"/>
      <c r="H247" s="228"/>
      <c r="I247" s="228"/>
      <c r="J247" s="376">
        <v>9</v>
      </c>
      <c r="K247" s="420">
        <f t="shared" si="23"/>
        <v>9</v>
      </c>
      <c r="L247" s="93"/>
      <c r="M247" s="508">
        <v>1</v>
      </c>
      <c r="N247" s="279">
        <v>0.5</v>
      </c>
      <c r="O247" s="71"/>
      <c r="P247" s="522">
        <f t="shared" si="20"/>
        <v>0</v>
      </c>
      <c r="Q247" s="415">
        <f t="shared" si="21"/>
        <v>0.47250000000000003</v>
      </c>
      <c r="R247" s="415" t="str">
        <f t="shared" si="19"/>
        <v/>
      </c>
      <c r="S247" s="59"/>
      <c r="T247" s="61"/>
      <c r="V247" s="248"/>
    </row>
    <row r="248" spans="1:205" ht="20.25" customHeight="1" x14ac:dyDescent="0.2">
      <c r="A248" s="3">
        <v>4651</v>
      </c>
      <c r="B248" s="103">
        <v>2668</v>
      </c>
      <c r="C248" s="12" t="s">
        <v>248</v>
      </c>
      <c r="D248" s="104">
        <v>1</v>
      </c>
      <c r="E248" s="24"/>
      <c r="F248" s="106"/>
      <c r="G248" s="228"/>
      <c r="H248" s="228"/>
      <c r="I248" s="236"/>
      <c r="J248" s="210">
        <v>9</v>
      </c>
      <c r="K248" s="420">
        <f t="shared" si="23"/>
        <v>9</v>
      </c>
      <c r="L248" s="98"/>
      <c r="M248" s="508">
        <v>1</v>
      </c>
      <c r="N248" s="279">
        <v>0.5</v>
      </c>
      <c r="O248" s="71"/>
      <c r="P248" s="522">
        <f t="shared" si="20"/>
        <v>0</v>
      </c>
      <c r="Q248" s="415">
        <f t="shared" si="21"/>
        <v>0.47250000000000003</v>
      </c>
      <c r="R248" s="415" t="str">
        <f t="shared" si="19"/>
        <v/>
      </c>
      <c r="S248" s="59"/>
      <c r="T248" s="61"/>
      <c r="V248" s="248"/>
    </row>
    <row r="249" spans="1:205" ht="20.25" customHeight="1" x14ac:dyDescent="0.2">
      <c r="A249" s="3"/>
      <c r="B249" s="103"/>
      <c r="C249" s="12"/>
      <c r="D249" s="104"/>
      <c r="E249" s="16"/>
      <c r="G249" s="228"/>
      <c r="H249" s="228"/>
      <c r="I249" s="234"/>
      <c r="J249" s="210" t="s">
        <v>156</v>
      </c>
      <c r="K249" s="420" t="str">
        <f t="shared" si="23"/>
        <v/>
      </c>
      <c r="L249" s="93"/>
      <c r="M249" s="508"/>
      <c r="N249" s="279"/>
      <c r="O249" s="71"/>
      <c r="P249" s="522" t="str">
        <f t="shared" si="20"/>
        <v/>
      </c>
      <c r="Q249" s="415" t="str">
        <f t="shared" si="21"/>
        <v/>
      </c>
      <c r="R249" s="415" t="str">
        <f t="shared" si="19"/>
        <v/>
      </c>
      <c r="S249" s="59"/>
      <c r="T249" s="61"/>
      <c r="V249" s="248"/>
    </row>
    <row r="250" spans="1:205" ht="20.25" customHeight="1" x14ac:dyDescent="0.2">
      <c r="A250" s="3"/>
      <c r="B250" s="103"/>
      <c r="C250" s="12"/>
      <c r="D250" s="104"/>
      <c r="E250" s="21"/>
      <c r="F250" s="106"/>
      <c r="G250" s="228"/>
      <c r="H250" s="228"/>
      <c r="I250" s="228"/>
      <c r="J250" s="376" t="s">
        <v>156</v>
      </c>
      <c r="K250" s="420" t="str">
        <f t="shared" si="23"/>
        <v/>
      </c>
      <c r="L250" s="93"/>
      <c r="M250" s="508"/>
      <c r="N250" s="279"/>
      <c r="O250" s="71"/>
      <c r="P250" s="522" t="str">
        <f t="shared" si="20"/>
        <v/>
      </c>
      <c r="Q250" s="415" t="str">
        <f t="shared" si="21"/>
        <v/>
      </c>
      <c r="R250" s="415" t="str">
        <f t="shared" si="19"/>
        <v/>
      </c>
      <c r="S250" s="59"/>
      <c r="T250" s="61"/>
      <c r="V250" s="248"/>
    </row>
    <row r="251" spans="1:205" ht="20.25" customHeight="1" x14ac:dyDescent="0.2">
      <c r="A251" s="3"/>
      <c r="B251" s="104"/>
      <c r="C251" s="12"/>
      <c r="D251" s="104"/>
      <c r="E251" s="22"/>
      <c r="F251" s="106"/>
      <c r="G251" s="228"/>
      <c r="H251" s="228"/>
      <c r="I251" s="228"/>
      <c r="J251" s="378" t="s">
        <v>156</v>
      </c>
      <c r="K251" s="420" t="str">
        <f t="shared" si="23"/>
        <v/>
      </c>
      <c r="L251" s="93"/>
      <c r="M251" s="512"/>
      <c r="N251" s="279"/>
      <c r="O251" s="71"/>
      <c r="P251" s="522" t="str">
        <f t="shared" si="20"/>
        <v/>
      </c>
      <c r="Q251" s="415" t="str">
        <f t="shared" si="21"/>
        <v/>
      </c>
      <c r="R251" s="415" t="str">
        <f t="shared" si="19"/>
        <v/>
      </c>
      <c r="S251" s="59"/>
      <c r="T251" s="61"/>
      <c r="V251" s="248"/>
    </row>
    <row r="252" spans="1:205" ht="20.25" customHeight="1" x14ac:dyDescent="0.2">
      <c r="A252" s="12"/>
      <c r="B252" s="9"/>
      <c r="C252" s="12"/>
      <c r="D252" s="104"/>
      <c r="E252" s="16"/>
      <c r="G252" s="228"/>
      <c r="H252" s="228"/>
      <c r="I252" s="228"/>
      <c r="J252" s="376" t="s">
        <v>156</v>
      </c>
      <c r="K252" s="420" t="str">
        <f t="shared" si="23"/>
        <v/>
      </c>
      <c r="L252" s="93"/>
      <c r="M252" s="504"/>
      <c r="N252" s="279"/>
      <c r="O252" s="71"/>
      <c r="P252" s="522" t="str">
        <f t="shared" si="20"/>
        <v/>
      </c>
      <c r="Q252" s="415" t="str">
        <f t="shared" si="21"/>
        <v/>
      </c>
      <c r="R252" s="415" t="str">
        <f t="shared" si="19"/>
        <v/>
      </c>
      <c r="S252" s="59"/>
      <c r="T252" s="61"/>
      <c r="V252" s="248"/>
    </row>
    <row r="253" spans="1:205" ht="20.25" customHeight="1" x14ac:dyDescent="0.2">
      <c r="A253" s="12"/>
      <c r="B253" s="9"/>
      <c r="C253" s="3"/>
      <c r="D253" s="104"/>
      <c r="E253" s="102"/>
      <c r="F253" s="106"/>
      <c r="G253" s="228"/>
      <c r="H253" s="228"/>
      <c r="I253" s="228"/>
      <c r="J253" s="386" t="s">
        <v>156</v>
      </c>
      <c r="K253" s="420" t="str">
        <f t="shared" si="23"/>
        <v/>
      </c>
      <c r="L253" s="101"/>
      <c r="M253" s="504"/>
      <c r="N253" s="279"/>
      <c r="O253" s="71"/>
      <c r="P253" s="522" t="str">
        <f t="shared" si="20"/>
        <v/>
      </c>
      <c r="Q253" s="415" t="str">
        <f t="shared" si="21"/>
        <v/>
      </c>
      <c r="R253" s="415" t="str">
        <f t="shared" si="19"/>
        <v/>
      </c>
      <c r="S253" s="59"/>
      <c r="T253" s="61"/>
      <c r="V253" s="248"/>
    </row>
    <row r="254" spans="1:205" ht="20.25" customHeight="1" x14ac:dyDescent="0.2">
      <c r="A254" s="12"/>
      <c r="B254" s="9"/>
      <c r="C254" s="3"/>
      <c r="D254" s="104"/>
      <c r="E254" s="102"/>
      <c r="F254" s="106"/>
      <c r="G254" s="228"/>
      <c r="H254" s="228"/>
      <c r="I254" s="228"/>
      <c r="J254" s="386" t="s">
        <v>156</v>
      </c>
      <c r="K254" s="420" t="str">
        <f t="shared" si="23"/>
        <v/>
      </c>
      <c r="L254" s="101"/>
      <c r="M254" s="512"/>
      <c r="N254" s="279"/>
      <c r="O254" s="71"/>
      <c r="P254" s="522" t="str">
        <f t="shared" si="20"/>
        <v/>
      </c>
      <c r="Q254" s="415" t="str">
        <f t="shared" si="21"/>
        <v/>
      </c>
      <c r="R254" s="415" t="str">
        <f t="shared" si="19"/>
        <v/>
      </c>
      <c r="S254" s="59"/>
      <c r="T254" s="61"/>
      <c r="V254" s="248"/>
    </row>
    <row r="255" spans="1:205" ht="20.25" customHeight="1" x14ac:dyDescent="0.2">
      <c r="A255" s="12"/>
      <c r="B255" s="9"/>
      <c r="C255" s="12"/>
      <c r="D255" s="104"/>
      <c r="E255" s="102"/>
      <c r="F255" s="106"/>
      <c r="G255" s="228"/>
      <c r="H255" s="228"/>
      <c r="I255" s="228"/>
      <c r="J255" s="386" t="s">
        <v>156</v>
      </c>
      <c r="K255" s="420" t="str">
        <f t="shared" si="23"/>
        <v/>
      </c>
      <c r="L255" s="101"/>
      <c r="M255" s="512"/>
      <c r="N255" s="279"/>
      <c r="O255" s="71"/>
      <c r="P255" s="522" t="str">
        <f t="shared" si="20"/>
        <v/>
      </c>
      <c r="Q255" s="415" t="str">
        <f t="shared" si="21"/>
        <v/>
      </c>
      <c r="R255" s="415" t="str">
        <f t="shared" si="19"/>
        <v/>
      </c>
      <c r="S255" s="59"/>
      <c r="T255" s="61"/>
      <c r="V255" s="248"/>
    </row>
    <row r="256" spans="1:205" ht="20.25" customHeight="1" x14ac:dyDescent="0.2">
      <c r="A256" s="12"/>
      <c r="B256" s="103"/>
      <c r="C256" s="12"/>
      <c r="D256" s="104"/>
      <c r="E256" s="16"/>
      <c r="G256" s="228"/>
      <c r="H256" s="228"/>
      <c r="I256" s="228"/>
      <c r="J256" s="376" t="s">
        <v>156</v>
      </c>
      <c r="K256" s="420" t="str">
        <f t="shared" si="23"/>
        <v/>
      </c>
      <c r="L256" s="93"/>
      <c r="M256" s="504"/>
      <c r="N256" s="279"/>
      <c r="O256" s="71"/>
      <c r="P256" s="522" t="str">
        <f t="shared" si="20"/>
        <v/>
      </c>
      <c r="Q256" s="415" t="str">
        <f t="shared" si="21"/>
        <v/>
      </c>
      <c r="R256" s="415" t="str">
        <f t="shared" si="19"/>
        <v/>
      </c>
      <c r="S256" s="59"/>
      <c r="T256" s="61"/>
      <c r="V256" s="248"/>
    </row>
    <row r="257" spans="1:22" ht="20.25" customHeight="1" x14ac:dyDescent="0.2">
      <c r="A257" s="12">
        <v>4398</v>
      </c>
      <c r="B257" s="103">
        <v>2798</v>
      </c>
      <c r="C257" s="12" t="s">
        <v>118</v>
      </c>
      <c r="D257" s="104">
        <v>1</v>
      </c>
      <c r="E257" s="16"/>
      <c r="G257" s="228">
        <v>100</v>
      </c>
      <c r="H257" s="228"/>
      <c r="I257" s="228"/>
      <c r="J257" s="376">
        <v>74</v>
      </c>
      <c r="K257" s="420">
        <f t="shared" si="23"/>
        <v>74</v>
      </c>
      <c r="L257" s="93"/>
      <c r="M257" s="508">
        <v>1</v>
      </c>
      <c r="N257" s="279"/>
      <c r="O257" s="71"/>
      <c r="P257" s="522">
        <f t="shared" si="20"/>
        <v>100</v>
      </c>
      <c r="Q257" s="415" t="str">
        <f t="shared" si="21"/>
        <v/>
      </c>
      <c r="R257" s="415" t="str">
        <f t="shared" si="19"/>
        <v/>
      </c>
      <c r="S257" s="59"/>
      <c r="T257" s="61"/>
      <c r="V257" s="248"/>
    </row>
    <row r="258" spans="1:22" ht="20.25" customHeight="1" x14ac:dyDescent="0.2">
      <c r="A258" s="12"/>
      <c r="B258" s="103"/>
      <c r="C258" s="12"/>
      <c r="D258" s="104"/>
      <c r="E258" s="16"/>
      <c r="G258" s="246"/>
      <c r="H258" s="228"/>
      <c r="I258" s="228"/>
      <c r="J258" s="210" t="s">
        <v>156</v>
      </c>
      <c r="K258" s="420" t="str">
        <f t="shared" si="23"/>
        <v/>
      </c>
      <c r="L258" s="93"/>
      <c r="M258" s="504"/>
      <c r="N258" s="279"/>
      <c r="O258" s="71"/>
      <c r="P258" s="522" t="str">
        <f t="shared" si="20"/>
        <v/>
      </c>
      <c r="Q258" s="415" t="str">
        <f t="shared" si="21"/>
        <v/>
      </c>
      <c r="R258" s="415" t="str">
        <f t="shared" si="19"/>
        <v/>
      </c>
      <c r="S258" s="59"/>
      <c r="T258" s="61"/>
      <c r="V258" s="248"/>
    </row>
    <row r="259" spans="1:22" ht="20.25" customHeight="1" x14ac:dyDescent="0.2">
      <c r="A259" s="12"/>
      <c r="B259" s="103"/>
      <c r="C259" s="12"/>
      <c r="D259" s="104"/>
      <c r="E259" s="16"/>
      <c r="G259" s="246"/>
      <c r="H259" s="228"/>
      <c r="I259" s="228"/>
      <c r="J259" s="210" t="s">
        <v>156</v>
      </c>
      <c r="K259" s="420" t="str">
        <f t="shared" si="23"/>
        <v/>
      </c>
      <c r="L259" s="93"/>
      <c r="M259" s="504"/>
      <c r="N259" s="279"/>
      <c r="O259" s="71"/>
      <c r="P259" s="522" t="str">
        <f t="shared" si="20"/>
        <v/>
      </c>
      <c r="Q259" s="415" t="str">
        <f t="shared" si="21"/>
        <v/>
      </c>
      <c r="R259" s="415" t="str">
        <f t="shared" si="19"/>
        <v/>
      </c>
      <c r="S259" s="59"/>
      <c r="T259" s="61"/>
      <c r="V259" s="248"/>
    </row>
    <row r="260" spans="1:22" ht="20.25" customHeight="1" x14ac:dyDescent="0.2">
      <c r="A260" s="12" t="s">
        <v>243</v>
      </c>
      <c r="B260" s="104">
        <v>2657</v>
      </c>
      <c r="C260" s="9" t="s">
        <v>203</v>
      </c>
      <c r="D260" s="104">
        <v>5</v>
      </c>
      <c r="E260" s="21"/>
      <c r="F260" s="106"/>
      <c r="G260" s="246">
        <v>50</v>
      </c>
      <c r="H260" s="228"/>
      <c r="I260" s="228"/>
      <c r="J260" s="376">
        <v>179</v>
      </c>
      <c r="K260" s="420">
        <f t="shared" si="23"/>
        <v>179</v>
      </c>
      <c r="L260" s="93"/>
      <c r="M260" s="508">
        <v>1</v>
      </c>
      <c r="N260" s="279">
        <v>0.5</v>
      </c>
      <c r="O260" s="71"/>
      <c r="P260" s="522">
        <f t="shared" si="20"/>
        <v>50</v>
      </c>
      <c r="Q260" s="415">
        <f t="shared" si="21"/>
        <v>0.47250000000000003</v>
      </c>
      <c r="R260" s="415" t="str">
        <f t="shared" si="19"/>
        <v/>
      </c>
      <c r="S260" s="59"/>
      <c r="T260" s="61"/>
      <c r="V260" s="248"/>
    </row>
    <row r="261" spans="1:22" ht="20.25" customHeight="1" x14ac:dyDescent="0.2">
      <c r="A261" s="12" t="s">
        <v>244</v>
      </c>
      <c r="B261" s="104"/>
      <c r="C261" s="9" t="s">
        <v>204</v>
      </c>
      <c r="D261" s="104">
        <v>1</v>
      </c>
      <c r="E261" s="16"/>
      <c r="G261" s="246">
        <v>50</v>
      </c>
      <c r="H261" s="228"/>
      <c r="I261" s="228"/>
      <c r="J261" s="376" t="s">
        <v>156</v>
      </c>
      <c r="K261" s="420" t="str">
        <f t="shared" si="23"/>
        <v/>
      </c>
      <c r="L261" s="93"/>
      <c r="M261" s="508">
        <v>1</v>
      </c>
      <c r="N261" s="279">
        <v>0.5</v>
      </c>
      <c r="O261" s="71"/>
      <c r="P261" s="522">
        <f t="shared" si="20"/>
        <v>50</v>
      </c>
      <c r="Q261" s="415">
        <f t="shared" si="21"/>
        <v>0.47250000000000003</v>
      </c>
      <c r="R261" s="415" t="str">
        <f t="shared" si="19"/>
        <v/>
      </c>
      <c r="S261" s="59"/>
      <c r="T261" s="61"/>
      <c r="V261" s="248"/>
    </row>
    <row r="262" spans="1:22" ht="20.25" customHeight="1" x14ac:dyDescent="0.2">
      <c r="A262" s="12" t="s">
        <v>245</v>
      </c>
      <c r="B262" s="104"/>
      <c r="C262" s="9" t="s">
        <v>205</v>
      </c>
      <c r="D262" s="104">
        <v>1</v>
      </c>
      <c r="E262" s="16"/>
      <c r="G262" s="246">
        <v>50</v>
      </c>
      <c r="H262" s="228"/>
      <c r="I262" s="228"/>
      <c r="J262" s="378" t="s">
        <v>156</v>
      </c>
      <c r="K262" s="420" t="str">
        <f t="shared" si="23"/>
        <v/>
      </c>
      <c r="L262" s="93"/>
      <c r="M262" s="508">
        <v>1</v>
      </c>
      <c r="N262" s="279">
        <v>0.5</v>
      </c>
      <c r="O262" s="71"/>
      <c r="P262" s="522">
        <f t="shared" si="20"/>
        <v>50</v>
      </c>
      <c r="Q262" s="415">
        <f t="shared" si="21"/>
        <v>0.47250000000000003</v>
      </c>
      <c r="R262" s="415" t="str">
        <f t="shared" si="19"/>
        <v/>
      </c>
      <c r="S262" s="59"/>
      <c r="T262" s="61"/>
      <c r="V262" s="248"/>
    </row>
    <row r="263" spans="1:22" ht="20.25" customHeight="1" x14ac:dyDescent="0.2">
      <c r="A263" s="12" t="s">
        <v>246</v>
      </c>
      <c r="B263" s="103"/>
      <c r="C263" s="9" t="s">
        <v>206</v>
      </c>
      <c r="D263" s="104">
        <v>1</v>
      </c>
      <c r="E263" s="16"/>
      <c r="G263" s="246">
        <v>25</v>
      </c>
      <c r="H263" s="228"/>
      <c r="I263" s="228"/>
      <c r="J263" s="376" t="s">
        <v>156</v>
      </c>
      <c r="K263" s="420" t="str">
        <f t="shared" si="23"/>
        <v/>
      </c>
      <c r="L263" s="93"/>
      <c r="M263" s="508">
        <v>1</v>
      </c>
      <c r="N263" s="279">
        <v>0.5</v>
      </c>
      <c r="O263" s="71"/>
      <c r="P263" s="522">
        <f t="shared" si="20"/>
        <v>25</v>
      </c>
      <c r="Q263" s="415">
        <f t="shared" si="21"/>
        <v>0.47250000000000003</v>
      </c>
      <c r="R263" s="415" t="str">
        <f t="shared" si="19"/>
        <v/>
      </c>
      <c r="S263" s="59"/>
      <c r="T263" s="61"/>
      <c r="V263" s="248"/>
    </row>
    <row r="264" spans="1:22" x14ac:dyDescent="0.2">
      <c r="A264" s="12"/>
      <c r="B264" s="103"/>
      <c r="C264" s="12" t="s">
        <v>207</v>
      </c>
      <c r="D264" s="104">
        <v>1</v>
      </c>
      <c r="G264" s="246">
        <v>25</v>
      </c>
      <c r="H264" s="228"/>
      <c r="I264" s="228"/>
      <c r="J264" s="386" t="s">
        <v>156</v>
      </c>
      <c r="K264" s="420" t="str">
        <f t="shared" si="23"/>
        <v/>
      </c>
      <c r="L264" s="101"/>
      <c r="M264" s="508">
        <v>1</v>
      </c>
      <c r="N264" s="279">
        <v>0.5</v>
      </c>
      <c r="P264" s="522">
        <f t="shared" si="20"/>
        <v>25</v>
      </c>
      <c r="Q264" s="415">
        <f t="shared" si="21"/>
        <v>0.47250000000000003</v>
      </c>
      <c r="R264" s="415" t="str">
        <f t="shared" si="19"/>
        <v/>
      </c>
      <c r="S264" s="59"/>
      <c r="T264" s="61"/>
      <c r="V264" s="248"/>
    </row>
    <row r="265" spans="1:22" x14ac:dyDescent="0.2">
      <c r="A265" s="12"/>
      <c r="B265" s="103"/>
      <c r="C265" s="12" t="s">
        <v>208</v>
      </c>
      <c r="D265" s="104">
        <v>1</v>
      </c>
      <c r="G265" s="246">
        <v>50</v>
      </c>
      <c r="H265" s="228"/>
      <c r="I265" s="228"/>
      <c r="J265" s="386" t="s">
        <v>156</v>
      </c>
      <c r="K265" s="420" t="str">
        <f t="shared" si="23"/>
        <v/>
      </c>
      <c r="L265" s="101"/>
      <c r="M265" s="508">
        <v>1</v>
      </c>
      <c r="N265" s="279">
        <v>0.5</v>
      </c>
      <c r="P265" s="522">
        <f t="shared" si="20"/>
        <v>50</v>
      </c>
      <c r="Q265" s="415">
        <f t="shared" si="21"/>
        <v>0.47250000000000003</v>
      </c>
      <c r="R265" s="415" t="str">
        <f t="shared" si="19"/>
        <v/>
      </c>
      <c r="S265" s="59"/>
      <c r="T265" s="61"/>
      <c r="V265" s="248"/>
    </row>
    <row r="266" spans="1:22" x14ac:dyDescent="0.2">
      <c r="A266" s="12"/>
      <c r="B266" s="103"/>
      <c r="C266" s="12" t="s">
        <v>209</v>
      </c>
      <c r="D266" s="104">
        <v>1</v>
      </c>
      <c r="G266" s="246"/>
      <c r="H266" s="228"/>
      <c r="I266" s="228"/>
      <c r="J266" s="386" t="s">
        <v>156</v>
      </c>
      <c r="K266" s="420" t="str">
        <f t="shared" si="23"/>
        <v/>
      </c>
      <c r="L266" s="101"/>
      <c r="M266" s="508">
        <v>1</v>
      </c>
      <c r="N266" s="279">
        <v>0.5</v>
      </c>
      <c r="P266" s="522">
        <f t="shared" si="20"/>
        <v>0</v>
      </c>
      <c r="Q266" s="415">
        <f t="shared" si="21"/>
        <v>0.47250000000000003</v>
      </c>
      <c r="R266" s="415" t="str">
        <f t="shared" si="19"/>
        <v/>
      </c>
      <c r="S266" s="59"/>
      <c r="T266" s="61"/>
      <c r="V266" s="248"/>
    </row>
    <row r="267" spans="1:22" ht="20.25" customHeight="1" x14ac:dyDescent="0.2">
      <c r="A267" s="12"/>
      <c r="B267" s="103"/>
      <c r="C267" s="12" t="s">
        <v>210</v>
      </c>
      <c r="D267" s="104">
        <v>1</v>
      </c>
      <c r="E267" s="17"/>
      <c r="G267" s="246">
        <v>50</v>
      </c>
      <c r="H267" s="228"/>
      <c r="I267" s="228"/>
      <c r="J267" s="350" t="s">
        <v>156</v>
      </c>
      <c r="K267" s="420" t="str">
        <f t="shared" si="23"/>
        <v/>
      </c>
      <c r="L267" s="93"/>
      <c r="M267" s="508">
        <v>1</v>
      </c>
      <c r="N267" s="279">
        <v>0.5</v>
      </c>
      <c r="O267" s="71"/>
      <c r="P267" s="522">
        <f t="shared" si="20"/>
        <v>50</v>
      </c>
      <c r="Q267" s="415">
        <f t="shared" si="21"/>
        <v>0.47250000000000003</v>
      </c>
      <c r="R267" s="415" t="str">
        <f t="shared" si="19"/>
        <v/>
      </c>
      <c r="S267" s="59"/>
      <c r="T267" s="61"/>
      <c r="V267" s="248"/>
    </row>
    <row r="268" spans="1:22" ht="20.25" customHeight="1" x14ac:dyDescent="0.2">
      <c r="A268" s="12"/>
      <c r="B268" s="103"/>
      <c r="C268" s="12"/>
      <c r="D268" s="104"/>
      <c r="E268" s="16"/>
      <c r="G268" s="246"/>
      <c r="H268" s="228"/>
      <c r="I268" s="228"/>
      <c r="J268" s="376" t="s">
        <v>156</v>
      </c>
      <c r="K268" s="420" t="str">
        <f t="shared" si="23"/>
        <v/>
      </c>
      <c r="L268" s="93"/>
      <c r="M268" s="504"/>
      <c r="N268" s="279"/>
      <c r="O268" s="71"/>
      <c r="P268" s="522" t="str">
        <f t="shared" si="20"/>
        <v/>
      </c>
      <c r="Q268" s="415" t="str">
        <f t="shared" si="21"/>
        <v/>
      </c>
      <c r="R268" s="415" t="str">
        <f t="shared" si="19"/>
        <v/>
      </c>
      <c r="S268" s="59"/>
      <c r="T268" s="61"/>
      <c r="V268" s="248"/>
    </row>
    <row r="269" spans="1:22" ht="20.25" customHeight="1" x14ac:dyDescent="0.2">
      <c r="A269" s="3"/>
      <c r="B269" s="103"/>
      <c r="C269" s="12"/>
      <c r="D269" s="104"/>
      <c r="E269" s="16"/>
      <c r="G269" s="246"/>
      <c r="H269" s="228"/>
      <c r="I269" s="228"/>
      <c r="J269" s="376" t="s">
        <v>156</v>
      </c>
      <c r="K269" s="420" t="str">
        <f t="shared" si="23"/>
        <v/>
      </c>
      <c r="L269" s="93"/>
      <c r="M269" s="504"/>
      <c r="N269" s="279"/>
      <c r="O269" s="71"/>
      <c r="P269" s="522" t="str">
        <f t="shared" si="20"/>
        <v/>
      </c>
      <c r="Q269" s="415" t="str">
        <f t="shared" si="21"/>
        <v/>
      </c>
      <c r="R269" s="415" t="str">
        <f t="shared" ref="R269:R281" si="24">IF(L269=0,"",((L269/1.055)-N269)/(L269/1.055))</f>
        <v/>
      </c>
      <c r="S269" s="59"/>
      <c r="T269" s="61"/>
      <c r="V269" s="248"/>
    </row>
    <row r="270" spans="1:22" ht="20.25" customHeight="1" x14ac:dyDescent="0.2">
      <c r="A270" s="3"/>
      <c r="B270" s="103"/>
      <c r="C270" s="12"/>
      <c r="D270" s="104"/>
      <c r="E270" s="16"/>
      <c r="G270" s="228"/>
      <c r="H270" s="228"/>
      <c r="I270" s="228"/>
      <c r="J270" s="376" t="s">
        <v>156</v>
      </c>
      <c r="K270" s="420" t="str">
        <f t="shared" si="23"/>
        <v/>
      </c>
      <c r="L270" s="93"/>
      <c r="M270" s="504"/>
      <c r="N270" s="279"/>
      <c r="O270" s="71"/>
      <c r="P270" s="522" t="str">
        <f t="shared" ref="P270:P281" si="25">IF(M270="","",IF(ISERROR(IF(L270=0,G270*M270,G270*L270)),"",IF(L270=0,G270*M270,G270*L270)))</f>
        <v/>
      </c>
      <c r="Q270" s="415" t="str">
        <f t="shared" ref="Q270:Q281" si="26">IF(R270&lt;&gt;"","",IF(OR(M270=0,N270=0),"",((M270/1.055)-N270)/(M270/1.055)))</f>
        <v/>
      </c>
      <c r="R270" s="415" t="str">
        <f t="shared" si="24"/>
        <v/>
      </c>
      <c r="S270" s="59"/>
      <c r="T270" s="61"/>
      <c r="V270" s="248"/>
    </row>
    <row r="271" spans="1:22" ht="20.25" customHeight="1" x14ac:dyDescent="0.2">
      <c r="A271" s="3">
        <v>1706</v>
      </c>
      <c r="B271" s="103">
        <v>35324</v>
      </c>
      <c r="C271" s="12" t="s">
        <v>165</v>
      </c>
      <c r="D271" s="3">
        <v>1</v>
      </c>
      <c r="E271" s="18"/>
      <c r="G271" s="246">
        <v>10</v>
      </c>
      <c r="H271" s="228"/>
      <c r="I271" s="228"/>
      <c r="J271" s="210">
        <v>6</v>
      </c>
      <c r="K271" s="420">
        <f t="shared" si="23"/>
        <v>6</v>
      </c>
      <c r="L271" s="93"/>
      <c r="M271" s="508">
        <v>1</v>
      </c>
      <c r="N271" s="279">
        <v>0.5</v>
      </c>
      <c r="O271" s="71"/>
      <c r="P271" s="522">
        <f t="shared" si="25"/>
        <v>10</v>
      </c>
      <c r="Q271" s="415">
        <f t="shared" si="26"/>
        <v>0.47250000000000003</v>
      </c>
      <c r="R271" s="415" t="str">
        <f t="shared" si="24"/>
        <v/>
      </c>
      <c r="S271" s="59"/>
      <c r="T271" s="61"/>
      <c r="V271" s="248"/>
    </row>
    <row r="272" spans="1:22" ht="20.25" customHeight="1" x14ac:dyDescent="0.2">
      <c r="A272" s="3">
        <v>946</v>
      </c>
      <c r="B272" s="104">
        <v>363905</v>
      </c>
      <c r="C272" s="9" t="s">
        <v>163</v>
      </c>
      <c r="D272" s="104">
        <v>1</v>
      </c>
      <c r="E272" s="17"/>
      <c r="G272" s="246">
        <v>10</v>
      </c>
      <c r="H272" s="228"/>
      <c r="I272" s="228"/>
      <c r="J272" s="376" t="s">
        <v>156</v>
      </c>
      <c r="K272" s="420" t="str">
        <f t="shared" si="23"/>
        <v/>
      </c>
      <c r="L272" s="93"/>
      <c r="M272" s="508">
        <v>1</v>
      </c>
      <c r="N272" s="279">
        <v>0.5</v>
      </c>
      <c r="O272" s="71"/>
      <c r="P272" s="522">
        <f t="shared" si="25"/>
        <v>10</v>
      </c>
      <c r="Q272" s="415">
        <f t="shared" si="26"/>
        <v>0.47250000000000003</v>
      </c>
      <c r="R272" s="415" t="str">
        <f t="shared" si="24"/>
        <v/>
      </c>
      <c r="S272" s="59"/>
      <c r="T272" s="61"/>
      <c r="V272" s="248"/>
    </row>
    <row r="273" spans="1:22" ht="20.25" customHeight="1" x14ac:dyDescent="0.2">
      <c r="A273" s="3">
        <v>4631</v>
      </c>
      <c r="B273" s="104">
        <v>2648</v>
      </c>
      <c r="C273" s="9" t="s">
        <v>164</v>
      </c>
      <c r="D273" s="104">
        <v>1</v>
      </c>
      <c r="E273" s="17"/>
      <c r="G273" s="246">
        <v>10</v>
      </c>
      <c r="H273" s="228"/>
      <c r="I273" s="228"/>
      <c r="J273" s="376">
        <v>4</v>
      </c>
      <c r="K273" s="420">
        <f t="shared" si="23"/>
        <v>4</v>
      </c>
      <c r="L273" s="93"/>
      <c r="M273" s="508">
        <v>1</v>
      </c>
      <c r="N273" s="279">
        <v>0.5</v>
      </c>
      <c r="O273" s="71"/>
      <c r="P273" s="522">
        <f t="shared" si="25"/>
        <v>10</v>
      </c>
      <c r="Q273" s="415">
        <f t="shared" si="26"/>
        <v>0.47250000000000003</v>
      </c>
      <c r="R273" s="415" t="str">
        <f t="shared" si="24"/>
        <v/>
      </c>
      <c r="S273" s="59"/>
      <c r="T273" s="61"/>
      <c r="V273" s="248"/>
    </row>
    <row r="274" spans="1:22" ht="20.25" customHeight="1" x14ac:dyDescent="0.2">
      <c r="A274" s="3">
        <v>4044</v>
      </c>
      <c r="B274" s="103">
        <v>2585</v>
      </c>
      <c r="C274" s="12" t="s">
        <v>50</v>
      </c>
      <c r="D274" s="3">
        <v>1</v>
      </c>
      <c r="E274" s="16"/>
      <c r="G274" s="246">
        <v>10</v>
      </c>
      <c r="H274" s="228"/>
      <c r="I274" s="228"/>
      <c r="J274" s="210">
        <v>10</v>
      </c>
      <c r="K274" s="420">
        <f t="shared" si="23"/>
        <v>10</v>
      </c>
      <c r="L274" s="93"/>
      <c r="M274" s="508">
        <v>1</v>
      </c>
      <c r="N274" s="279">
        <v>0.5</v>
      </c>
      <c r="O274" s="71"/>
      <c r="P274" s="522">
        <f t="shared" si="25"/>
        <v>10</v>
      </c>
      <c r="Q274" s="415">
        <f t="shared" si="26"/>
        <v>0.47250000000000003</v>
      </c>
      <c r="R274" s="415" t="str">
        <f t="shared" si="24"/>
        <v/>
      </c>
      <c r="S274" s="59"/>
      <c r="T274" s="61"/>
      <c r="V274" s="248"/>
    </row>
    <row r="275" spans="1:22" ht="20.25" customHeight="1" x14ac:dyDescent="0.2">
      <c r="A275" s="3">
        <v>4632</v>
      </c>
      <c r="B275" s="103">
        <v>2649</v>
      </c>
      <c r="C275" s="12" t="s">
        <v>178</v>
      </c>
      <c r="D275" s="4">
        <v>1</v>
      </c>
      <c r="E275" s="23"/>
      <c r="G275" s="246">
        <v>4</v>
      </c>
      <c r="H275" s="228"/>
      <c r="I275" s="228"/>
      <c r="J275" s="210">
        <v>6</v>
      </c>
      <c r="K275" s="420">
        <f t="shared" si="23"/>
        <v>6</v>
      </c>
      <c r="L275" s="93"/>
      <c r="M275" s="508">
        <v>1</v>
      </c>
      <c r="N275" s="279">
        <v>0.5</v>
      </c>
      <c r="O275" s="71"/>
      <c r="P275" s="522">
        <f t="shared" si="25"/>
        <v>4</v>
      </c>
      <c r="Q275" s="415">
        <f t="shared" si="26"/>
        <v>0.47250000000000003</v>
      </c>
      <c r="R275" s="415" t="str">
        <f t="shared" si="24"/>
        <v/>
      </c>
      <c r="S275" s="59"/>
      <c r="T275" s="61"/>
      <c r="V275" s="248"/>
    </row>
    <row r="276" spans="1:22" ht="20.25" customHeight="1" x14ac:dyDescent="0.2">
      <c r="A276" s="3">
        <v>631</v>
      </c>
      <c r="B276" s="103">
        <v>795325</v>
      </c>
      <c r="C276" s="12" t="s">
        <v>180</v>
      </c>
      <c r="D276" s="3">
        <v>1</v>
      </c>
      <c r="E276" s="20"/>
      <c r="G276" s="246">
        <v>30</v>
      </c>
      <c r="H276" s="228"/>
      <c r="I276" s="228"/>
      <c r="J276" s="376">
        <v>5</v>
      </c>
      <c r="K276" s="420">
        <f t="shared" si="23"/>
        <v>5</v>
      </c>
      <c r="L276" s="94"/>
      <c r="M276" s="508">
        <v>1</v>
      </c>
      <c r="N276" s="279">
        <v>0.5</v>
      </c>
      <c r="O276" s="71"/>
      <c r="P276" s="522">
        <f t="shared" si="25"/>
        <v>30</v>
      </c>
      <c r="Q276" s="415">
        <f t="shared" si="26"/>
        <v>0.47250000000000003</v>
      </c>
      <c r="R276" s="415" t="str">
        <f t="shared" si="24"/>
        <v/>
      </c>
      <c r="S276" s="59"/>
      <c r="T276" s="61"/>
      <c r="V276" s="248"/>
    </row>
    <row r="277" spans="1:22" ht="20.25" customHeight="1" x14ac:dyDescent="0.2">
      <c r="A277" s="3">
        <v>623</v>
      </c>
      <c r="B277" s="103">
        <v>794965</v>
      </c>
      <c r="C277" s="12" t="s">
        <v>198</v>
      </c>
      <c r="D277" s="3">
        <v>1</v>
      </c>
      <c r="E277" s="16"/>
      <c r="G277" s="246">
        <v>10</v>
      </c>
      <c r="H277" s="228"/>
      <c r="I277" s="228"/>
      <c r="J277" s="376" t="s">
        <v>156</v>
      </c>
      <c r="K277" s="420" t="str">
        <f t="shared" si="23"/>
        <v/>
      </c>
      <c r="L277" s="93"/>
      <c r="M277" s="508">
        <v>1</v>
      </c>
      <c r="N277" s="279">
        <v>0.5</v>
      </c>
      <c r="O277" s="71"/>
      <c r="P277" s="522">
        <f t="shared" si="25"/>
        <v>10</v>
      </c>
      <c r="Q277" s="415">
        <f t="shared" si="26"/>
        <v>0.47250000000000003</v>
      </c>
      <c r="R277" s="415" t="str">
        <f t="shared" si="24"/>
        <v/>
      </c>
      <c r="S277" s="59"/>
      <c r="T277" s="61"/>
      <c r="V277" s="248"/>
    </row>
    <row r="278" spans="1:22" ht="20.25" customHeight="1" x14ac:dyDescent="0.2">
      <c r="A278" s="3">
        <v>4599</v>
      </c>
      <c r="B278" s="103">
        <v>2612</v>
      </c>
      <c r="C278" s="12" t="s">
        <v>154</v>
      </c>
      <c r="D278" s="4">
        <v>1</v>
      </c>
      <c r="E278" s="16"/>
      <c r="G278" s="246">
        <v>25</v>
      </c>
      <c r="H278" s="228"/>
      <c r="I278" s="229"/>
      <c r="J278" s="376">
        <v>14</v>
      </c>
      <c r="K278" s="420">
        <f t="shared" si="23"/>
        <v>14</v>
      </c>
      <c r="L278" s="93"/>
      <c r="M278" s="508">
        <v>1</v>
      </c>
      <c r="N278" s="279">
        <v>0.5</v>
      </c>
      <c r="O278" s="71"/>
      <c r="P278" s="522">
        <f t="shared" si="25"/>
        <v>25</v>
      </c>
      <c r="Q278" s="415">
        <f t="shared" si="26"/>
        <v>0.47250000000000003</v>
      </c>
      <c r="R278" s="415" t="str">
        <f t="shared" si="24"/>
        <v/>
      </c>
      <c r="S278" s="59"/>
      <c r="T278" s="61"/>
      <c r="V278" s="248"/>
    </row>
    <row r="279" spans="1:22" ht="20.25" customHeight="1" x14ac:dyDescent="0.2">
      <c r="A279" s="3">
        <v>4602</v>
      </c>
      <c r="B279" s="103">
        <v>2614</v>
      </c>
      <c r="C279" s="12" t="s">
        <v>220</v>
      </c>
      <c r="D279" s="104">
        <v>1</v>
      </c>
      <c r="E279" s="17"/>
      <c r="G279" s="246"/>
      <c r="H279" s="228"/>
      <c r="I279" s="228"/>
      <c r="J279" s="376">
        <v>7</v>
      </c>
      <c r="K279" s="420">
        <f t="shared" si="23"/>
        <v>7</v>
      </c>
      <c r="L279" s="93"/>
      <c r="M279" s="508">
        <v>1</v>
      </c>
      <c r="N279" s="279">
        <v>0.5</v>
      </c>
      <c r="O279" s="71"/>
      <c r="P279" s="522">
        <f t="shared" si="25"/>
        <v>0</v>
      </c>
      <c r="Q279" s="415">
        <f t="shared" si="26"/>
        <v>0.47250000000000003</v>
      </c>
      <c r="R279" s="415" t="str">
        <f t="shared" si="24"/>
        <v/>
      </c>
      <c r="S279" s="59"/>
      <c r="T279" s="61"/>
      <c r="V279" s="248"/>
    </row>
    <row r="280" spans="1:22" ht="20.25" customHeight="1" x14ac:dyDescent="0.2">
      <c r="A280" s="3"/>
      <c r="B280" s="103"/>
      <c r="C280" s="12"/>
      <c r="D280" s="104"/>
      <c r="E280" s="17"/>
      <c r="G280" s="246"/>
      <c r="H280" s="246"/>
      <c r="I280" s="246"/>
      <c r="J280" s="376" t="s">
        <v>156</v>
      </c>
      <c r="K280" s="420" t="str">
        <f t="shared" si="23"/>
        <v/>
      </c>
      <c r="L280" s="101"/>
      <c r="M280" s="519"/>
      <c r="N280" s="279"/>
      <c r="O280" s="40"/>
      <c r="P280" s="522" t="str">
        <f t="shared" si="25"/>
        <v/>
      </c>
      <c r="Q280" s="415" t="str">
        <f t="shared" si="26"/>
        <v/>
      </c>
      <c r="R280" s="415" t="str">
        <f t="shared" si="24"/>
        <v/>
      </c>
      <c r="S280" s="59"/>
      <c r="T280" s="61"/>
      <c r="V280" s="248"/>
    </row>
    <row r="281" spans="1:22" ht="20.25" customHeight="1" thickBot="1" x14ac:dyDescent="0.25">
      <c r="A281" s="3"/>
      <c r="B281" s="341"/>
      <c r="C281" s="12"/>
      <c r="D281" s="104"/>
      <c r="E281" s="17"/>
      <c r="G281" s="246"/>
      <c r="H281" s="246"/>
      <c r="I281" s="246"/>
      <c r="J281" s="386" t="s">
        <v>156</v>
      </c>
      <c r="K281" s="420" t="str">
        <f t="shared" si="23"/>
        <v/>
      </c>
      <c r="M281" s="520"/>
      <c r="N281" s="279"/>
      <c r="O281" s="40"/>
      <c r="P281" s="522" t="str">
        <f t="shared" si="25"/>
        <v/>
      </c>
      <c r="Q281" s="415" t="str">
        <f t="shared" si="26"/>
        <v/>
      </c>
      <c r="R281" s="415" t="str">
        <f t="shared" si="24"/>
        <v/>
      </c>
      <c r="S281" s="59"/>
      <c r="T281" s="61"/>
      <c r="U281" s="247"/>
      <c r="V281" s="249"/>
    </row>
    <row r="282" spans="1:22" s="8" customFormat="1" ht="21.75" customHeight="1" thickBot="1" x14ac:dyDescent="0.25">
      <c r="A282" s="272"/>
      <c r="B282" s="272"/>
      <c r="C282" s="281" t="s">
        <v>42</v>
      </c>
      <c r="D282" s="272"/>
      <c r="E282" s="271"/>
      <c r="F282" s="271"/>
      <c r="G282" s="271"/>
      <c r="H282" s="271"/>
      <c r="I282" s="278"/>
      <c r="J282" s="271"/>
      <c r="K282" s="273"/>
      <c r="L282" s="274"/>
      <c r="M282" s="269"/>
      <c r="N282" s="275"/>
      <c r="O282" s="276"/>
      <c r="P282" s="276"/>
      <c r="Q282" s="277"/>
      <c r="R282" s="277"/>
      <c r="S282" s="277"/>
      <c r="T282" s="402"/>
      <c r="U282" s="402"/>
      <c r="V282" s="267"/>
    </row>
    <row r="283" spans="1:22" s="3" customFormat="1" x14ac:dyDescent="0.2">
      <c r="F283" s="134"/>
      <c r="J283" s="350"/>
      <c r="K283" s="114"/>
      <c r="L283" s="115"/>
      <c r="N283" s="136"/>
      <c r="O283" s="135"/>
      <c r="P283" s="135"/>
      <c r="Q283" s="114"/>
      <c r="R283" s="114"/>
      <c r="S283" s="114"/>
      <c r="T283" s="403"/>
      <c r="U283" s="403"/>
    </row>
    <row r="284" spans="1:22" s="3" customFormat="1" x14ac:dyDescent="0.2">
      <c r="F284" s="134"/>
      <c r="J284" s="350"/>
      <c r="K284" s="114"/>
      <c r="L284" s="115"/>
      <c r="N284" s="136"/>
      <c r="O284" s="135"/>
      <c r="P284" s="135"/>
      <c r="Q284" s="114"/>
      <c r="R284" s="114"/>
      <c r="S284" s="114"/>
      <c r="T284" s="403"/>
      <c r="U284" s="403"/>
    </row>
    <row r="285" spans="1:22" s="3" customFormat="1" x14ac:dyDescent="0.2">
      <c r="F285" s="134"/>
      <c r="J285" s="350"/>
      <c r="K285" s="114"/>
      <c r="L285" s="115"/>
      <c r="N285" s="136"/>
      <c r="O285" s="135"/>
      <c r="P285" s="135"/>
      <c r="Q285" s="114"/>
      <c r="R285" s="114"/>
      <c r="S285" s="114"/>
      <c r="T285" s="403"/>
      <c r="U285" s="403"/>
    </row>
    <row r="286" spans="1:22" s="3" customFormat="1" x14ac:dyDescent="0.2">
      <c r="F286" s="134"/>
      <c r="J286" s="350"/>
      <c r="K286" s="114"/>
      <c r="L286" s="115"/>
      <c r="N286" s="136"/>
      <c r="O286" s="135"/>
      <c r="P286" s="135"/>
      <c r="Q286" s="114"/>
      <c r="R286" s="114"/>
      <c r="S286" s="114"/>
      <c r="T286" s="403"/>
      <c r="U286" s="403"/>
    </row>
    <row r="287" spans="1:22" s="3" customFormat="1" x14ac:dyDescent="0.2">
      <c r="F287" s="134"/>
      <c r="J287" s="350"/>
      <c r="K287" s="114"/>
      <c r="L287" s="115"/>
      <c r="N287" s="136"/>
      <c r="O287" s="135"/>
      <c r="P287" s="135"/>
      <c r="Q287" s="114"/>
      <c r="R287" s="114"/>
      <c r="S287" s="114"/>
      <c r="T287" s="403"/>
      <c r="U287" s="403"/>
    </row>
    <row r="288" spans="1:22" s="3" customFormat="1" x14ac:dyDescent="0.2">
      <c r="F288" s="134"/>
      <c r="J288" s="350"/>
      <c r="K288" s="114"/>
      <c r="L288" s="115"/>
      <c r="N288" s="136"/>
      <c r="O288" s="135"/>
      <c r="P288" s="135"/>
      <c r="Q288" s="114"/>
      <c r="R288" s="114"/>
      <c r="S288" s="114"/>
      <c r="T288" s="403"/>
      <c r="U288" s="403"/>
    </row>
    <row r="289" spans="6:21" s="3" customFormat="1" x14ac:dyDescent="0.2">
      <c r="F289" s="134"/>
      <c r="J289" s="350"/>
      <c r="K289" s="114"/>
      <c r="L289" s="115"/>
      <c r="N289" s="136"/>
      <c r="O289" s="135"/>
      <c r="P289" s="135"/>
      <c r="Q289" s="114"/>
      <c r="R289" s="114"/>
      <c r="S289" s="114"/>
      <c r="T289" s="403"/>
      <c r="U289" s="403"/>
    </row>
    <row r="290" spans="6:21" s="3" customFormat="1" x14ac:dyDescent="0.2">
      <c r="F290" s="134"/>
      <c r="J290" s="210"/>
      <c r="K290" s="114"/>
      <c r="L290" s="115"/>
      <c r="N290" s="136"/>
      <c r="O290" s="135"/>
      <c r="P290" s="135"/>
      <c r="Q290" s="114"/>
      <c r="R290" s="114"/>
      <c r="S290" s="114"/>
      <c r="T290" s="403"/>
      <c r="U290" s="403"/>
    </row>
    <row r="291" spans="6:21" s="3" customFormat="1" x14ac:dyDescent="0.2">
      <c r="F291" s="134"/>
      <c r="J291" s="350"/>
      <c r="K291" s="114"/>
      <c r="L291" s="115"/>
      <c r="N291" s="136"/>
      <c r="O291" s="135"/>
      <c r="P291" s="135"/>
      <c r="Q291" s="114"/>
      <c r="R291" s="114"/>
      <c r="S291" s="114"/>
      <c r="T291" s="403"/>
      <c r="U291" s="403"/>
    </row>
    <row r="292" spans="6:21" s="3" customFormat="1" x14ac:dyDescent="0.2">
      <c r="F292" s="134"/>
      <c r="J292" s="350"/>
      <c r="K292" s="114"/>
      <c r="L292" s="115"/>
      <c r="N292" s="136"/>
      <c r="O292" s="135"/>
      <c r="P292" s="135"/>
      <c r="Q292" s="114"/>
      <c r="R292" s="114"/>
      <c r="S292" s="114"/>
      <c r="T292" s="403"/>
      <c r="U292" s="403"/>
    </row>
    <row r="293" spans="6:21" s="3" customFormat="1" x14ac:dyDescent="0.2">
      <c r="F293" s="134"/>
      <c r="J293" s="350"/>
      <c r="K293" s="114"/>
      <c r="L293" s="115"/>
      <c r="N293" s="136"/>
      <c r="O293" s="135"/>
      <c r="P293" s="135"/>
      <c r="Q293" s="114"/>
      <c r="R293" s="114"/>
      <c r="S293" s="114"/>
      <c r="T293" s="403"/>
      <c r="U293" s="403"/>
    </row>
    <row r="294" spans="6:21" s="3" customFormat="1" x14ac:dyDescent="0.2">
      <c r="F294" s="134"/>
      <c r="J294" s="350"/>
      <c r="K294" s="114"/>
      <c r="L294" s="115"/>
      <c r="N294" s="136"/>
      <c r="O294" s="135"/>
      <c r="P294" s="135"/>
      <c r="Q294" s="114"/>
      <c r="R294" s="114"/>
      <c r="S294" s="114"/>
      <c r="T294" s="403"/>
      <c r="U294" s="403"/>
    </row>
    <row r="295" spans="6:21" s="3" customFormat="1" x14ac:dyDescent="0.2">
      <c r="F295" s="134"/>
      <c r="J295" s="350"/>
      <c r="K295" s="114"/>
      <c r="L295" s="115"/>
      <c r="N295" s="136"/>
      <c r="O295" s="135"/>
      <c r="P295" s="135"/>
      <c r="Q295" s="114"/>
      <c r="R295" s="114"/>
      <c r="S295" s="114"/>
      <c r="T295" s="403"/>
      <c r="U295" s="403"/>
    </row>
    <row r="296" spans="6:21" s="3" customFormat="1" x14ac:dyDescent="0.2">
      <c r="F296" s="134"/>
      <c r="J296" s="350"/>
      <c r="K296" s="114"/>
      <c r="L296" s="115"/>
      <c r="N296" s="136"/>
      <c r="O296" s="135"/>
      <c r="P296" s="135"/>
      <c r="Q296" s="114"/>
      <c r="R296" s="114"/>
      <c r="S296" s="114"/>
      <c r="T296" s="403"/>
      <c r="U296" s="403"/>
    </row>
    <row r="297" spans="6:21" s="3" customFormat="1" x14ac:dyDescent="0.2">
      <c r="F297" s="134"/>
      <c r="J297" s="350"/>
      <c r="K297" s="114"/>
      <c r="L297" s="115"/>
      <c r="N297" s="136"/>
      <c r="O297" s="135"/>
      <c r="P297" s="135"/>
      <c r="Q297" s="114"/>
      <c r="R297" s="114"/>
      <c r="S297" s="114"/>
      <c r="T297" s="403"/>
      <c r="U297" s="403"/>
    </row>
    <row r="298" spans="6:21" s="3" customFormat="1" x14ac:dyDescent="0.2">
      <c r="F298" s="134"/>
      <c r="J298" s="350"/>
      <c r="K298" s="114"/>
      <c r="L298" s="115"/>
      <c r="N298" s="136"/>
      <c r="O298" s="135"/>
      <c r="P298" s="135"/>
      <c r="Q298" s="114"/>
      <c r="R298" s="114"/>
      <c r="S298" s="114"/>
      <c r="T298" s="403"/>
      <c r="U298" s="403"/>
    </row>
    <row r="299" spans="6:21" s="3" customFormat="1" x14ac:dyDescent="0.2">
      <c r="F299" s="134"/>
      <c r="J299" s="350"/>
      <c r="K299" s="114"/>
      <c r="L299" s="115"/>
      <c r="N299" s="136"/>
      <c r="O299" s="135"/>
      <c r="P299" s="135"/>
      <c r="Q299" s="114"/>
      <c r="R299" s="114"/>
      <c r="S299" s="114"/>
      <c r="T299" s="403"/>
      <c r="U299" s="403"/>
    </row>
    <row r="300" spans="6:21" s="3" customFormat="1" x14ac:dyDescent="0.2">
      <c r="F300" s="134"/>
      <c r="J300" s="350"/>
      <c r="K300" s="114"/>
      <c r="L300" s="115"/>
      <c r="N300" s="136"/>
      <c r="O300" s="135"/>
      <c r="P300" s="135"/>
      <c r="Q300" s="114"/>
      <c r="R300" s="114"/>
      <c r="S300" s="114"/>
      <c r="T300" s="403"/>
      <c r="U300" s="403"/>
    </row>
    <row r="301" spans="6:21" s="3" customFormat="1" x14ac:dyDescent="0.2">
      <c r="F301" s="134"/>
      <c r="J301" s="350"/>
      <c r="K301" s="114"/>
      <c r="L301" s="115"/>
      <c r="N301" s="136"/>
      <c r="O301" s="135"/>
      <c r="P301" s="135"/>
      <c r="Q301" s="114"/>
      <c r="R301" s="114"/>
      <c r="S301" s="114"/>
      <c r="T301" s="403"/>
      <c r="U301" s="403"/>
    </row>
    <row r="302" spans="6:21" s="3" customFormat="1" x14ac:dyDescent="0.2">
      <c r="F302" s="134"/>
      <c r="J302" s="350"/>
      <c r="K302" s="114"/>
      <c r="L302" s="115"/>
      <c r="N302" s="136"/>
      <c r="O302" s="135"/>
      <c r="P302" s="135"/>
      <c r="Q302" s="114"/>
      <c r="R302" s="114"/>
      <c r="S302" s="114"/>
      <c r="T302" s="403"/>
      <c r="U302" s="403"/>
    </row>
    <row r="303" spans="6:21" s="3" customFormat="1" x14ac:dyDescent="0.2">
      <c r="F303" s="134"/>
      <c r="J303" s="350"/>
      <c r="K303" s="114"/>
      <c r="L303" s="115"/>
      <c r="N303" s="136"/>
      <c r="O303" s="135"/>
      <c r="P303" s="135"/>
      <c r="Q303" s="114"/>
      <c r="R303" s="114"/>
      <c r="S303" s="114"/>
      <c r="T303" s="403"/>
      <c r="U303" s="403"/>
    </row>
    <row r="304" spans="6:21" s="3" customFormat="1" x14ac:dyDescent="0.2">
      <c r="F304" s="134"/>
      <c r="J304" s="350"/>
      <c r="K304" s="114"/>
      <c r="L304" s="115"/>
      <c r="N304" s="136"/>
      <c r="O304" s="135"/>
      <c r="P304" s="135"/>
      <c r="Q304" s="114"/>
      <c r="R304" s="114"/>
      <c r="S304" s="114"/>
      <c r="T304" s="403"/>
      <c r="U304" s="403"/>
    </row>
    <row r="305" spans="6:21" s="3" customFormat="1" x14ac:dyDescent="0.2">
      <c r="F305" s="134"/>
      <c r="J305" s="350"/>
      <c r="K305" s="114"/>
      <c r="L305" s="115"/>
      <c r="N305" s="136"/>
      <c r="O305" s="135"/>
      <c r="P305" s="135"/>
      <c r="Q305" s="114"/>
      <c r="R305" s="114"/>
      <c r="S305" s="114"/>
      <c r="T305" s="403"/>
      <c r="U305" s="403"/>
    </row>
    <row r="306" spans="6:21" s="3" customFormat="1" x14ac:dyDescent="0.2">
      <c r="F306" s="134"/>
      <c r="J306" s="350"/>
      <c r="K306" s="114"/>
      <c r="L306" s="115"/>
      <c r="N306" s="136"/>
      <c r="O306" s="135"/>
      <c r="P306" s="135"/>
      <c r="Q306" s="114"/>
      <c r="R306" s="114"/>
      <c r="S306" s="114"/>
      <c r="T306" s="403"/>
      <c r="U306" s="403"/>
    </row>
    <row r="307" spans="6:21" s="3" customFormat="1" x14ac:dyDescent="0.2">
      <c r="F307" s="134"/>
      <c r="J307" s="350"/>
      <c r="K307" s="114"/>
      <c r="L307" s="115"/>
      <c r="N307" s="136"/>
      <c r="O307" s="135"/>
      <c r="P307" s="135"/>
      <c r="Q307" s="114"/>
      <c r="R307" s="114"/>
      <c r="S307" s="114"/>
      <c r="T307" s="403"/>
      <c r="U307" s="403"/>
    </row>
    <row r="308" spans="6:21" s="3" customFormat="1" x14ac:dyDescent="0.2">
      <c r="F308" s="134"/>
      <c r="J308" s="350"/>
      <c r="K308" s="114"/>
      <c r="L308" s="115"/>
      <c r="N308" s="136"/>
      <c r="O308" s="135"/>
      <c r="P308" s="135"/>
      <c r="Q308" s="114"/>
      <c r="R308" s="114"/>
      <c r="S308" s="114"/>
      <c r="T308" s="403"/>
      <c r="U308" s="403"/>
    </row>
    <row r="309" spans="6:21" s="3" customFormat="1" x14ac:dyDescent="0.2">
      <c r="F309" s="134"/>
      <c r="J309" s="350"/>
      <c r="K309" s="114"/>
      <c r="L309" s="115"/>
      <c r="N309" s="136"/>
      <c r="O309" s="135"/>
      <c r="P309" s="135"/>
      <c r="Q309" s="114"/>
      <c r="R309" s="114"/>
      <c r="S309" s="114"/>
      <c r="T309" s="403"/>
      <c r="U309" s="403"/>
    </row>
    <row r="310" spans="6:21" s="3" customFormat="1" x14ac:dyDescent="0.2">
      <c r="F310" s="134"/>
      <c r="J310" s="350"/>
      <c r="K310" s="114"/>
      <c r="L310" s="115"/>
      <c r="N310" s="136"/>
      <c r="O310" s="135"/>
      <c r="P310" s="135"/>
      <c r="Q310" s="114"/>
      <c r="R310" s="114"/>
      <c r="S310" s="114"/>
      <c r="T310" s="403"/>
      <c r="U310" s="403"/>
    </row>
    <row r="311" spans="6:21" s="3" customFormat="1" x14ac:dyDescent="0.2">
      <c r="F311" s="134"/>
      <c r="J311" s="350"/>
      <c r="K311" s="114"/>
      <c r="L311" s="115"/>
      <c r="N311" s="136"/>
      <c r="O311" s="135"/>
      <c r="P311" s="135"/>
      <c r="Q311" s="114"/>
      <c r="R311" s="114"/>
      <c r="S311" s="114"/>
      <c r="T311" s="403"/>
      <c r="U311" s="403"/>
    </row>
    <row r="312" spans="6:21" s="3" customFormat="1" x14ac:dyDescent="0.2">
      <c r="F312" s="134"/>
      <c r="J312" s="350"/>
      <c r="K312" s="114"/>
      <c r="L312" s="115"/>
      <c r="N312" s="136"/>
      <c r="O312" s="135"/>
      <c r="P312" s="135"/>
      <c r="Q312" s="114"/>
      <c r="R312" s="114"/>
      <c r="S312" s="114"/>
      <c r="T312" s="403"/>
      <c r="U312" s="403"/>
    </row>
  </sheetData>
  <sheetProtection password="EEC2" sheet="1"/>
  <mergeCells count="16">
    <mergeCell ref="A1:A5"/>
    <mergeCell ref="R12:S12"/>
    <mergeCell ref="Q1:U1"/>
    <mergeCell ref="A10:A11"/>
    <mergeCell ref="K7:K8"/>
    <mergeCell ref="K10:K11"/>
    <mergeCell ref="B10:B11"/>
    <mergeCell ref="C10:C11"/>
    <mergeCell ref="R2:U2"/>
    <mergeCell ref="G10:I10"/>
    <mergeCell ref="R5:U5"/>
    <mergeCell ref="R6:U6"/>
    <mergeCell ref="B1:B3"/>
    <mergeCell ref="R3:U3"/>
    <mergeCell ref="R4:U4"/>
    <mergeCell ref="G2:I2"/>
  </mergeCells>
  <phoneticPr fontId="46" type="noConversion"/>
  <conditionalFormatting sqref="R13:R75 R244:R281 R218:R242 R196:R216 R167:R194 R148:R165 R105:R146 R77:R103">
    <cfRule type="cellIs" dxfId="2" priority="2" stopIfTrue="1" operator="between">
      <formula>0.6</formula>
      <formula>1</formula>
    </cfRule>
    <cfRule type="cellIs" dxfId="1" priority="3" stopIfTrue="1" operator="between">
      <formula>-1</formula>
      <formula>0.6</formula>
    </cfRule>
  </conditionalFormatting>
  <conditionalFormatting sqref="G13:G281">
    <cfRule type="expression" dxfId="0" priority="1" stopIfTrue="1">
      <formula>ISNUMBER($L13)</formula>
    </cfRule>
  </conditionalFormatting>
  <printOptions horizontalCentered="1" verticalCentered="1" gridLines="1" gridLinesSet="0"/>
  <pageMargins left="0.25" right="0.26" top="0.98425196850393704" bottom="0.97" header="0.51181102362204722" footer="0.51181102362204722"/>
  <pageSetup paperSize="9" scale="56" orientation="portrait" r:id="rId1"/>
  <headerFooter alignWithMargins="0">
    <oddHeader>&amp;A</oddHeader>
    <oddFooter>Page &amp;P</oddFooter>
  </headerFooter>
  <rowBreaks count="4" manualBreakCount="4">
    <brk id="66" max="8" man="1"/>
    <brk id="75" max="8" man="1"/>
    <brk id="146" max="8" man="1"/>
    <brk id="194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1111">
    <tabColor indexed="10"/>
  </sheetPr>
  <dimension ref="A1:K388"/>
  <sheetViews>
    <sheetView view="pageBreakPreview" topLeftCell="A38" zoomScale="60" zoomScaleNormal="70" workbookViewId="0">
      <selection activeCell="C47" sqref="C47"/>
    </sheetView>
  </sheetViews>
  <sheetFormatPr baseColWidth="10" defaultRowHeight="15" x14ac:dyDescent="0.2"/>
  <cols>
    <col min="1" max="1" width="15.28515625" style="116" customWidth="1"/>
    <col min="2" max="2" width="15.7109375" style="46" customWidth="1"/>
    <col min="3" max="3" width="47.28515625" style="46" customWidth="1"/>
    <col min="4" max="4" width="13.140625" style="46" customWidth="1"/>
    <col min="5" max="5" width="12.5703125" style="46" customWidth="1"/>
    <col min="6" max="6" width="12.85546875" style="46" customWidth="1"/>
    <col min="7" max="7" width="11.42578125" style="46"/>
    <col min="8" max="8" width="11.42578125" style="47"/>
    <col min="9" max="9" width="10.85546875" style="46" customWidth="1"/>
    <col min="10" max="10" width="14.7109375" style="46" bestFit="1" customWidth="1"/>
    <col min="11" max="11" width="25.42578125" style="46" customWidth="1"/>
    <col min="12" max="12" width="39.7109375" style="46" customWidth="1"/>
    <col min="13" max="13" width="13.140625" style="46" customWidth="1"/>
    <col min="14" max="14" width="12.5703125" style="46" customWidth="1"/>
    <col min="15" max="15" width="12.85546875" style="46" customWidth="1"/>
    <col min="16" max="17" width="11.42578125" style="46"/>
    <col min="18" max="18" width="10.85546875" style="46" customWidth="1"/>
    <col min="19" max="16384" width="11.42578125" style="46"/>
  </cols>
  <sheetData>
    <row r="1" spans="1:9" ht="18.75" customHeight="1" thickBot="1" x14ac:dyDescent="0.25">
      <c r="A1" s="447"/>
      <c r="B1" s="187"/>
      <c r="C1" s="568">
        <f>DIMANCHE!G2</f>
        <v>42120</v>
      </c>
      <c r="D1" s="569"/>
      <c r="E1" s="569"/>
      <c r="F1" s="569"/>
      <c r="G1" s="569"/>
      <c r="H1" s="569"/>
      <c r="I1" s="570"/>
    </row>
    <row r="2" spans="1:9" ht="16.5" customHeight="1" thickBot="1" x14ac:dyDescent="0.25">
      <c r="A2" s="447"/>
      <c r="B2" s="445" t="s">
        <v>31</v>
      </c>
      <c r="C2" s="197" t="s">
        <v>14</v>
      </c>
      <c r="D2" s="198" t="s">
        <v>202</v>
      </c>
      <c r="E2" s="198" t="s">
        <v>214</v>
      </c>
      <c r="F2" s="198" t="s">
        <v>345</v>
      </c>
      <c r="G2" s="198"/>
      <c r="H2" s="198" t="s">
        <v>15</v>
      </c>
      <c r="I2" s="199"/>
    </row>
    <row r="3" spans="1:9" ht="30" customHeight="1" thickBot="1" x14ac:dyDescent="0.25">
      <c r="A3" s="447"/>
      <c r="B3" s="88">
        <f>H3*0.63</f>
        <v>6.3</v>
      </c>
      <c r="C3" s="472" t="str">
        <f>DIMANCHE!C19</f>
        <v>Imperial</v>
      </c>
      <c r="D3" s="48">
        <v>630</v>
      </c>
      <c r="E3" s="48"/>
      <c r="F3" s="48"/>
      <c r="G3" s="48"/>
      <c r="H3" s="523">
        <f>IF(ISBLANK(DIMANCHE!G19),"",DIMANCHE!G19)</f>
        <v>10</v>
      </c>
      <c r="I3" s="49"/>
    </row>
    <row r="4" spans="1:9" ht="30" customHeight="1" thickBot="1" x14ac:dyDescent="0.25">
      <c r="A4" s="447"/>
      <c r="B4" s="185">
        <f>H4*0.63</f>
        <v>9.4499999999999993</v>
      </c>
      <c r="C4" s="473" t="str">
        <f>DIMANCHE!C33</f>
        <v>select t80</v>
      </c>
      <c r="D4" s="433">
        <v>630</v>
      </c>
      <c r="E4" s="433"/>
      <c r="F4" s="433"/>
      <c r="G4" s="433"/>
      <c r="H4" s="524">
        <f>DIMANCHE!G33</f>
        <v>15</v>
      </c>
      <c r="I4" s="444"/>
    </row>
    <row r="5" spans="1:9" ht="30" customHeight="1" x14ac:dyDescent="0.2">
      <c r="A5" s="447"/>
      <c r="B5" s="466"/>
      <c r="C5" s="426"/>
      <c r="D5" s="433"/>
      <c r="E5" s="433"/>
      <c r="F5" s="433"/>
      <c r="G5" s="433"/>
      <c r="H5" s="524"/>
      <c r="I5" s="444"/>
    </row>
    <row r="6" spans="1:9" ht="30" customHeight="1" thickBot="1" x14ac:dyDescent="0.25">
      <c r="A6" s="447"/>
      <c r="B6" s="485"/>
      <c r="C6" s="427"/>
      <c r="D6" s="442"/>
      <c r="E6" s="433"/>
      <c r="F6" s="433"/>
      <c r="G6" s="433"/>
      <c r="H6" s="525"/>
      <c r="I6" s="444"/>
    </row>
    <row r="7" spans="1:9" ht="30" customHeight="1" thickBot="1" x14ac:dyDescent="0.25">
      <c r="A7" s="447"/>
      <c r="B7" s="486">
        <f>H7*0.43</f>
        <v>68.8</v>
      </c>
      <c r="C7" s="189" t="str">
        <f>DIMANCHE!C22</f>
        <v>céréales 300g</v>
      </c>
      <c r="D7" s="433">
        <v>430</v>
      </c>
      <c r="E7" s="50"/>
      <c r="F7" s="50"/>
      <c r="G7" s="50"/>
      <c r="H7" s="526">
        <f>DIMANCHE!G22</f>
        <v>160</v>
      </c>
      <c r="I7" s="52"/>
    </row>
    <row r="8" spans="1:9" ht="30" customHeight="1" thickBot="1" x14ac:dyDescent="0.25">
      <c r="A8" s="447"/>
      <c r="B8" s="207"/>
      <c r="C8" s="189"/>
      <c r="D8" s="432"/>
      <c r="E8" s="50"/>
      <c r="F8" s="50"/>
      <c r="G8" s="50"/>
      <c r="H8" s="526"/>
      <c r="I8" s="52"/>
    </row>
    <row r="9" spans="1:9" ht="30" customHeight="1" thickBot="1" x14ac:dyDescent="0.25">
      <c r="A9" s="447"/>
      <c r="B9" s="486">
        <f>H9*0.53</f>
        <v>0</v>
      </c>
      <c r="C9" s="189" t="str">
        <f>DIMANCHE!C30</f>
        <v xml:space="preserve">Pavé aux graines </v>
      </c>
      <c r="D9" s="433">
        <v>530</v>
      </c>
      <c r="E9" s="50"/>
      <c r="F9" s="50"/>
      <c r="G9" s="50"/>
      <c r="H9" s="526">
        <f>DIMANCHE!G30</f>
        <v>0</v>
      </c>
      <c r="I9" s="52"/>
    </row>
    <row r="10" spans="1:9" ht="30" customHeight="1" thickBot="1" x14ac:dyDescent="0.25">
      <c r="A10" s="447"/>
      <c r="B10" s="185"/>
      <c r="C10" s="178"/>
      <c r="D10" s="429"/>
      <c r="E10" s="50"/>
      <c r="F10" s="50"/>
      <c r="G10" s="50"/>
      <c r="H10" s="524"/>
      <c r="I10" s="52"/>
    </row>
    <row r="11" spans="1:9" ht="30" customHeight="1" thickBot="1" x14ac:dyDescent="0.25">
      <c r="A11" s="447"/>
      <c r="B11" s="88">
        <f>H11*0.43</f>
        <v>60.199999999999996</v>
      </c>
      <c r="C11" s="178" t="str">
        <f>DIMANCHE!C25</f>
        <v>complet 300g</v>
      </c>
      <c r="D11" s="433">
        <v>430</v>
      </c>
      <c r="E11" s="50"/>
      <c r="F11" s="50"/>
      <c r="G11" s="50"/>
      <c r="H11" s="524">
        <f>DIMANCHE!G25</f>
        <v>140</v>
      </c>
      <c r="I11" s="52"/>
    </row>
    <row r="12" spans="1:9" ht="30" customHeight="1" x14ac:dyDescent="0.2">
      <c r="A12" s="447"/>
      <c r="B12" s="191"/>
      <c r="C12" s="53"/>
      <c r="D12" s="432"/>
      <c r="E12" s="50"/>
      <c r="F12" s="50"/>
      <c r="G12" s="50"/>
      <c r="H12" s="524"/>
      <c r="I12" s="52"/>
    </row>
    <row r="13" spans="1:9" ht="30" customHeight="1" thickBot="1" x14ac:dyDescent="0.25">
      <c r="A13" s="447"/>
      <c r="B13" s="502"/>
      <c r="C13" s="178"/>
      <c r="D13" s="429"/>
      <c r="E13" s="50"/>
      <c r="F13" s="50"/>
      <c r="G13" s="50"/>
      <c r="H13" s="524"/>
      <c r="I13" s="52"/>
    </row>
    <row r="14" spans="1:9" ht="30" customHeight="1" x14ac:dyDescent="0.2">
      <c r="A14" s="447"/>
      <c r="B14" s="565">
        <f>(H14*0.34)+(H15*0.63)+(H16*1.25)+((H17*0.43)-E17)+(H18*0.43)</f>
        <v>151.31818181818181</v>
      </c>
      <c r="C14" s="189" t="str">
        <f>DIMANCHE!C14</f>
        <v>Baguette Bio 250 GRS</v>
      </c>
      <c r="D14" s="433">
        <v>340</v>
      </c>
      <c r="E14" s="50"/>
      <c r="F14" s="50"/>
      <c r="G14" s="50"/>
      <c r="H14" s="524">
        <f>DIMANCHE!G14</f>
        <v>200</v>
      </c>
      <c r="I14" s="52"/>
    </row>
    <row r="15" spans="1:9" ht="30" customHeight="1" x14ac:dyDescent="0.2">
      <c r="A15" s="447"/>
      <c r="B15" s="566"/>
      <c r="C15" s="189" t="str">
        <f>DIMANCHE!C15</f>
        <v>Pave Bio 500 GRS</v>
      </c>
      <c r="D15" s="433">
        <v>630</v>
      </c>
      <c r="E15" s="50"/>
      <c r="F15" s="50"/>
      <c r="G15" s="50"/>
      <c r="H15" s="524">
        <f>DIMANCHE!G15</f>
        <v>100</v>
      </c>
      <c r="I15" s="52"/>
    </row>
    <row r="16" spans="1:9" ht="30" customHeight="1" x14ac:dyDescent="0.2">
      <c r="A16" s="447"/>
      <c r="B16" s="566"/>
      <c r="C16" s="244" t="str">
        <f>DIMANCHE!C16</f>
        <v>Pave Bio 1 KG</v>
      </c>
      <c r="D16" s="433">
        <v>1250</v>
      </c>
      <c r="E16" s="50"/>
      <c r="F16" s="50"/>
      <c r="G16" s="50"/>
      <c r="H16" s="524">
        <f>DIMANCHE!G16</f>
        <v>10</v>
      </c>
      <c r="I16" s="52"/>
    </row>
    <row r="17" spans="1:9" ht="30" customHeight="1" x14ac:dyDescent="0.2">
      <c r="A17" s="447"/>
      <c r="B17" s="566"/>
      <c r="C17" s="244" t="str">
        <f>DIMANCHE!C17</f>
        <v>BIO CEREALES 300g</v>
      </c>
      <c r="D17" s="433">
        <v>430</v>
      </c>
      <c r="E17" s="449">
        <f>((((H17*0.43)*100)/110)*10)/100</f>
        <v>0.78181818181818186</v>
      </c>
      <c r="F17" s="449">
        <f>(H17*0.43)-E17</f>
        <v>7.8181818181818175</v>
      </c>
      <c r="G17" s="50"/>
      <c r="H17" s="524">
        <f>DIMANCHE!G17</f>
        <v>20</v>
      </c>
      <c r="I17" s="52"/>
    </row>
    <row r="18" spans="1:9" ht="30" customHeight="1" thickBot="1" x14ac:dyDescent="0.25">
      <c r="A18" s="447"/>
      <c r="B18" s="567"/>
      <c r="C18" s="190" t="str">
        <f>DIMANCHE!C18</f>
        <v>BIO COMPLET 300g</v>
      </c>
      <c r="D18" s="433">
        <v>430</v>
      </c>
      <c r="E18" s="50"/>
      <c r="F18" s="50"/>
      <c r="G18" s="50"/>
      <c r="H18" s="524">
        <f>DIMANCHE!G18</f>
        <v>0</v>
      </c>
      <c r="I18" s="52"/>
    </row>
    <row r="19" spans="1:9" ht="30" customHeight="1" thickBot="1" x14ac:dyDescent="0.25">
      <c r="A19" s="447"/>
      <c r="B19" s="192"/>
      <c r="C19" s="204"/>
      <c r="D19" s="50"/>
      <c r="E19" s="50"/>
      <c r="F19" s="50"/>
      <c r="G19" s="50"/>
      <c r="H19" s="524"/>
      <c r="I19" s="52"/>
    </row>
    <row r="20" spans="1:9" ht="30" customHeight="1" thickBot="1" x14ac:dyDescent="0.25">
      <c r="A20" s="447"/>
      <c r="B20" s="88">
        <f>H20*0.43</f>
        <v>6.45</v>
      </c>
      <c r="C20" s="244" t="str">
        <f>DIMANCHE!C26</f>
        <v>sons 300g</v>
      </c>
      <c r="D20" s="433">
        <v>430</v>
      </c>
      <c r="E20" s="50"/>
      <c r="F20" s="50"/>
      <c r="G20" s="50"/>
      <c r="H20" s="524">
        <f>DIMANCHE!G26</f>
        <v>15</v>
      </c>
      <c r="I20" s="52"/>
    </row>
    <row r="21" spans="1:9" ht="30" customHeight="1" thickBot="1" x14ac:dyDescent="0.25">
      <c r="A21" s="447"/>
      <c r="B21" s="192"/>
      <c r="C21" s="204"/>
      <c r="D21" s="50"/>
      <c r="E21" s="50"/>
      <c r="F21" s="50"/>
      <c r="G21" s="50"/>
      <c r="H21" s="524"/>
      <c r="I21" s="52"/>
    </row>
    <row r="22" spans="1:9" ht="30" customHeight="1" thickBot="1" x14ac:dyDescent="0.25">
      <c r="A22" s="447"/>
      <c r="B22" s="88">
        <f>H22*0.43</f>
        <v>21.5</v>
      </c>
      <c r="C22" s="244" t="str">
        <f>DIMANCHE!C27</f>
        <v>seigle 300g</v>
      </c>
      <c r="D22" s="433">
        <v>430</v>
      </c>
      <c r="E22" s="50"/>
      <c r="F22" s="50"/>
      <c r="G22" s="50"/>
      <c r="H22" s="524">
        <f>DIMANCHE!G27</f>
        <v>50</v>
      </c>
      <c r="I22" s="52"/>
    </row>
    <row r="23" spans="1:9" ht="30" customHeight="1" thickBot="1" x14ac:dyDescent="0.25">
      <c r="A23" s="447"/>
      <c r="B23" s="88">
        <f>H23*0.43</f>
        <v>4.3</v>
      </c>
      <c r="C23" s="244" t="str">
        <f>DIMANCHE!C28</f>
        <v>seigle raisins 300g</v>
      </c>
      <c r="D23" s="433">
        <v>430</v>
      </c>
      <c r="E23" s="449">
        <f>B23*10/100</f>
        <v>0.43</v>
      </c>
      <c r="F23" s="449">
        <f>B23-E23</f>
        <v>3.8699999999999997</v>
      </c>
      <c r="G23" s="50"/>
      <c r="H23" s="524">
        <f>DIMANCHE!G28</f>
        <v>10</v>
      </c>
      <c r="I23" s="52"/>
    </row>
    <row r="24" spans="1:9" ht="30" customHeight="1" x14ac:dyDescent="0.2">
      <c r="A24" s="447"/>
      <c r="B24" s="192"/>
      <c r="C24" s="204"/>
      <c r="D24" s="50"/>
      <c r="E24" s="50"/>
      <c r="F24" s="50"/>
      <c r="G24" s="50"/>
      <c r="H24" s="524"/>
      <c r="I24" s="52"/>
    </row>
    <row r="25" spans="1:9" ht="30" customHeight="1" x14ac:dyDescent="0.2">
      <c r="A25" s="447"/>
      <c r="B25" s="476"/>
      <c r="C25" s="190"/>
      <c r="D25" s="428"/>
      <c r="E25" s="50"/>
      <c r="F25" s="50"/>
      <c r="G25" s="50"/>
      <c r="H25" s="524"/>
      <c r="I25" s="97"/>
    </row>
    <row r="26" spans="1:9" ht="30" customHeight="1" thickBot="1" x14ac:dyDescent="0.25">
      <c r="A26" s="447"/>
      <c r="B26" s="201"/>
      <c r="C26" s="190"/>
      <c r="D26" s="428"/>
      <c r="E26" s="50"/>
      <c r="F26" s="50"/>
      <c r="G26" s="50"/>
      <c r="H26" s="524"/>
      <c r="I26" s="97"/>
    </row>
    <row r="27" spans="1:9" ht="30" customHeight="1" x14ac:dyDescent="0.2">
      <c r="A27" s="447"/>
      <c r="B27" s="563">
        <f>(H27*1.1)+(H28*0.53)+(H29*0.53)+(H30*1.8)</f>
        <v>124.4</v>
      </c>
      <c r="C27" s="190" t="str">
        <f>DIMANCHE!C37</f>
        <v>campagne 800g</v>
      </c>
      <c r="D27" s="433">
        <v>1100</v>
      </c>
      <c r="E27" s="50"/>
      <c r="F27" s="50"/>
      <c r="G27" s="50"/>
      <c r="H27" s="524">
        <f>DIMANCHE!G37</f>
        <v>15</v>
      </c>
      <c r="I27" s="97"/>
    </row>
    <row r="28" spans="1:9" ht="30" customHeight="1" x14ac:dyDescent="0.2">
      <c r="A28" s="447"/>
      <c r="B28" s="564"/>
      <c r="C28" s="190" t="str">
        <f>DIMANCHE!C38</f>
        <v>campagne 400g</v>
      </c>
      <c r="D28" s="433">
        <v>530</v>
      </c>
      <c r="E28" s="50"/>
      <c r="F28" s="50"/>
      <c r="G28" s="50"/>
      <c r="H28" s="524">
        <f>DIMANCHE!G38</f>
        <v>180</v>
      </c>
      <c r="I28" s="52"/>
    </row>
    <row r="29" spans="1:9" ht="30" customHeight="1" x14ac:dyDescent="0.2">
      <c r="A29" s="447"/>
      <c r="B29" s="564"/>
      <c r="C29" s="190" t="str">
        <f>DIMANCHE!C39</f>
        <v>campagne 400g moule</v>
      </c>
      <c r="D29" s="433">
        <v>530</v>
      </c>
      <c r="E29" s="50"/>
      <c r="F29" s="50"/>
      <c r="G29" s="50"/>
      <c r="H29" s="524">
        <f>DIMANCHE!G39</f>
        <v>10</v>
      </c>
      <c r="I29" s="52"/>
    </row>
    <row r="30" spans="1:9" ht="30" customHeight="1" thickBot="1" x14ac:dyDescent="0.25">
      <c r="A30" s="447"/>
      <c r="B30" s="564"/>
      <c r="C30" s="190" t="str">
        <f>DIMANCHE!C40</f>
        <v>campagne 1,5kg</v>
      </c>
      <c r="D30" s="433">
        <v>1800</v>
      </c>
      <c r="E30" s="50"/>
      <c r="F30" s="50"/>
      <c r="G30" s="50"/>
      <c r="H30" s="524">
        <f>DIMANCHE!G40</f>
        <v>4</v>
      </c>
      <c r="I30" s="52"/>
    </row>
    <row r="31" spans="1:9" ht="30" customHeight="1" thickBot="1" x14ac:dyDescent="0.25">
      <c r="A31" s="447"/>
      <c r="B31" s="193">
        <f>H31*0.43</f>
        <v>8.6</v>
      </c>
      <c r="C31" s="190" t="str">
        <f>DIMANCHE!C41</f>
        <v>campagne noix 300g</v>
      </c>
      <c r="D31" s="433">
        <v>430</v>
      </c>
      <c r="E31" s="449">
        <f>B31*10/100</f>
        <v>0.86</v>
      </c>
      <c r="F31" s="449">
        <f>B31-E31</f>
        <v>7.7399999999999993</v>
      </c>
      <c r="G31" s="50"/>
      <c r="H31" s="524">
        <f>DIMANCHE!G41</f>
        <v>20</v>
      </c>
      <c r="I31" s="52"/>
    </row>
    <row r="32" spans="1:9" ht="30" customHeight="1" x14ac:dyDescent="0.2">
      <c r="A32" s="447"/>
      <c r="B32" s="563"/>
      <c r="C32" s="178"/>
      <c r="D32" s="433"/>
      <c r="E32" s="179"/>
      <c r="F32" s="50"/>
      <c r="G32" s="50"/>
      <c r="H32" s="524"/>
      <c r="I32" s="203"/>
    </row>
    <row r="33" spans="1:9" ht="30" customHeight="1" x14ac:dyDescent="0.2">
      <c r="A33" s="447"/>
      <c r="B33" s="564"/>
      <c r="C33" s="178"/>
      <c r="D33" s="433"/>
      <c r="E33" s="179"/>
      <c r="F33" s="50"/>
      <c r="G33" s="50"/>
      <c r="H33" s="524"/>
      <c r="I33" s="203"/>
    </row>
    <row r="34" spans="1:9" ht="30" customHeight="1" thickBot="1" x14ac:dyDescent="0.25">
      <c r="A34" s="447"/>
      <c r="B34" s="464"/>
      <c r="C34" s="471"/>
      <c r="D34" s="433"/>
      <c r="E34" s="53"/>
      <c r="F34" s="50"/>
      <c r="G34" s="50"/>
      <c r="H34" s="524"/>
      <c r="I34" s="188"/>
    </row>
    <row r="35" spans="1:9" ht="30" customHeight="1" x14ac:dyDescent="0.2">
      <c r="A35" s="447"/>
      <c r="B35" s="565">
        <f>H35*0.63+H36*1.25</f>
        <v>70.5</v>
      </c>
      <c r="C35" s="430" t="str">
        <f>DIMANCHE!C46</f>
        <v>pavé saveur 500g</v>
      </c>
      <c r="D35" s="433">
        <v>630</v>
      </c>
      <c r="E35" s="179"/>
      <c r="F35" s="50"/>
      <c r="G35" s="50"/>
      <c r="H35" s="524">
        <f>DIMANCHE!G46</f>
        <v>100</v>
      </c>
      <c r="I35" s="203"/>
    </row>
    <row r="36" spans="1:9" ht="30" customHeight="1" thickBot="1" x14ac:dyDescent="0.25">
      <c r="A36" s="447"/>
      <c r="B36" s="567"/>
      <c r="C36" s="186" t="str">
        <f>DIMANCHE!C47</f>
        <v>pavé saveur 1kg</v>
      </c>
      <c r="D36" s="433">
        <v>1250</v>
      </c>
      <c r="E36" s="53"/>
      <c r="F36" s="50"/>
      <c r="G36" s="50"/>
      <c r="H36" s="524">
        <f>DIMANCHE!J47</f>
        <v>6</v>
      </c>
      <c r="I36" s="188"/>
    </row>
    <row r="37" spans="1:9" ht="30" customHeight="1" thickBot="1" x14ac:dyDescent="0.25">
      <c r="A37" s="447"/>
      <c r="B37" s="193">
        <f>H37*0.43</f>
        <v>10.75</v>
      </c>
      <c r="C37" s="430" t="str">
        <f>DIMANCHE!C278</f>
        <v>Pavé saveur abricots noisettes</v>
      </c>
      <c r="D37" s="433">
        <v>430</v>
      </c>
      <c r="E37" s="449">
        <f>B37*20/100</f>
        <v>2.15</v>
      </c>
      <c r="F37" s="449">
        <f>B37-E37</f>
        <v>8.6</v>
      </c>
      <c r="G37" s="50"/>
      <c r="H37" s="524">
        <f>DIMANCHE!G278</f>
        <v>25</v>
      </c>
      <c r="I37" s="440"/>
    </row>
    <row r="38" spans="1:9" ht="30" customHeight="1" thickBot="1" x14ac:dyDescent="0.25">
      <c r="A38" s="447"/>
      <c r="B38" s="193">
        <f>H38*0.34</f>
        <v>10.200000000000001</v>
      </c>
      <c r="C38" s="430" t="str">
        <f>DIMANCHE!C276</f>
        <v>pavé abricots figues</v>
      </c>
      <c r="D38" s="433">
        <v>340</v>
      </c>
      <c r="E38" s="449">
        <f>B38*20/100</f>
        <v>2.0400000000000005</v>
      </c>
      <c r="F38" s="449">
        <f>B38-E38</f>
        <v>8.16</v>
      </c>
      <c r="G38" s="50"/>
      <c r="H38" s="524">
        <f>DIMANCHE!G276</f>
        <v>30</v>
      </c>
      <c r="I38" s="440"/>
    </row>
    <row r="39" spans="1:9" ht="30" customHeight="1" x14ac:dyDescent="0.2">
      <c r="A39" s="447"/>
      <c r="B39" s="482"/>
      <c r="C39" s="430"/>
      <c r="D39" s="433"/>
      <c r="E39" s="179"/>
      <c r="F39" s="50"/>
      <c r="G39" s="50"/>
      <c r="H39" s="524"/>
      <c r="I39" s="440"/>
    </row>
    <row r="40" spans="1:9" ht="30" customHeight="1" thickBot="1" x14ac:dyDescent="0.25">
      <c r="A40" s="447"/>
      <c r="B40" s="484"/>
      <c r="C40" s="430"/>
      <c r="D40" s="433"/>
      <c r="E40" s="179"/>
      <c r="F40" s="50"/>
      <c r="G40" s="50"/>
      <c r="H40" s="524"/>
      <c r="I40" s="440"/>
    </row>
    <row r="41" spans="1:9" ht="30" customHeight="1" x14ac:dyDescent="0.2">
      <c r="A41" s="447"/>
      <c r="B41" s="565">
        <f>(H41*0.53)+(H42*2.5)</f>
        <v>15.3</v>
      </c>
      <c r="C41" s="430" t="str">
        <f>DIMANCHE!C274</f>
        <v>pavé hally grain 400g</v>
      </c>
      <c r="D41" s="433">
        <v>530</v>
      </c>
      <c r="E41" s="179"/>
      <c r="F41" s="50"/>
      <c r="G41" s="50"/>
      <c r="H41" s="524">
        <f>DIMANCHE!G274</f>
        <v>10</v>
      </c>
      <c r="I41" s="440"/>
    </row>
    <row r="42" spans="1:9" ht="30" customHeight="1" thickBot="1" x14ac:dyDescent="0.25">
      <c r="A42" s="447"/>
      <c r="B42" s="567"/>
      <c r="C42" s="430" t="str">
        <f>DIMANCHE!C275</f>
        <v>miche hally grain 2kg</v>
      </c>
      <c r="D42" s="433">
        <v>2500</v>
      </c>
      <c r="E42" s="179"/>
      <c r="F42" s="50"/>
      <c r="G42" s="50"/>
      <c r="H42" s="524">
        <f>DIMANCHE!G275</f>
        <v>4</v>
      </c>
      <c r="I42" s="440"/>
    </row>
    <row r="43" spans="1:9" ht="30" customHeight="1" x14ac:dyDescent="0.2">
      <c r="A43" s="447"/>
      <c r="B43" s="481"/>
      <c r="C43" s="178"/>
      <c r="D43" s="433"/>
      <c r="E43" s="179"/>
      <c r="F43" s="50"/>
      <c r="G43" s="50"/>
      <c r="H43" s="524"/>
      <c r="I43" s="440"/>
    </row>
    <row r="44" spans="1:9" ht="30" customHeight="1" thickBot="1" x14ac:dyDescent="0.25">
      <c r="A44" s="447"/>
      <c r="B44" s="484"/>
      <c r="C44" s="190"/>
      <c r="D44" s="433"/>
      <c r="E44" s="179"/>
      <c r="F44" s="50"/>
      <c r="G44" s="50"/>
      <c r="H44" s="524"/>
      <c r="I44" s="440"/>
    </row>
    <row r="45" spans="1:9" ht="30" customHeight="1" thickBot="1" x14ac:dyDescent="0.25">
      <c r="A45" s="447"/>
      <c r="B45" s="193">
        <f>H45*0.53</f>
        <v>5.3000000000000007</v>
      </c>
      <c r="C45" s="190" t="str">
        <f>DIMANCHE!C271</f>
        <v>pain  maïs 400g</v>
      </c>
      <c r="D45" s="433">
        <v>530</v>
      </c>
      <c r="E45" s="439"/>
      <c r="F45" s="50"/>
      <c r="G45" s="50"/>
      <c r="H45" s="524">
        <f>DIMANCHE!G271</f>
        <v>10</v>
      </c>
      <c r="I45" s="441"/>
    </row>
    <row r="46" spans="1:9" ht="30" customHeight="1" thickBot="1" x14ac:dyDescent="0.25">
      <c r="A46" s="447"/>
      <c r="B46" s="193">
        <f>H46*0.53</f>
        <v>5.3000000000000007</v>
      </c>
      <c r="C46" s="190" t="str">
        <f>DIMANCHE!C272</f>
        <v>pain muesli 400g</v>
      </c>
      <c r="D46" s="433">
        <v>530</v>
      </c>
      <c r="E46" s="50"/>
      <c r="F46" s="50"/>
      <c r="G46" s="50"/>
      <c r="H46" s="524">
        <f>DIMANCHE!G272</f>
        <v>10</v>
      </c>
      <c r="I46" s="97"/>
    </row>
    <row r="47" spans="1:9" ht="30" customHeight="1" thickBot="1" x14ac:dyDescent="0.25">
      <c r="A47" s="447"/>
      <c r="B47" s="193">
        <f>H47*0.53</f>
        <v>5.3000000000000007</v>
      </c>
      <c r="C47" s="190" t="str">
        <f>DIMANCHE!C273</f>
        <v>Pain figues 400g</v>
      </c>
      <c r="D47" s="433">
        <v>530</v>
      </c>
      <c r="E47" s="449">
        <f>B47*10/100</f>
        <v>0.53</v>
      </c>
      <c r="F47" s="449">
        <f>B47-E47</f>
        <v>4.7700000000000005</v>
      </c>
      <c r="G47" s="50"/>
      <c r="H47" s="524">
        <f>DIMANCHE!G273</f>
        <v>10</v>
      </c>
      <c r="I47" s="97"/>
    </row>
    <row r="48" spans="1:9" ht="30" customHeight="1" thickBot="1" x14ac:dyDescent="0.25">
      <c r="A48" s="447"/>
      <c r="B48" s="193">
        <f>H48*0.37</f>
        <v>3.7</v>
      </c>
      <c r="C48" s="190" t="str">
        <f>DIMANCHE!C277</f>
        <v>pain fibres 300g</v>
      </c>
      <c r="D48" s="433">
        <v>370</v>
      </c>
      <c r="E48" s="50"/>
      <c r="F48" s="50"/>
      <c r="G48" s="50"/>
      <c r="H48" s="524">
        <f>DIMANCHE!G277</f>
        <v>10</v>
      </c>
      <c r="I48" s="97"/>
    </row>
    <row r="49" spans="1:9" ht="30" customHeight="1" x14ac:dyDescent="0.2">
      <c r="A49" s="447"/>
      <c r="B49" s="483"/>
      <c r="C49" s="190"/>
      <c r="D49" s="433"/>
      <c r="E49" s="50"/>
      <c r="F49" s="50"/>
      <c r="G49" s="50"/>
      <c r="H49" s="524"/>
      <c r="I49" s="97"/>
    </row>
    <row r="50" spans="1:9" ht="30" customHeight="1" thickBot="1" x14ac:dyDescent="0.25">
      <c r="A50" s="447"/>
      <c r="B50" s="484"/>
      <c r="C50" s="190"/>
      <c r="D50" s="433"/>
      <c r="E50" s="50"/>
      <c r="F50" s="50"/>
      <c r="G50" s="50"/>
      <c r="H50" s="524"/>
      <c r="I50" s="97"/>
    </row>
    <row r="51" spans="1:9" ht="30" customHeight="1" x14ac:dyDescent="0.2">
      <c r="A51" s="447"/>
      <c r="B51" s="565">
        <f>H51*0.63+H52*1.25+H53*0.53+H54*0.53+H55*1.8+H56*0.53</f>
        <v>46.739999999999995</v>
      </c>
      <c r="C51" s="190" t="str">
        <f>DIMANCHE!C196</f>
        <v>Boulot 500 GRS</v>
      </c>
      <c r="D51" s="433">
        <v>630</v>
      </c>
      <c r="E51" s="50"/>
      <c r="F51" s="50"/>
      <c r="G51" s="50"/>
      <c r="H51" s="524">
        <f>DIMANCHE!G196</f>
        <v>15</v>
      </c>
      <c r="I51" s="97"/>
    </row>
    <row r="52" spans="1:9" ht="30" customHeight="1" x14ac:dyDescent="0.2">
      <c r="A52" s="447"/>
      <c r="B52" s="566"/>
      <c r="C52" s="190" t="str">
        <f>DIMANCHE!C198</f>
        <v>Boulot 1KG</v>
      </c>
      <c r="D52" s="433">
        <v>1250</v>
      </c>
      <c r="E52" s="50"/>
      <c r="F52" s="50"/>
      <c r="G52" s="50"/>
      <c r="H52" s="524">
        <f>DIMANCHE!G198</f>
        <v>15</v>
      </c>
      <c r="I52" s="97"/>
    </row>
    <row r="53" spans="1:9" ht="30" customHeight="1" x14ac:dyDescent="0.2">
      <c r="A53" s="447"/>
      <c r="B53" s="566"/>
      <c r="C53" s="190" t="str">
        <f>DIMANCHE!C199</f>
        <v>Pain platine 400g</v>
      </c>
      <c r="D53" s="433">
        <v>530</v>
      </c>
      <c r="E53" s="50"/>
      <c r="F53" s="50"/>
      <c r="G53" s="50"/>
      <c r="H53" s="524">
        <f>DIMANCHE!G199</f>
        <v>8</v>
      </c>
      <c r="I53" s="97"/>
    </row>
    <row r="54" spans="1:9" ht="30" customHeight="1" x14ac:dyDescent="0.2">
      <c r="A54" s="447"/>
      <c r="B54" s="566"/>
      <c r="C54" s="190" t="str">
        <f>DIMANCHE!C200</f>
        <v>Pain blanc fine croute</v>
      </c>
      <c r="D54" s="433">
        <v>530</v>
      </c>
      <c r="E54" s="50"/>
      <c r="F54" s="50"/>
      <c r="G54" s="50"/>
      <c r="H54" s="524">
        <f>DIMANCHE!G200</f>
        <v>10</v>
      </c>
      <c r="I54" s="97"/>
    </row>
    <row r="55" spans="1:9" ht="30" customHeight="1" x14ac:dyDescent="0.2">
      <c r="A55" s="447"/>
      <c r="B55" s="566"/>
      <c r="C55" s="190" t="str">
        <f>DIMANCHE!C201</f>
        <v>Pain blanc 1,5kg</v>
      </c>
      <c r="D55" s="433">
        <v>1800</v>
      </c>
      <c r="E55" s="50"/>
      <c r="F55" s="50"/>
      <c r="G55" s="50"/>
      <c r="H55" s="524">
        <f>DIMANCHE!G201</f>
        <v>5</v>
      </c>
      <c r="I55" s="97"/>
    </row>
    <row r="56" spans="1:9" ht="30" customHeight="1" thickBot="1" x14ac:dyDescent="0.25">
      <c r="A56" s="447"/>
      <c r="B56" s="567"/>
      <c r="C56" s="190" t="str">
        <f>DIMANCHE!C197</f>
        <v>Miche farinée 400g</v>
      </c>
      <c r="D56" s="433">
        <v>530</v>
      </c>
      <c r="E56" s="50"/>
      <c r="F56" s="50"/>
      <c r="G56" s="50"/>
      <c r="H56" s="524">
        <f>DIMANCHE!G197</f>
        <v>0</v>
      </c>
      <c r="I56" s="97"/>
    </row>
    <row r="57" spans="1:9" ht="30" customHeight="1" x14ac:dyDescent="0.2">
      <c r="A57" s="447"/>
      <c r="B57" s="177"/>
      <c r="C57" s="190"/>
      <c r="D57" s="433"/>
      <c r="E57" s="50"/>
      <c r="F57" s="50"/>
      <c r="G57" s="50"/>
      <c r="H57" s="524"/>
      <c r="I57" s="97"/>
    </row>
    <row r="58" spans="1:9" ht="30" customHeight="1" x14ac:dyDescent="0.2">
      <c r="A58" s="447"/>
      <c r="B58" s="463"/>
      <c r="C58" s="190"/>
      <c r="D58" s="433"/>
      <c r="E58" s="245"/>
      <c r="F58" s="245"/>
      <c r="G58" s="50"/>
      <c r="H58" s="524"/>
      <c r="I58" s="97"/>
    </row>
    <row r="59" spans="1:9" ht="30" customHeight="1" x14ac:dyDescent="0.2">
      <c r="A59" s="447"/>
      <c r="B59" s="462"/>
      <c r="C59" s="190"/>
      <c r="D59" s="433"/>
      <c r="E59" s="50"/>
      <c r="F59" s="50"/>
      <c r="G59" s="50"/>
      <c r="H59" s="524"/>
      <c r="I59" s="97"/>
    </row>
    <row r="60" spans="1:9" ht="30" customHeight="1" x14ac:dyDescent="0.2">
      <c r="A60" s="447"/>
      <c r="B60" s="470"/>
      <c r="C60" s="190"/>
      <c r="D60" s="433"/>
      <c r="E60" s="245"/>
      <c r="F60" s="245"/>
      <c r="G60" s="50"/>
      <c r="H60" s="524"/>
      <c r="I60" s="97"/>
    </row>
    <row r="61" spans="1:9" ht="30" customHeight="1" thickBot="1" x14ac:dyDescent="0.25">
      <c r="A61" s="447"/>
      <c r="B61" s="475"/>
      <c r="C61" s="204"/>
      <c r="D61" s="433"/>
      <c r="E61" s="50"/>
      <c r="F61" s="50"/>
      <c r="G61" s="50"/>
      <c r="H61" s="524"/>
      <c r="I61" s="52"/>
    </row>
    <row r="62" spans="1:9" ht="30" customHeight="1" thickBot="1" x14ac:dyDescent="0.25">
      <c r="A62" s="447"/>
      <c r="B62" s="88">
        <f>H62*0.4</f>
        <v>6</v>
      </c>
      <c r="C62" s="190" t="str">
        <f>DIMANCHE!C58</f>
        <v>Fougasse La Parisienne 400g</v>
      </c>
      <c r="D62" s="433">
        <v>400</v>
      </c>
      <c r="E62" s="50"/>
      <c r="F62" s="50"/>
      <c r="G62" s="50"/>
      <c r="H62" s="524">
        <f>DIMANCHE!G58</f>
        <v>15</v>
      </c>
      <c r="I62" s="97"/>
    </row>
    <row r="63" spans="1:9" ht="30" customHeight="1" thickBot="1" x14ac:dyDescent="0.25">
      <c r="A63" s="447"/>
      <c r="B63" s="193">
        <f>H63*0.45</f>
        <v>10.8</v>
      </c>
      <c r="C63" s="190" t="str">
        <f>DIMANCHE!C59</f>
        <v>Fougasse milano olives400g</v>
      </c>
      <c r="D63" s="433">
        <v>450</v>
      </c>
      <c r="E63" s="449">
        <f>B63*10/100</f>
        <v>1.08</v>
      </c>
      <c r="F63" s="449">
        <f>B63-E63</f>
        <v>9.7200000000000006</v>
      </c>
      <c r="G63" s="50"/>
      <c r="H63" s="524">
        <f>DIMANCHE!G59</f>
        <v>24</v>
      </c>
      <c r="I63" s="97"/>
    </row>
    <row r="64" spans="1:9" ht="30" customHeight="1" thickBot="1" x14ac:dyDescent="0.25">
      <c r="A64" s="447"/>
      <c r="B64" s="88"/>
      <c r="C64" s="190"/>
      <c r="D64" s="433"/>
      <c r="E64" s="50"/>
      <c r="F64" s="449"/>
      <c r="G64" s="50"/>
      <c r="H64" s="524"/>
      <c r="I64" s="97"/>
    </row>
    <row r="65" spans="1:11" ht="30" customHeight="1" thickBot="1" x14ac:dyDescent="0.25">
      <c r="A65" s="447"/>
      <c r="B65" s="193">
        <f>H65*0.45</f>
        <v>4.5</v>
      </c>
      <c r="C65" s="178" t="str">
        <f>DIMANCHE!C61</f>
        <v>Fougasse milano lardons 400g</v>
      </c>
      <c r="D65" s="433">
        <v>450</v>
      </c>
      <c r="E65" s="449">
        <f>B65*10/100</f>
        <v>0.45</v>
      </c>
      <c r="F65" s="449">
        <f>B65-E65</f>
        <v>4.05</v>
      </c>
      <c r="G65" s="50"/>
      <c r="H65" s="524">
        <f>DIMANCHE!G61</f>
        <v>10</v>
      </c>
      <c r="I65" s="97"/>
    </row>
    <row r="66" spans="1:11" ht="30" customHeight="1" thickBot="1" x14ac:dyDescent="0.25">
      <c r="A66" s="447"/>
      <c r="B66" s="88"/>
      <c r="C66" s="178"/>
      <c r="D66" s="433"/>
      <c r="E66" s="449"/>
      <c r="F66" s="449"/>
      <c r="G66" s="50"/>
      <c r="H66" s="524"/>
      <c r="I66" s="97"/>
    </row>
    <row r="67" spans="1:11" ht="30" customHeight="1" thickBot="1" x14ac:dyDescent="0.25">
      <c r="A67" s="447"/>
      <c r="B67" s="88"/>
      <c r="C67" s="178"/>
      <c r="D67" s="433"/>
      <c r="E67" s="449"/>
      <c r="F67" s="204"/>
      <c r="G67" s="50"/>
      <c r="H67" s="524"/>
      <c r="I67" s="97"/>
    </row>
    <row r="68" spans="1:11" ht="30" customHeight="1" thickBot="1" x14ac:dyDescent="0.25">
      <c r="A68" s="447"/>
      <c r="B68" s="193">
        <f>H68*0.32</f>
        <v>3.2</v>
      </c>
      <c r="C68" s="178" t="str">
        <f>DIMANCHE!C189</f>
        <v>toast imperial aux pruneaux</v>
      </c>
      <c r="D68" s="433">
        <v>320</v>
      </c>
      <c r="E68" s="449">
        <f>B68*10/100</f>
        <v>0.32</v>
      </c>
      <c r="F68" s="449">
        <f>B68-E68</f>
        <v>2.8800000000000003</v>
      </c>
      <c r="G68" s="50"/>
      <c r="H68" s="524">
        <f>DIMANCHE!G189</f>
        <v>10</v>
      </c>
      <c r="I68" s="97"/>
    </row>
    <row r="69" spans="1:11" ht="30" customHeight="1" thickBot="1" x14ac:dyDescent="0.25">
      <c r="A69" s="447"/>
      <c r="B69" s="88">
        <f>H69*0.32</f>
        <v>0</v>
      </c>
      <c r="C69" s="178" t="str">
        <f>DIMANCHE!C191</f>
        <v>toast imperial</v>
      </c>
      <c r="D69" s="433">
        <v>320</v>
      </c>
      <c r="E69" s="449"/>
      <c r="F69" s="449"/>
      <c r="G69" s="50"/>
      <c r="H69" s="524">
        <f>DIMANCHE!G191</f>
        <v>0</v>
      </c>
      <c r="I69" s="97"/>
    </row>
    <row r="70" spans="1:11" ht="30" customHeight="1" thickBot="1" x14ac:dyDescent="0.25">
      <c r="A70" s="447"/>
      <c r="B70" s="88">
        <f>H70*0.32</f>
        <v>0</v>
      </c>
      <c r="C70" s="178" t="str">
        <f>DIMANCHE!C192</f>
        <v>pain de mie figues</v>
      </c>
      <c r="D70" s="433">
        <v>320</v>
      </c>
      <c r="E70" s="449">
        <f>B70*15/100</f>
        <v>0</v>
      </c>
      <c r="F70" s="449">
        <f>B70-E70</f>
        <v>0</v>
      </c>
      <c r="G70" s="50"/>
      <c r="H70" s="524">
        <f>DIMANCHE!G192</f>
        <v>0</v>
      </c>
      <c r="I70" s="97"/>
    </row>
    <row r="71" spans="1:11" ht="30" customHeight="1" thickBot="1" x14ac:dyDescent="0.25">
      <c r="A71" s="447"/>
      <c r="B71" s="88">
        <f>H71*0.32</f>
        <v>0</v>
      </c>
      <c r="C71" s="178" t="str">
        <f>DIMANCHE!C193</f>
        <v>pain de mie seigle</v>
      </c>
      <c r="D71" s="433">
        <v>320</v>
      </c>
      <c r="E71" s="449"/>
      <c r="F71" s="449"/>
      <c r="G71" s="50"/>
      <c r="H71" s="524">
        <f>DIMANCHE!G193</f>
        <v>0</v>
      </c>
      <c r="I71" s="97"/>
    </row>
    <row r="72" spans="1:11" ht="30" customHeight="1" thickBot="1" x14ac:dyDescent="0.25">
      <c r="A72" s="447"/>
      <c r="B72" s="88">
        <f>H72*0.32</f>
        <v>0</v>
      </c>
      <c r="C72" s="178" t="str">
        <f>DIMANCHE!C194</f>
        <v>pain de mie figues raisins abricots</v>
      </c>
      <c r="D72" s="433">
        <v>320</v>
      </c>
      <c r="E72" s="449">
        <f>B72*20/100</f>
        <v>0</v>
      </c>
      <c r="F72" s="449">
        <f>B72-E72</f>
        <v>0</v>
      </c>
      <c r="G72" s="50"/>
      <c r="H72" s="524">
        <f>DIMANCHE!G194</f>
        <v>0</v>
      </c>
      <c r="I72" s="97"/>
    </row>
    <row r="73" spans="1:11" ht="30" customHeight="1" x14ac:dyDescent="0.2">
      <c r="A73" s="447"/>
      <c r="B73" s="466"/>
      <c r="C73" s="178"/>
      <c r="D73" s="433"/>
      <c r="E73" s="50"/>
      <c r="F73" s="435"/>
      <c r="G73" s="50"/>
      <c r="H73" s="524"/>
      <c r="I73" s="97"/>
    </row>
    <row r="74" spans="1:11" ht="30" customHeight="1" x14ac:dyDescent="0.2">
      <c r="A74" s="447"/>
      <c r="B74" s="463"/>
      <c r="C74" s="178"/>
      <c r="D74" s="433"/>
      <c r="E74" s="50"/>
      <c r="F74" s="204"/>
      <c r="G74" s="50"/>
      <c r="H74" s="524"/>
      <c r="I74" s="97"/>
    </row>
    <row r="75" spans="1:11" ht="30" customHeight="1" x14ac:dyDescent="0.2">
      <c r="A75" s="447"/>
      <c r="B75" s="185"/>
      <c r="C75" s="178"/>
      <c r="D75" s="433"/>
      <c r="E75" s="50"/>
      <c r="F75" s="204"/>
      <c r="G75" s="50"/>
      <c r="H75" s="524"/>
      <c r="I75" s="97"/>
    </row>
    <row r="76" spans="1:11" ht="30" customHeight="1" x14ac:dyDescent="0.2">
      <c r="A76" s="447"/>
      <c r="B76" s="463"/>
      <c r="C76" s="178"/>
      <c r="D76" s="433"/>
      <c r="E76" s="50"/>
      <c r="F76" s="204"/>
      <c r="G76" s="50"/>
      <c r="H76" s="524"/>
      <c r="I76" s="97"/>
    </row>
    <row r="77" spans="1:11" ht="30" customHeight="1" x14ac:dyDescent="0.2">
      <c r="A77" s="448"/>
      <c r="B77" s="185"/>
      <c r="C77" s="178" t="str">
        <f>DIMANCHE!C260</f>
        <v>Petits pains midinette noix</v>
      </c>
      <c r="D77" s="433"/>
      <c r="E77" s="50"/>
      <c r="F77" s="204"/>
      <c r="G77" s="50"/>
      <c r="H77" s="524">
        <f>DIMANCHE!G260</f>
        <v>50</v>
      </c>
      <c r="I77" s="97"/>
    </row>
    <row r="78" spans="1:11" ht="30" customHeight="1" x14ac:dyDescent="0.2">
      <c r="A78" s="447"/>
      <c r="B78" s="470"/>
      <c r="C78" s="178" t="str">
        <f>DIMANCHE!C261</f>
        <v>Petits pains midinette nature</v>
      </c>
      <c r="D78" s="433"/>
      <c r="E78" s="50"/>
      <c r="F78" s="204"/>
      <c r="G78" s="50"/>
      <c r="H78" s="524">
        <f>DIMANCHE!G261</f>
        <v>50</v>
      </c>
      <c r="I78" s="97"/>
      <c r="J78" s="454"/>
      <c r="K78" s="453"/>
    </row>
    <row r="79" spans="1:11" ht="30" customHeight="1" x14ac:dyDescent="0.2">
      <c r="A79" s="447"/>
      <c r="B79" s="470"/>
      <c r="C79" s="178" t="str">
        <f>DIMANCHE!C262</f>
        <v>Petits pains midinette fromage</v>
      </c>
      <c r="D79" s="433"/>
      <c r="E79" s="50"/>
      <c r="F79" s="204"/>
      <c r="G79" s="50"/>
      <c r="H79" s="524">
        <f>DIMANCHE!G262</f>
        <v>50</v>
      </c>
      <c r="I79" s="97"/>
      <c r="J79" s="577"/>
      <c r="K79" s="575"/>
    </row>
    <row r="80" spans="1:11" ht="30" customHeight="1" x14ac:dyDescent="0.2">
      <c r="A80" s="447"/>
      <c r="B80" s="470"/>
      <c r="C80" s="178" t="str">
        <f>DIMANCHE!C263</f>
        <v>Petits pains midinette sésames</v>
      </c>
      <c r="D80" s="433"/>
      <c r="E80" s="50"/>
      <c r="F80" s="204"/>
      <c r="G80" s="50"/>
      <c r="H80" s="524">
        <f>DIMANCHE!G263</f>
        <v>25</v>
      </c>
      <c r="I80" s="97"/>
      <c r="J80" s="577"/>
      <c r="K80" s="576"/>
    </row>
    <row r="81" spans="1:11" ht="30" customHeight="1" x14ac:dyDescent="0.2">
      <c r="A81" s="447"/>
      <c r="B81" s="470"/>
      <c r="C81" s="178" t="str">
        <f>DIMANCHE!C264</f>
        <v>Petits pains midinette pavot</v>
      </c>
      <c r="D81" s="433"/>
      <c r="E81" s="50"/>
      <c r="F81" s="204"/>
      <c r="G81" s="50"/>
      <c r="H81" s="524">
        <f>DIMANCHE!G264</f>
        <v>25</v>
      </c>
      <c r="I81" s="97"/>
      <c r="J81" s="577"/>
      <c r="K81" s="576"/>
    </row>
    <row r="82" spans="1:11" ht="30" customHeight="1" x14ac:dyDescent="0.2">
      <c r="A82" s="447"/>
      <c r="B82" s="470"/>
      <c r="C82" s="178" t="str">
        <f>DIMANCHE!C265</f>
        <v>Petits pains midinette olives</v>
      </c>
      <c r="D82" s="433"/>
      <c r="E82" s="50"/>
      <c r="F82" s="204"/>
      <c r="G82" s="50"/>
      <c r="H82" s="524">
        <f>DIMANCHE!G265</f>
        <v>50</v>
      </c>
      <c r="I82" s="97"/>
      <c r="J82" s="577"/>
      <c r="K82" s="575"/>
    </row>
    <row r="83" spans="1:11" ht="30" customHeight="1" x14ac:dyDescent="0.2">
      <c r="A83" s="447"/>
      <c r="B83" s="463"/>
      <c r="C83" s="178" t="str">
        <f>DIMANCHE!C266</f>
        <v>Petits pains midinette raisins</v>
      </c>
      <c r="D83" s="433"/>
      <c r="E83" s="50"/>
      <c r="F83" s="204"/>
      <c r="G83" s="50"/>
      <c r="H83" s="524">
        <f>DIMANCHE!G266</f>
        <v>0</v>
      </c>
      <c r="I83" s="97"/>
      <c r="J83" s="577"/>
      <c r="K83" s="575"/>
    </row>
    <row r="84" spans="1:11" ht="30" customHeight="1" x14ac:dyDescent="0.2">
      <c r="A84" s="447"/>
      <c r="B84" s="463"/>
      <c r="C84" s="178" t="str">
        <f>DIMANCHE!C267</f>
        <v>Petits pains midinette lardons</v>
      </c>
      <c r="D84" s="433"/>
      <c r="E84" s="50"/>
      <c r="F84" s="204"/>
      <c r="G84" s="50"/>
      <c r="H84" s="524">
        <f>DIMANCHE!G267</f>
        <v>50</v>
      </c>
      <c r="I84" s="97"/>
      <c r="J84" s="454"/>
      <c r="K84" s="455"/>
    </row>
    <row r="85" spans="1:11" ht="30" customHeight="1" x14ac:dyDescent="0.2">
      <c r="A85" s="447"/>
      <c r="B85" s="463"/>
      <c r="C85" s="178"/>
      <c r="D85" s="433"/>
      <c r="E85" s="50"/>
      <c r="F85" s="204"/>
      <c r="G85" s="50"/>
      <c r="H85" s="524"/>
      <c r="I85" s="97"/>
      <c r="J85" s="454"/>
      <c r="K85" s="455"/>
    </row>
    <row r="86" spans="1:11" ht="30" customHeight="1" x14ac:dyDescent="0.2">
      <c r="A86" s="447"/>
      <c r="B86" s="201"/>
      <c r="C86" s="178"/>
      <c r="D86" s="433"/>
      <c r="E86" s="50"/>
      <c r="F86" s="204"/>
      <c r="G86" s="50"/>
      <c r="H86" s="524"/>
      <c r="I86" s="97"/>
      <c r="K86" s="53"/>
    </row>
    <row r="87" spans="1:11" ht="30" customHeight="1" thickBot="1" x14ac:dyDescent="0.25">
      <c r="A87" s="447"/>
      <c r="B87" s="461"/>
      <c r="C87" s="189"/>
      <c r="D87" s="433"/>
      <c r="E87" s="50"/>
      <c r="F87" s="204"/>
      <c r="G87" s="50"/>
      <c r="H87" s="524"/>
      <c r="I87" s="97"/>
    </row>
    <row r="88" spans="1:11" ht="30" customHeight="1" thickBot="1" x14ac:dyDescent="0.25">
      <c r="A88" s="447"/>
      <c r="B88" s="88">
        <f>H88*0.34</f>
        <v>238.00000000000003</v>
      </c>
      <c r="C88" s="189" t="str">
        <f>DIMANCHE!C77</f>
        <v xml:space="preserve">Baguette saveur    </v>
      </c>
      <c r="D88" s="433">
        <v>340</v>
      </c>
      <c r="E88" s="50"/>
      <c r="F88" s="204"/>
      <c r="G88" s="50"/>
      <c r="H88" s="524">
        <f>DIMANCHE!G77</f>
        <v>700</v>
      </c>
      <c r="I88" s="97"/>
    </row>
    <row r="89" spans="1:11" ht="30" customHeight="1" thickBot="1" x14ac:dyDescent="0.25">
      <c r="A89" s="447"/>
      <c r="B89" s="88">
        <f>H89*0.34</f>
        <v>6.8000000000000007</v>
      </c>
      <c r="C89" s="189" t="str">
        <f>DIMANCHE!C78</f>
        <v xml:space="preserve">Baguette saveur Pavot  </v>
      </c>
      <c r="D89" s="433">
        <v>340</v>
      </c>
      <c r="E89" s="50"/>
      <c r="F89" s="204"/>
      <c r="G89" s="50"/>
      <c r="H89" s="524">
        <f>DIMANCHE!G78</f>
        <v>20</v>
      </c>
      <c r="I89" s="97"/>
    </row>
    <row r="90" spans="1:11" ht="30" customHeight="1" thickBot="1" x14ac:dyDescent="0.25">
      <c r="A90" s="447"/>
      <c r="B90" s="88">
        <f>H90*0.34</f>
        <v>6.8000000000000007</v>
      </c>
      <c r="C90" s="189" t="str">
        <f>DIMANCHE!C79</f>
        <v xml:space="preserve">Baguette saveur Sesame   </v>
      </c>
      <c r="D90" s="433">
        <v>340</v>
      </c>
      <c r="E90" s="50"/>
      <c r="F90" s="204"/>
      <c r="G90" s="50"/>
      <c r="H90" s="524">
        <f>DIMANCHE!G79</f>
        <v>20</v>
      </c>
      <c r="I90" s="97"/>
    </row>
    <row r="91" spans="1:11" ht="30" customHeight="1" thickBot="1" x14ac:dyDescent="0.25">
      <c r="A91" s="447"/>
      <c r="B91" s="88">
        <f>H91*0.53</f>
        <v>37.1</v>
      </c>
      <c r="C91" s="189" t="str">
        <f>DIMANCHE!C80</f>
        <v>Pain saveur 400g</v>
      </c>
      <c r="D91" s="433">
        <v>530</v>
      </c>
      <c r="E91" s="50"/>
      <c r="F91" s="204"/>
      <c r="G91" s="50"/>
      <c r="H91" s="527">
        <f>DIMANCHE!G80</f>
        <v>70</v>
      </c>
      <c r="I91" s="97"/>
    </row>
    <row r="92" spans="1:11" ht="30" customHeight="1" thickBot="1" x14ac:dyDescent="0.25">
      <c r="A92" s="447"/>
      <c r="B92" s="88">
        <f>H92*0.34</f>
        <v>47.6</v>
      </c>
      <c r="C92" s="189" t="str">
        <f>DIMANCHE!C81</f>
        <v>Baguette céréales</v>
      </c>
      <c r="D92" s="433">
        <v>340</v>
      </c>
      <c r="E92" s="50"/>
      <c r="F92" s="204"/>
      <c r="G92" s="50"/>
      <c r="H92" s="527">
        <f>DIMANCHE!G81</f>
        <v>140</v>
      </c>
      <c r="I92" s="97"/>
    </row>
    <row r="93" spans="1:11" ht="30" customHeight="1" thickBot="1" x14ac:dyDescent="0.25">
      <c r="A93" s="447"/>
      <c r="B93" s="88">
        <f>H93*0.34</f>
        <v>17</v>
      </c>
      <c r="C93" s="189" t="str">
        <f>DIMANCHE!C83</f>
        <v>Baguette complète</v>
      </c>
      <c r="D93" s="433">
        <v>340</v>
      </c>
      <c r="E93" s="50"/>
      <c r="F93" s="204"/>
      <c r="G93" s="50"/>
      <c r="H93" s="527">
        <f>DIMANCHE!G83</f>
        <v>50</v>
      </c>
      <c r="I93" s="97"/>
    </row>
    <row r="94" spans="1:11" ht="30" customHeight="1" thickBot="1" x14ac:dyDescent="0.25">
      <c r="A94" s="447"/>
      <c r="B94" s="88">
        <f>H94*0.34</f>
        <v>23.8</v>
      </c>
      <c r="C94" s="189" t="str">
        <f>DIMANCHE!C84</f>
        <v>Baguette Hally grain</v>
      </c>
      <c r="D94" s="433">
        <v>340</v>
      </c>
      <c r="E94" s="50"/>
      <c r="F94" s="204"/>
      <c r="G94" s="50"/>
      <c r="H94" s="524">
        <f>DIMANCHE!G84</f>
        <v>70</v>
      </c>
      <c r="I94" s="97"/>
    </row>
    <row r="95" spans="1:11" ht="30" customHeight="1" thickBot="1" x14ac:dyDescent="0.25">
      <c r="A95" s="447"/>
      <c r="B95" s="88">
        <f>H95*0.34</f>
        <v>27.200000000000003</v>
      </c>
      <c r="C95" s="189" t="str">
        <f>DIMANCHE!C85</f>
        <v>Baguette St Georges</v>
      </c>
      <c r="D95" s="433">
        <v>340</v>
      </c>
      <c r="E95" s="50"/>
      <c r="F95" s="204"/>
      <c r="G95" s="50"/>
      <c r="H95" s="524">
        <f>DIMANCHE!G85</f>
        <v>80</v>
      </c>
      <c r="I95" s="97"/>
    </row>
    <row r="96" spans="1:11" ht="30" customHeight="1" thickBot="1" x14ac:dyDescent="0.25">
      <c r="A96" s="447"/>
      <c r="B96" s="191"/>
      <c r="C96" s="189" t="str">
        <f>DIMANCHE!C87</f>
        <v>Baguette mie dinette</v>
      </c>
      <c r="D96" s="433">
        <v>340</v>
      </c>
      <c r="E96" s="50"/>
      <c r="F96" s="204"/>
      <c r="G96" s="50"/>
      <c r="H96" s="524">
        <f>DIMANCHE!G87</f>
        <v>540</v>
      </c>
      <c r="I96" s="97"/>
    </row>
    <row r="97" spans="1:11" ht="30" customHeight="1" thickBot="1" x14ac:dyDescent="0.25">
      <c r="A97" s="447"/>
      <c r="B97" s="88">
        <f>H97*0.34</f>
        <v>47.6</v>
      </c>
      <c r="C97" s="189" t="str">
        <f>DIMANCHE!C90</f>
        <v>Baguuette campagne</v>
      </c>
      <c r="D97" s="433">
        <v>340</v>
      </c>
      <c r="E97" s="50"/>
      <c r="F97" s="204"/>
      <c r="G97" s="50"/>
      <c r="H97" s="524">
        <f>DIMANCHE!G90</f>
        <v>140</v>
      </c>
      <c r="I97" s="97"/>
    </row>
    <row r="98" spans="1:11" ht="30" customHeight="1" thickBot="1" x14ac:dyDescent="0.25">
      <c r="A98" s="447"/>
      <c r="B98" s="88">
        <f>H98*0.34</f>
        <v>27.200000000000003</v>
      </c>
      <c r="C98" s="189" t="str">
        <f>DIMANCHE!C244</f>
        <v>Baguettela bresilienne</v>
      </c>
      <c r="D98" s="433">
        <v>340</v>
      </c>
      <c r="E98" s="50"/>
      <c r="F98" s="204"/>
      <c r="G98" s="50"/>
      <c r="H98" s="524">
        <f>DIMANCHE!G244</f>
        <v>80</v>
      </c>
      <c r="I98" s="97"/>
    </row>
    <row r="99" spans="1:11" ht="30" customHeight="1" thickBot="1" x14ac:dyDescent="0.25">
      <c r="A99" s="447"/>
      <c r="B99" s="88">
        <f>H99*0.34</f>
        <v>0</v>
      </c>
      <c r="C99" s="189" t="str">
        <f>DIMANCHE!C245</f>
        <v>baguette sarrasine</v>
      </c>
      <c r="D99" s="433">
        <v>340</v>
      </c>
      <c r="E99" s="50"/>
      <c r="F99" s="204"/>
      <c r="G99" s="50"/>
      <c r="H99" s="524">
        <f>DIMANCHE!G245</f>
        <v>0</v>
      </c>
      <c r="I99" s="97"/>
    </row>
    <row r="100" spans="1:11" ht="30" customHeight="1" thickBot="1" x14ac:dyDescent="0.25">
      <c r="A100" s="447"/>
      <c r="B100" s="88">
        <f>H100*0.34</f>
        <v>0</v>
      </c>
      <c r="C100" s="189" t="str">
        <f>DIMANCHE!C86</f>
        <v>Baguette milano</v>
      </c>
      <c r="D100" s="433">
        <v>340</v>
      </c>
      <c r="E100" s="50"/>
      <c r="F100" s="204"/>
      <c r="G100" s="50"/>
      <c r="H100" s="524">
        <f>DIMANCHE!G86</f>
        <v>0</v>
      </c>
      <c r="I100" s="97"/>
    </row>
    <row r="101" spans="1:11" ht="30" customHeight="1" x14ac:dyDescent="0.2">
      <c r="A101" s="447"/>
      <c r="B101" s="469"/>
      <c r="C101" s="189"/>
      <c r="D101" s="433"/>
      <c r="E101" s="50"/>
      <c r="F101" s="204"/>
      <c r="G101" s="50"/>
      <c r="H101" s="524"/>
      <c r="I101" s="97"/>
    </row>
    <row r="102" spans="1:11" ht="30" customHeight="1" thickBot="1" x14ac:dyDescent="0.25">
      <c r="A102" s="447"/>
      <c r="B102" s="192"/>
      <c r="C102" s="189"/>
      <c r="D102" s="433"/>
      <c r="E102" s="50"/>
      <c r="F102" s="204"/>
      <c r="G102" s="50"/>
      <c r="H102" s="524"/>
      <c r="I102" s="97"/>
    </row>
    <row r="103" spans="1:11" ht="30" customHeight="1" thickBot="1" x14ac:dyDescent="0.25">
      <c r="A103" s="447"/>
      <c r="B103" s="88">
        <f>H103*0.17</f>
        <v>6.8000000000000007</v>
      </c>
      <c r="C103" s="189" t="str">
        <f>DIMANCHE!C136</f>
        <v>Déjeunettes viennoises X 4</v>
      </c>
      <c r="D103" s="433">
        <v>170</v>
      </c>
      <c r="E103" s="50"/>
      <c r="F103" s="204"/>
      <c r="G103" s="50"/>
      <c r="H103" s="524">
        <f>DIMANCHE!G136*4</f>
        <v>40</v>
      </c>
      <c r="I103" s="97"/>
    </row>
    <row r="104" spans="1:11" ht="30" customHeight="1" thickBot="1" x14ac:dyDescent="0.25">
      <c r="A104" s="447"/>
      <c r="B104" s="88">
        <f>H104*0.53</f>
        <v>4.24</v>
      </c>
      <c r="C104" s="189" t="str">
        <f>DIMANCHE!C137</f>
        <v>pain de mie 400g</v>
      </c>
      <c r="D104" s="433">
        <v>530</v>
      </c>
      <c r="E104" s="50"/>
      <c r="F104" s="204"/>
      <c r="G104" s="50"/>
      <c r="H104" s="524">
        <f>DIMANCHE!G137</f>
        <v>8</v>
      </c>
      <c r="I104" s="97"/>
    </row>
    <row r="105" spans="1:11" ht="30" customHeight="1" x14ac:dyDescent="0.2">
      <c r="A105" s="447"/>
      <c r="B105" s="192"/>
      <c r="C105" s="244"/>
      <c r="D105" s="433"/>
      <c r="E105" s="50"/>
      <c r="F105" s="50"/>
      <c r="G105" s="50"/>
      <c r="H105" s="524"/>
      <c r="I105" s="97"/>
    </row>
    <row r="106" spans="1:11" ht="30" customHeight="1" x14ac:dyDescent="0.2">
      <c r="A106" s="447"/>
      <c r="B106" s="480"/>
      <c r="C106" s="244"/>
      <c r="D106" s="433"/>
      <c r="E106" s="50"/>
      <c r="F106" s="50"/>
      <c r="G106" s="50"/>
      <c r="H106" s="524"/>
      <c r="I106" s="97"/>
    </row>
    <row r="107" spans="1:11" ht="30" customHeight="1" x14ac:dyDescent="0.2">
      <c r="A107" s="447"/>
      <c r="B107" s="479"/>
      <c r="C107" s="244"/>
      <c r="D107" s="433"/>
      <c r="E107" s="50"/>
      <c r="F107" s="50"/>
      <c r="G107" s="50"/>
      <c r="H107" s="524"/>
      <c r="I107" s="97"/>
    </row>
    <row r="108" spans="1:11" ht="30" customHeight="1" thickBot="1" x14ac:dyDescent="0.25">
      <c r="A108" s="447"/>
      <c r="B108" s="192"/>
      <c r="C108" s="244"/>
      <c r="D108" s="433"/>
      <c r="E108" s="50"/>
      <c r="F108" s="50"/>
      <c r="G108" s="50"/>
      <c r="H108" s="524"/>
      <c r="I108" s="97"/>
    </row>
    <row r="109" spans="1:11" ht="30" customHeight="1" thickBot="1" x14ac:dyDescent="0.25">
      <c r="A109" s="447"/>
      <c r="B109" s="88">
        <f>H109*0.33</f>
        <v>3.3000000000000003</v>
      </c>
      <c r="C109" s="244" t="str">
        <f>DIMANCHE!C218</f>
        <v>Batard sans sel 250g</v>
      </c>
      <c r="D109" s="433">
        <v>330</v>
      </c>
      <c r="E109" s="50"/>
      <c r="F109" s="50"/>
      <c r="G109" s="50"/>
      <c r="H109" s="524">
        <f>DIMANCHE!G218</f>
        <v>10</v>
      </c>
      <c r="I109" s="97"/>
    </row>
    <row r="110" spans="1:11" ht="30" customHeight="1" thickBot="1" x14ac:dyDescent="0.25">
      <c r="A110" s="447"/>
      <c r="B110" s="88">
        <f>H110*0.17</f>
        <v>8.5</v>
      </c>
      <c r="C110" s="244" t="str">
        <f>DIMANCHE!C91</f>
        <v>Ficelle</v>
      </c>
      <c r="D110" s="433">
        <v>170</v>
      </c>
      <c r="E110" s="50"/>
      <c r="F110" s="50"/>
      <c r="G110" s="50"/>
      <c r="H110" s="524">
        <f>DIMANCHE!G91</f>
        <v>50</v>
      </c>
      <c r="I110" s="97"/>
      <c r="J110" s="443">
        <f>B113/40.8</f>
        <v>11.000000000000002</v>
      </c>
      <c r="K110" s="459" t="s">
        <v>216</v>
      </c>
    </row>
    <row r="111" spans="1:11" ht="30" customHeight="1" thickBot="1" x14ac:dyDescent="0.25">
      <c r="A111" s="447"/>
      <c r="B111" s="88">
        <f>H111*0.34</f>
        <v>30.6</v>
      </c>
      <c r="C111" s="244" t="str">
        <f>DIMANCHE!C92</f>
        <v xml:space="preserve">Baguette sur Sole </v>
      </c>
      <c r="D111" s="433">
        <v>340</v>
      </c>
      <c r="E111" s="50"/>
      <c r="F111" s="50"/>
      <c r="G111" s="50"/>
      <c r="H111" s="524">
        <f>DIMANCHE!G92</f>
        <v>90</v>
      </c>
      <c r="I111" s="97"/>
      <c r="J111" s="573">
        <f>B109+B110+B111+B112+B113+B115+B116+B117+B118+B119+B120</f>
        <v>956.30000000000007</v>
      </c>
      <c r="K111" s="571" t="s">
        <v>219</v>
      </c>
    </row>
    <row r="112" spans="1:11" ht="30" customHeight="1" thickBot="1" x14ac:dyDescent="0.25">
      <c r="A112" s="447"/>
      <c r="B112" s="88">
        <f>H112*0.53</f>
        <v>26.5</v>
      </c>
      <c r="C112" s="244" t="str">
        <f>DIMANCHE!C93</f>
        <v>Pain parisien 400g</v>
      </c>
      <c r="D112" s="433">
        <v>530</v>
      </c>
      <c r="E112" s="50"/>
      <c r="F112" s="438"/>
      <c r="G112" s="50"/>
      <c r="H112" s="524">
        <f>DIMANCHE!G93</f>
        <v>50</v>
      </c>
      <c r="I112" s="52"/>
      <c r="J112" s="581"/>
      <c r="K112" s="578"/>
    </row>
    <row r="113" spans="1:11" ht="30" customHeight="1" thickBot="1" x14ac:dyDescent="0.25">
      <c r="A113" s="447"/>
      <c r="B113" s="88">
        <f>H113*0.34</f>
        <v>448.8</v>
      </c>
      <c r="C113" s="244" t="str">
        <f>DIMANCHE!C94</f>
        <v>Baguette 250 GRS</v>
      </c>
      <c r="D113" s="433">
        <v>340</v>
      </c>
      <c r="E113" s="50"/>
      <c r="F113" s="438"/>
      <c r="G113" s="50"/>
      <c r="H113" s="524">
        <f>DIMANCHE!G94</f>
        <v>1320</v>
      </c>
      <c r="I113" s="52"/>
      <c r="J113" s="573">
        <f>(B109+B110+B111+B112+B113+B115+B116+B117+B118+B119+B120)/132</f>
        <v>7.2446969696969701</v>
      </c>
      <c r="K113" s="579" t="s">
        <v>218</v>
      </c>
    </row>
    <row r="114" spans="1:11" ht="30" customHeight="1" thickBot="1" x14ac:dyDescent="0.25">
      <c r="A114" s="447"/>
      <c r="B114" s="466"/>
      <c r="C114" s="244"/>
      <c r="D114" s="433"/>
      <c r="E114" s="50"/>
      <c r="F114" s="438"/>
      <c r="G114" s="50"/>
      <c r="H114" s="526"/>
      <c r="I114" s="52"/>
      <c r="J114" s="574"/>
      <c r="K114" s="580"/>
    </row>
    <row r="115" spans="1:11" ht="30" customHeight="1" thickBot="1" x14ac:dyDescent="0.25">
      <c r="A115" s="447"/>
      <c r="B115" s="185">
        <f>H115*0.17</f>
        <v>10.200000000000001</v>
      </c>
      <c r="C115" s="244" t="str">
        <f>DIMANCHE!C105</f>
        <v>Dejeunette X 2</v>
      </c>
      <c r="D115" s="433">
        <v>170</v>
      </c>
      <c r="E115" s="50"/>
      <c r="F115" s="438"/>
      <c r="G115" s="50"/>
      <c r="H115" s="526">
        <f>DIMANCHE!G105*2</f>
        <v>60</v>
      </c>
      <c r="I115" s="52"/>
      <c r="J115" s="457"/>
      <c r="K115" s="458"/>
    </row>
    <row r="116" spans="1:11" ht="30" customHeight="1" thickBot="1" x14ac:dyDescent="0.25">
      <c r="A116" s="447"/>
      <c r="B116" s="88">
        <f>H116*0.17</f>
        <v>357</v>
      </c>
      <c r="C116" s="244" t="str">
        <f>DIMANCHE!C106</f>
        <v>Dejeunette X 5</v>
      </c>
      <c r="D116" s="433">
        <v>170</v>
      </c>
      <c r="E116" s="50"/>
      <c r="F116" s="438"/>
      <c r="G116" s="50"/>
      <c r="H116" s="526">
        <f>DIMANCHE!G106*5</f>
        <v>2100</v>
      </c>
      <c r="I116" s="52"/>
      <c r="J116" s="452">
        <f>(H115+H116+H117)/16</f>
        <v>147.5</v>
      </c>
      <c r="K116" s="456" t="s">
        <v>215</v>
      </c>
    </row>
    <row r="117" spans="1:11" ht="30" customHeight="1" thickBot="1" x14ac:dyDescent="0.25">
      <c r="A117" s="447"/>
      <c r="B117" s="184">
        <f>H117*0.17</f>
        <v>34</v>
      </c>
      <c r="C117" s="189" t="str">
        <f>DIMANCHE!C107</f>
        <v>Dejeunette X10</v>
      </c>
      <c r="D117" s="433">
        <v>170</v>
      </c>
      <c r="E117" s="50"/>
      <c r="F117" s="179"/>
      <c r="G117" s="50"/>
      <c r="H117" s="526">
        <f>DIMANCHE!G107*10</f>
        <v>200</v>
      </c>
      <c r="I117" s="203"/>
      <c r="J117" s="451"/>
      <c r="K117" s="450"/>
    </row>
    <row r="118" spans="1:11" ht="30" customHeight="1" thickBot="1" x14ac:dyDescent="0.25">
      <c r="A118" s="447"/>
      <c r="B118" s="88">
        <f>H118*0.068</f>
        <v>6.8000000000000007</v>
      </c>
      <c r="C118" s="189" t="str">
        <f>DIMANCHE!C108</f>
        <v>Petits pains X 5</v>
      </c>
      <c r="D118" s="433">
        <v>68</v>
      </c>
      <c r="E118" s="50"/>
      <c r="F118" s="179"/>
      <c r="G118" s="50"/>
      <c r="H118" s="526">
        <f>DIMANCHE!G108*5</f>
        <v>100</v>
      </c>
      <c r="I118" s="52"/>
      <c r="J118" s="573">
        <f>(H118+H119)/32</f>
        <v>12.5</v>
      </c>
      <c r="K118" s="571" t="s">
        <v>215</v>
      </c>
    </row>
    <row r="119" spans="1:11" ht="30" customHeight="1" thickBot="1" x14ac:dyDescent="0.25">
      <c r="A119" s="447"/>
      <c r="B119" s="185">
        <f>H119*0.068</f>
        <v>20.400000000000002</v>
      </c>
      <c r="C119" s="189" t="str">
        <f>DIMANCHE!C109</f>
        <v>Petits pains x 10</v>
      </c>
      <c r="D119" s="433">
        <v>68</v>
      </c>
      <c r="E119" s="50"/>
      <c r="G119" s="50"/>
      <c r="H119" s="526">
        <f>DIMANCHE!G109*10</f>
        <v>300</v>
      </c>
      <c r="I119" s="188"/>
      <c r="J119" s="574"/>
      <c r="K119" s="572"/>
    </row>
    <row r="120" spans="1:11" ht="30" customHeight="1" thickBot="1" x14ac:dyDescent="0.25">
      <c r="A120" s="447"/>
      <c r="B120" s="193">
        <f>H120*0.17</f>
        <v>10.200000000000001</v>
      </c>
      <c r="C120" s="189" t="str">
        <f>DIMANCHE!C111</f>
        <v>Paninis x 4</v>
      </c>
      <c r="D120" s="433">
        <v>170</v>
      </c>
      <c r="E120" s="50"/>
      <c r="F120" s="179"/>
      <c r="G120" s="50"/>
      <c r="H120" s="526">
        <f>DIMANCHE!G111*4</f>
        <v>60</v>
      </c>
      <c r="I120" s="52"/>
      <c r="J120" s="452">
        <f>H120/16</f>
        <v>3.75</v>
      </c>
      <c r="K120" s="209" t="s">
        <v>215</v>
      </c>
    </row>
    <row r="121" spans="1:11" ht="30" customHeight="1" x14ac:dyDescent="0.2">
      <c r="A121" s="447"/>
      <c r="B121" s="468"/>
      <c r="C121" s="189"/>
      <c r="D121" s="433"/>
      <c r="E121" s="50"/>
      <c r="F121" s="179"/>
      <c r="G121" s="50"/>
      <c r="H121" s="526"/>
      <c r="I121" s="52"/>
      <c r="J121" s="202"/>
    </row>
    <row r="122" spans="1:11" ht="30" customHeight="1" thickBot="1" x14ac:dyDescent="0.25">
      <c r="A122" s="447"/>
      <c r="B122" s="460"/>
      <c r="C122" s="189"/>
      <c r="D122" s="433"/>
      <c r="E122" s="50"/>
      <c r="F122" s="179"/>
      <c r="G122" s="50"/>
      <c r="H122" s="526"/>
      <c r="I122" s="52"/>
    </row>
    <row r="123" spans="1:11" ht="30" customHeight="1" thickBot="1" x14ac:dyDescent="0.25">
      <c r="A123" s="447"/>
      <c r="B123" s="193"/>
      <c r="C123" s="189"/>
      <c r="D123" s="433"/>
      <c r="E123" s="50"/>
      <c r="F123" s="204"/>
      <c r="G123" s="50"/>
      <c r="H123" s="526"/>
      <c r="I123" s="52"/>
    </row>
    <row r="124" spans="1:11" ht="30" customHeight="1" thickBot="1" x14ac:dyDescent="0.25">
      <c r="A124" s="447"/>
      <c r="B124" s="193">
        <f>H124*0.42</f>
        <v>16.8</v>
      </c>
      <c r="C124" s="189" t="str">
        <f>DIMANCHE!C148</f>
        <v>Brioche Parisienne 400g</v>
      </c>
      <c r="D124" s="433">
        <v>420</v>
      </c>
      <c r="E124" s="50"/>
      <c r="F124" s="204"/>
      <c r="G124" s="50"/>
      <c r="H124" s="526">
        <f>DIMANCHE!G148</f>
        <v>40</v>
      </c>
      <c r="I124" s="52"/>
    </row>
    <row r="125" spans="1:11" ht="30" customHeight="1" thickBot="1" x14ac:dyDescent="0.25">
      <c r="A125" s="447"/>
      <c r="B125" s="193">
        <f>H125*0.42</f>
        <v>4.2</v>
      </c>
      <c r="C125" s="189" t="str">
        <f>DIMANCHE!C149</f>
        <v>Brioche parisienne choc 400g</v>
      </c>
      <c r="D125" s="433">
        <v>420</v>
      </c>
      <c r="E125" s="449">
        <f>B125*10/100</f>
        <v>0.42</v>
      </c>
      <c r="F125" s="449">
        <f>B125-E125</f>
        <v>3.7800000000000002</v>
      </c>
      <c r="G125" s="50"/>
      <c r="H125" s="526">
        <f>DIMANCHE!G149</f>
        <v>10</v>
      </c>
      <c r="I125" s="52"/>
    </row>
    <row r="126" spans="1:11" ht="30" customHeight="1" thickBot="1" x14ac:dyDescent="0.25">
      <c r="A126" s="447"/>
      <c r="B126" s="193">
        <f>H126*0.23</f>
        <v>0</v>
      </c>
      <c r="C126" s="189" t="str">
        <f>DIMANCHE!C150</f>
        <v>Brioche 200g</v>
      </c>
      <c r="D126" s="433">
        <v>230</v>
      </c>
      <c r="E126" s="50"/>
      <c r="F126" s="449"/>
      <c r="G126" s="50"/>
      <c r="H126" s="526">
        <f>DIMANCHE!G150</f>
        <v>0</v>
      </c>
      <c r="I126" s="188"/>
    </row>
    <row r="127" spans="1:11" ht="30" customHeight="1" thickBot="1" x14ac:dyDescent="0.25">
      <c r="A127" s="447"/>
      <c r="B127" s="193">
        <f>H127*0.23</f>
        <v>0</v>
      </c>
      <c r="C127" s="189" t="str">
        <f>DIMANCHE!C151</f>
        <v>brioche choc 200g</v>
      </c>
      <c r="D127" s="433">
        <v>230</v>
      </c>
      <c r="E127" s="449">
        <f>B127*10/100</f>
        <v>0</v>
      </c>
      <c r="F127" s="449">
        <f>B127-E127</f>
        <v>0</v>
      </c>
      <c r="G127" s="50"/>
      <c r="H127" s="526">
        <f>DIMANCHE!G151</f>
        <v>0</v>
      </c>
      <c r="I127" s="52"/>
    </row>
    <row r="128" spans="1:11" ht="30" customHeight="1" thickBot="1" x14ac:dyDescent="0.25">
      <c r="A128" s="447"/>
      <c r="B128" s="193">
        <f>H128*0.42</f>
        <v>0</v>
      </c>
      <c r="C128" s="189" t="str">
        <f>DIMANCHE!C152</f>
        <v>couronne des rois nature 400g</v>
      </c>
      <c r="D128" s="433">
        <v>420</v>
      </c>
      <c r="E128" s="449">
        <f>B128*10/100</f>
        <v>0</v>
      </c>
      <c r="F128" s="449">
        <f>B128-E128</f>
        <v>0</v>
      </c>
      <c r="G128" s="50"/>
      <c r="H128" s="526">
        <f>DIMANCHE!G152</f>
        <v>0</v>
      </c>
      <c r="I128" s="188"/>
    </row>
    <row r="129" spans="1:9" ht="30" customHeight="1" thickBot="1" x14ac:dyDescent="0.25">
      <c r="A129" s="447"/>
      <c r="B129" s="193">
        <f>H129*0.42</f>
        <v>0</v>
      </c>
      <c r="C129" s="189" t="str">
        <f>DIMANCHE!C153</f>
        <v>couronne des rois fruits 400g</v>
      </c>
      <c r="D129" s="433">
        <v>420</v>
      </c>
      <c r="E129" s="449">
        <f>B129*10/100</f>
        <v>0</v>
      </c>
      <c r="F129" s="449">
        <f>B129-E129</f>
        <v>0</v>
      </c>
      <c r="G129" s="50"/>
      <c r="H129" s="526">
        <f>DIMANCHE!G153</f>
        <v>0</v>
      </c>
      <c r="I129" s="52"/>
    </row>
    <row r="130" spans="1:9" ht="30" customHeight="1" thickBot="1" x14ac:dyDescent="0.25">
      <c r="A130" s="447"/>
      <c r="B130" s="193">
        <f>H130*0.52</f>
        <v>0</v>
      </c>
      <c r="C130" s="189" t="str">
        <f>DIMANCHE!C154</f>
        <v>couronne des rois fruits 500g</v>
      </c>
      <c r="D130" s="433">
        <v>520</v>
      </c>
      <c r="E130" s="449">
        <f>B130*15/100</f>
        <v>0</v>
      </c>
      <c r="F130" s="449">
        <f>B130-E130</f>
        <v>0</v>
      </c>
      <c r="G130" s="50"/>
      <c r="H130" s="526">
        <f>DIMANCHE!G154</f>
        <v>0</v>
      </c>
      <c r="I130" s="52"/>
    </row>
    <row r="131" spans="1:9" ht="30" customHeight="1" thickBot="1" x14ac:dyDescent="0.25">
      <c r="A131" s="447"/>
      <c r="B131" s="193"/>
      <c r="C131" s="189"/>
      <c r="D131" s="433"/>
      <c r="E131" s="449"/>
      <c r="F131" s="50"/>
      <c r="G131" s="50"/>
      <c r="H131" s="526"/>
      <c r="I131" s="188"/>
    </row>
    <row r="132" spans="1:9" ht="30" customHeight="1" thickBot="1" x14ac:dyDescent="0.25">
      <c r="A132" s="447"/>
      <c r="B132" s="193">
        <f>H132*0.33</f>
        <v>4.95</v>
      </c>
      <c r="C132" s="189" t="str">
        <f>DIMANCHE!C156</f>
        <v>Brioche tranchée nature</v>
      </c>
      <c r="D132" s="433">
        <v>330</v>
      </c>
      <c r="E132" s="449"/>
      <c r="F132" s="50"/>
      <c r="G132" s="50"/>
      <c r="H132" s="526">
        <f>DIMANCHE!G156</f>
        <v>15</v>
      </c>
      <c r="I132" s="97"/>
    </row>
    <row r="133" spans="1:9" ht="30" customHeight="1" thickBot="1" x14ac:dyDescent="0.25">
      <c r="A133" s="447"/>
      <c r="B133" s="193">
        <f>H133*0.33</f>
        <v>3.3000000000000003</v>
      </c>
      <c r="C133" s="189" t="str">
        <f>DIMANCHE!C157</f>
        <v>Brioche tranchée choc</v>
      </c>
      <c r="D133" s="433">
        <v>330</v>
      </c>
      <c r="E133" s="449">
        <f>B133*10/100</f>
        <v>0.33</v>
      </c>
      <c r="F133" s="449">
        <f>B133-E133</f>
        <v>2.97</v>
      </c>
      <c r="G133" s="50"/>
      <c r="H133" s="526">
        <f>DIMANCHE!G157</f>
        <v>10</v>
      </c>
      <c r="I133" s="97"/>
    </row>
    <row r="134" spans="1:9" ht="30" customHeight="1" thickBot="1" x14ac:dyDescent="0.25">
      <c r="A134" s="447"/>
      <c r="B134" s="193">
        <f>H134*0.42</f>
        <v>3.36</v>
      </c>
      <c r="C134" s="189" t="str">
        <f>DIMANCHE!C158</f>
        <v>Kougloff</v>
      </c>
      <c r="D134" s="433">
        <v>420</v>
      </c>
      <c r="E134" s="449">
        <f>B134*10/100</f>
        <v>0.33600000000000002</v>
      </c>
      <c r="F134" s="449">
        <f>B134-E134</f>
        <v>3.024</v>
      </c>
      <c r="G134" s="50"/>
      <c r="H134" s="526">
        <f>DIMANCHE!G158</f>
        <v>8</v>
      </c>
      <c r="I134" s="97"/>
    </row>
    <row r="135" spans="1:9" ht="30" customHeight="1" thickBot="1" x14ac:dyDescent="0.25">
      <c r="A135" s="447"/>
      <c r="B135" s="193">
        <f>H135*0.42</f>
        <v>3.36</v>
      </c>
      <c r="C135" s="189" t="str">
        <f>DIMANCHE!C159</f>
        <v>Mouna</v>
      </c>
      <c r="D135" s="433">
        <v>420</v>
      </c>
      <c r="E135" s="449">
        <f>B135*10/100</f>
        <v>0.33600000000000002</v>
      </c>
      <c r="F135" s="449">
        <f>B135-E135</f>
        <v>3.024</v>
      </c>
      <c r="G135" s="50"/>
      <c r="H135" s="526">
        <f>DIMANCHE!G159</f>
        <v>8</v>
      </c>
      <c r="I135" s="52"/>
    </row>
    <row r="136" spans="1:9" ht="30" customHeight="1" thickBot="1" x14ac:dyDescent="0.25">
      <c r="A136" s="447"/>
      <c r="B136" s="193">
        <f>H136*0.42</f>
        <v>3.36</v>
      </c>
      <c r="C136" s="189" t="str">
        <f>DIMANCHE!C160</f>
        <v>St Genix</v>
      </c>
      <c r="D136" s="433">
        <v>420</v>
      </c>
      <c r="E136" s="449">
        <f>B136*10/100</f>
        <v>0.33600000000000002</v>
      </c>
      <c r="F136" s="449">
        <f>B136-E136</f>
        <v>3.024</v>
      </c>
      <c r="G136" s="50"/>
      <c r="H136" s="526">
        <f>DIMANCHE!G160</f>
        <v>8</v>
      </c>
      <c r="I136" s="52"/>
    </row>
    <row r="137" spans="1:9" ht="30" customHeight="1" thickBot="1" x14ac:dyDescent="0.25">
      <c r="A137" s="447"/>
      <c r="B137" s="193">
        <f>H137*0.4</f>
        <v>4</v>
      </c>
      <c r="C137" s="189" t="str">
        <f>DIMANCHE!C62</f>
        <v>Fougasse arlequin 400g</v>
      </c>
      <c r="D137" s="433">
        <v>300</v>
      </c>
      <c r="E137" s="50"/>
      <c r="F137" s="204"/>
      <c r="G137" s="50"/>
      <c r="H137" s="526">
        <f>DIMANCHE!G62</f>
        <v>10</v>
      </c>
      <c r="I137" s="52"/>
    </row>
    <row r="138" spans="1:9" ht="30" customHeight="1" x14ac:dyDescent="0.2">
      <c r="A138" s="447"/>
      <c r="B138" s="468"/>
      <c r="C138" s="189" t="str">
        <f>DIMANCHE!C247</f>
        <v xml:space="preserve">baguettine lardons </v>
      </c>
      <c r="D138" s="433"/>
      <c r="E138" s="245"/>
      <c r="F138" s="434"/>
      <c r="H138" s="524">
        <f>DIMANCHE!G247</f>
        <v>0</v>
      </c>
      <c r="I138" s="52"/>
    </row>
    <row r="139" spans="1:9" ht="30" customHeight="1" thickBot="1" x14ac:dyDescent="0.25">
      <c r="A139" s="447"/>
      <c r="B139" s="460"/>
      <c r="C139" s="189" t="str">
        <f>DIMANCHE!C248</f>
        <v xml:space="preserve">baguettine olives </v>
      </c>
      <c r="D139" s="433"/>
      <c r="E139" s="245"/>
      <c r="F139" s="437"/>
      <c r="G139" s="50"/>
      <c r="H139" s="524">
        <f>DIMANCHE!G248</f>
        <v>0</v>
      </c>
      <c r="I139" s="52"/>
    </row>
    <row r="140" spans="1:9" ht="30" customHeight="1" thickBot="1" x14ac:dyDescent="0.25">
      <c r="A140" s="447"/>
      <c r="B140" s="88">
        <f>H140*0.057</f>
        <v>0</v>
      </c>
      <c r="C140" s="189" t="str">
        <f>DIMANCHE!C167</f>
        <v>Briochettes nature X 10</v>
      </c>
      <c r="D140" s="433">
        <v>57</v>
      </c>
      <c r="E140" s="50"/>
      <c r="F140" s="179"/>
      <c r="G140" s="50"/>
      <c r="H140" s="524">
        <f>DIMANCHE!G167*10</f>
        <v>0</v>
      </c>
      <c r="I140" s="52"/>
    </row>
    <row r="141" spans="1:9" ht="30" customHeight="1" thickBot="1" x14ac:dyDescent="0.25">
      <c r="A141" s="447"/>
      <c r="B141" s="185">
        <f>H141*0.057</f>
        <v>28.5</v>
      </c>
      <c r="C141" s="189" t="str">
        <f>DIMANCHE!C168</f>
        <v>Briochettes nature X 5</v>
      </c>
      <c r="D141" s="433">
        <v>57</v>
      </c>
      <c r="E141" s="50"/>
      <c r="F141" s="53"/>
      <c r="G141" s="50"/>
      <c r="H141" s="524">
        <f>DIMANCHE!G168*5</f>
        <v>500</v>
      </c>
      <c r="I141" s="188"/>
    </row>
    <row r="142" spans="1:9" ht="30" customHeight="1" thickBot="1" x14ac:dyDescent="0.25">
      <c r="A142" s="447"/>
      <c r="B142" s="88">
        <f>H142*0.057</f>
        <v>0</v>
      </c>
      <c r="C142" s="189" t="str">
        <f>DIMANCHE!C169</f>
        <v>Briochettes choc X 10</v>
      </c>
      <c r="D142" s="433">
        <v>57</v>
      </c>
      <c r="E142" s="449">
        <f>B142*10/100</f>
        <v>0</v>
      </c>
      <c r="F142" s="449">
        <f>B142-E142</f>
        <v>0</v>
      </c>
      <c r="G142" s="50"/>
      <c r="H142" s="524">
        <f>DIMANCHE!G169*10</f>
        <v>0</v>
      </c>
      <c r="I142" s="52"/>
    </row>
    <row r="143" spans="1:9" ht="30" customHeight="1" thickBot="1" x14ac:dyDescent="0.25">
      <c r="A143" s="447"/>
      <c r="B143" s="88">
        <f>H143*0.057</f>
        <v>14.25</v>
      </c>
      <c r="C143" s="189" t="str">
        <f>DIMANCHE!C170</f>
        <v>Briochettes choc X 5</v>
      </c>
      <c r="D143" s="433">
        <v>57</v>
      </c>
      <c r="E143" s="449">
        <f>B143*10/100</f>
        <v>1.425</v>
      </c>
      <c r="F143" s="449">
        <f>B143-E143</f>
        <v>12.824999999999999</v>
      </c>
      <c r="G143" s="50"/>
      <c r="H143" s="524">
        <f>DIMANCHE!G170*5</f>
        <v>250</v>
      </c>
      <c r="I143" s="52"/>
    </row>
    <row r="144" spans="1:9" ht="30" customHeight="1" x14ac:dyDescent="0.2">
      <c r="A144" s="447"/>
      <c r="B144" s="467"/>
      <c r="C144" s="189" t="str">
        <f>DIMANCHE!C171</f>
        <v>Pain au lait X 2</v>
      </c>
      <c r="D144" s="433"/>
      <c r="E144" s="50"/>
      <c r="F144" s="50"/>
      <c r="G144" s="50"/>
      <c r="H144" s="524">
        <f>DIMANCHE!G171*2</f>
        <v>16</v>
      </c>
      <c r="I144" s="52"/>
    </row>
    <row r="145" spans="1:9" ht="30" customHeight="1" x14ac:dyDescent="0.2">
      <c r="A145" s="447"/>
      <c r="B145" s="207"/>
      <c r="C145" s="189" t="str">
        <f>DIMANCHE!C172</f>
        <v>Pain au lait pépites de choco X 2</v>
      </c>
      <c r="D145" s="433"/>
      <c r="E145" s="50"/>
      <c r="F145" s="50"/>
      <c r="G145" s="50"/>
      <c r="H145" s="524">
        <f>DIMANCHE!G172*2</f>
        <v>16</v>
      </c>
      <c r="I145" s="52"/>
    </row>
    <row r="146" spans="1:9" ht="30" customHeight="1" thickBot="1" x14ac:dyDescent="0.25">
      <c r="A146" s="447"/>
      <c r="B146" s="478"/>
      <c r="C146" s="189" t="str">
        <f>DIMANCHE!C173</f>
        <v>Pain au lait X 5</v>
      </c>
      <c r="D146" s="433"/>
      <c r="E146" s="50"/>
      <c r="F146" s="50"/>
      <c r="G146" s="50"/>
      <c r="H146" s="524">
        <f>DIMANCHE!G173*5</f>
        <v>125</v>
      </c>
      <c r="I146" s="203"/>
    </row>
    <row r="147" spans="1:9" ht="30" customHeight="1" thickBot="1" x14ac:dyDescent="0.25">
      <c r="A147" s="447"/>
      <c r="B147" s="88">
        <f>H147*0.057</f>
        <v>2.85</v>
      </c>
      <c r="C147" s="189" t="str">
        <f>DIMANCHE!C174</f>
        <v>Briochettes sucrées x 5</v>
      </c>
      <c r="D147" s="433">
        <v>57</v>
      </c>
      <c r="E147" s="50"/>
      <c r="F147" s="50"/>
      <c r="G147" s="50"/>
      <c r="H147" s="524">
        <f>DIMANCHE!G174*5</f>
        <v>50</v>
      </c>
      <c r="I147" s="52"/>
    </row>
    <row r="148" spans="1:9" ht="30" customHeight="1" x14ac:dyDescent="0.2">
      <c r="A148" s="447"/>
      <c r="B148" s="201"/>
      <c r="C148" s="189" t="str">
        <f>DIMANCHE!C175</f>
        <v>Pain au lait choc X 5</v>
      </c>
      <c r="D148" s="433"/>
      <c r="E148" s="50"/>
      <c r="F148" s="50"/>
      <c r="G148" s="50"/>
      <c r="H148" s="524">
        <f>DIMANCHE!G175*5</f>
        <v>0</v>
      </c>
      <c r="I148" s="188"/>
    </row>
    <row r="149" spans="1:9" ht="30" customHeight="1" x14ac:dyDescent="0.2">
      <c r="A149" s="447"/>
      <c r="B149" s="201"/>
      <c r="C149" s="189"/>
      <c r="D149" s="433"/>
      <c r="E149" s="50"/>
      <c r="F149" s="50"/>
      <c r="G149" s="50"/>
      <c r="H149" s="524"/>
      <c r="I149" s="52"/>
    </row>
    <row r="150" spans="1:9" ht="30" customHeight="1" thickBot="1" x14ac:dyDescent="0.25">
      <c r="A150" s="447"/>
      <c r="B150" s="464"/>
      <c r="C150" s="189"/>
      <c r="D150" s="433"/>
      <c r="E150" s="50"/>
      <c r="F150" s="50"/>
      <c r="G150" s="50"/>
      <c r="H150" s="524"/>
      <c r="I150" s="52"/>
    </row>
    <row r="151" spans="1:9" ht="30" customHeight="1" thickBot="1" x14ac:dyDescent="0.25">
      <c r="A151" s="447"/>
      <c r="B151" s="88">
        <f>H151*0.4</f>
        <v>10</v>
      </c>
      <c r="C151" s="189" t="str">
        <f>DIMANCHE!C45</f>
        <v>waldkorn moule 300g</v>
      </c>
      <c r="D151" s="433">
        <v>400</v>
      </c>
      <c r="E151" s="50"/>
      <c r="F151" s="50"/>
      <c r="G151" s="50"/>
      <c r="H151" s="524">
        <f>DIMANCHE!G45</f>
        <v>25</v>
      </c>
      <c r="I151" s="52"/>
    </row>
    <row r="152" spans="1:9" ht="30" customHeight="1" thickBot="1" x14ac:dyDescent="0.25">
      <c r="A152" s="447"/>
      <c r="B152" s="88">
        <f>H152*0.13</f>
        <v>10.4</v>
      </c>
      <c r="C152" s="189" t="str">
        <f>DIMANCHE!C114</f>
        <v>grignotines waldkorn X 4</v>
      </c>
      <c r="D152" s="433">
        <v>130</v>
      </c>
      <c r="E152" s="50"/>
      <c r="F152" s="50"/>
      <c r="G152" s="50"/>
      <c r="H152" s="524">
        <f>DIMANCHE!G114*4</f>
        <v>80</v>
      </c>
      <c r="I152" s="52"/>
    </row>
    <row r="153" spans="1:9" ht="30" customHeight="1" thickBot="1" x14ac:dyDescent="0.25">
      <c r="A153" s="447"/>
      <c r="B153" s="446">
        <f>H153*0.13</f>
        <v>10.4</v>
      </c>
      <c r="C153" s="189" t="str">
        <f>DIMANCHE!C115</f>
        <v>grignottines céréales X 4</v>
      </c>
      <c r="D153" s="433">
        <v>130</v>
      </c>
      <c r="E153" s="50"/>
      <c r="F153" s="50"/>
      <c r="G153" s="50"/>
      <c r="H153" s="524">
        <f>DIMANCHE!G115*4</f>
        <v>80</v>
      </c>
      <c r="I153" s="52"/>
    </row>
    <row r="154" spans="1:9" ht="30" customHeight="1" x14ac:dyDescent="0.2">
      <c r="A154" s="447"/>
      <c r="B154" s="467"/>
      <c r="C154" s="189"/>
      <c r="D154" s="433"/>
      <c r="E154" s="50"/>
      <c r="F154" s="50"/>
      <c r="G154" s="50"/>
      <c r="H154" s="524"/>
      <c r="I154" s="52"/>
    </row>
    <row r="155" spans="1:9" ht="30" customHeight="1" thickBot="1" x14ac:dyDescent="0.25">
      <c r="A155" s="447"/>
      <c r="B155" s="208"/>
      <c r="C155" s="189"/>
      <c r="D155" s="433"/>
      <c r="E155" s="50"/>
      <c r="F155" s="432"/>
      <c r="G155" s="50"/>
      <c r="H155" s="524"/>
      <c r="I155" s="188"/>
    </row>
    <row r="156" spans="1:9" ht="30" customHeight="1" thickBot="1" x14ac:dyDescent="0.25">
      <c r="A156" s="447"/>
      <c r="B156" s="88">
        <f>H156*0.34</f>
        <v>34</v>
      </c>
      <c r="C156" s="189" t="str">
        <f>DIMANCHE!C82</f>
        <v>Baguette ciabatta</v>
      </c>
      <c r="D156" s="433">
        <v>340</v>
      </c>
      <c r="E156" s="50"/>
      <c r="F156" s="50"/>
      <c r="G156" s="50"/>
      <c r="H156" s="527">
        <f>DIMANCHE!G82</f>
        <v>100</v>
      </c>
      <c r="I156" s="52"/>
    </row>
    <row r="157" spans="1:9" ht="30" customHeight="1" thickBot="1" x14ac:dyDescent="0.25">
      <c r="A157" s="447"/>
      <c r="B157" s="88">
        <f>H157*0.15</f>
        <v>15</v>
      </c>
      <c r="C157" s="189" t="str">
        <f>DIMANCHE!C257</f>
        <v>Petits pains ciabatta</v>
      </c>
      <c r="D157" s="433">
        <v>150</v>
      </c>
      <c r="E157" s="50"/>
      <c r="F157" s="50"/>
      <c r="G157" s="50"/>
      <c r="H157" s="527">
        <f>DIMANCHE!G257</f>
        <v>100</v>
      </c>
      <c r="I157" s="188"/>
    </row>
    <row r="158" spans="1:9" ht="30" customHeight="1" x14ac:dyDescent="0.2">
      <c r="A158" s="447"/>
      <c r="B158" s="466"/>
      <c r="C158" s="189"/>
      <c r="D158" s="433"/>
      <c r="E158" s="50"/>
      <c r="F158" s="50"/>
      <c r="G158" s="50"/>
      <c r="H158" s="524"/>
      <c r="I158" s="52"/>
    </row>
    <row r="159" spans="1:9" ht="30" customHeight="1" thickBot="1" x14ac:dyDescent="0.25">
      <c r="A159" s="447"/>
      <c r="B159" s="465"/>
      <c r="C159" s="189"/>
      <c r="D159" s="433"/>
      <c r="E159" s="50"/>
      <c r="F159" s="50"/>
      <c r="G159" s="50"/>
      <c r="H159" s="524"/>
      <c r="I159" s="52"/>
    </row>
    <row r="160" spans="1:9" ht="30" customHeight="1" thickBot="1" x14ac:dyDescent="0.25">
      <c r="A160" s="447"/>
      <c r="B160" s="446">
        <f>H160*0.53</f>
        <v>10.600000000000001</v>
      </c>
      <c r="C160" s="189" t="str">
        <f>DIMANCHE!C219</f>
        <v>Miche sans sel 400g</v>
      </c>
      <c r="D160" s="433">
        <v>530</v>
      </c>
      <c r="E160" s="50"/>
      <c r="F160" s="50"/>
      <c r="G160" s="50"/>
      <c r="H160" s="524">
        <f>DIMANCHE!G219</f>
        <v>20</v>
      </c>
      <c r="I160" s="97"/>
    </row>
    <row r="161" spans="1:9" ht="30" customHeight="1" thickBot="1" x14ac:dyDescent="0.25">
      <c r="A161" s="447"/>
      <c r="B161" s="446">
        <f>H161*0.15</f>
        <v>2.4</v>
      </c>
      <c r="C161" s="189" t="str">
        <f>DIMANCHE!C220</f>
        <v>Déjeunettes sans sel X 2</v>
      </c>
      <c r="D161" s="433">
        <v>150</v>
      </c>
      <c r="E161" s="50"/>
      <c r="F161" s="50"/>
      <c r="G161" s="50"/>
      <c r="H161" s="524">
        <f>DIMANCHE!G220*2</f>
        <v>16</v>
      </c>
      <c r="I161" s="97"/>
    </row>
    <row r="162" spans="1:9" ht="30" customHeight="1" thickBot="1" x14ac:dyDescent="0.25">
      <c r="A162" s="447"/>
      <c r="B162" s="446">
        <f>H162*0.08</f>
        <v>3.2</v>
      </c>
      <c r="C162" s="189" t="str">
        <f>DIMANCHE!C221</f>
        <v>Petits pains sans sel X 4</v>
      </c>
      <c r="D162" s="433">
        <v>80</v>
      </c>
      <c r="E162" s="50"/>
      <c r="F162" s="50"/>
      <c r="G162" s="50"/>
      <c r="H162" s="524">
        <f>DIMANCHE!G221*4</f>
        <v>40</v>
      </c>
      <c r="I162" s="97"/>
    </row>
    <row r="163" spans="1:9" ht="30" customHeight="1" x14ac:dyDescent="0.2">
      <c r="A163" s="447"/>
      <c r="B163" s="423"/>
      <c r="C163" s="189"/>
      <c r="D163" s="433"/>
      <c r="E163" s="50"/>
      <c r="F163" s="50"/>
      <c r="G163" s="50"/>
      <c r="H163" s="524"/>
      <c r="I163" s="52"/>
    </row>
    <row r="164" spans="1:9" ht="30" customHeight="1" x14ac:dyDescent="0.2">
      <c r="A164" s="447"/>
      <c r="B164" s="462"/>
      <c r="C164" s="189"/>
      <c r="D164" s="433"/>
      <c r="E164" s="50"/>
      <c r="F164" s="50"/>
      <c r="G164" s="50"/>
      <c r="H164" s="524"/>
      <c r="I164" s="52"/>
    </row>
    <row r="165" spans="1:9" ht="30" customHeight="1" x14ac:dyDescent="0.2">
      <c r="A165" s="447"/>
      <c r="B165" s="201"/>
      <c r="C165" s="189"/>
      <c r="D165" s="433"/>
      <c r="E165" s="50"/>
      <c r="F165" s="50"/>
      <c r="G165" s="50"/>
      <c r="H165" s="524"/>
      <c r="I165" s="52"/>
    </row>
    <row r="166" spans="1:9" ht="30" customHeight="1" x14ac:dyDescent="0.2">
      <c r="A166" s="447"/>
      <c r="B166" s="462"/>
      <c r="C166" s="189"/>
      <c r="D166" s="433"/>
      <c r="E166" s="50"/>
      <c r="F166" s="431"/>
      <c r="G166" s="54"/>
      <c r="H166" s="524"/>
      <c r="I166" s="55"/>
    </row>
    <row r="167" spans="1:9" ht="30" customHeight="1" x14ac:dyDescent="0.2">
      <c r="A167" s="447"/>
      <c r="B167" s="463"/>
      <c r="C167" s="189"/>
      <c r="D167" s="433"/>
      <c r="E167" s="50"/>
      <c r="F167" s="204"/>
      <c r="G167" s="50"/>
      <c r="H167" s="524"/>
      <c r="I167" s="52"/>
    </row>
    <row r="168" spans="1:9" ht="30" customHeight="1" x14ac:dyDescent="0.2">
      <c r="A168" s="447"/>
      <c r="B168" s="463"/>
      <c r="C168" s="189"/>
      <c r="D168" s="433"/>
      <c r="E168" s="50"/>
      <c r="F168" s="204"/>
      <c r="G168" s="50"/>
      <c r="H168" s="524"/>
      <c r="I168" s="52"/>
    </row>
    <row r="169" spans="1:9" ht="30" customHeight="1" x14ac:dyDescent="0.2">
      <c r="A169" s="447"/>
      <c r="B169" s="424"/>
      <c r="C169" s="189"/>
      <c r="D169" s="433"/>
      <c r="E169" s="50"/>
      <c r="F169" s="204"/>
      <c r="G169" s="50"/>
      <c r="H169" s="524"/>
      <c r="I169" s="52"/>
    </row>
    <row r="170" spans="1:9" ht="30" customHeight="1" x14ac:dyDescent="0.2">
      <c r="A170" s="447"/>
      <c r="B170" s="470"/>
      <c r="C170" s="189"/>
      <c r="D170" s="433"/>
      <c r="E170" s="50"/>
      <c r="F170" s="50"/>
      <c r="G170" s="50"/>
      <c r="H170" s="524"/>
      <c r="I170" s="188"/>
    </row>
    <row r="171" spans="1:9" ht="30" customHeight="1" x14ac:dyDescent="0.2">
      <c r="A171" s="447"/>
      <c r="B171" s="470"/>
      <c r="C171" s="189"/>
      <c r="D171" s="433"/>
      <c r="E171" s="50"/>
      <c r="F171" s="204"/>
      <c r="G171" s="50"/>
      <c r="H171" s="524"/>
      <c r="I171" s="52"/>
    </row>
    <row r="172" spans="1:9" ht="30" customHeight="1" x14ac:dyDescent="0.2">
      <c r="A172" s="447"/>
      <c r="B172" s="463"/>
      <c r="C172" s="189"/>
      <c r="D172" s="433"/>
      <c r="E172" s="50"/>
      <c r="F172" s="204"/>
      <c r="G172" s="51"/>
      <c r="H172" s="524"/>
      <c r="I172" s="52"/>
    </row>
    <row r="173" spans="1:9" ht="30" customHeight="1" x14ac:dyDescent="0.2">
      <c r="A173" s="447"/>
      <c r="B173" s="463"/>
      <c r="C173" s="189"/>
      <c r="D173" s="433"/>
      <c r="E173" s="50"/>
      <c r="F173" s="204"/>
      <c r="G173" s="51"/>
      <c r="H173" s="524"/>
      <c r="I173" s="52"/>
    </row>
    <row r="174" spans="1:9" ht="30" customHeight="1" x14ac:dyDescent="0.2">
      <c r="A174" s="447"/>
      <c r="B174" s="463"/>
      <c r="C174" s="189"/>
      <c r="D174" s="433"/>
      <c r="E174" s="50"/>
      <c r="F174" s="204"/>
      <c r="G174" s="51"/>
      <c r="H174" s="524"/>
      <c r="I174" s="52"/>
    </row>
    <row r="175" spans="1:9" ht="30" customHeight="1" x14ac:dyDescent="0.2">
      <c r="A175" s="447"/>
      <c r="B175" s="463"/>
      <c r="C175" s="189"/>
      <c r="D175" s="433"/>
      <c r="E175" s="50"/>
      <c r="F175" s="204"/>
      <c r="G175" s="51"/>
      <c r="H175" s="524"/>
      <c r="I175" s="52"/>
    </row>
    <row r="176" spans="1:9" ht="30" customHeight="1" x14ac:dyDescent="0.2">
      <c r="A176" s="447"/>
      <c r="B176" s="462"/>
      <c r="C176" s="189"/>
      <c r="D176" s="433"/>
      <c r="E176" s="50"/>
      <c r="F176" s="204"/>
      <c r="G176" s="51"/>
      <c r="H176" s="524"/>
      <c r="I176" s="52"/>
    </row>
    <row r="177" spans="1:9" ht="30" customHeight="1" x14ac:dyDescent="0.2">
      <c r="A177" s="447"/>
      <c r="B177" s="477"/>
      <c r="C177" s="189"/>
      <c r="D177" s="433"/>
      <c r="E177" s="50"/>
      <c r="F177" s="204"/>
      <c r="G177" s="51"/>
      <c r="H177" s="524"/>
      <c r="I177" s="52"/>
    </row>
    <row r="178" spans="1:9" ht="30" customHeight="1" x14ac:dyDescent="0.2">
      <c r="A178" s="447"/>
      <c r="B178" s="462"/>
      <c r="C178" s="189"/>
      <c r="D178" s="433"/>
      <c r="E178" s="50"/>
      <c r="F178" s="204"/>
      <c r="G178" s="51"/>
      <c r="H178" s="524"/>
      <c r="I178" s="52"/>
    </row>
    <row r="179" spans="1:9" ht="30" customHeight="1" x14ac:dyDescent="0.2">
      <c r="A179" s="447"/>
      <c r="B179" s="477"/>
      <c r="C179" s="189"/>
      <c r="D179" s="433"/>
      <c r="E179" s="50"/>
      <c r="F179" s="204"/>
      <c r="G179" s="51"/>
      <c r="H179" s="524"/>
      <c r="I179" s="52"/>
    </row>
    <row r="180" spans="1:9" ht="30" customHeight="1" x14ac:dyDescent="0.2">
      <c r="A180" s="447"/>
      <c r="B180" s="201"/>
      <c r="C180" s="189"/>
      <c r="D180" s="433"/>
      <c r="E180" s="50"/>
      <c r="F180" s="204"/>
      <c r="G180" s="50"/>
      <c r="H180" s="524"/>
      <c r="I180" s="52"/>
    </row>
    <row r="181" spans="1:9" ht="30" customHeight="1" x14ac:dyDescent="0.2">
      <c r="A181" s="447"/>
      <c r="B181" s="476"/>
      <c r="C181" s="194"/>
      <c r="D181" s="433"/>
      <c r="E181" s="50"/>
      <c r="F181" s="436"/>
      <c r="G181" s="195"/>
      <c r="H181" s="524"/>
      <c r="I181" s="196"/>
    </row>
    <row r="182" spans="1:9" ht="30" customHeight="1" x14ac:dyDescent="0.2">
      <c r="A182" s="447"/>
      <c r="B182" s="476"/>
      <c r="C182" s="194"/>
      <c r="D182" s="433"/>
      <c r="E182" s="50"/>
      <c r="F182" s="436"/>
      <c r="G182" s="195"/>
      <c r="H182" s="524"/>
      <c r="I182" s="196"/>
    </row>
    <row r="183" spans="1:9" ht="30" customHeight="1" x14ac:dyDescent="0.2">
      <c r="A183" s="447"/>
      <c r="B183" s="462"/>
      <c r="C183" s="189"/>
      <c r="D183" s="433"/>
      <c r="E183" s="50"/>
      <c r="F183" s="204"/>
      <c r="G183" s="50"/>
      <c r="H183" s="524"/>
      <c r="I183" s="52"/>
    </row>
    <row r="184" spans="1:9" ht="30" customHeight="1" x14ac:dyDescent="0.2">
      <c r="A184" s="447"/>
      <c r="B184" s="462"/>
      <c r="C184" s="189"/>
      <c r="D184" s="433"/>
      <c r="E184" s="50"/>
      <c r="F184" s="204"/>
      <c r="G184" s="50"/>
      <c r="H184" s="524"/>
      <c r="I184" s="52"/>
    </row>
    <row r="185" spans="1:9" ht="30" customHeight="1" x14ac:dyDescent="0.2">
      <c r="A185" s="447"/>
      <c r="B185" s="462"/>
      <c r="C185" s="189"/>
      <c r="D185" s="433"/>
      <c r="E185" s="50"/>
      <c r="F185" s="204"/>
      <c r="G185" s="50"/>
      <c r="H185" s="524"/>
      <c r="I185" s="52"/>
    </row>
    <row r="186" spans="1:9" ht="30" customHeight="1" x14ac:dyDescent="0.2">
      <c r="A186" s="447"/>
      <c r="B186" s="477"/>
      <c r="C186" s="189"/>
      <c r="D186" s="433"/>
      <c r="E186" s="50"/>
      <c r="F186" s="204"/>
      <c r="G186" s="50"/>
      <c r="H186" s="524"/>
      <c r="I186" s="52"/>
    </row>
    <row r="187" spans="1:9" ht="30" customHeight="1" x14ac:dyDescent="0.2">
      <c r="A187" s="447"/>
      <c r="B187" s="474"/>
      <c r="C187" s="189"/>
      <c r="D187" s="433"/>
      <c r="E187" s="50"/>
      <c r="F187" s="204"/>
      <c r="G187" s="50"/>
      <c r="H187" s="524"/>
      <c r="I187" s="52"/>
    </row>
    <row r="188" spans="1:9" ht="30" customHeight="1" x14ac:dyDescent="0.2">
      <c r="A188" s="447"/>
      <c r="B188" s="463"/>
      <c r="C188" s="189"/>
      <c r="D188" s="433"/>
      <c r="E188" s="50"/>
      <c r="F188" s="204"/>
      <c r="G188" s="50"/>
      <c r="H188" s="524"/>
      <c r="I188" s="52"/>
    </row>
    <row r="189" spans="1:9" ht="30" customHeight="1" x14ac:dyDescent="0.2">
      <c r="A189" s="447"/>
      <c r="B189" s="463"/>
      <c r="C189" s="189"/>
      <c r="D189" s="433"/>
      <c r="E189" s="50"/>
      <c r="F189" s="204"/>
      <c r="G189" s="50"/>
      <c r="H189" s="524"/>
      <c r="I189" s="52"/>
    </row>
    <row r="190" spans="1:9" ht="30" customHeight="1" x14ac:dyDescent="0.2">
      <c r="A190" s="447"/>
      <c r="B190" s="463"/>
      <c r="C190" s="189" t="str">
        <f>DIMANCHE!C179</f>
        <v>pain hamburger x 2</v>
      </c>
      <c r="D190" s="433"/>
      <c r="E190" s="50"/>
      <c r="F190" s="204"/>
      <c r="G190" s="50"/>
      <c r="H190" s="524">
        <f>DIMANCHE!G179*2</f>
        <v>0</v>
      </c>
      <c r="I190" s="52"/>
    </row>
    <row r="191" spans="1:9" ht="30" customHeight="1" x14ac:dyDescent="0.2">
      <c r="A191" s="447"/>
      <c r="B191" s="463"/>
      <c r="C191" s="189" t="str">
        <f>DIMANCHE!C180</f>
        <v>pain hamburger x 5</v>
      </c>
      <c r="D191" s="433"/>
      <c r="E191" s="50"/>
      <c r="F191" s="204"/>
      <c r="G191" s="50"/>
      <c r="H191" s="524">
        <f>DIMANCHE!G180*5</f>
        <v>0</v>
      </c>
      <c r="I191" s="52"/>
    </row>
    <row r="192" spans="1:9" ht="30" customHeight="1" x14ac:dyDescent="0.2">
      <c r="A192" s="447"/>
      <c r="B192" s="463"/>
      <c r="C192" s="189" t="str">
        <f>DIMANCHE!C49</f>
        <v>bagel nature X 2</v>
      </c>
      <c r="D192" s="433"/>
      <c r="E192" s="50"/>
      <c r="F192" s="204"/>
      <c r="G192" s="50"/>
      <c r="H192" s="524">
        <f>DIMANCHE!G49*2</f>
        <v>4</v>
      </c>
      <c r="I192" s="52"/>
    </row>
    <row r="193" spans="1:9" ht="30" customHeight="1" x14ac:dyDescent="0.2">
      <c r="A193" s="447"/>
      <c r="B193" s="463"/>
      <c r="C193" s="189" t="str">
        <f>DIMANCHE!C50</f>
        <v>bagel nature x 4</v>
      </c>
      <c r="D193" s="433"/>
      <c r="E193" s="50"/>
      <c r="F193" s="204"/>
      <c r="G193" s="50"/>
      <c r="H193" s="524">
        <f>DIMANCHE!G50*4</f>
        <v>16</v>
      </c>
      <c r="I193" s="52"/>
    </row>
    <row r="194" spans="1:9" ht="30" customHeight="1" x14ac:dyDescent="0.2">
      <c r="A194" s="447"/>
      <c r="B194" s="463"/>
      <c r="C194" s="189" t="str">
        <f>DIMANCHE!C51</f>
        <v>bagel sesame x 2</v>
      </c>
      <c r="D194" s="433"/>
      <c r="E194" s="50"/>
      <c r="F194" s="204"/>
      <c r="G194" s="50"/>
      <c r="H194" s="524">
        <f>DIMANCHE!G51*2</f>
        <v>16</v>
      </c>
      <c r="I194" s="52"/>
    </row>
    <row r="195" spans="1:9" ht="30" customHeight="1" x14ac:dyDescent="0.2">
      <c r="A195" s="447"/>
      <c r="B195" s="463"/>
      <c r="C195" s="189" t="str">
        <f>DIMANCHE!C52</f>
        <v>bagel sesame x 4</v>
      </c>
      <c r="D195" s="433"/>
      <c r="E195" s="50"/>
      <c r="F195" s="204"/>
      <c r="G195" s="50"/>
      <c r="H195" s="524">
        <f>DIMANCHE!G52*4</f>
        <v>24</v>
      </c>
      <c r="I195" s="52"/>
    </row>
    <row r="196" spans="1:9" ht="30" customHeight="1" x14ac:dyDescent="0.2">
      <c r="A196" s="447"/>
      <c r="B196" s="463"/>
      <c r="C196" s="189" t="str">
        <f>DIMANCHE!C53</f>
        <v>bagel pavot X 2</v>
      </c>
      <c r="D196" s="433"/>
      <c r="E196" s="50"/>
      <c r="F196" s="204"/>
      <c r="G196" s="50"/>
      <c r="H196" s="524">
        <f>DIMANCHE!G53*2</f>
        <v>8</v>
      </c>
      <c r="I196" s="52"/>
    </row>
    <row r="197" spans="1:9" ht="30" customHeight="1" x14ac:dyDescent="0.2">
      <c r="A197" s="447"/>
      <c r="B197" s="463"/>
      <c r="C197" s="189" t="str">
        <f>DIMANCHE!C54</f>
        <v>bagel pavot X 4</v>
      </c>
      <c r="D197" s="433"/>
      <c r="E197" s="50"/>
      <c r="F197" s="204"/>
      <c r="G197" s="50"/>
      <c r="H197" s="524">
        <f>DIMANCHE!G54*4</f>
        <v>40</v>
      </c>
      <c r="I197" s="52"/>
    </row>
    <row r="198" spans="1:9" ht="30" customHeight="1" x14ac:dyDescent="0.2">
      <c r="A198" s="447"/>
      <c r="B198" s="463"/>
      <c r="C198" s="189"/>
      <c r="D198" s="433"/>
      <c r="E198" s="50"/>
      <c r="F198" s="204"/>
      <c r="G198" s="50"/>
      <c r="H198" s="528"/>
      <c r="I198" s="52"/>
    </row>
    <row r="199" spans="1:9" ht="30" customHeight="1" x14ac:dyDescent="0.2">
      <c r="A199" s="447"/>
      <c r="B199" s="463"/>
      <c r="C199" s="189" t="str">
        <f>DIMANCHE!C58</f>
        <v>Fougasse La Parisienne 400g</v>
      </c>
      <c r="D199" s="433">
        <v>400</v>
      </c>
      <c r="E199" s="50"/>
      <c r="F199" s="204"/>
      <c r="G199" s="50"/>
      <c r="H199" s="524">
        <f>DIMANCHE!G58</f>
        <v>15</v>
      </c>
      <c r="I199" s="52"/>
    </row>
    <row r="200" spans="1:9" ht="30" customHeight="1" x14ac:dyDescent="0.2">
      <c r="A200" s="447"/>
      <c r="B200" s="463">
        <f>H200*0.3</f>
        <v>0</v>
      </c>
      <c r="C200" s="189" t="str">
        <f>DIMANCHE!C279</f>
        <v>brioche feuilletée</v>
      </c>
      <c r="D200" s="433"/>
      <c r="E200" s="50"/>
      <c r="F200" s="204"/>
      <c r="G200" s="50"/>
      <c r="H200" s="524">
        <f>DIMANCHE!G279</f>
        <v>0</v>
      </c>
      <c r="I200" s="196"/>
    </row>
    <row r="201" spans="1:9" ht="30" customHeight="1" x14ac:dyDescent="0.2">
      <c r="A201" s="487"/>
      <c r="H201" s="46"/>
      <c r="I201" s="439"/>
    </row>
    <row r="202" spans="1:9" ht="24" customHeight="1" x14ac:dyDescent="0.2">
      <c r="A202" s="487"/>
      <c r="H202" s="46"/>
      <c r="I202" s="53"/>
    </row>
    <row r="203" spans="1:9" ht="24" customHeight="1" x14ac:dyDescent="0.2">
      <c r="A203" s="487"/>
      <c r="H203" s="46"/>
      <c r="I203" s="53"/>
    </row>
    <row r="204" spans="1:9" ht="24" customHeight="1" x14ac:dyDescent="0.2">
      <c r="A204" s="487"/>
      <c r="H204" s="46"/>
      <c r="I204" s="53"/>
    </row>
    <row r="205" spans="1:9" ht="24" customHeight="1" x14ac:dyDescent="0.2">
      <c r="A205" s="487"/>
      <c r="H205" s="46"/>
      <c r="I205" s="53"/>
    </row>
    <row r="206" spans="1:9" ht="24" customHeight="1" x14ac:dyDescent="0.2">
      <c r="A206" s="487"/>
      <c r="H206" s="46"/>
      <c r="I206" s="53"/>
    </row>
    <row r="207" spans="1:9" ht="24" customHeight="1" x14ac:dyDescent="0.2">
      <c r="A207" s="487"/>
      <c r="H207" s="46"/>
      <c r="I207" s="53"/>
    </row>
    <row r="208" spans="1:9" ht="24" customHeight="1" x14ac:dyDescent="0.2">
      <c r="A208" s="487"/>
      <c r="H208" s="46"/>
      <c r="I208" s="53"/>
    </row>
    <row r="209" spans="1:9" ht="24" customHeight="1" x14ac:dyDescent="0.2">
      <c r="A209" s="487"/>
      <c r="H209" s="46"/>
      <c r="I209" s="53"/>
    </row>
    <row r="210" spans="1:9" ht="24" customHeight="1" x14ac:dyDescent="0.2">
      <c r="A210" s="487"/>
      <c r="H210" s="46"/>
      <c r="I210" s="53"/>
    </row>
    <row r="211" spans="1:9" ht="24" customHeight="1" x14ac:dyDescent="0.2">
      <c r="A211" s="487"/>
      <c r="H211" s="46"/>
      <c r="I211" s="53"/>
    </row>
    <row r="212" spans="1:9" ht="24" customHeight="1" x14ac:dyDescent="0.2">
      <c r="A212" s="487"/>
      <c r="H212" s="46"/>
      <c r="I212" s="53"/>
    </row>
    <row r="213" spans="1:9" ht="24" customHeight="1" x14ac:dyDescent="0.2">
      <c r="A213" s="487"/>
      <c r="H213" s="46"/>
      <c r="I213" s="53"/>
    </row>
    <row r="214" spans="1:9" ht="24" customHeight="1" x14ac:dyDescent="0.2">
      <c r="A214" s="487"/>
      <c r="H214" s="46"/>
      <c r="I214" s="53"/>
    </row>
    <row r="215" spans="1:9" ht="24" customHeight="1" x14ac:dyDescent="0.2">
      <c r="A215" s="487"/>
      <c r="H215" s="46"/>
      <c r="I215" s="53"/>
    </row>
    <row r="216" spans="1:9" ht="24" customHeight="1" x14ac:dyDescent="0.2">
      <c r="A216" s="487"/>
      <c r="H216" s="46"/>
      <c r="I216" s="53"/>
    </row>
    <row r="217" spans="1:9" ht="24" customHeight="1" x14ac:dyDescent="0.2">
      <c r="A217" s="487"/>
      <c r="H217" s="46"/>
      <c r="I217" s="53"/>
    </row>
    <row r="218" spans="1:9" ht="24" customHeight="1" x14ac:dyDescent="0.2">
      <c r="A218" s="487"/>
      <c r="H218" s="46"/>
      <c r="I218" s="53"/>
    </row>
    <row r="219" spans="1:9" ht="24" customHeight="1" x14ac:dyDescent="0.2">
      <c r="A219" s="487"/>
      <c r="H219" s="46"/>
      <c r="I219" s="53"/>
    </row>
    <row r="220" spans="1:9" ht="24" customHeight="1" x14ac:dyDescent="0.2">
      <c r="A220" s="487"/>
      <c r="H220" s="46"/>
      <c r="I220" s="53"/>
    </row>
    <row r="221" spans="1:9" ht="24" customHeight="1" x14ac:dyDescent="0.2">
      <c r="A221" s="487"/>
      <c r="H221" s="46"/>
      <c r="I221" s="53"/>
    </row>
    <row r="222" spans="1:9" ht="24" customHeight="1" x14ac:dyDescent="0.2">
      <c r="A222" s="487"/>
      <c r="H222" s="46"/>
      <c r="I222" s="53"/>
    </row>
    <row r="223" spans="1:9" ht="24" customHeight="1" x14ac:dyDescent="0.2">
      <c r="A223" s="487"/>
      <c r="H223" s="46"/>
      <c r="I223" s="53"/>
    </row>
    <row r="224" spans="1:9" ht="24" customHeight="1" x14ac:dyDescent="0.2">
      <c r="A224" s="487"/>
      <c r="H224" s="46"/>
      <c r="I224" s="53"/>
    </row>
    <row r="225" spans="1:9" ht="24" customHeight="1" x14ac:dyDescent="0.2">
      <c r="A225" s="487"/>
      <c r="I225" s="53"/>
    </row>
    <row r="226" spans="1:9" ht="24" customHeight="1" x14ac:dyDescent="0.2">
      <c r="A226" s="487"/>
      <c r="I226" s="53"/>
    </row>
    <row r="227" spans="1:9" ht="24" customHeight="1" x14ac:dyDescent="0.2">
      <c r="A227" s="487"/>
      <c r="I227" s="53"/>
    </row>
    <row r="228" spans="1:9" ht="24" customHeight="1" x14ac:dyDescent="0.2">
      <c r="A228" s="487"/>
      <c r="I228" s="53"/>
    </row>
    <row r="229" spans="1:9" ht="24" customHeight="1" x14ac:dyDescent="0.2">
      <c r="A229" s="487"/>
      <c r="I229" s="53"/>
    </row>
    <row r="230" spans="1:9" ht="24" customHeight="1" x14ac:dyDescent="0.2">
      <c r="A230" s="487"/>
      <c r="I230" s="53"/>
    </row>
    <row r="231" spans="1:9" ht="24" customHeight="1" x14ac:dyDescent="0.2">
      <c r="A231" s="487"/>
      <c r="I231" s="53"/>
    </row>
    <row r="232" spans="1:9" ht="24" customHeight="1" x14ac:dyDescent="0.2">
      <c r="A232" s="487"/>
      <c r="I232" s="53"/>
    </row>
    <row r="233" spans="1:9" ht="24" customHeight="1" x14ac:dyDescent="0.2">
      <c r="A233" s="487"/>
      <c r="I233" s="53"/>
    </row>
    <row r="234" spans="1:9" ht="24" customHeight="1" x14ac:dyDescent="0.2">
      <c r="A234" s="487"/>
      <c r="I234" s="53"/>
    </row>
    <row r="235" spans="1:9" ht="24" customHeight="1" x14ac:dyDescent="0.2">
      <c r="A235" s="487"/>
      <c r="I235" s="53"/>
    </row>
    <row r="236" spans="1:9" ht="24" customHeight="1" x14ac:dyDescent="0.2">
      <c r="A236" s="487"/>
      <c r="I236" s="53"/>
    </row>
    <row r="237" spans="1:9" ht="24" customHeight="1" x14ac:dyDescent="0.2">
      <c r="A237" s="487"/>
      <c r="I237" s="53"/>
    </row>
    <row r="238" spans="1:9" ht="24" customHeight="1" x14ac:dyDescent="0.2">
      <c r="A238" s="487"/>
      <c r="I238" s="53"/>
    </row>
    <row r="239" spans="1:9" ht="24" customHeight="1" x14ac:dyDescent="0.2">
      <c r="A239" s="487"/>
      <c r="I239" s="53"/>
    </row>
    <row r="240" spans="1:9" ht="24" customHeight="1" x14ac:dyDescent="0.2">
      <c r="A240" s="487"/>
      <c r="I240" s="53"/>
    </row>
    <row r="241" spans="1:9" ht="24" customHeight="1" x14ac:dyDescent="0.2">
      <c r="A241" s="487"/>
      <c r="I241" s="53"/>
    </row>
    <row r="242" spans="1:9" ht="24" customHeight="1" x14ac:dyDescent="0.2">
      <c r="A242" s="487"/>
      <c r="I242" s="53"/>
    </row>
    <row r="243" spans="1:9" ht="24" customHeight="1" x14ac:dyDescent="0.2">
      <c r="A243" s="487"/>
      <c r="I243" s="53"/>
    </row>
    <row r="244" spans="1:9" ht="24" customHeight="1" x14ac:dyDescent="0.2">
      <c r="A244" s="487"/>
      <c r="I244" s="53"/>
    </row>
    <row r="245" spans="1:9" ht="24" customHeight="1" x14ac:dyDescent="0.2">
      <c r="A245" s="487"/>
      <c r="I245" s="53"/>
    </row>
    <row r="246" spans="1:9" ht="24" customHeight="1" x14ac:dyDescent="0.2">
      <c r="A246" s="487"/>
      <c r="I246" s="53"/>
    </row>
    <row r="247" spans="1:9" ht="24" customHeight="1" x14ac:dyDescent="0.2">
      <c r="A247" s="487"/>
      <c r="I247" s="53"/>
    </row>
    <row r="248" spans="1:9" ht="24" customHeight="1" x14ac:dyDescent="0.2">
      <c r="A248" s="487"/>
      <c r="I248" s="53"/>
    </row>
    <row r="249" spans="1:9" ht="24" customHeight="1" x14ac:dyDescent="0.2">
      <c r="A249" s="487"/>
      <c r="I249" s="53"/>
    </row>
    <row r="250" spans="1:9" ht="24" customHeight="1" x14ac:dyDescent="0.2">
      <c r="A250" s="487"/>
      <c r="I250" s="53"/>
    </row>
    <row r="251" spans="1:9" ht="24" customHeight="1" x14ac:dyDescent="0.2">
      <c r="A251" s="487"/>
      <c r="I251" s="53"/>
    </row>
    <row r="252" spans="1:9" ht="24" customHeight="1" x14ac:dyDescent="0.2">
      <c r="A252" s="487"/>
      <c r="I252" s="53"/>
    </row>
    <row r="253" spans="1:9" ht="24" customHeight="1" x14ac:dyDescent="0.2">
      <c r="A253" s="487"/>
      <c r="I253" s="53"/>
    </row>
    <row r="254" spans="1:9" ht="24" customHeight="1" x14ac:dyDescent="0.2">
      <c r="A254" s="487"/>
      <c r="I254" s="53"/>
    </row>
    <row r="255" spans="1:9" ht="24" customHeight="1" x14ac:dyDescent="0.2">
      <c r="A255" s="487"/>
      <c r="I255" s="53"/>
    </row>
    <row r="256" spans="1:9" ht="24" customHeight="1" x14ac:dyDescent="0.2">
      <c r="A256" s="487"/>
      <c r="I256" s="53"/>
    </row>
    <row r="257" spans="9:9" ht="24" customHeight="1" x14ac:dyDescent="0.2">
      <c r="I257" s="53"/>
    </row>
    <row r="258" spans="9:9" ht="24" customHeight="1" x14ac:dyDescent="0.2"/>
    <row r="259" spans="9:9" ht="24" customHeight="1" x14ac:dyDescent="0.2"/>
    <row r="260" spans="9:9" ht="24" customHeight="1" x14ac:dyDescent="0.2"/>
    <row r="261" spans="9:9" ht="24" customHeight="1" x14ac:dyDescent="0.2"/>
    <row r="262" spans="9:9" ht="24" customHeight="1" x14ac:dyDescent="0.2"/>
    <row r="263" spans="9:9" ht="24" customHeight="1" x14ac:dyDescent="0.2"/>
    <row r="264" spans="9:9" ht="24" customHeight="1" x14ac:dyDescent="0.2"/>
    <row r="265" spans="9:9" ht="24" customHeight="1" x14ac:dyDescent="0.2"/>
    <row r="266" spans="9:9" ht="24" customHeight="1" x14ac:dyDescent="0.2"/>
    <row r="267" spans="9:9" ht="24" customHeight="1" x14ac:dyDescent="0.2"/>
    <row r="268" spans="9:9" ht="24" customHeight="1" x14ac:dyDescent="0.2"/>
    <row r="269" spans="9:9" ht="24" customHeight="1" x14ac:dyDescent="0.2"/>
    <row r="270" spans="9:9" ht="24" customHeight="1" x14ac:dyDescent="0.2"/>
    <row r="271" spans="9:9" ht="24" customHeight="1" x14ac:dyDescent="0.2"/>
    <row r="272" spans="9:9" ht="24" customHeight="1" x14ac:dyDescent="0.2"/>
    <row r="273" ht="24" customHeight="1" x14ac:dyDescent="0.2"/>
    <row r="274" ht="24" customHeight="1" x14ac:dyDescent="0.2"/>
    <row r="275" ht="24" customHeight="1" x14ac:dyDescent="0.2"/>
    <row r="276" ht="24" customHeight="1" x14ac:dyDescent="0.2"/>
    <row r="277" ht="24" customHeight="1" x14ac:dyDescent="0.2"/>
    <row r="278" ht="24" customHeight="1" x14ac:dyDescent="0.2"/>
    <row r="279" ht="24" customHeight="1" x14ac:dyDescent="0.2"/>
    <row r="280" ht="24" customHeight="1" x14ac:dyDescent="0.2"/>
    <row r="281" ht="24" customHeight="1" x14ac:dyDescent="0.2"/>
    <row r="282" ht="24" customHeight="1" x14ac:dyDescent="0.2"/>
    <row r="283" ht="24" customHeight="1" x14ac:dyDescent="0.2"/>
    <row r="284" ht="24" customHeight="1" x14ac:dyDescent="0.2"/>
    <row r="285" ht="24" customHeight="1" x14ac:dyDescent="0.2"/>
    <row r="286" ht="24" customHeight="1" x14ac:dyDescent="0.2"/>
    <row r="287" ht="24" customHeight="1" x14ac:dyDescent="0.2"/>
    <row r="288" ht="24" customHeight="1" x14ac:dyDescent="0.2"/>
    <row r="289" ht="24" customHeight="1" x14ac:dyDescent="0.2"/>
    <row r="290" ht="24" customHeight="1" x14ac:dyDescent="0.2"/>
    <row r="291" ht="24" customHeight="1" x14ac:dyDescent="0.2"/>
    <row r="292" ht="24" customHeight="1" x14ac:dyDescent="0.2"/>
    <row r="293" ht="24" customHeight="1" x14ac:dyDescent="0.2"/>
    <row r="294" ht="24" customHeight="1" x14ac:dyDescent="0.2"/>
    <row r="295" ht="24" customHeight="1" x14ac:dyDescent="0.2"/>
    <row r="296" ht="24" customHeight="1" x14ac:dyDescent="0.2"/>
    <row r="297" ht="24" customHeight="1" x14ac:dyDescent="0.2"/>
    <row r="298" ht="24" customHeight="1" x14ac:dyDescent="0.2"/>
    <row r="299" ht="24" customHeight="1" x14ac:dyDescent="0.2"/>
    <row r="300" ht="24" customHeight="1" x14ac:dyDescent="0.2"/>
    <row r="301" ht="24" customHeight="1" x14ac:dyDescent="0.2"/>
    <row r="302" ht="24" customHeight="1" x14ac:dyDescent="0.2"/>
    <row r="303" ht="24" customHeight="1" x14ac:dyDescent="0.2"/>
    <row r="304" ht="24" customHeight="1" x14ac:dyDescent="0.2"/>
    <row r="305" ht="24" customHeight="1" x14ac:dyDescent="0.2"/>
    <row r="306" ht="24" customHeight="1" x14ac:dyDescent="0.2"/>
    <row r="307" ht="24" customHeight="1" x14ac:dyDescent="0.2"/>
    <row r="308" ht="24" customHeight="1" x14ac:dyDescent="0.2"/>
    <row r="309" ht="24" customHeight="1" x14ac:dyDescent="0.2"/>
    <row r="310" ht="24" customHeight="1" x14ac:dyDescent="0.2"/>
    <row r="311" ht="24" customHeight="1" x14ac:dyDescent="0.2"/>
    <row r="312" ht="24" customHeight="1" x14ac:dyDescent="0.2"/>
    <row r="313" ht="24" customHeight="1" x14ac:dyDescent="0.2"/>
    <row r="314" ht="24" customHeight="1" x14ac:dyDescent="0.2"/>
    <row r="315" ht="24" customHeight="1" x14ac:dyDescent="0.2"/>
    <row r="316" ht="24" customHeight="1" x14ac:dyDescent="0.2"/>
    <row r="317" ht="24" customHeight="1" x14ac:dyDescent="0.2"/>
    <row r="318" ht="24" customHeight="1" x14ac:dyDescent="0.2"/>
    <row r="319" ht="24" customHeight="1" x14ac:dyDescent="0.2"/>
    <row r="320" ht="24" customHeight="1" x14ac:dyDescent="0.2"/>
    <row r="321" ht="24" customHeight="1" x14ac:dyDescent="0.2"/>
    <row r="322" ht="24" customHeight="1" x14ac:dyDescent="0.2"/>
    <row r="323" ht="24" customHeight="1" x14ac:dyDescent="0.2"/>
    <row r="324" ht="24" customHeight="1" x14ac:dyDescent="0.2"/>
    <row r="325" ht="24" customHeight="1" x14ac:dyDescent="0.2"/>
    <row r="326" ht="24" customHeight="1" x14ac:dyDescent="0.2"/>
    <row r="327" ht="24" customHeight="1" x14ac:dyDescent="0.2"/>
    <row r="328" ht="24" customHeight="1" x14ac:dyDescent="0.2"/>
    <row r="329" ht="24" customHeight="1" x14ac:dyDescent="0.2"/>
    <row r="330" ht="24" customHeight="1" x14ac:dyDescent="0.2"/>
    <row r="331" ht="24" customHeight="1" x14ac:dyDescent="0.2"/>
    <row r="332" ht="24" customHeight="1" x14ac:dyDescent="0.2"/>
    <row r="333" ht="24" customHeight="1" x14ac:dyDescent="0.2"/>
    <row r="334" ht="24" customHeight="1" x14ac:dyDescent="0.2"/>
    <row r="335" ht="24" customHeight="1" x14ac:dyDescent="0.2"/>
    <row r="336" ht="24" customHeight="1" x14ac:dyDescent="0.2"/>
    <row r="337" ht="24" customHeight="1" x14ac:dyDescent="0.2"/>
    <row r="338" ht="24" customHeight="1" x14ac:dyDescent="0.2"/>
    <row r="339" ht="24" customHeight="1" x14ac:dyDescent="0.2"/>
    <row r="340" ht="24" customHeight="1" x14ac:dyDescent="0.2"/>
    <row r="341" ht="24" customHeight="1" x14ac:dyDescent="0.2"/>
    <row r="342" ht="24" customHeight="1" x14ac:dyDescent="0.2"/>
    <row r="343" ht="24" customHeight="1" x14ac:dyDescent="0.2"/>
    <row r="344" ht="24" customHeight="1" x14ac:dyDescent="0.2"/>
    <row r="345" ht="24" customHeight="1" x14ac:dyDescent="0.2"/>
    <row r="346" ht="24" customHeight="1" x14ac:dyDescent="0.2"/>
    <row r="347" ht="24" customHeight="1" x14ac:dyDescent="0.2"/>
    <row r="348" ht="24" customHeight="1" x14ac:dyDescent="0.2"/>
    <row r="349" ht="24" customHeight="1" x14ac:dyDescent="0.2"/>
    <row r="350" ht="24" customHeight="1" x14ac:dyDescent="0.2"/>
    <row r="351" ht="24" customHeight="1" x14ac:dyDescent="0.2"/>
    <row r="352" ht="24" customHeight="1" x14ac:dyDescent="0.2"/>
    <row r="353" ht="24" customHeight="1" x14ac:dyDescent="0.2"/>
    <row r="354" ht="24" customHeight="1" x14ac:dyDescent="0.2"/>
    <row r="355" ht="24" customHeight="1" x14ac:dyDescent="0.2"/>
    <row r="356" ht="24" customHeight="1" x14ac:dyDescent="0.2"/>
    <row r="357" ht="24" customHeight="1" x14ac:dyDescent="0.2"/>
    <row r="358" ht="24" customHeight="1" x14ac:dyDescent="0.2"/>
    <row r="359" ht="24" customHeight="1" x14ac:dyDescent="0.2"/>
    <row r="360" ht="24" customHeight="1" x14ac:dyDescent="0.2"/>
    <row r="361" ht="24" customHeight="1" x14ac:dyDescent="0.2"/>
    <row r="362" ht="24" customHeight="1" x14ac:dyDescent="0.2"/>
    <row r="363" ht="24" customHeight="1" x14ac:dyDescent="0.2"/>
    <row r="364" ht="24" customHeight="1" x14ac:dyDescent="0.2"/>
    <row r="365" ht="24" customHeight="1" x14ac:dyDescent="0.2"/>
    <row r="366" ht="24" customHeight="1" x14ac:dyDescent="0.2"/>
    <row r="367" ht="24" customHeight="1" x14ac:dyDescent="0.2"/>
    <row r="368" ht="24" customHeight="1" x14ac:dyDescent="0.2"/>
    <row r="369" ht="24" customHeight="1" x14ac:dyDescent="0.2"/>
    <row r="370" ht="24" customHeight="1" x14ac:dyDescent="0.2"/>
    <row r="371" ht="24" customHeight="1" x14ac:dyDescent="0.2"/>
    <row r="372" ht="24" customHeight="1" x14ac:dyDescent="0.2"/>
    <row r="373" ht="24" customHeight="1" x14ac:dyDescent="0.2"/>
    <row r="374" ht="24" customHeight="1" x14ac:dyDescent="0.2"/>
    <row r="375" ht="24" customHeight="1" x14ac:dyDescent="0.2"/>
    <row r="376" ht="24" customHeight="1" x14ac:dyDescent="0.2"/>
    <row r="377" ht="24" customHeight="1" x14ac:dyDescent="0.2"/>
    <row r="378" ht="24" customHeight="1" x14ac:dyDescent="0.2"/>
    <row r="379" ht="24" customHeight="1" x14ac:dyDescent="0.2"/>
    <row r="380" ht="24" customHeight="1" x14ac:dyDescent="0.2"/>
    <row r="381" ht="24" customHeight="1" x14ac:dyDescent="0.2"/>
    <row r="382" ht="24" customHeight="1" x14ac:dyDescent="0.2"/>
    <row r="383" ht="24" customHeight="1" x14ac:dyDescent="0.2"/>
    <row r="384" ht="24" customHeight="1" x14ac:dyDescent="0.2"/>
    <row r="385" ht="24" customHeight="1" x14ac:dyDescent="0.2"/>
    <row r="386" ht="24" customHeight="1" x14ac:dyDescent="0.2"/>
    <row r="387" ht="24" customHeight="1" x14ac:dyDescent="0.2"/>
    <row r="388" ht="24" customHeight="1" x14ac:dyDescent="0.2"/>
  </sheetData>
  <mergeCells count="17">
    <mergeCell ref="K118:K119"/>
    <mergeCell ref="J118:J119"/>
    <mergeCell ref="K79:K81"/>
    <mergeCell ref="K82:K83"/>
    <mergeCell ref="J82:J83"/>
    <mergeCell ref="K111:K112"/>
    <mergeCell ref="J113:J114"/>
    <mergeCell ref="K113:K114"/>
    <mergeCell ref="J111:J112"/>
    <mergeCell ref="J79:J81"/>
    <mergeCell ref="B32:B33"/>
    <mergeCell ref="B51:B56"/>
    <mergeCell ref="B14:B18"/>
    <mergeCell ref="C1:I1"/>
    <mergeCell ref="B27:B30"/>
    <mergeCell ref="B35:B36"/>
    <mergeCell ref="B41:B42"/>
  </mergeCells>
  <phoneticPr fontId="46" type="noConversion"/>
  <pageMargins left="0.43307086614173229" right="0.23622047244094491" top="0.27559055118110237" bottom="0.23622047244094491" header="0.23622047244094491" footer="0.23622047244094491"/>
  <pageSetup paperSize="9" scale="51" orientation="portrait" r:id="rId1"/>
  <headerFooter alignWithMargins="0">
    <oddFooter>&amp;R&amp;F</oddFooter>
  </headerFooter>
  <rowBreaks count="5" manualBreakCount="5">
    <brk id="49" max="10" man="1"/>
    <brk id="86" max="10" man="1"/>
    <brk id="122" max="10" man="1"/>
    <brk id="163" max="10" man="1"/>
    <brk id="201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B1:L230"/>
  <sheetViews>
    <sheetView topLeftCell="B112" zoomScaleNormal="100" workbookViewId="0">
      <selection activeCell="C125" sqref="C125"/>
    </sheetView>
  </sheetViews>
  <sheetFormatPr baseColWidth="10" defaultRowHeight="12.75" x14ac:dyDescent="0.2"/>
  <cols>
    <col min="1" max="1" width="11.42578125" style="488"/>
    <col min="2" max="2" width="35.7109375" style="488" customWidth="1"/>
    <col min="3" max="4" width="10.7109375" style="488" customWidth="1"/>
    <col min="5" max="5" width="7.5703125" style="488" customWidth="1"/>
    <col min="6" max="6" width="35.7109375" style="488" customWidth="1"/>
    <col min="7" max="8" width="10.7109375" style="488" customWidth="1"/>
    <col min="9" max="9" width="5.85546875" style="488" customWidth="1"/>
    <col min="10" max="10" width="35.7109375" style="488" customWidth="1"/>
    <col min="11" max="12" width="10.7109375" style="488" customWidth="1"/>
    <col min="13" max="16384" width="11.42578125" style="488"/>
  </cols>
  <sheetData>
    <row r="1" spans="2:12" ht="13.5" thickBot="1" x14ac:dyDescent="0.25"/>
    <row r="2" spans="2:12" ht="30" customHeight="1" thickBot="1" x14ac:dyDescent="0.25">
      <c r="F2" s="592">
        <f>DIMANCHE!G2</f>
        <v>42120</v>
      </c>
      <c r="G2" s="593"/>
      <c r="H2" s="594"/>
    </row>
    <row r="3" spans="2:12" ht="13.5" thickBot="1" x14ac:dyDescent="0.25"/>
    <row r="4" spans="2:12" ht="24.95" customHeight="1" thickBot="1" x14ac:dyDescent="0.25">
      <c r="B4" s="589" t="s">
        <v>123</v>
      </c>
      <c r="C4" s="590"/>
      <c r="D4" s="591"/>
      <c r="F4" s="589" t="s">
        <v>267</v>
      </c>
      <c r="G4" s="590"/>
      <c r="H4" s="591"/>
      <c r="J4" s="589" t="s">
        <v>269</v>
      </c>
      <c r="K4" s="590"/>
      <c r="L4" s="591"/>
    </row>
    <row r="5" spans="2:12" x14ac:dyDescent="0.2">
      <c r="B5" s="582"/>
      <c r="C5" s="489" t="s">
        <v>124</v>
      </c>
      <c r="D5" s="490" t="s">
        <v>125</v>
      </c>
      <c r="F5" s="582"/>
      <c r="G5" s="489" t="s">
        <v>124</v>
      </c>
      <c r="H5" s="490" t="s">
        <v>125</v>
      </c>
      <c r="J5" s="582"/>
      <c r="K5" s="489" t="s">
        <v>124</v>
      </c>
      <c r="L5" s="490" t="s">
        <v>125</v>
      </c>
    </row>
    <row r="6" spans="2:12" x14ac:dyDescent="0.2">
      <c r="B6" s="583"/>
      <c r="C6" s="491" t="s">
        <v>126</v>
      </c>
      <c r="D6" s="492" t="s">
        <v>126</v>
      </c>
      <c r="F6" s="583"/>
      <c r="G6" s="491" t="s">
        <v>126</v>
      </c>
      <c r="H6" s="492" t="s">
        <v>126</v>
      </c>
      <c r="J6" s="583"/>
      <c r="K6" s="491" t="s">
        <v>126</v>
      </c>
      <c r="L6" s="492" t="s">
        <v>126</v>
      </c>
    </row>
    <row r="7" spans="2:12" ht="21.95" customHeight="1" x14ac:dyDescent="0.2">
      <c r="B7" s="493" t="s">
        <v>142</v>
      </c>
      <c r="C7" s="499">
        <v>8.5</v>
      </c>
      <c r="D7" s="529">
        <f>C7*D$15/C$15</f>
        <v>77.923857868020292</v>
      </c>
      <c r="F7" s="493" t="s">
        <v>256</v>
      </c>
      <c r="G7" s="499">
        <v>10</v>
      </c>
      <c r="H7" s="529">
        <f t="shared" ref="H7:H12" si="0">G7*H$15/G$15</f>
        <v>63.782696177062363</v>
      </c>
      <c r="J7" s="493" t="s">
        <v>279</v>
      </c>
      <c r="K7" s="499">
        <v>10</v>
      </c>
      <c r="L7" s="529">
        <f>K7*L$15/K$15</f>
        <v>28.44796104686549</v>
      </c>
    </row>
    <row r="8" spans="2:12" ht="21.95" customHeight="1" x14ac:dyDescent="0.2">
      <c r="B8" s="493" t="s">
        <v>350</v>
      </c>
      <c r="C8" s="499">
        <v>1.5</v>
      </c>
      <c r="D8" s="529">
        <f t="shared" ref="D8:D14" si="1">C8*D$15/C$15</f>
        <v>13.751269035532992</v>
      </c>
      <c r="F8" s="493" t="s">
        <v>254</v>
      </c>
      <c r="G8" s="499">
        <v>3</v>
      </c>
      <c r="H8" s="529">
        <f t="shared" si="0"/>
        <v>19.134808853118713</v>
      </c>
      <c r="J8" s="493" t="s">
        <v>132</v>
      </c>
      <c r="K8" s="499">
        <v>0.18</v>
      </c>
      <c r="L8" s="529">
        <f>K8*L$15/K$15</f>
        <v>0.51206329884357871</v>
      </c>
    </row>
    <row r="9" spans="2:12" ht="21.95" customHeight="1" x14ac:dyDescent="0.2">
      <c r="B9" s="493" t="s">
        <v>254</v>
      </c>
      <c r="C9" s="499">
        <v>3</v>
      </c>
      <c r="D9" s="529">
        <f t="shared" si="1"/>
        <v>27.502538071065985</v>
      </c>
      <c r="F9" s="493" t="s">
        <v>134</v>
      </c>
      <c r="G9" s="499">
        <v>6.5</v>
      </c>
      <c r="H9" s="529">
        <f t="shared" si="0"/>
        <v>41.458752515090538</v>
      </c>
      <c r="J9" s="493" t="s">
        <v>133</v>
      </c>
      <c r="K9" s="499">
        <v>0.15</v>
      </c>
      <c r="L9" s="529">
        <f>K9*L$15/K$15</f>
        <v>0.42671941570298233</v>
      </c>
    </row>
    <row r="10" spans="2:12" ht="21.95" customHeight="1" x14ac:dyDescent="0.2">
      <c r="B10" s="493" t="s">
        <v>134</v>
      </c>
      <c r="C10" s="499">
        <v>6.1</v>
      </c>
      <c r="D10" s="529">
        <f t="shared" si="1"/>
        <v>55.921827411167499</v>
      </c>
      <c r="F10" s="493" t="s">
        <v>132</v>
      </c>
      <c r="G10" s="499">
        <v>0.18</v>
      </c>
      <c r="H10" s="529">
        <f t="shared" si="0"/>
        <v>1.1480885311871227</v>
      </c>
      <c r="J10" s="493" t="s">
        <v>134</v>
      </c>
      <c r="K10" s="499">
        <v>6</v>
      </c>
      <c r="L10" s="529">
        <f>K10*L$15/K$15</f>
        <v>17.068776628119291</v>
      </c>
    </row>
    <row r="11" spans="2:12" ht="21.95" customHeight="1" x14ac:dyDescent="0.2">
      <c r="B11" s="493" t="s">
        <v>132</v>
      </c>
      <c r="C11" s="499">
        <v>0.18</v>
      </c>
      <c r="D11" s="529">
        <f t="shared" si="1"/>
        <v>1.6501522842639589</v>
      </c>
      <c r="F11" s="493" t="s">
        <v>249</v>
      </c>
      <c r="G11" s="499">
        <v>0.1</v>
      </c>
      <c r="H11" s="529">
        <f t="shared" si="0"/>
        <v>0.6378269617706237</v>
      </c>
      <c r="J11" s="493" t="s">
        <v>249</v>
      </c>
      <c r="K11" s="499">
        <v>0.1</v>
      </c>
      <c r="L11" s="529">
        <f>K11*L$15/K$15</f>
        <v>0.28447961046865489</v>
      </c>
    </row>
    <row r="12" spans="2:12" ht="21.95" customHeight="1" x14ac:dyDescent="0.2">
      <c r="B12" s="493" t="s">
        <v>249</v>
      </c>
      <c r="C12" s="499">
        <v>0.1</v>
      </c>
      <c r="D12" s="529">
        <f t="shared" si="1"/>
        <v>0.91675126903553283</v>
      </c>
      <c r="F12" s="493" t="s">
        <v>133</v>
      </c>
      <c r="G12" s="499">
        <v>0.1</v>
      </c>
      <c r="H12" s="529">
        <f t="shared" si="0"/>
        <v>0.6378269617706237</v>
      </c>
      <c r="J12" s="493"/>
      <c r="K12" s="499"/>
      <c r="L12" s="529"/>
    </row>
    <row r="13" spans="2:12" ht="21.95" customHeight="1" x14ac:dyDescent="0.2">
      <c r="B13" s="493" t="s">
        <v>250</v>
      </c>
      <c r="C13" s="499">
        <v>0.2</v>
      </c>
      <c r="D13" s="529">
        <f t="shared" si="1"/>
        <v>1.8335025380710657</v>
      </c>
      <c r="F13" s="493"/>
      <c r="G13" s="499"/>
      <c r="H13" s="529"/>
      <c r="J13" s="493"/>
      <c r="K13" s="499"/>
      <c r="L13" s="529"/>
    </row>
    <row r="14" spans="2:12" ht="21.95" customHeight="1" x14ac:dyDescent="0.2">
      <c r="B14" s="493" t="s">
        <v>133</v>
      </c>
      <c r="C14" s="499">
        <v>0.12</v>
      </c>
      <c r="D14" s="529">
        <f t="shared" si="1"/>
        <v>1.1001015228426392</v>
      </c>
      <c r="F14" s="493"/>
      <c r="G14" s="499"/>
      <c r="H14" s="529"/>
      <c r="J14" s="493"/>
      <c r="K14" s="499"/>
      <c r="L14" s="529"/>
    </row>
    <row r="15" spans="2:12" ht="21.95" customHeight="1" thickBot="1" x14ac:dyDescent="0.25">
      <c r="B15" s="494" t="s">
        <v>127</v>
      </c>
      <c r="C15" s="495">
        <f>SUM(C7:C14)</f>
        <v>19.700000000000003</v>
      </c>
      <c r="D15" s="530">
        <f>D!B27+D!B31+D!B97</f>
        <v>180.6</v>
      </c>
      <c r="F15" s="494" t="s">
        <v>127</v>
      </c>
      <c r="G15" s="495">
        <f>SUM(G7:G14)</f>
        <v>19.880000000000003</v>
      </c>
      <c r="H15" s="530">
        <f>D!B7+D!B92+D!B153</f>
        <v>126.80000000000001</v>
      </c>
      <c r="J15" s="494" t="s">
        <v>127</v>
      </c>
      <c r="K15" s="495">
        <f>SUM(K7:K14)</f>
        <v>16.43</v>
      </c>
      <c r="L15" s="530">
        <f>D!B51</f>
        <v>46.739999999999995</v>
      </c>
    </row>
    <row r="16" spans="2:12" ht="21.95" customHeight="1" thickBot="1" x14ac:dyDescent="0.25">
      <c r="B16" s="497"/>
      <c r="C16" s="586" t="s">
        <v>268</v>
      </c>
      <c r="D16" s="588"/>
      <c r="F16" s="497"/>
      <c r="G16" s="586" t="s">
        <v>268</v>
      </c>
      <c r="H16" s="588"/>
      <c r="J16" s="497"/>
      <c r="K16" s="586" t="s">
        <v>298</v>
      </c>
      <c r="L16" s="588"/>
    </row>
    <row r="17" spans="2:12" ht="21.95" customHeight="1" thickBot="1" x14ac:dyDescent="0.25">
      <c r="B17" s="498" t="s">
        <v>251</v>
      </c>
      <c r="C17" s="584" t="s">
        <v>252</v>
      </c>
      <c r="D17" s="585"/>
      <c r="F17" s="498" t="s">
        <v>251</v>
      </c>
      <c r="G17" s="584" t="s">
        <v>252</v>
      </c>
      <c r="H17" s="585"/>
      <c r="J17" s="498" t="s">
        <v>251</v>
      </c>
      <c r="K17" s="584" t="s">
        <v>252</v>
      </c>
      <c r="L17" s="585"/>
    </row>
    <row r="18" spans="2:12" ht="21.95" customHeight="1" thickBot="1" x14ac:dyDescent="0.25">
      <c r="B18" s="498" t="s">
        <v>146</v>
      </c>
      <c r="C18" s="584" t="s">
        <v>186</v>
      </c>
      <c r="D18" s="585"/>
      <c r="F18" s="498" t="s">
        <v>146</v>
      </c>
      <c r="G18" s="584" t="s">
        <v>186</v>
      </c>
      <c r="H18" s="585"/>
      <c r="J18" s="498" t="s">
        <v>146</v>
      </c>
      <c r="K18" s="584" t="s">
        <v>186</v>
      </c>
      <c r="L18" s="585"/>
    </row>
    <row r="19" spans="2:12" ht="21.95" customHeight="1" thickBot="1" x14ac:dyDescent="0.25">
      <c r="B19" s="498" t="s">
        <v>152</v>
      </c>
      <c r="C19" s="584" t="s">
        <v>253</v>
      </c>
      <c r="D19" s="585"/>
      <c r="F19" s="498" t="s">
        <v>187</v>
      </c>
      <c r="G19" s="584" t="s">
        <v>253</v>
      </c>
      <c r="H19" s="585"/>
      <c r="J19" s="498" t="s">
        <v>148</v>
      </c>
      <c r="K19" s="584" t="s">
        <v>187</v>
      </c>
      <c r="L19" s="585"/>
    </row>
    <row r="20" spans="2:12" ht="30" customHeight="1" thickBot="1" x14ac:dyDescent="0.25">
      <c r="B20" s="586" t="s">
        <v>255</v>
      </c>
      <c r="C20" s="587"/>
      <c r="D20" s="588"/>
      <c r="F20" s="586" t="s">
        <v>153</v>
      </c>
      <c r="G20" s="587"/>
      <c r="H20" s="588"/>
      <c r="J20" s="586"/>
      <c r="K20" s="587"/>
      <c r="L20" s="588"/>
    </row>
    <row r="22" spans="2:12" ht="13.5" thickBot="1" x14ac:dyDescent="0.25"/>
    <row r="23" spans="2:12" ht="24.95" customHeight="1" thickBot="1" x14ac:dyDescent="0.25">
      <c r="B23" s="589" t="s">
        <v>270</v>
      </c>
      <c r="C23" s="590"/>
      <c r="D23" s="591"/>
      <c r="F23" s="589" t="s">
        <v>332</v>
      </c>
      <c r="G23" s="590"/>
      <c r="H23" s="591"/>
      <c r="J23" s="589" t="s">
        <v>273</v>
      </c>
      <c r="K23" s="590"/>
      <c r="L23" s="591"/>
    </row>
    <row r="24" spans="2:12" x14ac:dyDescent="0.2">
      <c r="B24" s="582"/>
      <c r="C24" s="489" t="s">
        <v>124</v>
      </c>
      <c r="D24" s="490" t="s">
        <v>125</v>
      </c>
      <c r="F24" s="582"/>
      <c r="G24" s="489" t="s">
        <v>124</v>
      </c>
      <c r="H24" s="490" t="s">
        <v>125</v>
      </c>
      <c r="J24" s="582"/>
      <c r="K24" s="489" t="s">
        <v>124</v>
      </c>
      <c r="L24" s="490" t="s">
        <v>125</v>
      </c>
    </row>
    <row r="25" spans="2:12" x14ac:dyDescent="0.2">
      <c r="B25" s="583"/>
      <c r="C25" s="491" t="s">
        <v>126</v>
      </c>
      <c r="D25" s="492" t="s">
        <v>126</v>
      </c>
      <c r="F25" s="583"/>
      <c r="G25" s="491" t="s">
        <v>126</v>
      </c>
      <c r="H25" s="492" t="s">
        <v>126</v>
      </c>
      <c r="J25" s="583"/>
      <c r="K25" s="491" t="s">
        <v>126</v>
      </c>
      <c r="L25" s="492" t="s">
        <v>126</v>
      </c>
    </row>
    <row r="26" spans="2:12" ht="21.95" customHeight="1" x14ac:dyDescent="0.2">
      <c r="B26" s="493" t="s">
        <v>271</v>
      </c>
      <c r="C26" s="499">
        <v>10</v>
      </c>
      <c r="D26" s="529">
        <f>C26*D$34/C$34</f>
        <v>86.221186221186201</v>
      </c>
      <c r="F26" s="493" t="s">
        <v>333</v>
      </c>
      <c r="G26" s="499">
        <v>4</v>
      </c>
      <c r="H26" s="529">
        <f t="shared" ref="H26:H31" si="2">G26*H$34/G$34</f>
        <v>3.7546012269938651</v>
      </c>
      <c r="J26" s="493" t="s">
        <v>274</v>
      </c>
      <c r="K26" s="499">
        <v>10</v>
      </c>
      <c r="L26" s="529">
        <f>K26*L$34/K$34</f>
        <v>53.385872737886743</v>
      </c>
    </row>
    <row r="27" spans="2:12" ht="21.95" customHeight="1" x14ac:dyDescent="0.2">
      <c r="B27" s="493" t="s">
        <v>134</v>
      </c>
      <c r="C27" s="499">
        <v>6.3</v>
      </c>
      <c r="D27" s="529">
        <f>C27*D$34/C$34</f>
        <v>54.319347319347315</v>
      </c>
      <c r="F27" s="493" t="s">
        <v>334</v>
      </c>
      <c r="G27" s="499">
        <v>6</v>
      </c>
      <c r="H27" s="529">
        <f t="shared" si="2"/>
        <v>5.6319018404907979</v>
      </c>
      <c r="J27" s="493" t="s">
        <v>249</v>
      </c>
      <c r="K27" s="499">
        <v>0.05</v>
      </c>
      <c r="L27" s="529">
        <f>K27*L$34/K$34</f>
        <v>0.26692936368943376</v>
      </c>
    </row>
    <row r="28" spans="2:12" ht="21.95" customHeight="1" x14ac:dyDescent="0.2">
      <c r="B28" s="493" t="s">
        <v>133</v>
      </c>
      <c r="C28" s="499">
        <v>7.0000000000000007E-2</v>
      </c>
      <c r="D28" s="529">
        <f>C28*D$34/C$34</f>
        <v>0.60354830354830358</v>
      </c>
      <c r="F28" s="493" t="s">
        <v>133</v>
      </c>
      <c r="G28" s="499">
        <v>0.3</v>
      </c>
      <c r="H28" s="529">
        <f t="shared" si="2"/>
        <v>0.28159509202453986</v>
      </c>
      <c r="J28" s="493" t="s">
        <v>134</v>
      </c>
      <c r="K28" s="499">
        <v>6.8</v>
      </c>
      <c r="L28" s="529">
        <f>K28*L$34/K$34</f>
        <v>36.302393461762982</v>
      </c>
    </row>
    <row r="29" spans="2:12" ht="21.95" customHeight="1" x14ac:dyDescent="0.2">
      <c r="B29" s="493" t="s">
        <v>257</v>
      </c>
      <c r="C29" s="499">
        <v>0.18</v>
      </c>
      <c r="D29" s="529">
        <f>C29*D$34/C$34</f>
        <v>1.5519813519813517</v>
      </c>
      <c r="F29" s="493" t="s">
        <v>134</v>
      </c>
      <c r="G29" s="499">
        <v>5.7</v>
      </c>
      <c r="H29" s="529">
        <f t="shared" si="2"/>
        <v>5.3503067484662576</v>
      </c>
      <c r="J29" s="493" t="s">
        <v>133</v>
      </c>
      <c r="K29" s="499">
        <v>0.1</v>
      </c>
      <c r="L29" s="529">
        <f>K29*L$34/K$34</f>
        <v>0.53385872737886753</v>
      </c>
    </row>
    <row r="30" spans="2:12" ht="21.95" customHeight="1" x14ac:dyDescent="0.2">
      <c r="B30" s="493" t="s">
        <v>272</v>
      </c>
      <c r="C30" s="499">
        <v>1</v>
      </c>
      <c r="D30" s="529">
        <f>C30*D$34/C$34</f>
        <v>8.6221186221186219</v>
      </c>
      <c r="F30" s="493" t="s">
        <v>335</v>
      </c>
      <c r="G30" s="499">
        <v>0.3</v>
      </c>
      <c r="H30" s="529">
        <f t="shared" si="2"/>
        <v>0.28159509202453986</v>
      </c>
      <c r="J30" s="493" t="s">
        <v>132</v>
      </c>
      <c r="K30" s="499">
        <v>0.18</v>
      </c>
      <c r="L30" s="529">
        <f>K30*L$34/K$34</f>
        <v>0.96094570928196121</v>
      </c>
    </row>
    <row r="31" spans="2:12" ht="21.95" customHeight="1" x14ac:dyDescent="0.2">
      <c r="B31" s="493"/>
      <c r="C31" s="499"/>
      <c r="D31" s="529"/>
      <c r="F31" s="493"/>
      <c r="G31" s="499"/>
      <c r="H31" s="529">
        <f t="shared" si="2"/>
        <v>0</v>
      </c>
      <c r="J31" s="493"/>
      <c r="K31" s="499"/>
      <c r="L31" s="529"/>
    </row>
    <row r="32" spans="2:12" ht="21.95" customHeight="1" x14ac:dyDescent="0.2">
      <c r="B32" s="493"/>
      <c r="C32" s="499"/>
      <c r="D32" s="529"/>
      <c r="F32" s="493"/>
      <c r="G32" s="499"/>
      <c r="H32" s="529"/>
      <c r="J32" s="493"/>
      <c r="K32" s="499"/>
      <c r="L32" s="529"/>
    </row>
    <row r="33" spans="2:12" ht="21.95" customHeight="1" x14ac:dyDescent="0.2">
      <c r="B33" s="493"/>
      <c r="C33" s="499"/>
      <c r="D33" s="529"/>
      <c r="F33" s="493"/>
      <c r="G33" s="499"/>
      <c r="H33" s="529"/>
      <c r="J33" s="493"/>
      <c r="K33" s="499"/>
      <c r="L33" s="529"/>
    </row>
    <row r="34" spans="2:12" ht="21.95" customHeight="1" thickBot="1" x14ac:dyDescent="0.25">
      <c r="B34" s="494" t="s">
        <v>127</v>
      </c>
      <c r="C34" s="495">
        <f>SUM(C26:C33)</f>
        <v>17.55</v>
      </c>
      <c r="D34" s="530">
        <f>D!B14</f>
        <v>151.31818181818181</v>
      </c>
      <c r="F34" s="494" t="s">
        <v>127</v>
      </c>
      <c r="G34" s="495">
        <f>SUM(G26:G33)</f>
        <v>16.3</v>
      </c>
      <c r="H34" s="530">
        <f>D!B63+D!B65</f>
        <v>15.3</v>
      </c>
      <c r="J34" s="494" t="s">
        <v>127</v>
      </c>
      <c r="K34" s="495">
        <f>SUM(K26:K33)</f>
        <v>17.130000000000003</v>
      </c>
      <c r="L34" s="530">
        <f>D!B35+D!B37+D!B38</f>
        <v>91.45</v>
      </c>
    </row>
    <row r="35" spans="2:12" ht="21.95" customHeight="1" thickBot="1" x14ac:dyDescent="0.25">
      <c r="B35" s="497"/>
      <c r="C35" s="586" t="s">
        <v>268</v>
      </c>
      <c r="D35" s="588"/>
      <c r="F35" s="497"/>
      <c r="G35" s="586" t="s">
        <v>268</v>
      </c>
      <c r="H35" s="588"/>
      <c r="J35" s="497"/>
      <c r="K35" s="586" t="s">
        <v>275</v>
      </c>
      <c r="L35" s="588"/>
    </row>
    <row r="36" spans="2:12" ht="21.95" customHeight="1" thickBot="1" x14ac:dyDescent="0.25">
      <c r="B36" s="498" t="s">
        <v>251</v>
      </c>
      <c r="C36" s="584" t="s">
        <v>252</v>
      </c>
      <c r="D36" s="585"/>
      <c r="F36" s="498"/>
      <c r="G36" s="584" t="s">
        <v>263</v>
      </c>
      <c r="H36" s="585"/>
      <c r="J36" s="498" t="s">
        <v>258</v>
      </c>
      <c r="K36" s="584" t="s">
        <v>259</v>
      </c>
      <c r="L36" s="585"/>
    </row>
    <row r="37" spans="2:12" ht="21.95" customHeight="1" thickBot="1" x14ac:dyDescent="0.25">
      <c r="B37" s="498" t="s">
        <v>146</v>
      </c>
      <c r="C37" s="584" t="s">
        <v>186</v>
      </c>
      <c r="D37" s="585"/>
      <c r="F37" s="498"/>
      <c r="G37" s="584" t="s">
        <v>169</v>
      </c>
      <c r="H37" s="585"/>
      <c r="J37" s="498" t="s">
        <v>149</v>
      </c>
      <c r="K37" s="584" t="s">
        <v>149</v>
      </c>
      <c r="L37" s="585"/>
    </row>
    <row r="38" spans="2:12" ht="21.95" customHeight="1" thickBot="1" x14ac:dyDescent="0.25">
      <c r="B38" s="498" t="s">
        <v>152</v>
      </c>
      <c r="C38" s="584" t="s">
        <v>253</v>
      </c>
      <c r="D38" s="585"/>
      <c r="F38" s="498"/>
      <c r="G38" s="584" t="s">
        <v>253</v>
      </c>
      <c r="H38" s="585"/>
      <c r="J38" s="498" t="s">
        <v>147</v>
      </c>
      <c r="K38" s="584" t="s">
        <v>260</v>
      </c>
      <c r="L38" s="585"/>
    </row>
    <row r="39" spans="2:12" ht="30" customHeight="1" thickBot="1" x14ac:dyDescent="0.25">
      <c r="B39" s="586" t="s">
        <v>153</v>
      </c>
      <c r="C39" s="587"/>
      <c r="D39" s="588"/>
      <c r="F39" s="586"/>
      <c r="G39" s="587"/>
      <c r="H39" s="588"/>
      <c r="J39" s="586" t="s">
        <v>331</v>
      </c>
      <c r="K39" s="587"/>
      <c r="L39" s="588"/>
    </row>
    <row r="41" spans="2:12" ht="13.5" thickBot="1" x14ac:dyDescent="0.25"/>
    <row r="42" spans="2:12" ht="24.95" customHeight="1" thickBot="1" x14ac:dyDescent="0.25">
      <c r="B42" s="589" t="s">
        <v>276</v>
      </c>
      <c r="C42" s="590"/>
      <c r="D42" s="591"/>
      <c r="F42" s="589" t="s">
        <v>129</v>
      </c>
      <c r="G42" s="590"/>
      <c r="H42" s="591"/>
      <c r="J42" s="589" t="s">
        <v>261</v>
      </c>
      <c r="K42" s="590"/>
      <c r="L42" s="591"/>
    </row>
    <row r="43" spans="2:12" x14ac:dyDescent="0.2">
      <c r="B43" s="582"/>
      <c r="C43" s="489" t="s">
        <v>124</v>
      </c>
      <c r="D43" s="490" t="s">
        <v>125</v>
      </c>
      <c r="F43" s="582"/>
      <c r="G43" s="489" t="s">
        <v>124</v>
      </c>
      <c r="H43" s="490" t="s">
        <v>125</v>
      </c>
      <c r="J43" s="582"/>
      <c r="K43" s="489" t="s">
        <v>124</v>
      </c>
      <c r="L43" s="490" t="s">
        <v>125</v>
      </c>
    </row>
    <row r="44" spans="2:12" x14ac:dyDescent="0.2">
      <c r="B44" s="583"/>
      <c r="C44" s="491" t="s">
        <v>126</v>
      </c>
      <c r="D44" s="492" t="s">
        <v>126</v>
      </c>
      <c r="F44" s="583"/>
      <c r="G44" s="491" t="s">
        <v>126</v>
      </c>
      <c r="H44" s="492" t="s">
        <v>126</v>
      </c>
      <c r="J44" s="583"/>
      <c r="K44" s="491" t="s">
        <v>126</v>
      </c>
      <c r="L44" s="492" t="s">
        <v>126</v>
      </c>
    </row>
    <row r="45" spans="2:12" ht="21.95" customHeight="1" x14ac:dyDescent="0.2">
      <c r="B45" s="493" t="s">
        <v>277</v>
      </c>
      <c r="C45" s="499">
        <v>10</v>
      </c>
      <c r="D45" s="529">
        <f>C45*D$53/C$53</f>
        <v>0</v>
      </c>
      <c r="F45" s="493" t="s">
        <v>278</v>
      </c>
      <c r="G45" s="499">
        <v>5</v>
      </c>
      <c r="H45" s="529">
        <f t="shared" ref="H45:H50" si="3">G45*H$53/G$53</f>
        <v>10.2088772845953</v>
      </c>
      <c r="J45" s="493" t="s">
        <v>280</v>
      </c>
      <c r="K45" s="499">
        <v>10</v>
      </c>
      <c r="L45" s="529">
        <f>K45*L$53/K$53</f>
        <v>46.987218502738877</v>
      </c>
    </row>
    <row r="46" spans="2:12" ht="21.95" customHeight="1" x14ac:dyDescent="0.2">
      <c r="B46" s="493" t="s">
        <v>134</v>
      </c>
      <c r="C46" s="499">
        <v>6</v>
      </c>
      <c r="D46" s="529">
        <f>C46*D$53/C$53</f>
        <v>0</v>
      </c>
      <c r="F46" s="493" t="s">
        <v>279</v>
      </c>
      <c r="G46" s="499">
        <v>5</v>
      </c>
      <c r="H46" s="529">
        <f t="shared" si="3"/>
        <v>10.2088772845953</v>
      </c>
      <c r="J46" s="493" t="s">
        <v>134</v>
      </c>
      <c r="K46" s="499">
        <v>6.1</v>
      </c>
      <c r="L46" s="529">
        <f>K46*L$53/K$53</f>
        <v>28.662203286670714</v>
      </c>
    </row>
    <row r="47" spans="2:12" ht="21.95" customHeight="1" x14ac:dyDescent="0.2">
      <c r="B47" s="493" t="s">
        <v>133</v>
      </c>
      <c r="C47" s="499">
        <v>0.1</v>
      </c>
      <c r="D47" s="529">
        <f>C47*D$53/C$53</f>
        <v>0</v>
      </c>
      <c r="F47" s="493" t="s">
        <v>134</v>
      </c>
      <c r="G47" s="499">
        <v>6</v>
      </c>
      <c r="H47" s="529">
        <f t="shared" si="3"/>
        <v>12.25065274151436</v>
      </c>
      <c r="J47" s="493" t="s">
        <v>133</v>
      </c>
      <c r="K47" s="499">
        <v>0.1</v>
      </c>
      <c r="L47" s="529">
        <f>K47*L$53/K$53</f>
        <v>0.46987218502738876</v>
      </c>
    </row>
    <row r="48" spans="2:12" ht="21.95" customHeight="1" x14ac:dyDescent="0.2">
      <c r="B48" s="493" t="s">
        <v>132</v>
      </c>
      <c r="C48" s="499">
        <v>0.18</v>
      </c>
      <c r="D48" s="529">
        <f>C48*D$53/C$53</f>
        <v>0</v>
      </c>
      <c r="F48" s="493" t="s">
        <v>254</v>
      </c>
      <c r="G48" s="499">
        <v>3</v>
      </c>
      <c r="H48" s="529">
        <f t="shared" si="3"/>
        <v>6.1253263707571799</v>
      </c>
      <c r="J48" s="493" t="s">
        <v>132</v>
      </c>
      <c r="K48" s="499">
        <v>0.18</v>
      </c>
      <c r="L48" s="529">
        <f>K48*L$53/K$53</f>
        <v>0.8457699330492997</v>
      </c>
    </row>
    <row r="49" spans="2:12" ht="21.95" customHeight="1" x14ac:dyDescent="0.2">
      <c r="B49" s="493" t="s">
        <v>249</v>
      </c>
      <c r="C49" s="499">
        <v>0.05</v>
      </c>
      <c r="D49" s="529">
        <f>C49*D$53/C$53</f>
        <v>0</v>
      </c>
      <c r="F49" s="493" t="s">
        <v>133</v>
      </c>
      <c r="G49" s="499">
        <v>0.1</v>
      </c>
      <c r="H49" s="529">
        <f t="shared" si="3"/>
        <v>0.20417754569190599</v>
      </c>
      <c r="J49" s="493" t="s">
        <v>249</v>
      </c>
      <c r="K49" s="499">
        <v>0.05</v>
      </c>
      <c r="L49" s="529">
        <f>K49*L$53/K$53</f>
        <v>0.23493609251369438</v>
      </c>
    </row>
    <row r="50" spans="2:12" ht="21.95" customHeight="1" x14ac:dyDescent="0.2">
      <c r="B50" s="493"/>
      <c r="C50" s="499"/>
      <c r="D50" s="529"/>
      <c r="F50" s="493" t="s">
        <v>249</v>
      </c>
      <c r="G50" s="499">
        <v>0.05</v>
      </c>
      <c r="H50" s="529">
        <f t="shared" si="3"/>
        <v>0.102088772845953</v>
      </c>
      <c r="J50" s="493"/>
      <c r="K50" s="499"/>
      <c r="L50" s="529"/>
    </row>
    <row r="51" spans="2:12" ht="21.95" customHeight="1" x14ac:dyDescent="0.2">
      <c r="B51" s="493"/>
      <c r="C51" s="499"/>
      <c r="D51" s="529"/>
      <c r="F51" s="493"/>
      <c r="G51" s="499"/>
      <c r="H51" s="529"/>
      <c r="J51" s="493"/>
      <c r="K51" s="499"/>
      <c r="L51" s="529"/>
    </row>
    <row r="52" spans="2:12" ht="21.95" customHeight="1" x14ac:dyDescent="0.2">
      <c r="B52" s="493"/>
      <c r="C52" s="499"/>
      <c r="D52" s="529"/>
      <c r="F52" s="493"/>
      <c r="G52" s="499"/>
      <c r="H52" s="529"/>
      <c r="J52" s="493"/>
      <c r="K52" s="499"/>
      <c r="L52" s="529"/>
    </row>
    <row r="53" spans="2:12" ht="21.95" customHeight="1" thickBot="1" x14ac:dyDescent="0.25">
      <c r="B53" s="494" t="s">
        <v>127</v>
      </c>
      <c r="C53" s="495">
        <f>SUM(C45:C52)</f>
        <v>16.330000000000002</v>
      </c>
      <c r="D53" s="530">
        <f>D!B9</f>
        <v>0</v>
      </c>
      <c r="F53" s="494" t="s">
        <v>127</v>
      </c>
      <c r="G53" s="495">
        <f>SUM(G45:G52)</f>
        <v>19.150000000000002</v>
      </c>
      <c r="H53" s="530">
        <f>D!B41+D!B94</f>
        <v>39.1</v>
      </c>
      <c r="J53" s="494" t="s">
        <v>127</v>
      </c>
      <c r="K53" s="495">
        <f>SUM(K45:K52)</f>
        <v>16.430000000000003</v>
      </c>
      <c r="L53" s="530">
        <f>D!B11+D!B93</f>
        <v>77.199999999999989</v>
      </c>
    </row>
    <row r="54" spans="2:12" ht="21.95" customHeight="1" thickBot="1" x14ac:dyDescent="0.25">
      <c r="B54" s="497"/>
      <c r="C54" s="586" t="s">
        <v>268</v>
      </c>
      <c r="D54" s="588"/>
      <c r="F54" s="497"/>
      <c r="G54" s="586" t="s">
        <v>268</v>
      </c>
      <c r="H54" s="588"/>
      <c r="J54" s="497"/>
      <c r="K54" s="586" t="s">
        <v>268</v>
      </c>
      <c r="L54" s="588"/>
    </row>
    <row r="55" spans="2:12" ht="21.95" customHeight="1" thickBot="1" x14ac:dyDescent="0.25">
      <c r="B55" s="498" t="s">
        <v>251</v>
      </c>
      <c r="C55" s="584" t="s">
        <v>252</v>
      </c>
      <c r="D55" s="585"/>
      <c r="F55" s="498" t="s">
        <v>251</v>
      </c>
      <c r="G55" s="584" t="s">
        <v>252</v>
      </c>
      <c r="H55" s="585"/>
      <c r="J55" s="498" t="s">
        <v>262</v>
      </c>
      <c r="K55" s="584" t="s">
        <v>263</v>
      </c>
      <c r="L55" s="585"/>
    </row>
    <row r="56" spans="2:12" ht="21.95" customHeight="1" thickBot="1" x14ac:dyDescent="0.25">
      <c r="B56" s="498" t="s">
        <v>146</v>
      </c>
      <c r="C56" s="584" t="s">
        <v>186</v>
      </c>
      <c r="D56" s="585"/>
      <c r="F56" s="498" t="s">
        <v>146</v>
      </c>
      <c r="G56" s="584" t="s">
        <v>146</v>
      </c>
      <c r="H56" s="585"/>
      <c r="J56" s="498" t="s">
        <v>169</v>
      </c>
      <c r="K56" s="584" t="s">
        <v>169</v>
      </c>
      <c r="L56" s="585"/>
    </row>
    <row r="57" spans="2:12" ht="21.95" customHeight="1" thickBot="1" x14ac:dyDescent="0.25">
      <c r="B57" s="498" t="s">
        <v>152</v>
      </c>
      <c r="C57" s="584" t="s">
        <v>253</v>
      </c>
      <c r="D57" s="585"/>
      <c r="F57" s="498" t="s">
        <v>148</v>
      </c>
      <c r="G57" s="584" t="s">
        <v>147</v>
      </c>
      <c r="H57" s="585"/>
      <c r="J57" s="498" t="s">
        <v>264</v>
      </c>
      <c r="K57" s="584" t="s">
        <v>253</v>
      </c>
      <c r="L57" s="585"/>
    </row>
    <row r="58" spans="2:12" ht="30" customHeight="1" thickBot="1" x14ac:dyDescent="0.25">
      <c r="B58" s="586" t="s">
        <v>255</v>
      </c>
      <c r="C58" s="587"/>
      <c r="D58" s="588"/>
      <c r="F58" s="586" t="s">
        <v>281</v>
      </c>
      <c r="G58" s="587"/>
      <c r="H58" s="588"/>
      <c r="J58" s="586" t="s">
        <v>265</v>
      </c>
      <c r="K58" s="587"/>
      <c r="L58" s="588"/>
    </row>
    <row r="60" spans="2:12" ht="13.5" thickBot="1" x14ac:dyDescent="0.25"/>
    <row r="61" spans="2:12" ht="24.95" customHeight="1" thickBot="1" x14ac:dyDescent="0.25">
      <c r="B61" s="589" t="s">
        <v>282</v>
      </c>
      <c r="C61" s="590"/>
      <c r="D61" s="591"/>
      <c r="F61" s="589" t="s">
        <v>130</v>
      </c>
      <c r="G61" s="590"/>
      <c r="H61" s="591"/>
      <c r="J61" s="589" t="s">
        <v>286</v>
      </c>
      <c r="K61" s="590"/>
      <c r="L61" s="591"/>
    </row>
    <row r="62" spans="2:12" x14ac:dyDescent="0.2">
      <c r="B62" s="582"/>
      <c r="C62" s="489" t="s">
        <v>124</v>
      </c>
      <c r="D62" s="490" t="s">
        <v>125</v>
      </c>
      <c r="F62" s="582"/>
      <c r="G62" s="489" t="s">
        <v>124</v>
      </c>
      <c r="H62" s="490" t="s">
        <v>125</v>
      </c>
      <c r="J62" s="582"/>
      <c r="K62" s="489" t="s">
        <v>124</v>
      </c>
      <c r="L62" s="490" t="s">
        <v>125</v>
      </c>
    </row>
    <row r="63" spans="2:12" x14ac:dyDescent="0.2">
      <c r="B63" s="583"/>
      <c r="C63" s="491" t="s">
        <v>126</v>
      </c>
      <c r="D63" s="492" t="s">
        <v>126</v>
      </c>
      <c r="F63" s="583"/>
      <c r="G63" s="491" t="s">
        <v>126</v>
      </c>
      <c r="H63" s="492" t="s">
        <v>126</v>
      </c>
      <c r="J63" s="583"/>
      <c r="K63" s="491" t="s">
        <v>126</v>
      </c>
      <c r="L63" s="492" t="s">
        <v>126</v>
      </c>
    </row>
    <row r="64" spans="2:12" ht="21.95" customHeight="1" x14ac:dyDescent="0.2">
      <c r="B64" s="493" t="s">
        <v>283</v>
      </c>
      <c r="C64" s="499">
        <v>10</v>
      </c>
      <c r="D64" s="529">
        <f>C64*D$72/C$72</f>
        <v>3.7005163511187606</v>
      </c>
      <c r="F64" s="493" t="s">
        <v>284</v>
      </c>
      <c r="G64" s="499">
        <v>10</v>
      </c>
      <c r="H64" s="529">
        <f t="shared" ref="H64:H69" si="4">G64*H$72/G$72</f>
        <v>5.5230859146697835</v>
      </c>
      <c r="J64" s="493" t="s">
        <v>287</v>
      </c>
      <c r="K64" s="499">
        <v>100</v>
      </c>
      <c r="L64" s="529">
        <f>K64*L$72/K$72</f>
        <v>4.5893719806763285</v>
      </c>
    </row>
    <row r="65" spans="2:12" ht="21.95" customHeight="1" x14ac:dyDescent="0.2">
      <c r="B65" s="493" t="s">
        <v>134</v>
      </c>
      <c r="C65" s="499">
        <v>7</v>
      </c>
      <c r="D65" s="529">
        <f>C65*D$72/C$72</f>
        <v>2.5903614457831323</v>
      </c>
      <c r="F65" s="493" t="s">
        <v>134</v>
      </c>
      <c r="G65" s="499">
        <v>6.1</v>
      </c>
      <c r="H65" s="529">
        <f t="shared" si="4"/>
        <v>3.3690824079485675</v>
      </c>
      <c r="J65" s="493" t="s">
        <v>134</v>
      </c>
      <c r="K65" s="499">
        <v>75</v>
      </c>
      <c r="L65" s="529">
        <f>K65*L$72/K$72</f>
        <v>3.4420289855072466</v>
      </c>
    </row>
    <row r="66" spans="2:12" ht="21.95" customHeight="1" x14ac:dyDescent="0.2">
      <c r="B66" s="493" t="s">
        <v>133</v>
      </c>
      <c r="C66" s="499">
        <v>0.2</v>
      </c>
      <c r="D66" s="529">
        <f>C66*D$72/C$72</f>
        <v>7.4010327022375214E-2</v>
      </c>
      <c r="F66" s="493" t="s">
        <v>285</v>
      </c>
      <c r="G66" s="499">
        <v>0.7</v>
      </c>
      <c r="H66" s="529">
        <f t="shared" si="4"/>
        <v>0.38661601402688484</v>
      </c>
      <c r="J66" s="493" t="s">
        <v>133</v>
      </c>
      <c r="K66" s="499">
        <v>2</v>
      </c>
      <c r="L66" s="529">
        <f>K66*L$72/K$72</f>
        <v>9.1787439613526575E-2</v>
      </c>
    </row>
    <row r="67" spans="2:12" ht="21.95" customHeight="1" x14ac:dyDescent="0.2">
      <c r="B67" s="493" t="s">
        <v>132</v>
      </c>
      <c r="C67" s="499">
        <v>0.18</v>
      </c>
      <c r="D67" s="529">
        <f>C67*D$72/C$72</f>
        <v>6.6609294320137694E-2</v>
      </c>
      <c r="F67" s="493" t="s">
        <v>132</v>
      </c>
      <c r="G67" s="499">
        <v>0.18</v>
      </c>
      <c r="H67" s="529">
        <f t="shared" si="4"/>
        <v>9.9415546464056107E-2</v>
      </c>
      <c r="J67" s="493" t="s">
        <v>254</v>
      </c>
      <c r="K67" s="499">
        <v>30</v>
      </c>
      <c r="L67" s="529">
        <f>K67*L$72/K$72</f>
        <v>1.3768115942028984</v>
      </c>
    </row>
    <row r="68" spans="2:12" ht="21.95" customHeight="1" x14ac:dyDescent="0.2">
      <c r="B68" s="493" t="s">
        <v>249</v>
      </c>
      <c r="C68" s="499">
        <v>0.05</v>
      </c>
      <c r="D68" s="529">
        <f>C68*D$72/C$72</f>
        <v>1.8502581755593803E-2</v>
      </c>
      <c r="F68" s="493" t="s">
        <v>249</v>
      </c>
      <c r="G68" s="499">
        <v>0.05</v>
      </c>
      <c r="H68" s="529">
        <f t="shared" si="4"/>
        <v>2.7615429573348917E-2</v>
      </c>
      <c r="J68" s="493"/>
      <c r="K68" s="499"/>
      <c r="L68" s="529"/>
    </row>
    <row r="69" spans="2:12" ht="21.95" customHeight="1" x14ac:dyDescent="0.2">
      <c r="B69" s="493"/>
      <c r="C69" s="499"/>
      <c r="D69" s="529"/>
      <c r="F69" s="493" t="s">
        <v>133</v>
      </c>
      <c r="G69" s="499">
        <v>0.08</v>
      </c>
      <c r="H69" s="529">
        <f t="shared" si="4"/>
        <v>4.4184687317358272E-2</v>
      </c>
      <c r="J69" s="493"/>
      <c r="K69" s="499"/>
      <c r="L69" s="529"/>
    </row>
    <row r="70" spans="2:12" ht="21.95" customHeight="1" x14ac:dyDescent="0.2">
      <c r="B70" s="493"/>
      <c r="C70" s="499"/>
      <c r="D70" s="529"/>
      <c r="F70" s="493"/>
      <c r="G70" s="499"/>
      <c r="H70" s="529"/>
      <c r="J70" s="493"/>
      <c r="K70" s="499"/>
      <c r="L70" s="529"/>
    </row>
    <row r="71" spans="2:12" ht="21.95" customHeight="1" x14ac:dyDescent="0.2">
      <c r="B71" s="493"/>
      <c r="C71" s="499"/>
      <c r="D71" s="529"/>
      <c r="F71" s="493"/>
      <c r="G71" s="499"/>
      <c r="H71" s="529"/>
      <c r="J71" s="493"/>
      <c r="K71" s="499"/>
      <c r="L71" s="529"/>
    </row>
    <row r="72" spans="2:12" ht="21.95" customHeight="1" thickBot="1" x14ac:dyDescent="0.25">
      <c r="B72" s="494" t="s">
        <v>127</v>
      </c>
      <c r="C72" s="495">
        <f>SUM(C64:C71)</f>
        <v>17.43</v>
      </c>
      <c r="D72" s="530">
        <f>D!B20</f>
        <v>6.45</v>
      </c>
      <c r="F72" s="494" t="s">
        <v>127</v>
      </c>
      <c r="G72" s="495">
        <f>SUM(G64:G71)</f>
        <v>17.11</v>
      </c>
      <c r="H72" s="530">
        <f>D!B4</f>
        <v>9.4499999999999993</v>
      </c>
      <c r="J72" s="494" t="s">
        <v>127</v>
      </c>
      <c r="K72" s="495">
        <f>SUM(K64:K71)</f>
        <v>207</v>
      </c>
      <c r="L72" s="530">
        <f>D!B3+D!B68+D!B69</f>
        <v>9.5</v>
      </c>
    </row>
    <row r="73" spans="2:12" ht="21.95" customHeight="1" thickBot="1" x14ac:dyDescent="0.25">
      <c r="B73" s="497"/>
      <c r="C73" s="586" t="s">
        <v>268</v>
      </c>
      <c r="D73" s="588"/>
      <c r="F73" s="497"/>
      <c r="G73" s="586" t="s">
        <v>268</v>
      </c>
      <c r="H73" s="588"/>
      <c r="J73" s="497"/>
      <c r="K73" s="586" t="s">
        <v>290</v>
      </c>
      <c r="L73" s="588"/>
    </row>
    <row r="74" spans="2:12" ht="21.95" customHeight="1" thickBot="1" x14ac:dyDescent="0.25">
      <c r="B74" s="498" t="s">
        <v>251</v>
      </c>
      <c r="C74" s="584" t="s">
        <v>252</v>
      </c>
      <c r="D74" s="585"/>
      <c r="F74" s="498" t="s">
        <v>251</v>
      </c>
      <c r="G74" s="584" t="s">
        <v>252</v>
      </c>
      <c r="H74" s="585"/>
      <c r="J74" s="498"/>
      <c r="K74" s="584" t="s">
        <v>288</v>
      </c>
      <c r="L74" s="585"/>
    </row>
    <row r="75" spans="2:12" ht="21.95" customHeight="1" thickBot="1" x14ac:dyDescent="0.25">
      <c r="B75" s="498" t="s">
        <v>146</v>
      </c>
      <c r="C75" s="584" t="s">
        <v>186</v>
      </c>
      <c r="D75" s="585"/>
      <c r="F75" s="498" t="s">
        <v>146</v>
      </c>
      <c r="G75" s="584" t="s">
        <v>186</v>
      </c>
      <c r="H75" s="585"/>
      <c r="J75" s="498"/>
      <c r="K75" s="584" t="s">
        <v>149</v>
      </c>
      <c r="L75" s="585"/>
    </row>
    <row r="76" spans="2:12" ht="21.95" customHeight="1" thickBot="1" x14ac:dyDescent="0.25">
      <c r="B76" s="498" t="s">
        <v>152</v>
      </c>
      <c r="C76" s="584" t="s">
        <v>187</v>
      </c>
      <c r="D76" s="585"/>
      <c r="F76" s="498" t="s">
        <v>152</v>
      </c>
      <c r="G76" s="584" t="s">
        <v>253</v>
      </c>
      <c r="H76" s="585"/>
      <c r="J76" s="498"/>
      <c r="K76" s="584" t="s">
        <v>289</v>
      </c>
      <c r="L76" s="585"/>
    </row>
    <row r="77" spans="2:12" ht="30" customHeight="1" thickBot="1" x14ac:dyDescent="0.25">
      <c r="B77" s="586" t="s">
        <v>281</v>
      </c>
      <c r="C77" s="587"/>
      <c r="D77" s="588"/>
      <c r="F77" s="586" t="s">
        <v>153</v>
      </c>
      <c r="G77" s="587"/>
      <c r="H77" s="588"/>
      <c r="J77" s="586" t="s">
        <v>281</v>
      </c>
      <c r="K77" s="587"/>
      <c r="L77" s="588"/>
    </row>
    <row r="79" spans="2:12" ht="13.5" thickBot="1" x14ac:dyDescent="0.25"/>
    <row r="80" spans="2:12" ht="24.95" customHeight="1" thickBot="1" x14ac:dyDescent="0.25">
      <c r="B80" s="589" t="s">
        <v>291</v>
      </c>
      <c r="C80" s="590"/>
      <c r="D80" s="591"/>
      <c r="F80" s="589" t="s">
        <v>128</v>
      </c>
      <c r="G80" s="590"/>
      <c r="H80" s="591"/>
      <c r="J80" s="589" t="s">
        <v>296</v>
      </c>
      <c r="K80" s="590"/>
      <c r="L80" s="591"/>
    </row>
    <row r="81" spans="2:12" x14ac:dyDescent="0.2">
      <c r="B81" s="582"/>
      <c r="C81" s="489" t="s">
        <v>124</v>
      </c>
      <c r="D81" s="490" t="s">
        <v>125</v>
      </c>
      <c r="F81" s="582"/>
      <c r="G81" s="489" t="s">
        <v>124</v>
      </c>
      <c r="H81" s="490" t="s">
        <v>125</v>
      </c>
      <c r="J81" s="582"/>
      <c r="K81" s="489" t="s">
        <v>124</v>
      </c>
      <c r="L81" s="490" t="s">
        <v>125</v>
      </c>
    </row>
    <row r="82" spans="2:12" x14ac:dyDescent="0.2">
      <c r="B82" s="583"/>
      <c r="C82" s="491" t="s">
        <v>126</v>
      </c>
      <c r="D82" s="492" t="s">
        <v>126</v>
      </c>
      <c r="F82" s="583"/>
      <c r="G82" s="491" t="s">
        <v>126</v>
      </c>
      <c r="H82" s="492" t="s">
        <v>126</v>
      </c>
      <c r="J82" s="583"/>
      <c r="K82" s="491" t="s">
        <v>126</v>
      </c>
      <c r="L82" s="492" t="s">
        <v>126</v>
      </c>
    </row>
    <row r="83" spans="2:12" ht="21.95" customHeight="1" x14ac:dyDescent="0.2">
      <c r="B83" s="493" t="s">
        <v>292</v>
      </c>
      <c r="C83" s="499">
        <v>10</v>
      </c>
      <c r="D83" s="529">
        <f>C83*D$91/C$91</f>
        <v>3.2960199004975124</v>
      </c>
      <c r="F83" s="493" t="s">
        <v>294</v>
      </c>
      <c r="G83" s="499">
        <v>10</v>
      </c>
      <c r="H83" s="529">
        <f t="shared" ref="H83:H88" si="5">G83*H$91/G$91</f>
        <v>13.751263902932257</v>
      </c>
      <c r="J83" s="493" t="s">
        <v>297</v>
      </c>
      <c r="K83" s="499">
        <v>100</v>
      </c>
      <c r="L83" s="529">
        <f>K83*L$91/K$91</f>
        <v>2.1688159437280183</v>
      </c>
    </row>
    <row r="84" spans="2:12" ht="21.95" customHeight="1" x14ac:dyDescent="0.2">
      <c r="B84" s="493" t="s">
        <v>134</v>
      </c>
      <c r="C84" s="499">
        <v>5.7</v>
      </c>
      <c r="D84" s="529">
        <f>C84*D$91/C$91</f>
        <v>1.8787313432835822</v>
      </c>
      <c r="F84" s="493" t="s">
        <v>134</v>
      </c>
      <c r="G84" s="499">
        <v>6.4</v>
      </c>
      <c r="H84" s="529">
        <f t="shared" si="5"/>
        <v>8.8008088978766459</v>
      </c>
      <c r="J84" s="493" t="s">
        <v>134</v>
      </c>
      <c r="K84" s="499">
        <v>67</v>
      </c>
      <c r="L84" s="529">
        <f>K84*L$91/K$91</f>
        <v>1.4531066822977725</v>
      </c>
    </row>
    <row r="85" spans="2:12" ht="21.95" customHeight="1" x14ac:dyDescent="0.2">
      <c r="B85" s="493" t="s">
        <v>133</v>
      </c>
      <c r="C85" s="499">
        <v>0.15</v>
      </c>
      <c r="D85" s="529">
        <f>C85*D$91/C$91</f>
        <v>4.9440298507462684E-2</v>
      </c>
      <c r="F85" s="493" t="s">
        <v>133</v>
      </c>
      <c r="G85" s="499">
        <v>0.15</v>
      </c>
      <c r="H85" s="529">
        <f t="shared" si="5"/>
        <v>0.20626895854398386</v>
      </c>
      <c r="J85" s="493" t="s">
        <v>132</v>
      </c>
      <c r="K85" s="499">
        <v>1.8</v>
      </c>
      <c r="L85" s="529">
        <f>K85*L$91/K$91</f>
        <v>3.9038686987104332E-2</v>
      </c>
    </row>
    <row r="86" spans="2:12" ht="21.95" customHeight="1" x14ac:dyDescent="0.2">
      <c r="B86" s="493" t="s">
        <v>132</v>
      </c>
      <c r="C86" s="499">
        <v>0.18</v>
      </c>
      <c r="D86" s="529">
        <f>C86*D$91/C$91</f>
        <v>5.9328358208955219E-2</v>
      </c>
      <c r="F86" s="493" t="s">
        <v>132</v>
      </c>
      <c r="G86" s="499">
        <v>0.18</v>
      </c>
      <c r="H86" s="529">
        <f t="shared" si="5"/>
        <v>0.24752275025278062</v>
      </c>
      <c r="J86" s="493" t="s">
        <v>133</v>
      </c>
      <c r="K86" s="499">
        <v>1.8</v>
      </c>
      <c r="L86" s="529">
        <f>K86*L$91/K$91</f>
        <v>3.9038686987104332E-2</v>
      </c>
    </row>
    <row r="87" spans="2:12" ht="21.95" customHeight="1" x14ac:dyDescent="0.2">
      <c r="B87" s="493" t="s">
        <v>249</v>
      </c>
      <c r="C87" s="499">
        <v>0.05</v>
      </c>
      <c r="D87" s="529">
        <f>C87*D$91/C$91</f>
        <v>1.6480099502487564E-2</v>
      </c>
      <c r="F87" s="493" t="s">
        <v>249</v>
      </c>
      <c r="G87" s="499">
        <v>0.05</v>
      </c>
      <c r="H87" s="529">
        <f t="shared" si="5"/>
        <v>6.8756319514661296E-2</v>
      </c>
      <c r="J87" s="493"/>
      <c r="K87" s="499"/>
      <c r="L87" s="529"/>
    </row>
    <row r="88" spans="2:12" ht="21.95" customHeight="1" x14ac:dyDescent="0.2">
      <c r="B88" s="493"/>
      <c r="C88" s="499"/>
      <c r="D88" s="529"/>
      <c r="F88" s="493" t="s">
        <v>254</v>
      </c>
      <c r="G88" s="499">
        <v>3</v>
      </c>
      <c r="H88" s="529">
        <f t="shared" si="5"/>
        <v>4.1253791708796772</v>
      </c>
      <c r="J88" s="493"/>
      <c r="K88" s="499"/>
      <c r="L88" s="529"/>
    </row>
    <row r="89" spans="2:12" ht="21.95" customHeight="1" x14ac:dyDescent="0.2">
      <c r="B89" s="493"/>
      <c r="C89" s="499"/>
      <c r="D89" s="529"/>
      <c r="F89" s="493"/>
      <c r="G89" s="499"/>
      <c r="H89" s="529"/>
      <c r="J89" s="493"/>
      <c r="K89" s="499"/>
      <c r="L89" s="529"/>
    </row>
    <row r="90" spans="2:12" ht="21.95" customHeight="1" x14ac:dyDescent="0.2">
      <c r="B90" s="493"/>
      <c r="C90" s="499"/>
      <c r="D90" s="529"/>
      <c r="F90" s="493"/>
      <c r="G90" s="499"/>
      <c r="H90" s="529"/>
      <c r="J90" s="493"/>
      <c r="K90" s="499"/>
      <c r="L90" s="529"/>
    </row>
    <row r="91" spans="2:12" ht="21.95" customHeight="1" thickBot="1" x14ac:dyDescent="0.25">
      <c r="B91" s="494" t="s">
        <v>127</v>
      </c>
      <c r="C91" s="495">
        <f>SUM(C83:C90)</f>
        <v>16.080000000000002</v>
      </c>
      <c r="D91" s="530">
        <f>D!B45</f>
        <v>5.3000000000000007</v>
      </c>
      <c r="F91" s="494" t="s">
        <v>127</v>
      </c>
      <c r="G91" s="495">
        <f>SUM(G83:G90)</f>
        <v>19.779999999999998</v>
      </c>
      <c r="H91" s="530">
        <f>D!B95</f>
        <v>27.200000000000003</v>
      </c>
      <c r="J91" s="494" t="s">
        <v>127</v>
      </c>
      <c r="K91" s="495">
        <f>SUM(K83:K90)</f>
        <v>170.60000000000002</v>
      </c>
      <c r="L91" s="530">
        <f>D!B48</f>
        <v>3.7</v>
      </c>
    </row>
    <row r="92" spans="2:12" ht="21.95" customHeight="1" thickBot="1" x14ac:dyDescent="0.25">
      <c r="B92" s="497"/>
      <c r="C92" s="586" t="s">
        <v>268</v>
      </c>
      <c r="D92" s="588"/>
      <c r="F92" s="497"/>
      <c r="G92" s="586" t="s">
        <v>268</v>
      </c>
      <c r="H92" s="588"/>
      <c r="J92" s="497"/>
      <c r="K92" s="586" t="s">
        <v>298</v>
      </c>
      <c r="L92" s="588"/>
    </row>
    <row r="93" spans="2:12" ht="21.95" customHeight="1" thickBot="1" x14ac:dyDescent="0.25">
      <c r="B93" s="498" t="s">
        <v>251</v>
      </c>
      <c r="C93" s="584" t="s">
        <v>252</v>
      </c>
      <c r="D93" s="585"/>
      <c r="F93" s="498" t="s">
        <v>266</v>
      </c>
      <c r="G93" s="584" t="s">
        <v>168</v>
      </c>
      <c r="H93" s="585"/>
      <c r="J93" s="498"/>
      <c r="K93" s="584" t="s">
        <v>263</v>
      </c>
      <c r="L93" s="585"/>
    </row>
    <row r="94" spans="2:12" ht="21.95" customHeight="1" thickBot="1" x14ac:dyDescent="0.25">
      <c r="B94" s="498" t="s">
        <v>146</v>
      </c>
      <c r="C94" s="584" t="s">
        <v>293</v>
      </c>
      <c r="D94" s="585"/>
      <c r="F94" s="498" t="s">
        <v>146</v>
      </c>
      <c r="G94" s="584" t="s">
        <v>169</v>
      </c>
      <c r="H94" s="585"/>
      <c r="J94" s="498"/>
      <c r="K94" s="584" t="s">
        <v>186</v>
      </c>
      <c r="L94" s="585"/>
    </row>
    <row r="95" spans="2:12" ht="21.95" customHeight="1" thickBot="1" x14ac:dyDescent="0.25">
      <c r="B95" s="498" t="s">
        <v>187</v>
      </c>
      <c r="C95" s="584" t="s">
        <v>253</v>
      </c>
      <c r="D95" s="585"/>
      <c r="F95" s="498" t="s">
        <v>152</v>
      </c>
      <c r="G95" s="584" t="s">
        <v>150</v>
      </c>
      <c r="H95" s="585"/>
      <c r="J95" s="498"/>
      <c r="K95" s="584" t="s">
        <v>253</v>
      </c>
      <c r="L95" s="585"/>
    </row>
    <row r="96" spans="2:12" ht="30" customHeight="1" thickBot="1" x14ac:dyDescent="0.25">
      <c r="B96" s="586" t="s">
        <v>255</v>
      </c>
      <c r="C96" s="587"/>
      <c r="D96" s="588"/>
      <c r="F96" s="586" t="s">
        <v>295</v>
      </c>
      <c r="G96" s="587"/>
      <c r="H96" s="588"/>
      <c r="J96" s="586" t="s">
        <v>299</v>
      </c>
      <c r="K96" s="587"/>
      <c r="L96" s="588"/>
    </row>
    <row r="98" spans="2:12" ht="13.5" thickBot="1" x14ac:dyDescent="0.25"/>
    <row r="99" spans="2:12" ht="24.95" customHeight="1" thickBot="1" x14ac:dyDescent="0.25">
      <c r="B99" s="589" t="s">
        <v>300</v>
      </c>
      <c r="C99" s="590"/>
      <c r="D99" s="591"/>
      <c r="F99" s="589" t="s">
        <v>303</v>
      </c>
      <c r="G99" s="590"/>
      <c r="H99" s="591"/>
      <c r="J99" s="589" t="s">
        <v>307</v>
      </c>
      <c r="K99" s="590"/>
      <c r="L99" s="591"/>
    </row>
    <row r="100" spans="2:12" x14ac:dyDescent="0.2">
      <c r="B100" s="582"/>
      <c r="C100" s="489" t="s">
        <v>124</v>
      </c>
      <c r="D100" s="490" t="s">
        <v>125</v>
      </c>
      <c r="F100" s="582"/>
      <c r="G100" s="489" t="s">
        <v>124</v>
      </c>
      <c r="H100" s="490" t="s">
        <v>125</v>
      </c>
      <c r="J100" s="582"/>
      <c r="K100" s="489" t="s">
        <v>124</v>
      </c>
      <c r="L100" s="490" t="s">
        <v>125</v>
      </c>
    </row>
    <row r="101" spans="2:12" x14ac:dyDescent="0.2">
      <c r="B101" s="583"/>
      <c r="C101" s="491" t="s">
        <v>126</v>
      </c>
      <c r="D101" s="492" t="s">
        <v>126</v>
      </c>
      <c r="F101" s="583"/>
      <c r="G101" s="491" t="s">
        <v>126</v>
      </c>
      <c r="H101" s="492" t="s">
        <v>126</v>
      </c>
      <c r="J101" s="583"/>
      <c r="K101" s="491" t="s">
        <v>126</v>
      </c>
      <c r="L101" s="492" t="s">
        <v>126</v>
      </c>
    </row>
    <row r="102" spans="2:12" ht="21.95" customHeight="1" x14ac:dyDescent="0.2">
      <c r="B102" s="493" t="s">
        <v>301</v>
      </c>
      <c r="C102" s="499">
        <v>10</v>
      </c>
      <c r="D102" s="529">
        <f>C102*D$110/C$110</f>
        <v>3.5333333333333337</v>
      </c>
      <c r="F102" s="493" t="s">
        <v>304</v>
      </c>
      <c r="G102" s="499">
        <v>10</v>
      </c>
      <c r="H102" s="529">
        <f>G102*H$110/G$110</f>
        <v>3.28580285182889</v>
      </c>
      <c r="J102" s="493" t="s">
        <v>308</v>
      </c>
      <c r="K102" s="499">
        <v>10</v>
      </c>
      <c r="L102" s="529">
        <f>K102*L$110/K$110</f>
        <v>16.585365853658537</v>
      </c>
    </row>
    <row r="103" spans="2:12" ht="21.95" customHeight="1" x14ac:dyDescent="0.2">
      <c r="B103" s="493" t="s">
        <v>134</v>
      </c>
      <c r="C103" s="499">
        <v>4.7</v>
      </c>
      <c r="D103" s="529">
        <f>C103*D$110/C$110</f>
        <v>1.660666666666667</v>
      </c>
      <c r="F103" s="493" t="s">
        <v>134</v>
      </c>
      <c r="G103" s="499">
        <v>5.6</v>
      </c>
      <c r="H103" s="529">
        <f>G103*H$110/G$110</f>
        <v>1.8400495970241784</v>
      </c>
      <c r="J103" s="493" t="s">
        <v>134</v>
      </c>
      <c r="K103" s="499">
        <v>6.2</v>
      </c>
      <c r="L103" s="529">
        <f>K103*L$110/K$110</f>
        <v>10.282926829268295</v>
      </c>
    </row>
    <row r="104" spans="2:12" ht="21.95" customHeight="1" x14ac:dyDescent="0.2">
      <c r="B104" s="493" t="s">
        <v>133</v>
      </c>
      <c r="C104" s="499">
        <v>0.25</v>
      </c>
      <c r="D104" s="529">
        <f>C104*D$110/C$110</f>
        <v>8.8333333333333347E-2</v>
      </c>
      <c r="F104" s="493" t="s">
        <v>133</v>
      </c>
      <c r="G104" s="499">
        <v>0.3</v>
      </c>
      <c r="H104" s="529">
        <f>G104*H$110/G$110</f>
        <v>9.85740855548667E-2</v>
      </c>
      <c r="J104" s="493" t="s">
        <v>133</v>
      </c>
      <c r="K104" s="499">
        <v>0.2</v>
      </c>
      <c r="L104" s="529">
        <f>K104*L$110/K$110</f>
        <v>0.33170731707317086</v>
      </c>
    </row>
    <row r="105" spans="2:12" ht="21.95" customHeight="1" x14ac:dyDescent="0.2">
      <c r="B105" s="493" t="s">
        <v>249</v>
      </c>
      <c r="C105" s="499">
        <v>0.05</v>
      </c>
      <c r="D105" s="529">
        <f>C105*D$110/C$110</f>
        <v>1.7666666666666671E-2</v>
      </c>
      <c r="F105" s="493" t="s">
        <v>132</v>
      </c>
      <c r="G105" s="499">
        <v>0.18</v>
      </c>
      <c r="H105" s="529">
        <f>G105*H$110/G$110</f>
        <v>5.9144451332920019E-2</v>
      </c>
      <c r="J105" s="493"/>
      <c r="K105" s="499"/>
      <c r="L105" s="529"/>
    </row>
    <row r="106" spans="2:12" ht="21.95" customHeight="1" x14ac:dyDescent="0.2">
      <c r="B106" s="493"/>
      <c r="C106" s="499"/>
      <c r="D106" s="529"/>
      <c r="F106" s="493" t="s">
        <v>249</v>
      </c>
      <c r="G106" s="499">
        <v>0.05</v>
      </c>
      <c r="H106" s="529">
        <f>G106*H$110/G$110</f>
        <v>1.6429014259144455E-2</v>
      </c>
      <c r="J106" s="493"/>
      <c r="K106" s="499"/>
      <c r="L106" s="529"/>
    </row>
    <row r="107" spans="2:12" ht="21.95" customHeight="1" x14ac:dyDescent="0.2">
      <c r="B107" s="493"/>
      <c r="C107" s="499"/>
      <c r="D107" s="529"/>
      <c r="F107" s="493"/>
      <c r="G107" s="499"/>
      <c r="H107" s="529"/>
      <c r="J107" s="493"/>
      <c r="K107" s="499"/>
      <c r="L107" s="529"/>
    </row>
    <row r="108" spans="2:12" ht="21.95" customHeight="1" x14ac:dyDescent="0.2">
      <c r="B108" s="493"/>
      <c r="C108" s="499"/>
      <c r="D108" s="529"/>
      <c r="F108" s="493"/>
      <c r="G108" s="499"/>
      <c r="H108" s="529"/>
      <c r="J108" s="493"/>
      <c r="K108" s="499"/>
      <c r="L108" s="529"/>
    </row>
    <row r="109" spans="2:12" ht="21.95" customHeight="1" x14ac:dyDescent="0.2">
      <c r="B109" s="493"/>
      <c r="C109" s="499"/>
      <c r="D109" s="529"/>
      <c r="F109" s="493"/>
      <c r="G109" s="499"/>
      <c r="H109" s="529"/>
      <c r="J109" s="493"/>
      <c r="K109" s="499"/>
      <c r="L109" s="529"/>
    </row>
    <row r="110" spans="2:12" ht="21.95" customHeight="1" thickBot="1" x14ac:dyDescent="0.25">
      <c r="B110" s="494" t="s">
        <v>127</v>
      </c>
      <c r="C110" s="495">
        <f>SUM(C102:C109)</f>
        <v>15</v>
      </c>
      <c r="D110" s="530">
        <f>D!B46</f>
        <v>5.3000000000000007</v>
      </c>
      <c r="F110" s="494" t="s">
        <v>127</v>
      </c>
      <c r="G110" s="495">
        <f>SUM(G102:G109)</f>
        <v>16.130000000000003</v>
      </c>
      <c r="H110" s="530">
        <f>D!B47</f>
        <v>5.3000000000000007</v>
      </c>
      <c r="J110" s="494" t="s">
        <v>127</v>
      </c>
      <c r="K110" s="495">
        <f>SUM(K102:K109)</f>
        <v>16.399999999999999</v>
      </c>
      <c r="L110" s="530">
        <f>D!B98</f>
        <v>27.200000000000003</v>
      </c>
    </row>
    <row r="111" spans="2:12" ht="21.95" customHeight="1" thickBot="1" x14ac:dyDescent="0.25">
      <c r="B111" s="497"/>
      <c r="C111" s="586" t="s">
        <v>268</v>
      </c>
      <c r="D111" s="588"/>
      <c r="F111" s="497"/>
      <c r="G111" s="586" t="s">
        <v>268</v>
      </c>
      <c r="H111" s="588"/>
      <c r="J111" s="497"/>
      <c r="K111" s="586" t="s">
        <v>275</v>
      </c>
      <c r="L111" s="588"/>
    </row>
    <row r="112" spans="2:12" ht="21.95" customHeight="1" thickBot="1" x14ac:dyDescent="0.25">
      <c r="B112" s="498"/>
      <c r="C112" s="584" t="s">
        <v>302</v>
      </c>
      <c r="D112" s="585"/>
      <c r="F112" s="498" t="s">
        <v>305</v>
      </c>
      <c r="G112" s="584" t="s">
        <v>252</v>
      </c>
      <c r="H112" s="585"/>
      <c r="J112" s="498"/>
      <c r="K112" s="584" t="s">
        <v>168</v>
      </c>
      <c r="L112" s="585"/>
    </row>
    <row r="113" spans="2:12" ht="21.95" customHeight="1" thickBot="1" x14ac:dyDescent="0.25">
      <c r="B113" s="498"/>
      <c r="C113" s="584" t="s">
        <v>169</v>
      </c>
      <c r="D113" s="585"/>
      <c r="F113" s="498" t="s">
        <v>149</v>
      </c>
      <c r="G113" s="584" t="s">
        <v>146</v>
      </c>
      <c r="H113" s="585"/>
      <c r="J113" s="498"/>
      <c r="K113" s="584" t="s">
        <v>169</v>
      </c>
      <c r="L113" s="585"/>
    </row>
    <row r="114" spans="2:12" ht="21.95" customHeight="1" thickBot="1" x14ac:dyDescent="0.25">
      <c r="B114" s="498"/>
      <c r="C114" s="584" t="s">
        <v>253</v>
      </c>
      <c r="D114" s="585"/>
      <c r="F114" s="498" t="s">
        <v>150</v>
      </c>
      <c r="G114" s="584" t="s">
        <v>151</v>
      </c>
      <c r="H114" s="585"/>
      <c r="J114" s="498"/>
      <c r="K114" s="584" t="s">
        <v>187</v>
      </c>
      <c r="L114" s="585"/>
    </row>
    <row r="115" spans="2:12" ht="30" customHeight="1" thickBot="1" x14ac:dyDescent="0.25">
      <c r="B115" s="586" t="s">
        <v>255</v>
      </c>
      <c r="C115" s="587"/>
      <c r="D115" s="588"/>
      <c r="F115" s="586" t="s">
        <v>306</v>
      </c>
      <c r="G115" s="587"/>
      <c r="H115" s="588"/>
      <c r="J115" s="586" t="s">
        <v>170</v>
      </c>
      <c r="K115" s="587"/>
      <c r="L115" s="588"/>
    </row>
    <row r="117" spans="2:12" ht="13.5" thickBot="1" x14ac:dyDescent="0.25"/>
    <row r="118" spans="2:12" ht="24.95" customHeight="1" thickBot="1" x14ac:dyDescent="0.25">
      <c r="B118" s="589" t="s">
        <v>309</v>
      </c>
      <c r="C118" s="590"/>
      <c r="D118" s="591"/>
      <c r="F118" s="589" t="s">
        <v>131</v>
      </c>
      <c r="G118" s="590"/>
      <c r="H118" s="591"/>
      <c r="J118" s="589" t="s">
        <v>319</v>
      </c>
      <c r="K118" s="590"/>
      <c r="L118" s="591"/>
    </row>
    <row r="119" spans="2:12" x14ac:dyDescent="0.2">
      <c r="B119" s="582"/>
      <c r="C119" s="489" t="s">
        <v>124</v>
      </c>
      <c r="D119" s="490" t="s">
        <v>125</v>
      </c>
      <c r="F119" s="582"/>
      <c r="G119" s="489" t="s">
        <v>124</v>
      </c>
      <c r="H119" s="490" t="s">
        <v>125</v>
      </c>
      <c r="J119" s="582"/>
      <c r="K119" s="489" t="s">
        <v>124</v>
      </c>
      <c r="L119" s="490" t="s">
        <v>125</v>
      </c>
    </row>
    <row r="120" spans="2:12" x14ac:dyDescent="0.2">
      <c r="B120" s="583"/>
      <c r="C120" s="491" t="s">
        <v>126</v>
      </c>
      <c r="D120" s="492" t="s">
        <v>126</v>
      </c>
      <c r="F120" s="583"/>
      <c r="G120" s="491" t="s">
        <v>126</v>
      </c>
      <c r="H120" s="492" t="s">
        <v>126</v>
      </c>
      <c r="J120" s="583"/>
      <c r="K120" s="491" t="s">
        <v>126</v>
      </c>
      <c r="L120" s="492" t="s">
        <v>126</v>
      </c>
    </row>
    <row r="121" spans="2:12" ht="21.95" customHeight="1" x14ac:dyDescent="0.2">
      <c r="B121" s="493" t="s">
        <v>310</v>
      </c>
      <c r="C121" s="499">
        <v>0.8</v>
      </c>
      <c r="D121" s="529">
        <f>C121*D$129/C$129</f>
        <v>0</v>
      </c>
      <c r="F121" s="493" t="s">
        <v>142</v>
      </c>
      <c r="G121" s="499">
        <v>100</v>
      </c>
      <c r="H121" s="529">
        <f>G121*H$129/G$129</f>
        <v>5.7801047120418847</v>
      </c>
      <c r="J121" s="493" t="s">
        <v>274</v>
      </c>
      <c r="K121" s="499">
        <v>10</v>
      </c>
      <c r="L121" s="529">
        <f>K121*L$129/K$129</f>
        <v>168.53473438412144</v>
      </c>
    </row>
    <row r="122" spans="2:12" ht="21.95" customHeight="1" x14ac:dyDescent="0.2">
      <c r="B122" s="493" t="s">
        <v>274</v>
      </c>
      <c r="C122" s="499">
        <v>9.1999999999999993</v>
      </c>
      <c r="D122" s="529">
        <f>C122*D$129/C$129</f>
        <v>0</v>
      </c>
      <c r="F122" s="493" t="s">
        <v>134</v>
      </c>
      <c r="G122" s="499">
        <v>40</v>
      </c>
      <c r="H122" s="529">
        <f t="shared" ref="H122:H128" si="6">G122*H$129/G$129</f>
        <v>2.3120418848167539</v>
      </c>
      <c r="J122" s="493" t="s">
        <v>249</v>
      </c>
      <c r="K122" s="499">
        <v>0.05</v>
      </c>
      <c r="L122" s="529">
        <f>K122*L$129/K$129</f>
        <v>0.84267367192060716</v>
      </c>
    </row>
    <row r="123" spans="2:12" ht="21.95" customHeight="1" x14ac:dyDescent="0.2">
      <c r="B123" s="493" t="s">
        <v>132</v>
      </c>
      <c r="C123" s="499">
        <v>0.18</v>
      </c>
      <c r="D123" s="529">
        <f>C123*D$129/C$129</f>
        <v>0</v>
      </c>
      <c r="F123" s="493" t="s">
        <v>133</v>
      </c>
      <c r="G123" s="499">
        <v>3</v>
      </c>
      <c r="H123" s="529">
        <f t="shared" si="6"/>
        <v>0.17340314136125656</v>
      </c>
      <c r="J123" s="493" t="s">
        <v>134</v>
      </c>
      <c r="K123" s="499">
        <v>6.8</v>
      </c>
      <c r="L123" s="529">
        <f>K123*L$129/K$129</f>
        <v>114.60361938120256</v>
      </c>
    </row>
    <row r="124" spans="2:12" ht="21.95" customHeight="1" x14ac:dyDescent="0.2">
      <c r="B124" s="493" t="s">
        <v>133</v>
      </c>
      <c r="C124" s="499">
        <v>0.1</v>
      </c>
      <c r="D124" s="529">
        <f>C124*D$129/C$129</f>
        <v>0</v>
      </c>
      <c r="F124" s="493" t="s">
        <v>132</v>
      </c>
      <c r="G124" s="499">
        <v>2</v>
      </c>
      <c r="H124" s="529">
        <f t="shared" si="6"/>
        <v>0.1156020942408377</v>
      </c>
      <c r="J124" s="493" t="s">
        <v>133</v>
      </c>
      <c r="K124" s="499">
        <v>0.1</v>
      </c>
      <c r="L124" s="529">
        <f>K124*L$129/K$129</f>
        <v>1.6853473438412143</v>
      </c>
    </row>
    <row r="125" spans="2:12" ht="21.95" customHeight="1" x14ac:dyDescent="0.2">
      <c r="B125" s="493" t="s">
        <v>134</v>
      </c>
      <c r="C125" s="499">
        <v>7</v>
      </c>
      <c r="D125" s="529">
        <f>C125*D$129/C$129</f>
        <v>0</v>
      </c>
      <c r="F125" s="493" t="s">
        <v>155</v>
      </c>
      <c r="G125" s="499">
        <v>20</v>
      </c>
      <c r="H125" s="529">
        <f t="shared" si="6"/>
        <v>1.1560209424083769</v>
      </c>
      <c r="J125" s="493" t="s">
        <v>132</v>
      </c>
      <c r="K125" s="499">
        <v>0.18</v>
      </c>
      <c r="L125" s="529">
        <f>K125*L$129/K$129</f>
        <v>3.0336252189141857</v>
      </c>
    </row>
    <row r="126" spans="2:12" ht="21.95" customHeight="1" x14ac:dyDescent="0.2">
      <c r="B126" s="493"/>
      <c r="C126" s="499"/>
      <c r="D126" s="529"/>
      <c r="F126" s="493" t="s">
        <v>315</v>
      </c>
      <c r="G126" s="499">
        <v>10</v>
      </c>
      <c r="H126" s="529">
        <f t="shared" si="6"/>
        <v>0.57801047120418847</v>
      </c>
      <c r="J126" s="493"/>
      <c r="K126" s="499"/>
      <c r="L126" s="529"/>
    </row>
    <row r="127" spans="2:12" ht="21.95" customHeight="1" x14ac:dyDescent="0.2">
      <c r="B127" s="493"/>
      <c r="C127" s="499"/>
      <c r="D127" s="529"/>
      <c r="F127" s="493" t="s">
        <v>316</v>
      </c>
      <c r="G127" s="499">
        <v>12</v>
      </c>
      <c r="H127" s="529">
        <f t="shared" si="6"/>
        <v>0.69361256544502625</v>
      </c>
      <c r="J127" s="493"/>
      <c r="K127" s="499"/>
      <c r="L127" s="529"/>
    </row>
    <row r="128" spans="2:12" ht="21.95" customHeight="1" x14ac:dyDescent="0.2">
      <c r="B128" s="493"/>
      <c r="C128" s="499"/>
      <c r="D128" s="529"/>
      <c r="F128" s="493" t="s">
        <v>185</v>
      </c>
      <c r="G128" s="499">
        <v>4</v>
      </c>
      <c r="H128" s="529">
        <f t="shared" si="6"/>
        <v>0.2312041884816754</v>
      </c>
      <c r="J128" s="493"/>
      <c r="K128" s="499"/>
      <c r="L128" s="529"/>
    </row>
    <row r="129" spans="2:12" ht="21.95" customHeight="1" thickBot="1" x14ac:dyDescent="0.25">
      <c r="B129" s="494" t="s">
        <v>127</v>
      </c>
      <c r="C129" s="495">
        <f>SUM(C121:C128)</f>
        <v>17.28</v>
      </c>
      <c r="D129" s="530">
        <f>D!B99</f>
        <v>0</v>
      </c>
      <c r="F129" s="494" t="s">
        <v>127</v>
      </c>
      <c r="G129" s="495">
        <f>SUM(G121:G128)</f>
        <v>191</v>
      </c>
      <c r="H129" s="530">
        <f>D!B103+D!B104</f>
        <v>11.040000000000001</v>
      </c>
      <c r="J129" s="494" t="s">
        <v>127</v>
      </c>
      <c r="K129" s="495">
        <f>SUM(K121:K128)</f>
        <v>17.130000000000003</v>
      </c>
      <c r="L129" s="530">
        <f>D!B88+D!B89+D!B90+D!B91</f>
        <v>288.70000000000005</v>
      </c>
    </row>
    <row r="130" spans="2:12" ht="21.95" customHeight="1" thickBot="1" x14ac:dyDescent="0.25">
      <c r="B130" s="500" t="s">
        <v>314</v>
      </c>
      <c r="C130" s="598" t="s">
        <v>268</v>
      </c>
      <c r="D130" s="599"/>
      <c r="F130" s="497"/>
      <c r="G130" s="586" t="s">
        <v>298</v>
      </c>
      <c r="H130" s="588"/>
      <c r="J130" s="497"/>
      <c r="K130" s="586" t="s">
        <v>275</v>
      </c>
      <c r="L130" s="588"/>
    </row>
    <row r="131" spans="2:12" ht="21.95" customHeight="1" thickBot="1" x14ac:dyDescent="0.25">
      <c r="B131" s="595" t="s">
        <v>312</v>
      </c>
      <c r="C131" s="596"/>
      <c r="D131" s="597"/>
      <c r="F131" s="498" t="s">
        <v>318</v>
      </c>
      <c r="G131" s="584" t="s">
        <v>317</v>
      </c>
      <c r="H131" s="585"/>
      <c r="J131" s="501"/>
      <c r="K131" s="600" t="s">
        <v>259</v>
      </c>
      <c r="L131" s="601"/>
    </row>
    <row r="132" spans="2:12" ht="21.95" customHeight="1" thickBot="1" x14ac:dyDescent="0.25">
      <c r="B132" s="595" t="s">
        <v>320</v>
      </c>
      <c r="C132" s="596"/>
      <c r="D132" s="597"/>
      <c r="F132" s="498" t="s">
        <v>146</v>
      </c>
      <c r="G132" s="584" t="s">
        <v>186</v>
      </c>
      <c r="H132" s="585"/>
      <c r="J132" s="595" t="s">
        <v>322</v>
      </c>
      <c r="K132" s="596"/>
      <c r="L132" s="597"/>
    </row>
    <row r="133" spans="2:12" ht="21.95" customHeight="1" thickBot="1" x14ac:dyDescent="0.25">
      <c r="B133" s="595" t="s">
        <v>313</v>
      </c>
      <c r="C133" s="596"/>
      <c r="D133" s="597"/>
      <c r="F133" s="498" t="s">
        <v>148</v>
      </c>
      <c r="G133" s="584" t="s">
        <v>187</v>
      </c>
      <c r="H133" s="585"/>
      <c r="J133" s="595" t="s">
        <v>321</v>
      </c>
      <c r="K133" s="596"/>
      <c r="L133" s="597"/>
    </row>
    <row r="134" spans="2:12" ht="30" customHeight="1" thickBot="1" x14ac:dyDescent="0.25">
      <c r="B134" s="602" t="s">
        <v>311</v>
      </c>
      <c r="C134" s="603"/>
      <c r="D134" s="604"/>
      <c r="F134" s="586" t="s">
        <v>188</v>
      </c>
      <c r="G134" s="587"/>
      <c r="H134" s="588"/>
      <c r="J134" s="602"/>
      <c r="K134" s="603"/>
      <c r="L134" s="604"/>
    </row>
    <row r="136" spans="2:12" ht="13.5" thickBot="1" x14ac:dyDescent="0.25"/>
    <row r="137" spans="2:12" ht="24.95" customHeight="1" thickBot="1" x14ac:dyDescent="0.25">
      <c r="B137" s="589" t="s">
        <v>336</v>
      </c>
      <c r="C137" s="590"/>
      <c r="D137" s="591"/>
      <c r="F137" s="589" t="s">
        <v>339</v>
      </c>
      <c r="G137" s="590"/>
      <c r="H137" s="591"/>
      <c r="J137" s="589" t="s">
        <v>342</v>
      </c>
      <c r="K137" s="590"/>
      <c r="L137" s="591"/>
    </row>
    <row r="138" spans="2:12" x14ac:dyDescent="0.2">
      <c r="B138" s="582"/>
      <c r="C138" s="489" t="s">
        <v>124</v>
      </c>
      <c r="D138" s="490" t="s">
        <v>125</v>
      </c>
      <c r="F138" s="582"/>
      <c r="G138" s="489" t="s">
        <v>124</v>
      </c>
      <c r="H138" s="490" t="s">
        <v>125</v>
      </c>
      <c r="J138" s="582"/>
      <c r="K138" s="489" t="s">
        <v>124</v>
      </c>
      <c r="L138" s="490" t="s">
        <v>125</v>
      </c>
    </row>
    <row r="139" spans="2:12" x14ac:dyDescent="0.2">
      <c r="B139" s="583"/>
      <c r="C139" s="491" t="s">
        <v>126</v>
      </c>
      <c r="D139" s="492" t="s">
        <v>126</v>
      </c>
      <c r="F139" s="583"/>
      <c r="G139" s="491" t="s">
        <v>126</v>
      </c>
      <c r="H139" s="492" t="s">
        <v>126</v>
      </c>
      <c r="J139" s="583"/>
      <c r="K139" s="491" t="s">
        <v>126</v>
      </c>
      <c r="L139" s="492" t="s">
        <v>126</v>
      </c>
    </row>
    <row r="140" spans="2:12" ht="21.95" customHeight="1" x14ac:dyDescent="0.2">
      <c r="B140" s="493" t="s">
        <v>142</v>
      </c>
      <c r="C140" s="499">
        <v>10</v>
      </c>
      <c r="D140" s="529"/>
      <c r="F140" s="493" t="s">
        <v>142</v>
      </c>
      <c r="G140" s="499">
        <v>8</v>
      </c>
      <c r="H140" s="529"/>
      <c r="J140" s="493" t="s">
        <v>279</v>
      </c>
      <c r="K140" s="499">
        <v>7.5</v>
      </c>
      <c r="L140" s="529">
        <f>K140*L$148/K$148</f>
        <v>9.8573611818644942</v>
      </c>
    </row>
    <row r="141" spans="2:12" ht="21.95" customHeight="1" x14ac:dyDescent="0.2">
      <c r="B141" s="493" t="s">
        <v>315</v>
      </c>
      <c r="C141" s="499">
        <v>0.5</v>
      </c>
      <c r="D141" s="529"/>
      <c r="F141" s="493" t="s">
        <v>340</v>
      </c>
      <c r="G141" s="499">
        <v>2</v>
      </c>
      <c r="H141" s="529"/>
      <c r="J141" s="493" t="s">
        <v>343</v>
      </c>
      <c r="K141" s="499">
        <v>2.5</v>
      </c>
      <c r="L141" s="529">
        <f t="shared" ref="L141:L146" si="7">K141*L$148/K$148</f>
        <v>3.2857870606214981</v>
      </c>
    </row>
    <row r="142" spans="2:12" ht="21.95" customHeight="1" x14ac:dyDescent="0.2">
      <c r="B142" s="493" t="s">
        <v>132</v>
      </c>
      <c r="C142" s="499">
        <v>0.18</v>
      </c>
      <c r="D142" s="529"/>
      <c r="F142" s="493" t="s">
        <v>315</v>
      </c>
      <c r="G142" s="499">
        <v>0.5</v>
      </c>
      <c r="H142" s="529"/>
      <c r="J142" s="493" t="s">
        <v>134</v>
      </c>
      <c r="K142" s="499">
        <v>6.2</v>
      </c>
      <c r="L142" s="529">
        <f t="shared" si="7"/>
        <v>8.148751910341316</v>
      </c>
    </row>
    <row r="143" spans="2:12" ht="21.95" customHeight="1" x14ac:dyDescent="0.2">
      <c r="B143" s="493" t="s">
        <v>133</v>
      </c>
      <c r="C143" s="499">
        <v>0.4</v>
      </c>
      <c r="D143" s="529"/>
      <c r="F143" s="493" t="s">
        <v>132</v>
      </c>
      <c r="G143" s="499">
        <v>0.18</v>
      </c>
      <c r="H143" s="529"/>
      <c r="J143" s="493" t="s">
        <v>133</v>
      </c>
      <c r="K143" s="499">
        <v>0.2</v>
      </c>
      <c r="L143" s="529">
        <f t="shared" si="7"/>
        <v>0.26286296484971983</v>
      </c>
    </row>
    <row r="144" spans="2:12" ht="21.95" customHeight="1" x14ac:dyDescent="0.2">
      <c r="B144" s="493" t="s">
        <v>337</v>
      </c>
      <c r="C144" s="499">
        <v>0.6</v>
      </c>
      <c r="D144" s="529"/>
      <c r="F144" s="493" t="s">
        <v>133</v>
      </c>
      <c r="G144" s="499">
        <v>0.4</v>
      </c>
      <c r="H144" s="529"/>
      <c r="J144" s="493" t="s">
        <v>132</v>
      </c>
      <c r="K144" s="499">
        <v>0.18</v>
      </c>
      <c r="L144" s="529">
        <f t="shared" si="7"/>
        <v>0.23657666836474786</v>
      </c>
    </row>
    <row r="145" spans="2:12" ht="21.95" customHeight="1" x14ac:dyDescent="0.2">
      <c r="B145" s="493" t="s">
        <v>134</v>
      </c>
      <c r="C145" s="499">
        <v>4.8</v>
      </c>
      <c r="D145" s="529"/>
      <c r="F145" s="493" t="s">
        <v>337</v>
      </c>
      <c r="G145" s="499">
        <v>0.6</v>
      </c>
      <c r="H145" s="529"/>
      <c r="J145" s="493" t="s">
        <v>249</v>
      </c>
      <c r="K145" s="499">
        <v>0.05</v>
      </c>
      <c r="L145" s="529">
        <f t="shared" si="7"/>
        <v>6.5715741212429957E-2</v>
      </c>
    </row>
    <row r="146" spans="2:12" ht="21.95" customHeight="1" x14ac:dyDescent="0.2">
      <c r="B146" s="493" t="s">
        <v>155</v>
      </c>
      <c r="C146" s="499">
        <v>1.2</v>
      </c>
      <c r="D146" s="529"/>
      <c r="F146" s="493" t="s">
        <v>341</v>
      </c>
      <c r="G146" s="499">
        <v>4.8</v>
      </c>
      <c r="H146" s="529"/>
      <c r="J146" s="493" t="s">
        <v>254</v>
      </c>
      <c r="K146" s="499">
        <v>3</v>
      </c>
      <c r="L146" s="529">
        <f t="shared" si="7"/>
        <v>3.9429444727457978</v>
      </c>
    </row>
    <row r="147" spans="2:12" ht="21.95" customHeight="1" x14ac:dyDescent="0.2">
      <c r="B147" s="493" t="s">
        <v>316</v>
      </c>
      <c r="C147" s="499">
        <v>1</v>
      </c>
      <c r="D147" s="529"/>
      <c r="F147" s="493" t="s">
        <v>155</v>
      </c>
      <c r="G147" s="499">
        <v>1.2</v>
      </c>
      <c r="H147" s="529"/>
      <c r="J147" s="493"/>
      <c r="K147" s="499"/>
      <c r="L147" s="529"/>
    </row>
    <row r="148" spans="2:12" ht="21.95" customHeight="1" thickBot="1" x14ac:dyDescent="0.25">
      <c r="B148" s="494" t="s">
        <v>127</v>
      </c>
      <c r="C148" s="495">
        <f>SUM(C140:C147)</f>
        <v>18.68</v>
      </c>
      <c r="D148" s="530">
        <f>D!B70+D!B72</f>
        <v>0</v>
      </c>
      <c r="F148" s="494" t="s">
        <v>316</v>
      </c>
      <c r="G148" s="499">
        <v>1</v>
      </c>
      <c r="H148" s="530"/>
      <c r="J148" s="494" t="s">
        <v>127</v>
      </c>
      <c r="K148" s="495">
        <f>SUM(K140:K147)</f>
        <v>19.63</v>
      </c>
      <c r="L148" s="530">
        <f>D!B22+D!B23</f>
        <v>25.8</v>
      </c>
    </row>
    <row r="149" spans="2:12" ht="21.95" customHeight="1" thickBot="1" x14ac:dyDescent="0.25">
      <c r="B149" s="497"/>
      <c r="C149" s="586" t="s">
        <v>298</v>
      </c>
      <c r="D149" s="588"/>
      <c r="F149" s="494" t="s">
        <v>127</v>
      </c>
      <c r="G149" s="495">
        <f>SUM(G140:G148)</f>
        <v>18.68</v>
      </c>
      <c r="H149" s="496">
        <f>D!B71</f>
        <v>0</v>
      </c>
      <c r="J149" s="497"/>
      <c r="K149" s="586" t="s">
        <v>268</v>
      </c>
      <c r="L149" s="588"/>
    </row>
    <row r="150" spans="2:12" ht="21.95" customHeight="1" thickBot="1" x14ac:dyDescent="0.25">
      <c r="B150" s="498"/>
      <c r="C150" s="584" t="s">
        <v>252</v>
      </c>
      <c r="D150" s="585"/>
      <c r="F150" s="498" t="s">
        <v>298</v>
      </c>
      <c r="G150" s="584" t="s">
        <v>252</v>
      </c>
      <c r="H150" s="585"/>
      <c r="J150" s="498" t="s">
        <v>251</v>
      </c>
      <c r="K150" s="584" t="s">
        <v>252</v>
      </c>
      <c r="L150" s="585"/>
    </row>
    <row r="151" spans="2:12" ht="21.95" customHeight="1" thickBot="1" x14ac:dyDescent="0.25">
      <c r="B151" s="498"/>
      <c r="C151" s="584" t="s">
        <v>293</v>
      </c>
      <c r="D151" s="585"/>
      <c r="F151" s="498"/>
      <c r="G151" s="584" t="s">
        <v>293</v>
      </c>
      <c r="H151" s="585"/>
      <c r="J151" s="498" t="s">
        <v>344</v>
      </c>
      <c r="K151" s="584" t="s">
        <v>149</v>
      </c>
      <c r="L151" s="585"/>
    </row>
    <row r="152" spans="2:12" ht="21.95" customHeight="1" thickBot="1" x14ac:dyDescent="0.25">
      <c r="B152" s="498"/>
      <c r="C152" s="584" t="s">
        <v>253</v>
      </c>
      <c r="D152" s="585"/>
      <c r="F152" s="498"/>
      <c r="G152" s="584" t="s">
        <v>253</v>
      </c>
      <c r="H152" s="585"/>
      <c r="J152" s="498" t="s">
        <v>289</v>
      </c>
      <c r="K152" s="584" t="s">
        <v>289</v>
      </c>
      <c r="L152" s="585"/>
    </row>
    <row r="153" spans="2:12" ht="30" customHeight="1" thickBot="1" x14ac:dyDescent="0.25">
      <c r="B153" s="586" t="s">
        <v>338</v>
      </c>
      <c r="C153" s="587"/>
      <c r="D153" s="588"/>
      <c r="F153" s="586" t="s">
        <v>338</v>
      </c>
      <c r="G153" s="587"/>
      <c r="H153" s="588"/>
      <c r="J153" s="586"/>
      <c r="K153" s="587"/>
      <c r="L153" s="588"/>
    </row>
    <row r="155" spans="2:12" ht="13.5" thickBot="1" x14ac:dyDescent="0.25"/>
    <row r="156" spans="2:12" ht="24.95" customHeight="1" thickBot="1" x14ac:dyDescent="0.25">
      <c r="B156" s="589"/>
      <c r="C156" s="590"/>
      <c r="D156" s="591"/>
      <c r="F156" s="589"/>
      <c r="G156" s="590"/>
      <c r="H156" s="591"/>
      <c r="J156" s="589"/>
      <c r="K156" s="590"/>
      <c r="L156" s="591"/>
    </row>
    <row r="157" spans="2:12" x14ac:dyDescent="0.2">
      <c r="B157" s="582"/>
      <c r="C157" s="489" t="s">
        <v>124</v>
      </c>
      <c r="D157" s="490" t="s">
        <v>125</v>
      </c>
      <c r="F157" s="582"/>
      <c r="G157" s="489" t="s">
        <v>124</v>
      </c>
      <c r="H157" s="490" t="s">
        <v>125</v>
      </c>
      <c r="J157" s="582"/>
      <c r="K157" s="489" t="s">
        <v>124</v>
      </c>
      <c r="L157" s="490" t="s">
        <v>125</v>
      </c>
    </row>
    <row r="158" spans="2:12" x14ac:dyDescent="0.2">
      <c r="B158" s="583"/>
      <c r="C158" s="491" t="s">
        <v>126</v>
      </c>
      <c r="D158" s="492" t="s">
        <v>126</v>
      </c>
      <c r="F158" s="583"/>
      <c r="G158" s="491" t="s">
        <v>126</v>
      </c>
      <c r="H158" s="492" t="s">
        <v>126</v>
      </c>
      <c r="J158" s="583"/>
      <c r="K158" s="491" t="s">
        <v>126</v>
      </c>
      <c r="L158" s="492" t="s">
        <v>126</v>
      </c>
    </row>
    <row r="159" spans="2:12" ht="21.95" customHeight="1" x14ac:dyDescent="0.2">
      <c r="B159" s="493"/>
      <c r="C159" s="499"/>
      <c r="D159" s="529"/>
      <c r="F159" s="493"/>
      <c r="G159" s="499"/>
      <c r="H159" s="529"/>
      <c r="J159" s="493"/>
      <c r="K159" s="499"/>
      <c r="L159" s="529"/>
    </row>
    <row r="160" spans="2:12" ht="21.95" customHeight="1" x14ac:dyDescent="0.2">
      <c r="B160" s="493"/>
      <c r="C160" s="499"/>
      <c r="D160" s="529"/>
      <c r="F160" s="493"/>
      <c r="G160" s="499"/>
      <c r="H160" s="529"/>
      <c r="J160" s="493"/>
      <c r="K160" s="499"/>
      <c r="L160" s="529"/>
    </row>
    <row r="161" spans="2:12" ht="21.95" customHeight="1" x14ac:dyDescent="0.2">
      <c r="B161" s="493"/>
      <c r="C161" s="499"/>
      <c r="D161" s="529"/>
      <c r="F161" s="493"/>
      <c r="G161" s="499"/>
      <c r="H161" s="529"/>
      <c r="J161" s="493"/>
      <c r="K161" s="499"/>
      <c r="L161" s="529"/>
    </row>
    <row r="162" spans="2:12" ht="21.95" customHeight="1" x14ac:dyDescent="0.2">
      <c r="B162" s="493"/>
      <c r="C162" s="499"/>
      <c r="D162" s="529"/>
      <c r="F162" s="493"/>
      <c r="G162" s="499"/>
      <c r="H162" s="529"/>
      <c r="J162" s="493"/>
      <c r="K162" s="499"/>
      <c r="L162" s="529"/>
    </row>
    <row r="163" spans="2:12" ht="21.95" customHeight="1" x14ac:dyDescent="0.2">
      <c r="B163" s="493"/>
      <c r="C163" s="499"/>
      <c r="D163" s="529"/>
      <c r="F163" s="493"/>
      <c r="G163" s="499"/>
      <c r="H163" s="529"/>
      <c r="J163" s="493"/>
      <c r="K163" s="499"/>
      <c r="L163" s="529"/>
    </row>
    <row r="164" spans="2:12" ht="21.95" customHeight="1" x14ac:dyDescent="0.2">
      <c r="B164" s="493"/>
      <c r="C164" s="499"/>
      <c r="D164" s="529"/>
      <c r="F164" s="493"/>
      <c r="G164" s="499"/>
      <c r="H164" s="529"/>
      <c r="J164" s="493"/>
      <c r="K164" s="499"/>
      <c r="L164" s="529"/>
    </row>
    <row r="165" spans="2:12" ht="21.95" customHeight="1" x14ac:dyDescent="0.2">
      <c r="B165" s="493"/>
      <c r="C165" s="499"/>
      <c r="D165" s="529"/>
      <c r="F165" s="493"/>
      <c r="G165" s="499"/>
      <c r="H165" s="529"/>
      <c r="J165" s="493"/>
      <c r="K165" s="499"/>
      <c r="L165" s="529"/>
    </row>
    <row r="166" spans="2:12" ht="21.95" customHeight="1" x14ac:dyDescent="0.2">
      <c r="B166" s="493"/>
      <c r="C166" s="499"/>
      <c r="D166" s="529"/>
      <c r="F166" s="493"/>
      <c r="G166" s="499"/>
      <c r="H166" s="529"/>
      <c r="J166" s="493"/>
      <c r="K166" s="499"/>
      <c r="L166" s="529"/>
    </row>
    <row r="167" spans="2:12" ht="21.95" customHeight="1" thickBot="1" x14ac:dyDescent="0.25">
      <c r="B167" s="494" t="s">
        <v>127</v>
      </c>
      <c r="C167" s="495"/>
      <c r="D167" s="530"/>
      <c r="F167" s="494" t="s">
        <v>127</v>
      </c>
      <c r="G167" s="495"/>
      <c r="H167" s="530"/>
      <c r="J167" s="494" t="s">
        <v>127</v>
      </c>
      <c r="K167" s="495"/>
      <c r="L167" s="530"/>
    </row>
    <row r="168" spans="2:12" ht="21.95" customHeight="1" thickBot="1" x14ac:dyDescent="0.25">
      <c r="B168" s="497"/>
      <c r="C168" s="586" t="s">
        <v>268</v>
      </c>
      <c r="D168" s="588"/>
      <c r="F168" s="497"/>
      <c r="G168" s="586" t="s">
        <v>268</v>
      </c>
      <c r="H168" s="588"/>
      <c r="J168" s="497"/>
      <c r="K168" s="586" t="s">
        <v>268</v>
      </c>
      <c r="L168" s="588"/>
    </row>
    <row r="169" spans="2:12" ht="21.95" customHeight="1" thickBot="1" x14ac:dyDescent="0.25">
      <c r="B169" s="498" t="s">
        <v>251</v>
      </c>
      <c r="C169" s="584" t="s">
        <v>252</v>
      </c>
      <c r="D169" s="585"/>
      <c r="F169" s="498" t="s">
        <v>251</v>
      </c>
      <c r="G169" s="584" t="s">
        <v>252</v>
      </c>
      <c r="H169" s="585"/>
      <c r="J169" s="498" t="s">
        <v>251</v>
      </c>
      <c r="K169" s="584" t="s">
        <v>252</v>
      </c>
      <c r="L169" s="585"/>
    </row>
    <row r="170" spans="2:12" ht="21.95" customHeight="1" thickBot="1" x14ac:dyDescent="0.25">
      <c r="B170" s="498" t="s">
        <v>146</v>
      </c>
      <c r="C170" s="584" t="s">
        <v>186</v>
      </c>
      <c r="D170" s="585"/>
      <c r="F170" s="498" t="s">
        <v>146</v>
      </c>
      <c r="G170" s="584" t="s">
        <v>186</v>
      </c>
      <c r="H170" s="585"/>
      <c r="J170" s="498" t="s">
        <v>146</v>
      </c>
      <c r="K170" s="584" t="s">
        <v>186</v>
      </c>
      <c r="L170" s="585"/>
    </row>
    <row r="171" spans="2:12" ht="21.95" customHeight="1" thickBot="1" x14ac:dyDescent="0.25">
      <c r="B171" s="498" t="s">
        <v>152</v>
      </c>
      <c r="C171" s="584" t="s">
        <v>253</v>
      </c>
      <c r="D171" s="585"/>
      <c r="F171" s="498" t="s">
        <v>152</v>
      </c>
      <c r="G171" s="584" t="s">
        <v>253</v>
      </c>
      <c r="H171" s="585"/>
      <c r="J171" s="498" t="s">
        <v>152</v>
      </c>
      <c r="K171" s="584" t="s">
        <v>253</v>
      </c>
      <c r="L171" s="585"/>
    </row>
    <row r="172" spans="2:12" ht="30" customHeight="1" thickBot="1" x14ac:dyDescent="0.25">
      <c r="B172" s="586"/>
      <c r="C172" s="587"/>
      <c r="D172" s="588"/>
      <c r="F172" s="586"/>
      <c r="G172" s="587"/>
      <c r="H172" s="588"/>
      <c r="J172" s="586"/>
      <c r="K172" s="587"/>
      <c r="L172" s="588"/>
    </row>
    <row r="174" spans="2:12" ht="13.5" thickBot="1" x14ac:dyDescent="0.25"/>
    <row r="175" spans="2:12" ht="24.95" customHeight="1" thickBot="1" x14ac:dyDescent="0.25">
      <c r="B175" s="589"/>
      <c r="C175" s="590"/>
      <c r="D175" s="591"/>
      <c r="F175" s="589"/>
      <c r="G175" s="590"/>
      <c r="H175" s="591"/>
      <c r="J175" s="589"/>
      <c r="K175" s="590"/>
      <c r="L175" s="591"/>
    </row>
    <row r="176" spans="2:12" x14ac:dyDescent="0.2">
      <c r="B176" s="582"/>
      <c r="C176" s="489" t="s">
        <v>124</v>
      </c>
      <c r="D176" s="490" t="s">
        <v>125</v>
      </c>
      <c r="F176" s="582"/>
      <c r="G176" s="489" t="s">
        <v>124</v>
      </c>
      <c r="H176" s="490" t="s">
        <v>125</v>
      </c>
      <c r="J176" s="582"/>
      <c r="K176" s="489" t="s">
        <v>124</v>
      </c>
      <c r="L176" s="490" t="s">
        <v>125</v>
      </c>
    </row>
    <row r="177" spans="2:12" x14ac:dyDescent="0.2">
      <c r="B177" s="583"/>
      <c r="C177" s="491" t="s">
        <v>126</v>
      </c>
      <c r="D177" s="492" t="s">
        <v>126</v>
      </c>
      <c r="F177" s="583"/>
      <c r="G177" s="491" t="s">
        <v>126</v>
      </c>
      <c r="H177" s="492" t="s">
        <v>126</v>
      </c>
      <c r="J177" s="583"/>
      <c r="K177" s="491" t="s">
        <v>126</v>
      </c>
      <c r="L177" s="492" t="s">
        <v>126</v>
      </c>
    </row>
    <row r="178" spans="2:12" ht="21.95" customHeight="1" x14ac:dyDescent="0.2">
      <c r="B178" s="493"/>
      <c r="C178" s="499"/>
      <c r="D178" s="529"/>
      <c r="F178" s="493"/>
      <c r="G178" s="499"/>
      <c r="H178" s="529"/>
      <c r="J178" s="493"/>
      <c r="K178" s="499"/>
      <c r="L178" s="529"/>
    </row>
    <row r="179" spans="2:12" ht="21.95" customHeight="1" x14ac:dyDescent="0.2">
      <c r="B179" s="493"/>
      <c r="C179" s="499"/>
      <c r="D179" s="529"/>
      <c r="F179" s="493"/>
      <c r="G179" s="499"/>
      <c r="H179" s="529"/>
      <c r="J179" s="493"/>
      <c r="K179" s="499"/>
      <c r="L179" s="529"/>
    </row>
    <row r="180" spans="2:12" ht="21.95" customHeight="1" x14ac:dyDescent="0.2">
      <c r="B180" s="493"/>
      <c r="C180" s="499"/>
      <c r="D180" s="529"/>
      <c r="F180" s="493"/>
      <c r="G180" s="499"/>
      <c r="H180" s="529"/>
      <c r="J180" s="493"/>
      <c r="K180" s="499"/>
      <c r="L180" s="529"/>
    </row>
    <row r="181" spans="2:12" ht="21.95" customHeight="1" x14ac:dyDescent="0.2">
      <c r="B181" s="493"/>
      <c r="C181" s="499"/>
      <c r="D181" s="529"/>
      <c r="F181" s="493"/>
      <c r="G181" s="499"/>
      <c r="H181" s="529"/>
      <c r="J181" s="493"/>
      <c r="K181" s="499"/>
      <c r="L181" s="529"/>
    </row>
    <row r="182" spans="2:12" ht="21.95" customHeight="1" x14ac:dyDescent="0.2">
      <c r="B182" s="493"/>
      <c r="C182" s="499"/>
      <c r="D182" s="529"/>
      <c r="F182" s="493"/>
      <c r="G182" s="499"/>
      <c r="H182" s="529"/>
      <c r="J182" s="493"/>
      <c r="K182" s="499"/>
      <c r="L182" s="529"/>
    </row>
    <row r="183" spans="2:12" ht="21.95" customHeight="1" x14ac:dyDescent="0.2">
      <c r="B183" s="493"/>
      <c r="C183" s="499"/>
      <c r="D183" s="529"/>
      <c r="F183" s="493"/>
      <c r="G183" s="499"/>
      <c r="H183" s="529"/>
      <c r="J183" s="493"/>
      <c r="K183" s="499"/>
      <c r="L183" s="529"/>
    </row>
    <row r="184" spans="2:12" ht="21.95" customHeight="1" x14ac:dyDescent="0.2">
      <c r="B184" s="493"/>
      <c r="C184" s="499"/>
      <c r="D184" s="529"/>
      <c r="F184" s="493"/>
      <c r="G184" s="499"/>
      <c r="H184" s="529"/>
      <c r="J184" s="493"/>
      <c r="K184" s="499"/>
      <c r="L184" s="529"/>
    </row>
    <row r="185" spans="2:12" ht="21.95" customHeight="1" x14ac:dyDescent="0.2">
      <c r="B185" s="493"/>
      <c r="C185" s="499"/>
      <c r="D185" s="529"/>
      <c r="F185" s="493"/>
      <c r="G185" s="499"/>
      <c r="H185" s="529"/>
      <c r="J185" s="493"/>
      <c r="K185" s="499"/>
      <c r="L185" s="529"/>
    </row>
    <row r="186" spans="2:12" ht="21.95" customHeight="1" thickBot="1" x14ac:dyDescent="0.25">
      <c r="B186" s="494" t="s">
        <v>127</v>
      </c>
      <c r="C186" s="495"/>
      <c r="D186" s="530"/>
      <c r="F186" s="494" t="s">
        <v>127</v>
      </c>
      <c r="G186" s="495"/>
      <c r="H186" s="530"/>
      <c r="J186" s="494" t="s">
        <v>127</v>
      </c>
      <c r="K186" s="495"/>
      <c r="L186" s="530"/>
    </row>
    <row r="187" spans="2:12" ht="21.95" customHeight="1" thickBot="1" x14ac:dyDescent="0.25">
      <c r="B187" s="497"/>
      <c r="C187" s="586" t="s">
        <v>268</v>
      </c>
      <c r="D187" s="588"/>
      <c r="F187" s="497"/>
      <c r="G187" s="586" t="s">
        <v>268</v>
      </c>
      <c r="H187" s="588"/>
      <c r="J187" s="497"/>
      <c r="K187" s="586" t="s">
        <v>268</v>
      </c>
      <c r="L187" s="588"/>
    </row>
    <row r="188" spans="2:12" ht="21.95" customHeight="1" thickBot="1" x14ac:dyDescent="0.25">
      <c r="B188" s="498" t="s">
        <v>251</v>
      </c>
      <c r="C188" s="584" t="s">
        <v>252</v>
      </c>
      <c r="D188" s="585"/>
      <c r="F188" s="498" t="s">
        <v>251</v>
      </c>
      <c r="G188" s="584" t="s">
        <v>252</v>
      </c>
      <c r="H188" s="585"/>
      <c r="J188" s="498" t="s">
        <v>251</v>
      </c>
      <c r="K188" s="584" t="s">
        <v>252</v>
      </c>
      <c r="L188" s="585"/>
    </row>
    <row r="189" spans="2:12" ht="21.95" customHeight="1" thickBot="1" x14ac:dyDescent="0.25">
      <c r="B189" s="498" t="s">
        <v>146</v>
      </c>
      <c r="C189" s="584" t="s">
        <v>186</v>
      </c>
      <c r="D189" s="585"/>
      <c r="F189" s="498" t="s">
        <v>146</v>
      </c>
      <c r="G189" s="584" t="s">
        <v>186</v>
      </c>
      <c r="H189" s="585"/>
      <c r="J189" s="498" t="s">
        <v>146</v>
      </c>
      <c r="K189" s="584" t="s">
        <v>186</v>
      </c>
      <c r="L189" s="585"/>
    </row>
    <row r="190" spans="2:12" ht="21.95" customHeight="1" thickBot="1" x14ac:dyDescent="0.25">
      <c r="B190" s="498" t="s">
        <v>152</v>
      </c>
      <c r="C190" s="584" t="s">
        <v>253</v>
      </c>
      <c r="D190" s="585"/>
      <c r="F190" s="498" t="s">
        <v>152</v>
      </c>
      <c r="G190" s="584" t="s">
        <v>253</v>
      </c>
      <c r="H190" s="585"/>
      <c r="J190" s="498" t="s">
        <v>152</v>
      </c>
      <c r="K190" s="584" t="s">
        <v>253</v>
      </c>
      <c r="L190" s="585"/>
    </row>
    <row r="191" spans="2:12" ht="30" customHeight="1" thickBot="1" x14ac:dyDescent="0.25">
      <c r="B191" s="586"/>
      <c r="C191" s="587"/>
      <c r="D191" s="588"/>
      <c r="F191" s="586"/>
      <c r="G191" s="587"/>
      <c r="H191" s="588"/>
      <c r="J191" s="586"/>
      <c r="K191" s="587"/>
      <c r="L191" s="588"/>
    </row>
    <row r="194" spans="2:12" ht="13.5" thickBot="1" x14ac:dyDescent="0.25"/>
    <row r="195" spans="2:12" ht="24.95" customHeight="1" thickBot="1" x14ac:dyDescent="0.25">
      <c r="B195" s="589" t="s">
        <v>9</v>
      </c>
      <c r="C195" s="590"/>
      <c r="D195" s="591"/>
      <c r="F195" s="589" t="s">
        <v>325</v>
      </c>
      <c r="G195" s="590"/>
      <c r="H195" s="591"/>
      <c r="J195" s="589" t="s">
        <v>329</v>
      </c>
      <c r="K195" s="590"/>
      <c r="L195" s="591"/>
    </row>
    <row r="196" spans="2:12" x14ac:dyDescent="0.2">
      <c r="B196" s="582"/>
      <c r="C196" s="489" t="s">
        <v>124</v>
      </c>
      <c r="D196" s="490" t="s">
        <v>125</v>
      </c>
      <c r="F196" s="582"/>
      <c r="G196" s="489" t="s">
        <v>124</v>
      </c>
      <c r="H196" s="490" t="s">
        <v>125</v>
      </c>
      <c r="J196" s="582"/>
      <c r="K196" s="489" t="s">
        <v>124</v>
      </c>
      <c r="L196" s="490" t="s">
        <v>125</v>
      </c>
    </row>
    <row r="197" spans="2:12" x14ac:dyDescent="0.2">
      <c r="B197" s="583"/>
      <c r="C197" s="491" t="s">
        <v>126</v>
      </c>
      <c r="D197" s="492" t="s">
        <v>126</v>
      </c>
      <c r="F197" s="583"/>
      <c r="G197" s="491" t="s">
        <v>126</v>
      </c>
      <c r="H197" s="492" t="s">
        <v>126</v>
      </c>
      <c r="J197" s="583"/>
      <c r="K197" s="491" t="s">
        <v>126</v>
      </c>
      <c r="L197" s="492" t="s">
        <v>126</v>
      </c>
    </row>
    <row r="198" spans="2:12" ht="21.95" customHeight="1" x14ac:dyDescent="0.2">
      <c r="B198" s="493" t="s">
        <v>279</v>
      </c>
      <c r="C198" s="499">
        <v>100</v>
      </c>
      <c r="D198" s="529">
        <f>C198*D$206/C$206</f>
        <v>41.948113207547166</v>
      </c>
      <c r="F198" s="493" t="s">
        <v>326</v>
      </c>
      <c r="G198" s="499">
        <v>5</v>
      </c>
      <c r="H198" s="529">
        <f t="shared" ref="H198:H203" si="8">G198*H$206/G$206</f>
        <v>5.44</v>
      </c>
      <c r="J198" s="493" t="s">
        <v>274</v>
      </c>
      <c r="K198" s="499">
        <v>10</v>
      </c>
      <c r="L198" s="529">
        <f>K198*L$206/K$206</f>
        <v>19.444444444444443</v>
      </c>
    </row>
    <row r="199" spans="2:12" ht="21.95" customHeight="1" x14ac:dyDescent="0.2">
      <c r="B199" s="493" t="s">
        <v>155</v>
      </c>
      <c r="C199" s="499">
        <v>30</v>
      </c>
      <c r="D199" s="529">
        <f t="shared" ref="D199:D205" si="9">C199*D$206/C$206</f>
        <v>12.58443396226415</v>
      </c>
      <c r="F199" s="493" t="s">
        <v>279</v>
      </c>
      <c r="G199" s="499">
        <v>5</v>
      </c>
      <c r="H199" s="529">
        <f t="shared" si="8"/>
        <v>5.44</v>
      </c>
      <c r="J199" s="493" t="s">
        <v>134</v>
      </c>
      <c r="K199" s="499">
        <v>5</v>
      </c>
      <c r="L199" s="529">
        <f>K199*L$206/K$206</f>
        <v>9.7222222222222214</v>
      </c>
    </row>
    <row r="200" spans="2:12" ht="21.95" customHeight="1" x14ac:dyDescent="0.2">
      <c r="B200" s="493" t="s">
        <v>316</v>
      </c>
      <c r="C200" s="499">
        <v>25</v>
      </c>
      <c r="D200" s="529">
        <f t="shared" si="9"/>
        <v>10.487028301886792</v>
      </c>
      <c r="F200" s="493" t="s">
        <v>134</v>
      </c>
      <c r="G200" s="499">
        <v>5.4</v>
      </c>
      <c r="H200" s="529">
        <f t="shared" si="8"/>
        <v>5.8751999999999995</v>
      </c>
      <c r="J200" s="493" t="s">
        <v>133</v>
      </c>
      <c r="K200" s="499">
        <v>0.1</v>
      </c>
      <c r="L200" s="529">
        <f>K200*L$206/K$206</f>
        <v>0.19444444444444445</v>
      </c>
    </row>
    <row r="201" spans="2:12" ht="21.95" customHeight="1" x14ac:dyDescent="0.2">
      <c r="B201" s="493" t="s">
        <v>134</v>
      </c>
      <c r="C201" s="499">
        <v>28</v>
      </c>
      <c r="D201" s="529">
        <f t="shared" si="9"/>
        <v>11.745471698113207</v>
      </c>
      <c r="F201" s="493" t="s">
        <v>133</v>
      </c>
      <c r="G201" s="499">
        <v>0.3</v>
      </c>
      <c r="H201" s="529">
        <f t="shared" si="8"/>
        <v>0.32639999999999997</v>
      </c>
      <c r="J201" s="493"/>
      <c r="K201" s="499"/>
      <c r="L201" s="529"/>
    </row>
    <row r="202" spans="2:12" ht="21.95" customHeight="1" x14ac:dyDescent="0.2">
      <c r="B202" s="493" t="s">
        <v>315</v>
      </c>
      <c r="C202" s="499">
        <v>17</v>
      </c>
      <c r="D202" s="529">
        <f t="shared" si="9"/>
        <v>7.1311792452830183</v>
      </c>
      <c r="F202" s="493" t="s">
        <v>249</v>
      </c>
      <c r="G202" s="499">
        <v>0.05</v>
      </c>
      <c r="H202" s="529">
        <f t="shared" si="8"/>
        <v>5.4400000000000004E-2</v>
      </c>
      <c r="J202" s="493"/>
      <c r="K202" s="499"/>
      <c r="L202" s="529"/>
    </row>
    <row r="203" spans="2:12" ht="21.95" customHeight="1" x14ac:dyDescent="0.2">
      <c r="B203" s="493" t="s">
        <v>133</v>
      </c>
      <c r="C203" s="499">
        <v>6</v>
      </c>
      <c r="D203" s="529">
        <f t="shared" si="9"/>
        <v>2.51688679245283</v>
      </c>
      <c r="F203" s="493" t="s">
        <v>254</v>
      </c>
      <c r="G203" s="499">
        <v>3</v>
      </c>
      <c r="H203" s="529">
        <f t="shared" si="8"/>
        <v>3.2639999999999998</v>
      </c>
      <c r="J203" s="493"/>
      <c r="K203" s="499"/>
      <c r="L203" s="529"/>
    </row>
    <row r="204" spans="2:12" ht="21.95" customHeight="1" x14ac:dyDescent="0.2">
      <c r="B204" s="493" t="s">
        <v>185</v>
      </c>
      <c r="C204" s="499">
        <v>4</v>
      </c>
      <c r="D204" s="529">
        <f t="shared" si="9"/>
        <v>1.6779245283018867</v>
      </c>
      <c r="F204" s="493"/>
      <c r="G204" s="499"/>
      <c r="H204" s="529"/>
      <c r="J204" s="493"/>
      <c r="K204" s="499"/>
      <c r="L204" s="529"/>
    </row>
    <row r="205" spans="2:12" ht="21.95" customHeight="1" x14ac:dyDescent="0.2">
      <c r="B205" s="493" t="s">
        <v>132</v>
      </c>
      <c r="C205" s="499">
        <v>2</v>
      </c>
      <c r="D205" s="529">
        <f t="shared" si="9"/>
        <v>0.83896226415094333</v>
      </c>
      <c r="F205" s="493"/>
      <c r="G205" s="499"/>
      <c r="H205" s="529"/>
      <c r="J205" s="493"/>
      <c r="K205" s="499"/>
      <c r="L205" s="529"/>
    </row>
    <row r="206" spans="2:12" ht="21.95" customHeight="1" thickBot="1" x14ac:dyDescent="0.25">
      <c r="B206" s="494" t="s">
        <v>127</v>
      </c>
      <c r="C206" s="495">
        <f>SUM(C198:C205)</f>
        <v>212</v>
      </c>
      <c r="D206" s="530">
        <f>D!B124+D!B125+D!B126+D!B127+D!B128+D!B129+D!B130+D!B132+D!B133+D!B134+D!B135+D!B136+D!B137+D!B140+D!B141+D!B142+D!B143+D!B147+D!B200</f>
        <v>88.929999999999993</v>
      </c>
      <c r="F206" s="494" t="s">
        <v>127</v>
      </c>
      <c r="G206" s="495">
        <f>SUM(G198:G205)</f>
        <v>18.75</v>
      </c>
      <c r="H206" s="530">
        <f>D!B151+D!B152</f>
        <v>20.399999999999999</v>
      </c>
      <c r="J206" s="494" t="s">
        <v>127</v>
      </c>
      <c r="K206" s="495">
        <f>SUM(K198:K205)</f>
        <v>15.1</v>
      </c>
      <c r="L206" s="530">
        <f>D217</f>
        <v>29.361111111111107</v>
      </c>
    </row>
    <row r="207" spans="2:12" ht="21.95" customHeight="1" thickBot="1" x14ac:dyDescent="0.25">
      <c r="B207" s="497"/>
      <c r="C207" s="586" t="s">
        <v>268</v>
      </c>
      <c r="D207" s="588"/>
      <c r="F207" s="497"/>
      <c r="G207" s="586" t="s">
        <v>268</v>
      </c>
      <c r="H207" s="588"/>
      <c r="J207" s="497"/>
      <c r="K207" s="586" t="s">
        <v>268</v>
      </c>
      <c r="L207" s="588"/>
    </row>
    <row r="208" spans="2:12" ht="21.95" customHeight="1" thickBot="1" x14ac:dyDescent="0.25">
      <c r="B208" s="498" t="s">
        <v>323</v>
      </c>
      <c r="C208" s="584" t="s">
        <v>252</v>
      </c>
      <c r="D208" s="585"/>
      <c r="F208" s="498" t="s">
        <v>327</v>
      </c>
      <c r="G208" s="584" t="s">
        <v>302</v>
      </c>
      <c r="H208" s="585"/>
      <c r="J208" s="498"/>
      <c r="K208" s="584" t="s">
        <v>259</v>
      </c>
      <c r="L208" s="585"/>
    </row>
    <row r="209" spans="2:12" ht="21.95" customHeight="1" thickBot="1" x14ac:dyDescent="0.25">
      <c r="B209" s="498" t="s">
        <v>146</v>
      </c>
      <c r="C209" s="584" t="s">
        <v>146</v>
      </c>
      <c r="D209" s="585"/>
      <c r="F209" s="498" t="s">
        <v>146</v>
      </c>
      <c r="G209" s="584" t="s">
        <v>169</v>
      </c>
      <c r="H209" s="585"/>
      <c r="J209" s="498"/>
      <c r="K209" s="584" t="s">
        <v>146</v>
      </c>
      <c r="L209" s="585"/>
    </row>
    <row r="210" spans="2:12" ht="21.95" customHeight="1" thickBot="1" x14ac:dyDescent="0.25">
      <c r="B210" s="498" t="s">
        <v>324</v>
      </c>
      <c r="C210" s="584" t="s">
        <v>264</v>
      </c>
      <c r="D210" s="585"/>
      <c r="F210" s="498" t="s">
        <v>328</v>
      </c>
      <c r="G210" s="584" t="s">
        <v>147</v>
      </c>
      <c r="H210" s="585"/>
      <c r="J210" s="498"/>
      <c r="K210" s="584" t="s">
        <v>152</v>
      </c>
      <c r="L210" s="585"/>
    </row>
    <row r="211" spans="2:12" ht="30" customHeight="1" thickBot="1" x14ac:dyDescent="0.25">
      <c r="B211" s="586"/>
      <c r="C211" s="587"/>
      <c r="D211" s="588"/>
      <c r="F211" s="586"/>
      <c r="G211" s="587"/>
      <c r="H211" s="588"/>
      <c r="J211" s="586"/>
      <c r="K211" s="587"/>
      <c r="L211" s="588"/>
    </row>
    <row r="213" spans="2:12" ht="13.5" thickBot="1" x14ac:dyDescent="0.25"/>
    <row r="214" spans="2:12" ht="24.95" customHeight="1" thickBot="1" x14ac:dyDescent="0.25">
      <c r="B214" s="589" t="s">
        <v>330</v>
      </c>
      <c r="C214" s="590"/>
      <c r="D214" s="591"/>
      <c r="F214" s="589"/>
      <c r="G214" s="590"/>
      <c r="H214" s="591"/>
      <c r="J214" s="589"/>
      <c r="K214" s="590"/>
      <c r="L214" s="591"/>
    </row>
    <row r="215" spans="2:12" x14ac:dyDescent="0.2">
      <c r="B215" s="582"/>
      <c r="C215" s="489" t="s">
        <v>124</v>
      </c>
      <c r="D215" s="490" t="s">
        <v>125</v>
      </c>
      <c r="F215" s="582"/>
      <c r="G215" s="489" t="s">
        <v>124</v>
      </c>
      <c r="H215" s="490" t="s">
        <v>125</v>
      </c>
      <c r="J215" s="582"/>
      <c r="K215" s="489" t="s">
        <v>124</v>
      </c>
      <c r="L215" s="490" t="s">
        <v>125</v>
      </c>
    </row>
    <row r="216" spans="2:12" x14ac:dyDescent="0.2">
      <c r="B216" s="583"/>
      <c r="C216" s="491" t="s">
        <v>126</v>
      </c>
      <c r="D216" s="492" t="s">
        <v>126</v>
      </c>
      <c r="F216" s="583"/>
      <c r="G216" s="491" t="s">
        <v>126</v>
      </c>
      <c r="H216" s="492" t="s">
        <v>126</v>
      </c>
      <c r="J216" s="583"/>
      <c r="K216" s="491" t="s">
        <v>126</v>
      </c>
      <c r="L216" s="492" t="s">
        <v>126</v>
      </c>
    </row>
    <row r="217" spans="2:12" ht="21.95" customHeight="1" x14ac:dyDescent="0.2">
      <c r="B217" s="493" t="s">
        <v>329</v>
      </c>
      <c r="C217" s="499">
        <v>15.1</v>
      </c>
      <c r="D217" s="529">
        <f>C217*D$225/C$225</f>
        <v>29.361111111111107</v>
      </c>
      <c r="F217" s="493"/>
      <c r="G217" s="499"/>
      <c r="H217" s="529"/>
      <c r="J217" s="493"/>
      <c r="K217" s="499"/>
      <c r="L217" s="529"/>
    </row>
    <row r="218" spans="2:12" ht="21.95" customHeight="1" x14ac:dyDescent="0.2">
      <c r="B218" s="493" t="s">
        <v>274</v>
      </c>
      <c r="C218" s="499">
        <v>5</v>
      </c>
      <c r="D218" s="529">
        <f>C218*D$225/C$225</f>
        <v>9.7222222222222214</v>
      </c>
      <c r="F218" s="493"/>
      <c r="G218" s="499"/>
      <c r="H218" s="529"/>
      <c r="J218" s="493"/>
      <c r="K218" s="499"/>
      <c r="L218" s="529"/>
    </row>
    <row r="219" spans="2:12" ht="21.95" customHeight="1" x14ac:dyDescent="0.2">
      <c r="B219" s="493" t="s">
        <v>133</v>
      </c>
      <c r="C219" s="499">
        <v>0.3</v>
      </c>
      <c r="D219" s="529">
        <f>C219*D$225/C$225</f>
        <v>0.58333333333333326</v>
      </c>
      <c r="F219" s="493"/>
      <c r="G219" s="499"/>
      <c r="H219" s="529"/>
      <c r="J219" s="493"/>
      <c r="K219" s="499"/>
      <c r="L219" s="529"/>
    </row>
    <row r="220" spans="2:12" ht="21.95" customHeight="1" x14ac:dyDescent="0.2">
      <c r="B220" s="493" t="s">
        <v>134</v>
      </c>
      <c r="C220" s="499">
        <v>4.5</v>
      </c>
      <c r="D220" s="529">
        <f>C220*D$225/C$225</f>
        <v>8.7499999999999982</v>
      </c>
      <c r="F220" s="493"/>
      <c r="G220" s="499"/>
      <c r="H220" s="529"/>
      <c r="J220" s="493"/>
      <c r="K220" s="499"/>
      <c r="L220" s="529"/>
    </row>
    <row r="221" spans="2:12" ht="21.95" customHeight="1" x14ac:dyDescent="0.2">
      <c r="B221" s="493" t="s">
        <v>132</v>
      </c>
      <c r="C221" s="499">
        <v>0.3</v>
      </c>
      <c r="D221" s="529">
        <f>C221*D$225/C$225</f>
        <v>0.58333333333333326</v>
      </c>
      <c r="F221" s="493"/>
      <c r="G221" s="499"/>
      <c r="H221" s="529"/>
      <c r="J221" s="493"/>
      <c r="K221" s="499"/>
      <c r="L221" s="529"/>
    </row>
    <row r="222" spans="2:12" ht="21.95" customHeight="1" x14ac:dyDescent="0.2">
      <c r="B222" s="493"/>
      <c r="C222" s="499"/>
      <c r="D222" s="529"/>
      <c r="F222" s="493"/>
      <c r="G222" s="499"/>
      <c r="H222" s="529"/>
      <c r="J222" s="493"/>
      <c r="K222" s="499"/>
      <c r="L222" s="529"/>
    </row>
    <row r="223" spans="2:12" ht="21.95" customHeight="1" x14ac:dyDescent="0.2">
      <c r="B223" s="493"/>
      <c r="C223" s="499"/>
      <c r="D223" s="529"/>
      <c r="F223" s="493"/>
      <c r="G223" s="499"/>
      <c r="H223" s="529"/>
      <c r="J223" s="493"/>
      <c r="K223" s="499"/>
      <c r="L223" s="529"/>
    </row>
    <row r="224" spans="2:12" ht="21.95" customHeight="1" x14ac:dyDescent="0.2">
      <c r="B224" s="493"/>
      <c r="C224" s="499"/>
      <c r="D224" s="529"/>
      <c r="F224" s="493"/>
      <c r="G224" s="499"/>
      <c r="H224" s="529"/>
      <c r="J224" s="493"/>
      <c r="K224" s="499"/>
      <c r="L224" s="529"/>
    </row>
    <row r="225" spans="2:12" ht="21.95" customHeight="1" thickBot="1" x14ac:dyDescent="0.25">
      <c r="B225" s="494" t="s">
        <v>127</v>
      </c>
      <c r="C225" s="495">
        <f>SUM(C217:C224)</f>
        <v>25.200000000000003</v>
      </c>
      <c r="D225" s="530">
        <f>D!B156+D!B157</f>
        <v>49</v>
      </c>
      <c r="F225" s="494" t="s">
        <v>127</v>
      </c>
      <c r="G225" s="495"/>
      <c r="H225" s="530"/>
      <c r="J225" s="494" t="s">
        <v>127</v>
      </c>
      <c r="K225" s="495"/>
      <c r="L225" s="530"/>
    </row>
    <row r="226" spans="2:12" ht="21.95" customHeight="1" thickBot="1" x14ac:dyDescent="0.25">
      <c r="B226" s="497"/>
      <c r="C226" s="586" t="s">
        <v>268</v>
      </c>
      <c r="D226" s="588"/>
      <c r="F226" s="497"/>
      <c r="G226" s="586" t="s">
        <v>268</v>
      </c>
      <c r="H226" s="588"/>
      <c r="J226" s="497"/>
      <c r="K226" s="586" t="s">
        <v>268</v>
      </c>
      <c r="L226" s="588"/>
    </row>
    <row r="227" spans="2:12" ht="21.95" customHeight="1" thickBot="1" x14ac:dyDescent="0.25">
      <c r="B227" s="498" t="s">
        <v>251</v>
      </c>
      <c r="C227" s="584" t="s">
        <v>252</v>
      </c>
      <c r="D227" s="585"/>
      <c r="F227" s="498" t="s">
        <v>251</v>
      </c>
      <c r="G227" s="584" t="s">
        <v>252</v>
      </c>
      <c r="H227" s="585"/>
      <c r="J227" s="498" t="s">
        <v>251</v>
      </c>
      <c r="K227" s="584" t="s">
        <v>252</v>
      </c>
      <c r="L227" s="585"/>
    </row>
    <row r="228" spans="2:12" ht="21.95" customHeight="1" thickBot="1" x14ac:dyDescent="0.25">
      <c r="B228" s="498" t="s">
        <v>146</v>
      </c>
      <c r="C228" s="584" t="s">
        <v>186</v>
      </c>
      <c r="D228" s="585"/>
      <c r="F228" s="498" t="s">
        <v>146</v>
      </c>
      <c r="G228" s="584" t="s">
        <v>186</v>
      </c>
      <c r="H228" s="585"/>
      <c r="J228" s="498" t="s">
        <v>146</v>
      </c>
      <c r="K228" s="584" t="s">
        <v>186</v>
      </c>
      <c r="L228" s="585"/>
    </row>
    <row r="229" spans="2:12" ht="21.95" customHeight="1" thickBot="1" x14ac:dyDescent="0.25">
      <c r="B229" s="498" t="s">
        <v>152</v>
      </c>
      <c r="C229" s="584" t="s">
        <v>152</v>
      </c>
      <c r="D229" s="585"/>
      <c r="F229" s="498" t="s">
        <v>152</v>
      </c>
      <c r="G229" s="584" t="s">
        <v>253</v>
      </c>
      <c r="H229" s="585"/>
      <c r="J229" s="498" t="s">
        <v>152</v>
      </c>
      <c r="K229" s="584" t="s">
        <v>253</v>
      </c>
      <c r="L229" s="585"/>
    </row>
    <row r="230" spans="2:12" ht="30" customHeight="1" thickBot="1" x14ac:dyDescent="0.25">
      <c r="B230" s="586"/>
      <c r="C230" s="587"/>
      <c r="D230" s="588"/>
      <c r="F230" s="586"/>
      <c r="G230" s="587"/>
      <c r="H230" s="588"/>
      <c r="J230" s="586"/>
      <c r="K230" s="587"/>
      <c r="L230" s="588"/>
    </row>
  </sheetData>
  <mergeCells count="252">
    <mergeCell ref="B230:D230"/>
    <mergeCell ref="F230:H230"/>
    <mergeCell ref="J230:L230"/>
    <mergeCell ref="C228:D228"/>
    <mergeCell ref="G228:H228"/>
    <mergeCell ref="K228:L228"/>
    <mergeCell ref="C229:D229"/>
    <mergeCell ref="G229:H229"/>
    <mergeCell ref="K229:L229"/>
    <mergeCell ref="B215:B216"/>
    <mergeCell ref="F215:F216"/>
    <mergeCell ref="J215:J216"/>
    <mergeCell ref="C226:D226"/>
    <mergeCell ref="G226:H226"/>
    <mergeCell ref="K226:L226"/>
    <mergeCell ref="C227:D227"/>
    <mergeCell ref="G227:H227"/>
    <mergeCell ref="K227:L227"/>
    <mergeCell ref="K169:L169"/>
    <mergeCell ref="C170:D170"/>
    <mergeCell ref="G170:H170"/>
    <mergeCell ref="K170:L170"/>
    <mergeCell ref="K209:L209"/>
    <mergeCell ref="C209:D209"/>
    <mergeCell ref="G209:H209"/>
    <mergeCell ref="C171:D171"/>
    <mergeCell ref="G171:H171"/>
    <mergeCell ref="K171:L171"/>
    <mergeCell ref="K187:L187"/>
    <mergeCell ref="J196:J197"/>
    <mergeCell ref="B195:D195"/>
    <mergeCell ref="B172:D172"/>
    <mergeCell ref="F172:H172"/>
    <mergeCell ref="J172:L172"/>
    <mergeCell ref="B175:D175"/>
    <mergeCell ref="F175:H175"/>
    <mergeCell ref="J175:L175"/>
    <mergeCell ref="B176:B177"/>
    <mergeCell ref="F176:F177"/>
    <mergeCell ref="J176:J177"/>
    <mergeCell ref="C188:D188"/>
    <mergeCell ref="F195:H195"/>
    <mergeCell ref="C210:D210"/>
    <mergeCell ref="G210:H210"/>
    <mergeCell ref="K210:L210"/>
    <mergeCell ref="B211:D211"/>
    <mergeCell ref="F211:H211"/>
    <mergeCell ref="J211:L211"/>
    <mergeCell ref="B214:D214"/>
    <mergeCell ref="F214:H214"/>
    <mergeCell ref="J214:L214"/>
    <mergeCell ref="B133:D133"/>
    <mergeCell ref="J132:L132"/>
    <mergeCell ref="J133:L133"/>
    <mergeCell ref="K188:L188"/>
    <mergeCell ref="C208:D208"/>
    <mergeCell ref="G208:H208"/>
    <mergeCell ref="K208:L208"/>
    <mergeCell ref="C189:D189"/>
    <mergeCell ref="G189:H189"/>
    <mergeCell ref="B191:D191"/>
    <mergeCell ref="F191:H191"/>
    <mergeCell ref="B196:B197"/>
    <mergeCell ref="F196:F197"/>
    <mergeCell ref="C207:D207"/>
    <mergeCell ref="G207:H207"/>
    <mergeCell ref="K189:L189"/>
    <mergeCell ref="C190:D190"/>
    <mergeCell ref="G190:H190"/>
    <mergeCell ref="K190:L190"/>
    <mergeCell ref="C187:D187"/>
    <mergeCell ref="G187:H187"/>
    <mergeCell ref="G188:H188"/>
    <mergeCell ref="C169:D169"/>
    <mergeCell ref="G169:H169"/>
    <mergeCell ref="F153:H153"/>
    <mergeCell ref="J153:L153"/>
    <mergeCell ref="B156:D156"/>
    <mergeCell ref="F156:H156"/>
    <mergeCell ref="J156:L156"/>
    <mergeCell ref="F157:F158"/>
    <mergeCell ref="J157:J158"/>
    <mergeCell ref="C168:D168"/>
    <mergeCell ref="G168:H168"/>
    <mergeCell ref="B157:B158"/>
    <mergeCell ref="B153:D153"/>
    <mergeCell ref="J195:L195"/>
    <mergeCell ref="G133:H133"/>
    <mergeCell ref="F137:H137"/>
    <mergeCell ref="J137:L137"/>
    <mergeCell ref="K149:L149"/>
    <mergeCell ref="K168:L168"/>
    <mergeCell ref="J191:L191"/>
    <mergeCell ref="B134:D134"/>
    <mergeCell ref="F134:H134"/>
    <mergeCell ref="J134:L134"/>
    <mergeCell ref="C151:D151"/>
    <mergeCell ref="G151:H151"/>
    <mergeCell ref="K151:L151"/>
    <mergeCell ref="B137:D137"/>
    <mergeCell ref="B138:B139"/>
    <mergeCell ref="F138:F139"/>
    <mergeCell ref="J138:J139"/>
    <mergeCell ref="C149:D149"/>
    <mergeCell ref="C150:D150"/>
    <mergeCell ref="G150:H150"/>
    <mergeCell ref="K150:L150"/>
    <mergeCell ref="C152:D152"/>
    <mergeCell ref="G152:H152"/>
    <mergeCell ref="K152:L152"/>
    <mergeCell ref="J118:L118"/>
    <mergeCell ref="B119:B120"/>
    <mergeCell ref="F119:F120"/>
    <mergeCell ref="J119:J120"/>
    <mergeCell ref="G132:H132"/>
    <mergeCell ref="B131:D131"/>
    <mergeCell ref="B132:D132"/>
    <mergeCell ref="B118:D118"/>
    <mergeCell ref="F118:H118"/>
    <mergeCell ref="C130:D130"/>
    <mergeCell ref="G130:H130"/>
    <mergeCell ref="K130:L130"/>
    <mergeCell ref="G131:H131"/>
    <mergeCell ref="K131:L131"/>
    <mergeCell ref="C113:D113"/>
    <mergeCell ref="G113:H113"/>
    <mergeCell ref="K113:L113"/>
    <mergeCell ref="C114:D114"/>
    <mergeCell ref="G114:H114"/>
    <mergeCell ref="K114:L114"/>
    <mergeCell ref="B115:D115"/>
    <mergeCell ref="F115:H115"/>
    <mergeCell ref="J115:L115"/>
    <mergeCell ref="C111:D111"/>
    <mergeCell ref="G111:H111"/>
    <mergeCell ref="K111:L111"/>
    <mergeCell ref="B100:B101"/>
    <mergeCell ref="F100:F101"/>
    <mergeCell ref="J100:J101"/>
    <mergeCell ref="C112:D112"/>
    <mergeCell ref="G112:H112"/>
    <mergeCell ref="K112:L112"/>
    <mergeCell ref="C95:D95"/>
    <mergeCell ref="G95:H95"/>
    <mergeCell ref="K95:L95"/>
    <mergeCell ref="B99:D99"/>
    <mergeCell ref="F99:H99"/>
    <mergeCell ref="J99:L99"/>
    <mergeCell ref="B96:D96"/>
    <mergeCell ref="F96:H96"/>
    <mergeCell ref="J96:L96"/>
    <mergeCell ref="C76:D76"/>
    <mergeCell ref="G76:H76"/>
    <mergeCell ref="K76:L76"/>
    <mergeCell ref="B77:D77"/>
    <mergeCell ref="F77:H77"/>
    <mergeCell ref="J77:L77"/>
    <mergeCell ref="C94:D94"/>
    <mergeCell ref="G94:H94"/>
    <mergeCell ref="K94:L94"/>
    <mergeCell ref="B80:D80"/>
    <mergeCell ref="F80:H80"/>
    <mergeCell ref="J80:L80"/>
    <mergeCell ref="B81:B82"/>
    <mergeCell ref="F81:F82"/>
    <mergeCell ref="J81:J82"/>
    <mergeCell ref="C92:D92"/>
    <mergeCell ref="G92:H92"/>
    <mergeCell ref="K92:L92"/>
    <mergeCell ref="C93:D93"/>
    <mergeCell ref="G93:H93"/>
    <mergeCell ref="K93:L93"/>
    <mergeCell ref="C73:D73"/>
    <mergeCell ref="G73:H73"/>
    <mergeCell ref="C74:D74"/>
    <mergeCell ref="G74:H74"/>
    <mergeCell ref="K74:L74"/>
    <mergeCell ref="C75:D75"/>
    <mergeCell ref="G75:H75"/>
    <mergeCell ref="K75:L75"/>
    <mergeCell ref="K73:L73"/>
    <mergeCell ref="C55:D55"/>
    <mergeCell ref="G55:H55"/>
    <mergeCell ref="K55:L55"/>
    <mergeCell ref="F43:F44"/>
    <mergeCell ref="J43:J44"/>
    <mergeCell ref="C54:D54"/>
    <mergeCell ref="G54:H54"/>
    <mergeCell ref="K36:L36"/>
    <mergeCell ref="B62:B63"/>
    <mergeCell ref="F62:F63"/>
    <mergeCell ref="J62:J63"/>
    <mergeCell ref="C56:D56"/>
    <mergeCell ref="G56:H56"/>
    <mergeCell ref="K56:L56"/>
    <mergeCell ref="C57:D57"/>
    <mergeCell ref="G57:H57"/>
    <mergeCell ref="K57:L57"/>
    <mergeCell ref="B58:D58"/>
    <mergeCell ref="F58:H58"/>
    <mergeCell ref="J58:L58"/>
    <mergeCell ref="B61:D61"/>
    <mergeCell ref="F61:H61"/>
    <mergeCell ref="J61:L61"/>
    <mergeCell ref="F2:H2"/>
    <mergeCell ref="B42:D42"/>
    <mergeCell ref="F42:H42"/>
    <mergeCell ref="J42:L42"/>
    <mergeCell ref="C37:D37"/>
    <mergeCell ref="G37:H37"/>
    <mergeCell ref="K37:L37"/>
    <mergeCell ref="K38:L38"/>
    <mergeCell ref="C35:D35"/>
    <mergeCell ref="J39:L39"/>
    <mergeCell ref="K18:L18"/>
    <mergeCell ref="K19:L19"/>
    <mergeCell ref="G19:H19"/>
    <mergeCell ref="J20:L20"/>
    <mergeCell ref="B23:D23"/>
    <mergeCell ref="F23:H23"/>
    <mergeCell ref="J23:L23"/>
    <mergeCell ref="C38:D38"/>
    <mergeCell ref="G38:H38"/>
    <mergeCell ref="K35:L35"/>
    <mergeCell ref="C36:D36"/>
    <mergeCell ref="G36:H36"/>
    <mergeCell ref="G35:H35"/>
    <mergeCell ref="F4:H4"/>
    <mergeCell ref="F5:F6"/>
    <mergeCell ref="C19:D19"/>
    <mergeCell ref="B24:B25"/>
    <mergeCell ref="F24:F25"/>
    <mergeCell ref="B39:D39"/>
    <mergeCell ref="F39:H39"/>
    <mergeCell ref="K207:L207"/>
    <mergeCell ref="B4:D4"/>
    <mergeCell ref="B5:B6"/>
    <mergeCell ref="C16:D16"/>
    <mergeCell ref="C17:D17"/>
    <mergeCell ref="C18:D18"/>
    <mergeCell ref="G16:H16"/>
    <mergeCell ref="G17:H17"/>
    <mergeCell ref="B43:B44"/>
    <mergeCell ref="G18:H18"/>
    <mergeCell ref="J4:L4"/>
    <mergeCell ref="J5:J6"/>
    <mergeCell ref="K16:L16"/>
    <mergeCell ref="K17:L17"/>
    <mergeCell ref="J24:J25"/>
    <mergeCell ref="B20:D20"/>
    <mergeCell ref="F20:H20"/>
    <mergeCell ref="K54:L54"/>
  </mergeCells>
  <phoneticPr fontId="46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rowBreaks count="5" manualBreakCount="5">
    <brk id="40" max="16383" man="1"/>
    <brk id="78" max="16383" man="1"/>
    <brk id="116" max="16383" man="1"/>
    <brk id="154" max="16383" man="1"/>
    <brk id="1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DIMANCHE</vt:lpstr>
      <vt:lpstr>D</vt:lpstr>
      <vt:lpstr>Recette D</vt:lpstr>
      <vt:lpstr>Feuil2</vt:lpstr>
      <vt:lpstr>D!Impression_des_titres</vt:lpstr>
      <vt:lpstr>'Recette D'!Impression_des_titres</vt:lpstr>
      <vt:lpstr>D!Zone_d_impression</vt:lpstr>
      <vt:lpstr>DIMANCHE!Zone_d_impression</vt:lpstr>
      <vt:lpstr>'Recette D'!Zone_d_impression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Terminaux Multiservices</dc:creator>
  <cp:lastModifiedBy>User</cp:lastModifiedBy>
  <cp:lastPrinted>2015-04-27T12:39:28Z</cp:lastPrinted>
  <dcterms:created xsi:type="dcterms:W3CDTF">2001-08-09T15:29:58Z</dcterms:created>
  <dcterms:modified xsi:type="dcterms:W3CDTF">2015-04-27T13:49:37Z</dcterms:modified>
</cp:coreProperties>
</file>