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socab63.sharepoint.com/sites/SOCAB/Documents partages/General/CLIENTS PROJETS/F/FACIBLOC/AAAAA-FICHIERS TYPE/Fichiers productions/"/>
    </mc:Choice>
  </mc:AlternateContent>
  <xr:revisionPtr revIDLastSave="535" documentId="8_{BD06069D-0BAB-4771-B444-75A8B0D50928}" xr6:coauthVersionLast="47" xr6:coauthVersionMax="47" xr10:uidLastSave="{7675482B-AD4A-49E8-B33C-B20B6057AD8D}"/>
  <bookViews>
    <workbookView xWindow="-120" yWindow="-120" windowWidth="29040" windowHeight="17520" activeTab="1" xr2:uid="{00000000-000D-0000-FFFF-FFFF00000000}"/>
  </bookViews>
  <sheets>
    <sheet name="Acceuil" sheetId="7" r:id="rId1"/>
    <sheet name="Ensemble" sheetId="6" r:id="rId2"/>
    <sheet name="Ensemble (2)" sheetId="10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451" i="10" l="1"/>
  <c r="O451" i="10"/>
  <c r="AM448" i="10"/>
  <c r="O448" i="10"/>
  <c r="AM445" i="10"/>
  <c r="O445" i="10"/>
  <c r="AM442" i="10"/>
  <c r="O442" i="10"/>
  <c r="AO435" i="10"/>
  <c r="Q435" i="10"/>
  <c r="AO433" i="10"/>
  <c r="AO432" i="10"/>
  <c r="Q432" i="10"/>
  <c r="Q433" i="10" s="1"/>
  <c r="AO430" i="10"/>
  <c r="Q430" i="10"/>
  <c r="AO429" i="10"/>
  <c r="AN429" i="10"/>
  <c r="Q429" i="10"/>
  <c r="P429" i="10"/>
  <c r="AN426" i="10"/>
  <c r="P426" i="10"/>
  <c r="P425" i="10"/>
  <c r="AN422" i="10"/>
  <c r="AN425" i="10" s="1"/>
  <c r="P422" i="10"/>
  <c r="Q420" i="10"/>
  <c r="P420" i="10"/>
  <c r="AN419" i="10"/>
  <c r="P419" i="10"/>
  <c r="AO418" i="10"/>
  <c r="AO419" i="10" s="1"/>
  <c r="Q418" i="10"/>
  <c r="Q419" i="10" s="1"/>
  <c r="AO417" i="10"/>
  <c r="AO416" i="10"/>
  <c r="AO420" i="10" s="1"/>
  <c r="AN416" i="10"/>
  <c r="AN420" i="10" s="1"/>
  <c r="Q416" i="10"/>
  <c r="Q417" i="10" s="1"/>
  <c r="P416" i="10"/>
  <c r="AO414" i="10"/>
  <c r="Q414" i="10"/>
  <c r="AO410" i="10"/>
  <c r="AO411" i="10" s="1"/>
  <c r="Q410" i="10"/>
  <c r="Q411" i="10" s="1"/>
  <c r="Q384" i="10"/>
  <c r="P384" i="10"/>
  <c r="AN383" i="10"/>
  <c r="AN382" i="10"/>
  <c r="AO381" i="10"/>
  <c r="AN381" i="10"/>
  <c r="AO380" i="10"/>
  <c r="AO384" i="10" s="1"/>
  <c r="AN380" i="10"/>
  <c r="AN384" i="10" s="1"/>
  <c r="Q380" i="10"/>
  <c r="Q381" i="10" s="1"/>
  <c r="P380" i="10"/>
  <c r="AO378" i="10"/>
  <c r="AN378" i="10"/>
  <c r="Q378" i="10"/>
  <c r="AO374" i="10"/>
  <c r="AN374" i="10"/>
  <c r="AN441" i="10" s="1"/>
  <c r="AN442" i="10" s="1"/>
  <c r="Q374" i="10"/>
  <c r="Q450" i="10" s="1"/>
  <c r="Q451" i="10" s="1"/>
  <c r="P374" i="10"/>
  <c r="AU327" i="10"/>
  <c r="W327" i="10"/>
  <c r="AT317" i="10"/>
  <c r="V317" i="10"/>
  <c r="AN314" i="10"/>
  <c r="AT330" i="10" s="1"/>
  <c r="P314" i="10"/>
  <c r="AM308" i="10"/>
  <c r="O308" i="10"/>
  <c r="O300" i="10"/>
  <c r="O297" i="10"/>
  <c r="C297" i="10"/>
  <c r="O294" i="10"/>
  <c r="C294" i="10"/>
  <c r="P291" i="10"/>
  <c r="O291" i="10"/>
  <c r="C291" i="10"/>
  <c r="P278" i="10"/>
  <c r="D278" i="10"/>
  <c r="P271" i="10"/>
  <c r="P269" i="10"/>
  <c r="P265" i="10"/>
  <c r="P268" i="10" s="1"/>
  <c r="P233" i="10"/>
  <c r="D232" i="10"/>
  <c r="P231" i="10"/>
  <c r="P230" i="10"/>
  <c r="P229" i="10"/>
  <c r="P232" i="10" s="1"/>
  <c r="D229" i="10"/>
  <c r="D233" i="10" s="1"/>
  <c r="P226" i="10"/>
  <c r="P223" i="10"/>
  <c r="P290" i="10" s="1"/>
  <c r="D214" i="10"/>
  <c r="AT180" i="10"/>
  <c r="AF180" i="10"/>
  <c r="AT179" i="10"/>
  <c r="AR179" i="10"/>
  <c r="AH179" i="10"/>
  <c r="AF179" i="10"/>
  <c r="AU176" i="10"/>
  <c r="AT176" i="10" s="1"/>
  <c r="AI176" i="10"/>
  <c r="W176" i="10"/>
  <c r="K176" i="10"/>
  <c r="D172" i="10"/>
  <c r="AN168" i="10"/>
  <c r="AB168" i="10"/>
  <c r="AF175" i="10" s="1"/>
  <c r="D168" i="10"/>
  <c r="AN163" i="10"/>
  <c r="AB163" i="10"/>
  <c r="AH176" i="10" s="1"/>
  <c r="P163" i="10"/>
  <c r="V180" i="10" s="1"/>
  <c r="D163" i="10"/>
  <c r="J180" i="10" s="1"/>
  <c r="O159" i="10"/>
  <c r="AM157" i="10"/>
  <c r="AA157" i="10"/>
  <c r="O157" i="10"/>
  <c r="C157" i="10"/>
  <c r="AN154" i="10"/>
  <c r="AN153" i="10"/>
  <c r="P153" i="10"/>
  <c r="AN150" i="10"/>
  <c r="P150" i="10"/>
  <c r="AO147" i="10"/>
  <c r="AO148" i="10" s="1"/>
  <c r="AN147" i="10"/>
  <c r="AC147" i="10"/>
  <c r="AC148" i="10" s="1"/>
  <c r="Q147" i="10"/>
  <c r="Q148" i="10" s="1"/>
  <c r="P147" i="10"/>
  <c r="E147" i="10"/>
  <c r="E148" i="10" s="1"/>
  <c r="AO145" i="10"/>
  <c r="AN145" i="10"/>
  <c r="AN148" i="10" s="1"/>
  <c r="AC145" i="10"/>
  <c r="AO144" i="10"/>
  <c r="AC144" i="10"/>
  <c r="Q144" i="10"/>
  <c r="Q145" i="10" s="1"/>
  <c r="E144" i="10"/>
  <c r="E145" i="10" s="1"/>
  <c r="AC138" i="10"/>
  <c r="AB138" i="10"/>
  <c r="AC137" i="10"/>
  <c r="AB137" i="10"/>
  <c r="AC136" i="10"/>
  <c r="AC134" i="10"/>
  <c r="AC135" i="10" s="1"/>
  <c r="AB129" i="10"/>
  <c r="AB130" i="10" s="1"/>
  <c r="AC128" i="10"/>
  <c r="AC132" i="10" s="1"/>
  <c r="AB128" i="10"/>
  <c r="AC126" i="10"/>
  <c r="AB126" i="10"/>
  <c r="AB125" i="10"/>
  <c r="AC123" i="10"/>
  <c r="AB123" i="10"/>
  <c r="AB124" i="10" s="1"/>
  <c r="AC122" i="10"/>
  <c r="AB122" i="10"/>
  <c r="AN120" i="10"/>
  <c r="AB120" i="10"/>
  <c r="AN119" i="10"/>
  <c r="AB119" i="10"/>
  <c r="E119" i="10"/>
  <c r="AC117" i="10"/>
  <c r="AB117" i="10"/>
  <c r="AB118" i="10" s="1"/>
  <c r="E117" i="10"/>
  <c r="D117" i="10"/>
  <c r="D118" i="10" s="1"/>
  <c r="AO116" i="10"/>
  <c r="AC116" i="10"/>
  <c r="AC120" i="10" s="1"/>
  <c r="AB116" i="10"/>
  <c r="E116" i="10"/>
  <c r="E120" i="10" s="1"/>
  <c r="D116" i="10"/>
  <c r="D120" i="10" s="1"/>
  <c r="AN114" i="10"/>
  <c r="AN113" i="10"/>
  <c r="AB113" i="10"/>
  <c r="E113" i="10"/>
  <c r="AB112" i="10"/>
  <c r="E112" i="10"/>
  <c r="AC111" i="10"/>
  <c r="AB111" i="10"/>
  <c r="D111" i="10"/>
  <c r="D112" i="10" s="1"/>
  <c r="AC110" i="10"/>
  <c r="AC114" i="10" s="1"/>
  <c r="AB110" i="10"/>
  <c r="AB114" i="10" s="1"/>
  <c r="E110" i="10"/>
  <c r="D110" i="10"/>
  <c r="D114" i="10" s="1"/>
  <c r="E106" i="10"/>
  <c r="E107" i="10" s="1"/>
  <c r="AN105" i="10"/>
  <c r="AN106" i="10" s="1"/>
  <c r="E105" i="10"/>
  <c r="D105" i="10"/>
  <c r="D106" i="10" s="1"/>
  <c r="E104" i="10"/>
  <c r="E108" i="10" s="1"/>
  <c r="D104" i="10"/>
  <c r="D108" i="10" s="1"/>
  <c r="P102" i="10"/>
  <c r="E102" i="10"/>
  <c r="AB101" i="10"/>
  <c r="P101" i="10"/>
  <c r="D101" i="10"/>
  <c r="E100" i="10"/>
  <c r="E101" i="10" s="1"/>
  <c r="AN99" i="10"/>
  <c r="AN100" i="10" s="1"/>
  <c r="AB99" i="10"/>
  <c r="AB100" i="10" s="1"/>
  <c r="E99" i="10"/>
  <c r="D99" i="10"/>
  <c r="D100" i="10" s="1"/>
  <c r="AN98" i="10"/>
  <c r="AN102" i="10" s="1"/>
  <c r="E98" i="10"/>
  <c r="D98" i="10"/>
  <c r="D102" i="10" s="1"/>
  <c r="AB96" i="10"/>
  <c r="Q96" i="10"/>
  <c r="P96" i="10"/>
  <c r="D96" i="10"/>
  <c r="AB95" i="10"/>
  <c r="P95" i="10"/>
  <c r="AN93" i="10"/>
  <c r="AN94" i="10" s="1"/>
  <c r="Q93" i="10"/>
  <c r="Q94" i="10" s="1"/>
  <c r="Q95" i="10" s="1"/>
  <c r="AN92" i="10"/>
  <c r="AC92" i="10"/>
  <c r="AB92" i="10"/>
  <c r="AB98" i="10" s="1"/>
  <c r="AB102" i="10" s="1"/>
  <c r="Q92" i="10"/>
  <c r="P92" i="10"/>
  <c r="D92" i="10"/>
  <c r="D95" i="10" s="1"/>
  <c r="AN90" i="10"/>
  <c r="AC90" i="10"/>
  <c r="Q90" i="10"/>
  <c r="P90" i="10"/>
  <c r="D90" i="10"/>
  <c r="AN89" i="10"/>
  <c r="AC89" i="10"/>
  <c r="AB89" i="10"/>
  <c r="Q89" i="10"/>
  <c r="P89" i="10"/>
  <c r="AN87" i="10"/>
  <c r="AN88" i="10" s="1"/>
  <c r="AC87" i="10"/>
  <c r="AC88" i="10" s="1"/>
  <c r="Q87" i="10"/>
  <c r="Q88" i="10" s="1"/>
  <c r="P87" i="10"/>
  <c r="P88" i="10" s="1"/>
  <c r="E87" i="10"/>
  <c r="E88" i="10" s="1"/>
  <c r="E89" i="10" s="1"/>
  <c r="AO86" i="10"/>
  <c r="AN86" i="10"/>
  <c r="AC86" i="10"/>
  <c r="AB86" i="10"/>
  <c r="Q86" i="10"/>
  <c r="P86" i="10"/>
  <c r="E86" i="10"/>
  <c r="E90" i="10" s="1"/>
  <c r="D86" i="10"/>
  <c r="D89" i="10" s="1"/>
  <c r="P84" i="10"/>
  <c r="E84" i="10"/>
  <c r="AN83" i="10"/>
  <c r="AC81" i="10"/>
  <c r="AC80" i="10"/>
  <c r="P80" i="10"/>
  <c r="E80" i="10"/>
  <c r="AN78" i="10"/>
  <c r="AC78" i="10"/>
  <c r="AC84" i="10" s="1"/>
  <c r="AB78" i="10"/>
  <c r="P78" i="10"/>
  <c r="E78" i="10"/>
  <c r="D78" i="10"/>
  <c r="AN77" i="10"/>
  <c r="AB77" i="10"/>
  <c r="P77" i="10"/>
  <c r="P83" i="10" s="1"/>
  <c r="D77" i="10"/>
  <c r="P76" i="10"/>
  <c r="D76" i="10"/>
  <c r="AN75" i="10"/>
  <c r="AN76" i="10" s="1"/>
  <c r="AN82" i="10" s="1"/>
  <c r="AC75" i="10"/>
  <c r="AB75" i="10"/>
  <c r="AB76" i="10" s="1"/>
  <c r="P75" i="10"/>
  <c r="E75" i="10"/>
  <c r="E81" i="10" s="1"/>
  <c r="D75" i="10"/>
  <c r="AT37" i="10"/>
  <c r="AR37" i="10"/>
  <c r="AN117" i="10" s="1"/>
  <c r="AN118" i="10" s="1"/>
  <c r="AH37" i="10"/>
  <c r="AF37" i="10"/>
  <c r="AB135" i="10" s="1"/>
  <c r="AB136" i="10" s="1"/>
  <c r="AU33" i="10"/>
  <c r="AT33" i="10" s="1"/>
  <c r="AI33" i="10"/>
  <c r="AH33" i="10" s="1"/>
  <c r="AT29" i="10"/>
  <c r="AR29" i="10"/>
  <c r="AH29" i="10"/>
  <c r="AF29" i="10"/>
  <c r="V27" i="10"/>
  <c r="T27" i="10"/>
  <c r="J27" i="10"/>
  <c r="H27" i="10"/>
  <c r="AT26" i="10"/>
  <c r="AR26" i="10"/>
  <c r="AH26" i="10"/>
  <c r="AF26" i="10"/>
  <c r="V26" i="10"/>
  <c r="T26" i="10"/>
  <c r="J26" i="10"/>
  <c r="H26" i="10"/>
  <c r="AU23" i="10"/>
  <c r="AT23" i="10"/>
  <c r="AS23" i="10"/>
  <c r="AR23" i="10"/>
  <c r="AP23" i="10"/>
  <c r="AO23" i="10"/>
  <c r="AN23" i="10"/>
  <c r="AM23" i="10"/>
  <c r="AI23" i="10"/>
  <c r="AH23" i="10"/>
  <c r="AG23" i="10"/>
  <c r="AF23" i="10"/>
  <c r="AD23" i="10"/>
  <c r="AC23" i="10"/>
  <c r="AB23" i="10"/>
  <c r="AA23" i="10"/>
  <c r="W23" i="10"/>
  <c r="V23" i="10"/>
  <c r="U23" i="10"/>
  <c r="T23" i="10"/>
  <c r="R23" i="10"/>
  <c r="Q23" i="10"/>
  <c r="P23" i="10"/>
  <c r="O23" i="10"/>
  <c r="K23" i="10"/>
  <c r="J23" i="10"/>
  <c r="I23" i="10"/>
  <c r="H23" i="10"/>
  <c r="F23" i="10"/>
  <c r="E23" i="10"/>
  <c r="D23" i="10"/>
  <c r="C23" i="10"/>
  <c r="AT22" i="10"/>
  <c r="AR22" i="10"/>
  <c r="AI22" i="10"/>
  <c r="AH22" i="10"/>
  <c r="AF22" i="10"/>
  <c r="AB87" i="10" s="1"/>
  <c r="AB88" i="10" s="1"/>
  <c r="AD22" i="10"/>
  <c r="AB22" i="10"/>
  <c r="V22" i="10"/>
  <c r="T22" i="10"/>
  <c r="K22" i="10"/>
  <c r="J22" i="10"/>
  <c r="H22" i="10"/>
  <c r="D87" i="10" s="1"/>
  <c r="D88" i="10" s="1"/>
  <c r="F22" i="10"/>
  <c r="D22" i="10"/>
  <c r="AI20" i="10"/>
  <c r="AH20" i="10"/>
  <c r="AG20" i="10"/>
  <c r="AF20" i="10"/>
  <c r="AC130" i="10" s="1"/>
  <c r="AC131" i="10" s="1"/>
  <c r="AD20" i="10"/>
  <c r="AC20" i="10"/>
  <c r="AB20" i="10"/>
  <c r="AA20" i="10"/>
  <c r="K20" i="10"/>
  <c r="J20" i="10"/>
  <c r="I20" i="10"/>
  <c r="H20" i="10"/>
  <c r="E118" i="10" s="1"/>
  <c r="F20" i="10"/>
  <c r="E20" i="10"/>
  <c r="D20" i="10"/>
  <c r="C20" i="10"/>
  <c r="AT19" i="10"/>
  <c r="AR19" i="10"/>
  <c r="AH19" i="10"/>
  <c r="AF19" i="10"/>
  <c r="AC76" i="10" s="1"/>
  <c r="AC82" i="10" s="1"/>
  <c r="AA19" i="10"/>
  <c r="V19" i="10"/>
  <c r="T19" i="10"/>
  <c r="J19" i="10"/>
  <c r="H19" i="10"/>
  <c r="E76" i="10" s="1"/>
  <c r="C19" i="10"/>
  <c r="AT18" i="10"/>
  <c r="AR18" i="10"/>
  <c r="AI18" i="10"/>
  <c r="AH18" i="10"/>
  <c r="AF18" i="10"/>
  <c r="AB18" i="10"/>
  <c r="AA18" i="10"/>
  <c r="V18" i="10"/>
  <c r="T18" i="10"/>
  <c r="K18" i="10"/>
  <c r="J18" i="10"/>
  <c r="I18" i="10"/>
  <c r="H18" i="10"/>
  <c r="F18" i="10"/>
  <c r="E18" i="10"/>
  <c r="D18" i="10"/>
  <c r="C18" i="10"/>
  <c r="AR15" i="10"/>
  <c r="AF15" i="10"/>
  <c r="H15" i="10"/>
  <c r="E15" i="10"/>
  <c r="AR14" i="10"/>
  <c r="AF14" i="10"/>
  <c r="T14" i="10"/>
  <c r="H14" i="10"/>
  <c r="AF13" i="10"/>
  <c r="T13" i="10"/>
  <c r="H13" i="10"/>
  <c r="AF12" i="10"/>
  <c r="H12" i="10"/>
  <c r="AT11" i="10"/>
  <c r="AH11" i="10"/>
  <c r="V11" i="10"/>
  <c r="J11" i="10"/>
  <c r="AT10" i="10"/>
  <c r="AU35" i="10" s="1"/>
  <c r="AH10" i="10"/>
  <c r="AH35" i="10" s="1"/>
  <c r="V10" i="10"/>
  <c r="P99" i="10" s="1"/>
  <c r="P100" i="10" s="1"/>
  <c r="J10" i="10"/>
  <c r="D81" i="10" s="1"/>
  <c r="AM4" i="10"/>
  <c r="AM159" i="10" s="1"/>
  <c r="AA4" i="10"/>
  <c r="AA159" i="10" s="1"/>
  <c r="O4" i="10"/>
  <c r="O310" i="10" s="1"/>
  <c r="C4" i="10"/>
  <c r="C159" i="10" s="1"/>
  <c r="AM2" i="10"/>
  <c r="AA2" i="10"/>
  <c r="O2" i="10"/>
  <c r="C2" i="10"/>
  <c r="O236" i="6"/>
  <c r="O242" i="6"/>
  <c r="O248" i="6"/>
  <c r="O254" i="6"/>
  <c r="J180" i="6"/>
  <c r="J179" i="6"/>
  <c r="J176" i="6"/>
  <c r="J175" i="6"/>
  <c r="V180" i="6"/>
  <c r="V179" i="6"/>
  <c r="V176" i="6"/>
  <c r="V175" i="6"/>
  <c r="AH180" i="6"/>
  <c r="AH179" i="6"/>
  <c r="AH176" i="6"/>
  <c r="AH175" i="6"/>
  <c r="AT180" i="6"/>
  <c r="AT179" i="6"/>
  <c r="AT176" i="6"/>
  <c r="AT175" i="6"/>
  <c r="AT327" i="6"/>
  <c r="AT326" i="6"/>
  <c r="AT331" i="6"/>
  <c r="AT330" i="6"/>
  <c r="V327" i="6"/>
  <c r="V326" i="6"/>
  <c r="AN167" i="10" l="1"/>
  <c r="AU34" i="10"/>
  <c r="AT34" i="10" s="1"/>
  <c r="AT35" i="10"/>
  <c r="AT331" i="10"/>
  <c r="AC124" i="10"/>
  <c r="AC125" i="10" s="1"/>
  <c r="AC118" i="10"/>
  <c r="AC119" i="10" s="1"/>
  <c r="AI34" i="10"/>
  <c r="AH34" i="10" s="1"/>
  <c r="AB93" i="10"/>
  <c r="AB94" i="10" s="1"/>
  <c r="AB84" i="10"/>
  <c r="AB167" i="10"/>
  <c r="AF176" i="10" s="1"/>
  <c r="AH180" i="10"/>
  <c r="P81" i="10"/>
  <c r="P82" i="10"/>
  <c r="V327" i="10"/>
  <c r="V176" i="10"/>
  <c r="D93" i="10"/>
  <c r="D94" i="10" s="1"/>
  <c r="D84" i="10"/>
  <c r="D145" i="10"/>
  <c r="D148" i="10" s="1"/>
  <c r="D154" i="10" s="1"/>
  <c r="D82" i="10"/>
  <c r="D80" i="10"/>
  <c r="D113" i="10"/>
  <c r="D119" i="10"/>
  <c r="J176" i="10"/>
  <c r="AN95" i="10"/>
  <c r="AN96" i="10"/>
  <c r="AD179" i="10"/>
  <c r="AI175" i="10"/>
  <c r="AH175" i="10" s="1"/>
  <c r="AB82" i="10"/>
  <c r="AO92" i="10"/>
  <c r="AO87" i="10"/>
  <c r="AO88" i="10" s="1"/>
  <c r="AO89" i="10" s="1"/>
  <c r="AO90" i="10"/>
  <c r="AT327" i="10"/>
  <c r="E114" i="10"/>
  <c r="E111" i="10"/>
  <c r="P377" i="10"/>
  <c r="P378" i="10"/>
  <c r="P441" i="10"/>
  <c r="P442" i="10" s="1"/>
  <c r="AR176" i="10"/>
  <c r="AP179" i="10"/>
  <c r="AU175" i="10"/>
  <c r="AT175" i="10" s="1"/>
  <c r="AP180" i="10"/>
  <c r="AR175" i="10"/>
  <c r="AR180" i="10"/>
  <c r="AB81" i="10"/>
  <c r="AN81" i="10"/>
  <c r="E82" i="10"/>
  <c r="E77" i="10"/>
  <c r="E83" i="10" s="1"/>
  <c r="AN104" i="10"/>
  <c r="H175" i="10"/>
  <c r="C288" i="10"/>
  <c r="E271" i="10"/>
  <c r="E261" i="10"/>
  <c r="E262" i="10" s="1"/>
  <c r="H179" i="10"/>
  <c r="E214" i="10"/>
  <c r="P319" i="10"/>
  <c r="P168" i="10"/>
  <c r="AD180" i="10"/>
  <c r="P381" i="10"/>
  <c r="P382" i="10" s="1"/>
  <c r="P383" i="10"/>
  <c r="AC93" i="10"/>
  <c r="AC94" i="10" s="1"/>
  <c r="AC95" i="10" s="1"/>
  <c r="AC98" i="10"/>
  <c r="AC96" i="10"/>
  <c r="AN101" i="10"/>
  <c r="E225" i="10"/>
  <c r="AB131" i="10"/>
  <c r="AB132" i="10"/>
  <c r="J179" i="10"/>
  <c r="Q375" i="10"/>
  <c r="V330" i="10"/>
  <c r="V331" i="10"/>
  <c r="D107" i="10"/>
  <c r="D151" i="10"/>
  <c r="D271" i="10"/>
  <c r="D223" i="10"/>
  <c r="P145" i="10"/>
  <c r="P93" i="10"/>
  <c r="P94" i="10" s="1"/>
  <c r="P318" i="10"/>
  <c r="D83" i="10"/>
  <c r="E92" i="10"/>
  <c r="AC129" i="10"/>
  <c r="V179" i="10"/>
  <c r="AO375" i="10"/>
  <c r="AO450" i="10"/>
  <c r="AO451" i="10" s="1"/>
  <c r="AB105" i="10"/>
  <c r="AB106" i="10" s="1"/>
  <c r="AI35" i="10"/>
  <c r="AB145" i="10"/>
  <c r="AB80" i="10"/>
  <c r="AB104" i="10"/>
  <c r="AB90" i="10"/>
  <c r="D230" i="10"/>
  <c r="D231" i="10" s="1"/>
  <c r="AN377" i="10"/>
  <c r="AN111" i="10"/>
  <c r="AN112" i="10" s="1"/>
  <c r="AN318" i="10"/>
  <c r="AN84" i="10"/>
  <c r="AN80" i="10"/>
  <c r="AO120" i="10"/>
  <c r="AO117" i="10"/>
  <c r="AO118" i="10" s="1"/>
  <c r="AO119" i="10" s="1"/>
  <c r="AN151" i="10"/>
  <c r="D167" i="10"/>
  <c r="P275" i="10"/>
  <c r="P274" i="10"/>
  <c r="AC77" i="10"/>
  <c r="AC83" i="10" s="1"/>
  <c r="AB83" i="10"/>
  <c r="AC112" i="10"/>
  <c r="AC113" i="10" s="1"/>
  <c r="P167" i="10"/>
  <c r="D265" i="10"/>
  <c r="AM310" i="10"/>
  <c r="C300" i="10"/>
  <c r="H180" i="10"/>
  <c r="AN319" i="10"/>
  <c r="P227" i="10"/>
  <c r="Q23" i="6"/>
  <c r="P23" i="6"/>
  <c r="AD23" i="6"/>
  <c r="AB23" i="6"/>
  <c r="AM4" i="6"/>
  <c r="AT317" i="6"/>
  <c r="V317" i="6"/>
  <c r="AO412" i="10" l="1"/>
  <c r="AO413" i="10" s="1"/>
  <c r="AO110" i="10"/>
  <c r="AR330" i="10"/>
  <c r="AO436" i="10"/>
  <c r="AO438" i="10" s="1"/>
  <c r="AO439" i="10" s="1"/>
  <c r="AR12" i="10"/>
  <c r="AO422" i="10"/>
  <c r="AO376" i="10"/>
  <c r="AO382" i="10"/>
  <c r="AO383" i="10" s="1"/>
  <c r="AO74" i="10"/>
  <c r="AR13" i="10"/>
  <c r="AR326" i="10"/>
  <c r="AR331" i="10"/>
  <c r="AM439" i="10"/>
  <c r="D269" i="10"/>
  <c r="D268" i="10"/>
  <c r="E275" i="10"/>
  <c r="E272" i="10"/>
  <c r="E273" i="10" s="1"/>
  <c r="E274" i="10" s="1"/>
  <c r="AN107" i="10"/>
  <c r="AN108" i="10"/>
  <c r="AC104" i="10"/>
  <c r="AC99" i="10"/>
  <c r="AC100" i="10" s="1"/>
  <c r="AC101" i="10" s="1"/>
  <c r="AC102" i="10"/>
  <c r="AO96" i="10"/>
  <c r="AO93" i="10"/>
  <c r="AO94" i="10" s="1"/>
  <c r="AO95" i="10" s="1"/>
  <c r="AO98" i="10"/>
  <c r="P151" i="10"/>
  <c r="P148" i="10"/>
  <c r="P154" i="10" s="1"/>
  <c r="D227" i="10"/>
  <c r="D226" i="10"/>
  <c r="D290" i="10"/>
  <c r="D291" i="10" s="1"/>
  <c r="Q382" i="10"/>
  <c r="Q383" i="10" s="1"/>
  <c r="T331" i="10"/>
  <c r="Q422" i="10"/>
  <c r="Q376" i="10"/>
  <c r="T330" i="10"/>
  <c r="Q98" i="10"/>
  <c r="Q436" i="10"/>
  <c r="Q438" i="10" s="1"/>
  <c r="Q439" i="10" s="1"/>
  <c r="Q74" i="10"/>
  <c r="Q412" i="10"/>
  <c r="Q413" i="10" s="1"/>
  <c r="T326" i="10"/>
  <c r="T12" i="10"/>
  <c r="O439" i="10"/>
  <c r="D224" i="10"/>
  <c r="F180" i="10"/>
  <c r="C282" i="10"/>
  <c r="H176" i="10"/>
  <c r="D279" i="10"/>
  <c r="F179" i="10"/>
  <c r="J163" i="10" s="1"/>
  <c r="K175" i="10"/>
  <c r="D259" i="10"/>
  <c r="D272" i="10"/>
  <c r="D273" i="10" s="1"/>
  <c r="D266" i="10"/>
  <c r="E296" i="10"/>
  <c r="E297" i="10" s="1"/>
  <c r="E226" i="10"/>
  <c r="E96" i="10"/>
  <c r="E93" i="10"/>
  <c r="E94" i="10" s="1"/>
  <c r="E95" i="10" s="1"/>
  <c r="AP330" i="10"/>
  <c r="AN417" i="10"/>
  <c r="AN430" i="10"/>
  <c r="AN410" i="10"/>
  <c r="AN423" i="10"/>
  <c r="AN424" i="10" s="1"/>
  <c r="AU326" i="10"/>
  <c r="AR327" i="10"/>
  <c r="AN375" i="10"/>
  <c r="AM433" i="10"/>
  <c r="AP331" i="10"/>
  <c r="W326" i="10"/>
  <c r="P423" i="10"/>
  <c r="P424" i="10" s="1"/>
  <c r="P417" i="10"/>
  <c r="R330" i="10"/>
  <c r="P375" i="10"/>
  <c r="T327" i="10"/>
  <c r="P430" i="10"/>
  <c r="P410" i="10"/>
  <c r="O433" i="10"/>
  <c r="R331" i="10"/>
  <c r="P279" i="10"/>
  <c r="P259" i="10"/>
  <c r="W175" i="10"/>
  <c r="O282" i="10"/>
  <c r="T176" i="10"/>
  <c r="R179" i="10"/>
  <c r="P266" i="10"/>
  <c r="P272" i="10"/>
  <c r="P273" i="10" s="1"/>
  <c r="P224" i="10"/>
  <c r="R180" i="10"/>
  <c r="D275" i="10"/>
  <c r="D274" i="10"/>
  <c r="AB107" i="10"/>
  <c r="AB108" i="10"/>
  <c r="O288" i="10"/>
  <c r="Q214" i="10"/>
  <c r="Q271" i="10"/>
  <c r="T175" i="10"/>
  <c r="Q225" i="10"/>
  <c r="T179" i="10"/>
  <c r="T180" i="10"/>
  <c r="AB151" i="10"/>
  <c r="AB148" i="10"/>
  <c r="AB154" i="10" s="1"/>
  <c r="E285" i="10"/>
  <c r="E265" i="10"/>
  <c r="E259" i="10"/>
  <c r="E229" i="10"/>
  <c r="E279" i="10"/>
  <c r="E223" i="10"/>
  <c r="E290" i="10" s="1"/>
  <c r="E278" i="10"/>
  <c r="E284" i="10"/>
  <c r="E281" i="10"/>
  <c r="E282" i="10" s="1"/>
  <c r="E231" i="10"/>
  <c r="E232" i="10" s="1"/>
  <c r="O4" i="6"/>
  <c r="E15" i="6"/>
  <c r="V163" i="10" l="1"/>
  <c r="E293" i="10"/>
  <c r="E291" i="10"/>
  <c r="E294" i="10" s="1"/>
  <c r="Q226" i="10"/>
  <c r="Q296" i="10"/>
  <c r="Q297" i="10" s="1"/>
  <c r="P299" i="10"/>
  <c r="P281" i="10"/>
  <c r="P282" i="10" s="1"/>
  <c r="Q279" i="10"/>
  <c r="Q259" i="10"/>
  <c r="Q223" i="10"/>
  <c r="Q278" i="10"/>
  <c r="Q229" i="10"/>
  <c r="Q285" i="10"/>
  <c r="Q284" i="10"/>
  <c r="Q281" i="10"/>
  <c r="Q282" i="10" s="1"/>
  <c r="Q265" i="10"/>
  <c r="AN435" i="10"/>
  <c r="AN436" i="10"/>
  <c r="AN438" i="10" s="1"/>
  <c r="AN439" i="10" s="1"/>
  <c r="AN418" i="10"/>
  <c r="P450" i="10"/>
  <c r="P432" i="10"/>
  <c r="P433" i="10" s="1"/>
  <c r="AO80" i="10"/>
  <c r="AO75" i="10"/>
  <c r="AO81" i="10" s="1"/>
  <c r="AO78" i="10"/>
  <c r="AO84" i="10" s="1"/>
  <c r="AO76" i="10"/>
  <c r="P293" i="10"/>
  <c r="P294" i="10" s="1"/>
  <c r="P225" i="10"/>
  <c r="P284" i="10"/>
  <c r="P267" i="10"/>
  <c r="P285" i="10"/>
  <c r="P287" i="10" s="1"/>
  <c r="P288" i="10" s="1"/>
  <c r="AC105" i="10"/>
  <c r="AC106" i="10" s="1"/>
  <c r="AC107" i="10" s="1"/>
  <c r="AC108" i="10"/>
  <c r="Q231" i="10"/>
  <c r="Q232" i="10" s="1"/>
  <c r="P263" i="10"/>
  <c r="P262" i="10"/>
  <c r="P260" i="10"/>
  <c r="P261" i="10" s="1"/>
  <c r="D299" i="10"/>
  <c r="D281" i="10"/>
  <c r="D282" i="10" s="1"/>
  <c r="Q275" i="10"/>
  <c r="Q272" i="10"/>
  <c r="Q273" i="10" s="1"/>
  <c r="Q274" i="10" s="1"/>
  <c r="D293" i="10"/>
  <c r="D294" i="10" s="1"/>
  <c r="D225" i="10"/>
  <c r="E233" i="10"/>
  <c r="E230" i="10"/>
  <c r="E263" i="10"/>
  <c r="E260" i="10"/>
  <c r="AO102" i="10"/>
  <c r="AO99" i="10"/>
  <c r="AO100" i="10" s="1"/>
  <c r="AO101" i="10" s="1"/>
  <c r="AO104" i="10"/>
  <c r="E269" i="10"/>
  <c r="E266" i="10"/>
  <c r="E267" i="10" s="1"/>
  <c r="E268" i="10" s="1"/>
  <c r="E287" i="10"/>
  <c r="E288" i="10" s="1"/>
  <c r="AO426" i="10"/>
  <c r="AO423" i="10"/>
  <c r="AO424" i="10" s="1"/>
  <c r="AO425" i="10" s="1"/>
  <c r="V326" i="10"/>
  <c r="O387" i="10"/>
  <c r="O405" i="10"/>
  <c r="O393" i="10"/>
  <c r="O399" i="10"/>
  <c r="D285" i="10"/>
  <c r="D284" i="10"/>
  <c r="D267" i="10"/>
  <c r="Q102" i="10"/>
  <c r="Q99" i="10"/>
  <c r="Q100" i="10" s="1"/>
  <c r="Q101" i="10" s="1"/>
  <c r="Q261" i="10"/>
  <c r="Q262" i="10" s="1"/>
  <c r="D260" i="10"/>
  <c r="D261" i="10" s="1"/>
  <c r="D263" i="10"/>
  <c r="D262" i="10"/>
  <c r="Q377" i="10"/>
  <c r="Q441" i="10"/>
  <c r="Q447" i="10"/>
  <c r="Q448" i="10" s="1"/>
  <c r="AO111" i="10"/>
  <c r="AO112" i="10" s="1"/>
  <c r="AO113" i="10" s="1"/>
  <c r="AO114" i="10"/>
  <c r="O248" i="10"/>
  <c r="O236" i="10"/>
  <c r="O254" i="10"/>
  <c r="O242" i="10"/>
  <c r="V175" i="10"/>
  <c r="AM387" i="10"/>
  <c r="AT326" i="10"/>
  <c r="AM393" i="10"/>
  <c r="AM405" i="10"/>
  <c r="AM399" i="10"/>
  <c r="AN411" i="10"/>
  <c r="AN412" i="10" s="1"/>
  <c r="AN414" i="10"/>
  <c r="AN413" i="10"/>
  <c r="E299" i="10"/>
  <c r="E300" i="10" s="1"/>
  <c r="E227" i="10"/>
  <c r="E224" i="10"/>
  <c r="AN432" i="10"/>
  <c r="AN433" i="10" s="1"/>
  <c r="AN450" i="10"/>
  <c r="P414" i="10"/>
  <c r="P413" i="10"/>
  <c r="P411" i="10"/>
  <c r="P412" i="10" s="1"/>
  <c r="P444" i="10"/>
  <c r="P445" i="10" s="1"/>
  <c r="P376" i="10"/>
  <c r="AO447" i="10"/>
  <c r="AO448" i="10" s="1"/>
  <c r="AO377" i="10"/>
  <c r="AO441" i="10"/>
  <c r="P435" i="10"/>
  <c r="P436" i="10"/>
  <c r="P438" i="10" s="1"/>
  <c r="P439" i="10" s="1"/>
  <c r="P418" i="10"/>
  <c r="Q75" i="10"/>
  <c r="Q80" i="10"/>
  <c r="Q78" i="10"/>
  <c r="Q84" i="10" s="1"/>
  <c r="AN376" i="10"/>
  <c r="AN444" i="10"/>
  <c r="AN445" i="10" s="1"/>
  <c r="C242" i="10"/>
  <c r="C248" i="10"/>
  <c r="C254" i="10"/>
  <c r="C236" i="10"/>
  <c r="J175" i="10"/>
  <c r="Q423" i="10"/>
  <c r="Q424" i="10" s="1"/>
  <c r="Q425" i="10" s="1"/>
  <c r="Q426" i="10"/>
  <c r="C23" i="6"/>
  <c r="E23" i="6"/>
  <c r="AI33" i="6"/>
  <c r="AH33" i="6" s="1"/>
  <c r="AM157" i="6"/>
  <c r="AA157" i="6"/>
  <c r="O157" i="6"/>
  <c r="AM159" i="6"/>
  <c r="AA4" i="6"/>
  <c r="AA159" i="6" s="1"/>
  <c r="C4" i="6"/>
  <c r="AR14" i="6"/>
  <c r="AF12" i="6"/>
  <c r="H12" i="6"/>
  <c r="Q269" i="10" l="1"/>
  <c r="Q266" i="10"/>
  <c r="Q267" i="10" s="1"/>
  <c r="Q268" i="10" s="1"/>
  <c r="Q243" i="10"/>
  <c r="Q244" i="10" s="1"/>
  <c r="Q241" i="10"/>
  <c r="E243" i="10"/>
  <c r="E244" i="10" s="1"/>
  <c r="E241" i="10"/>
  <c r="Q235" i="10"/>
  <c r="P235" i="10"/>
  <c r="P236" i="10" s="1"/>
  <c r="P237" i="10" s="1"/>
  <c r="Q237" i="10"/>
  <c r="Q238" i="10" s="1"/>
  <c r="Q227" i="10"/>
  <c r="Q299" i="10"/>
  <c r="Q300" i="10" s="1"/>
  <c r="Q224" i="10"/>
  <c r="Q388" i="10"/>
  <c r="Q389" i="10" s="1"/>
  <c r="P386" i="10"/>
  <c r="P387" i="10" s="1"/>
  <c r="P388" i="10" s="1"/>
  <c r="Q386" i="10"/>
  <c r="P451" i="10"/>
  <c r="P448" i="10" s="1"/>
  <c r="P447" i="10"/>
  <c r="AO444" i="10"/>
  <c r="AO442" i="10"/>
  <c r="AO445" i="10" s="1"/>
  <c r="Q290" i="10"/>
  <c r="E237" i="10"/>
  <c r="E238" i="10" s="1"/>
  <c r="D235" i="10"/>
  <c r="D241" i="10" s="1"/>
  <c r="D242" i="10" s="1"/>
  <c r="D243" i="10" s="1"/>
  <c r="E235" i="10"/>
  <c r="D236" i="10"/>
  <c r="D237" i="10" s="1"/>
  <c r="AO386" i="10"/>
  <c r="AO388" i="10"/>
  <c r="AO389" i="10" s="1"/>
  <c r="AN386" i="10"/>
  <c r="AN387" i="10" s="1"/>
  <c r="AN388" i="10" s="1"/>
  <c r="D254" i="10"/>
  <c r="D255" i="10" s="1"/>
  <c r="E253" i="10"/>
  <c r="D253" i="10"/>
  <c r="E255" i="10"/>
  <c r="E256" i="10" s="1"/>
  <c r="D287" i="10"/>
  <c r="D288" i="10" s="1"/>
  <c r="Q233" i="10"/>
  <c r="Q230" i="10"/>
  <c r="AN451" i="10"/>
  <c r="AN448" i="10" s="1"/>
  <c r="AN447" i="10"/>
  <c r="P392" i="10"/>
  <c r="Q394" i="10"/>
  <c r="Q395" i="10" s="1"/>
  <c r="P393" i="10"/>
  <c r="P394" i="10" s="1"/>
  <c r="Q392" i="10"/>
  <c r="Q404" i="10"/>
  <c r="P404" i="10"/>
  <c r="Q406" i="10"/>
  <c r="Q407" i="10" s="1"/>
  <c r="P405" i="10"/>
  <c r="P406" i="10" s="1"/>
  <c r="Q263" i="10"/>
  <c r="Q260" i="10"/>
  <c r="Q76" i="10"/>
  <c r="Q81" i="10"/>
  <c r="Q442" i="10"/>
  <c r="Q445" i="10" s="1"/>
  <c r="Q444" i="10"/>
  <c r="P300" i="10"/>
  <c r="P297" i="10" s="1"/>
  <c r="P296" i="10"/>
  <c r="D300" i="10"/>
  <c r="D297" i="10" s="1"/>
  <c r="D296" i="10"/>
  <c r="AO406" i="10"/>
  <c r="AO407" i="10" s="1"/>
  <c r="AO404" i="10"/>
  <c r="AN404" i="10"/>
  <c r="AN405" i="10"/>
  <c r="AN406" i="10" s="1"/>
  <c r="D247" i="10"/>
  <c r="E249" i="10"/>
  <c r="E250" i="10" s="1"/>
  <c r="D248" i="10"/>
  <c r="D249" i="10" s="1"/>
  <c r="E247" i="10"/>
  <c r="Q287" i="10"/>
  <c r="Q288" i="10" s="1"/>
  <c r="P254" i="10"/>
  <c r="P255" i="10" s="1"/>
  <c r="Q253" i="10"/>
  <c r="P253" i="10"/>
  <c r="Q255" i="10"/>
  <c r="Q256" i="10" s="1"/>
  <c r="Q398" i="10"/>
  <c r="P398" i="10"/>
  <c r="Q400" i="10"/>
  <c r="Q401" i="10" s="1"/>
  <c r="P399" i="10"/>
  <c r="P400" i="10" s="1"/>
  <c r="Q249" i="10"/>
  <c r="Q250" i="10" s="1"/>
  <c r="Q247" i="10"/>
  <c r="P247" i="10"/>
  <c r="P248" i="10"/>
  <c r="P249" i="10" s="1"/>
  <c r="AO82" i="10"/>
  <c r="AO77" i="10"/>
  <c r="AO83" i="10" s="1"/>
  <c r="AO398" i="10"/>
  <c r="AN398" i="10"/>
  <c r="AO400" i="10"/>
  <c r="AO401" i="10" s="1"/>
  <c r="AN399" i="10"/>
  <c r="AN400" i="10" s="1"/>
  <c r="AN393" i="10"/>
  <c r="AN394" i="10" s="1"/>
  <c r="AO392" i="10"/>
  <c r="AN392" i="10"/>
  <c r="AO394" i="10"/>
  <c r="AO395" i="10" s="1"/>
  <c r="AO105" i="10"/>
  <c r="AO106" i="10" s="1"/>
  <c r="AO107" i="10" s="1"/>
  <c r="AO108" i="10"/>
  <c r="O159" i="6"/>
  <c r="C159" i="6"/>
  <c r="AO23" i="6"/>
  <c r="AP23" i="6"/>
  <c r="AN23" i="6"/>
  <c r="D172" i="6"/>
  <c r="AM23" i="6"/>
  <c r="AA23" i="6"/>
  <c r="O23" i="6"/>
  <c r="AM308" i="6"/>
  <c r="O308" i="6"/>
  <c r="C157" i="6"/>
  <c r="C2" i="6"/>
  <c r="AM2" i="6"/>
  <c r="AA2" i="6"/>
  <c r="O2" i="6"/>
  <c r="AM451" i="6"/>
  <c r="AM448" i="6"/>
  <c r="AM445" i="6"/>
  <c r="AM442" i="6"/>
  <c r="AO435" i="6"/>
  <c r="AO432" i="6"/>
  <c r="AO433" i="6" s="1"/>
  <c r="AO430" i="6"/>
  <c r="AO429" i="6"/>
  <c r="AN429" i="6"/>
  <c r="P241" i="10" l="1"/>
  <c r="P242" i="10" s="1"/>
  <c r="P243" i="10" s="1"/>
  <c r="Q248" i="10"/>
  <c r="Q251" i="10"/>
  <c r="Q408" i="10"/>
  <c r="Q405" i="10"/>
  <c r="P239" i="10"/>
  <c r="P238" i="10"/>
  <c r="P402" i="10"/>
  <c r="P401" i="10"/>
  <c r="Q239" i="10"/>
  <c r="Q236" i="10"/>
  <c r="AN396" i="10"/>
  <c r="AN395" i="10"/>
  <c r="AO393" i="10"/>
  <c r="AO396" i="10"/>
  <c r="Q293" i="10"/>
  <c r="Q291" i="10"/>
  <c r="Q294" i="10" s="1"/>
  <c r="Q254" i="10"/>
  <c r="Q257" i="10"/>
  <c r="AO402" i="10"/>
  <c r="AO399" i="10"/>
  <c r="Q387" i="10"/>
  <c r="Q390" i="10"/>
  <c r="AN408" i="10"/>
  <c r="AN407" i="10"/>
  <c r="Q396" i="10"/>
  <c r="Q393" i="10"/>
  <c r="E248" i="10"/>
  <c r="E251" i="10"/>
  <c r="Q245" i="10"/>
  <c r="Q242" i="10"/>
  <c r="E254" i="10"/>
  <c r="E257" i="10"/>
  <c r="P389" i="10"/>
  <c r="P390" i="10"/>
  <c r="AN389" i="10"/>
  <c r="AN390" i="10"/>
  <c r="AO405" i="10"/>
  <c r="AO408" i="10"/>
  <c r="AO390" i="10"/>
  <c r="AO387" i="10"/>
  <c r="E236" i="10"/>
  <c r="E239" i="10"/>
  <c r="P396" i="10"/>
  <c r="P395" i="10"/>
  <c r="D239" i="10"/>
  <c r="D238" i="10"/>
  <c r="Q402" i="10"/>
  <c r="Q399" i="10"/>
  <c r="D244" i="10"/>
  <c r="D245" i="10"/>
  <c r="P257" i="10"/>
  <c r="P256" i="10"/>
  <c r="E242" i="10"/>
  <c r="E245" i="10"/>
  <c r="AN401" i="10"/>
  <c r="AN402" i="10"/>
  <c r="Q77" i="10"/>
  <c r="Q83" i="10" s="1"/>
  <c r="Q82" i="10"/>
  <c r="P245" i="10"/>
  <c r="P244" i="10"/>
  <c r="D256" i="10"/>
  <c r="D257" i="10"/>
  <c r="D250" i="10"/>
  <c r="D251" i="10"/>
  <c r="P250" i="10"/>
  <c r="P251" i="10"/>
  <c r="P407" i="10"/>
  <c r="P408" i="10"/>
  <c r="Q435" i="6"/>
  <c r="Q432" i="6"/>
  <c r="Q433" i="6" s="1"/>
  <c r="Q430" i="6"/>
  <c r="Q429" i="6"/>
  <c r="P429" i="6"/>
  <c r="P278" i="6"/>
  <c r="O451" i="6"/>
  <c r="O448" i="6"/>
  <c r="O445" i="6"/>
  <c r="O442" i="6"/>
  <c r="O300" i="6"/>
  <c r="O297" i="6"/>
  <c r="O294" i="6"/>
  <c r="O291" i="6"/>
  <c r="C291" i="6"/>
  <c r="C297" i="6"/>
  <c r="C294" i="6"/>
  <c r="AC122" i="6" l="1"/>
  <c r="E110" i="6"/>
  <c r="E111" i="6" s="1"/>
  <c r="D98" i="6"/>
  <c r="D102" i="6" s="1"/>
  <c r="AM310" i="6"/>
  <c r="C18" i="6"/>
  <c r="D18" i="6"/>
  <c r="C19" i="6"/>
  <c r="C20" i="6"/>
  <c r="D20" i="6"/>
  <c r="D22" i="6"/>
  <c r="D23" i="6"/>
  <c r="D163" i="6"/>
  <c r="C300" i="6"/>
  <c r="D214" i="6"/>
  <c r="D229" i="6" s="1"/>
  <c r="D75" i="6"/>
  <c r="D76" i="6" s="1"/>
  <c r="D77" i="6"/>
  <c r="D78" i="6"/>
  <c r="D86" i="6"/>
  <c r="D90" i="6" s="1"/>
  <c r="D92" i="6"/>
  <c r="D96" i="6" s="1"/>
  <c r="P163" i="6"/>
  <c r="AR15" i="6"/>
  <c r="AF14" i="6"/>
  <c r="AF13" i="6"/>
  <c r="T14" i="6"/>
  <c r="T13" i="6"/>
  <c r="H14" i="6"/>
  <c r="H13" i="6"/>
  <c r="AC20" i="6"/>
  <c r="AB20" i="6"/>
  <c r="F18" i="6"/>
  <c r="F20" i="6"/>
  <c r="K23" i="6"/>
  <c r="J23" i="6" s="1"/>
  <c r="F23" i="6"/>
  <c r="H23" i="6"/>
  <c r="I23" i="6"/>
  <c r="E18" i="6"/>
  <c r="E20" i="6"/>
  <c r="O310" i="6" l="1"/>
  <c r="E114" i="6"/>
  <c r="D104" i="6"/>
  <c r="D105" i="6" s="1"/>
  <c r="D106" i="6" s="1"/>
  <c r="D99" i="6"/>
  <c r="D100" i="6" s="1"/>
  <c r="D95" i="6"/>
  <c r="D101" i="6"/>
  <c r="D278" i="6"/>
  <c r="D271" i="6"/>
  <c r="D274" i="6" s="1"/>
  <c r="D265" i="6"/>
  <c r="D230" i="6"/>
  <c r="D231" i="6" s="1"/>
  <c r="D232" i="6"/>
  <c r="D233" i="6"/>
  <c r="D89" i="6"/>
  <c r="D223" i="6"/>
  <c r="D290" i="6" s="1"/>
  <c r="D291" i="6" s="1"/>
  <c r="R23" i="6"/>
  <c r="AF15" i="6"/>
  <c r="H15" i="6"/>
  <c r="F22" i="6"/>
  <c r="J11" i="6"/>
  <c r="D168" i="6" s="1"/>
  <c r="C288" i="6" s="1"/>
  <c r="E98" i="6"/>
  <c r="E99" i="6" s="1"/>
  <c r="E86" i="6"/>
  <c r="E92" i="6" s="1"/>
  <c r="AB86" i="6"/>
  <c r="AB104" i="6" s="1"/>
  <c r="H22" i="6"/>
  <c r="D87" i="6" s="1"/>
  <c r="D88" i="6" s="1"/>
  <c r="K20" i="6"/>
  <c r="J20" i="6" s="1"/>
  <c r="H20" i="6"/>
  <c r="E112" i="6" s="1"/>
  <c r="E113" i="6" s="1"/>
  <c r="I20" i="6"/>
  <c r="AF20" i="6"/>
  <c r="AC112" i="6" s="1"/>
  <c r="AC113" i="6" s="1"/>
  <c r="H19" i="6"/>
  <c r="K18" i="6"/>
  <c r="J18" i="6" s="1"/>
  <c r="I18" i="6"/>
  <c r="H18" i="6"/>
  <c r="AD20" i="6"/>
  <c r="AC126" i="6"/>
  <c r="AC110" i="6"/>
  <c r="AC114" i="6" s="1"/>
  <c r="AB110" i="6"/>
  <c r="AB75" i="6"/>
  <c r="AB92" i="6"/>
  <c r="AB98" i="6" s="1"/>
  <c r="AI23" i="6"/>
  <c r="AH23" i="6" s="1"/>
  <c r="AG23" i="6"/>
  <c r="AF23" i="6"/>
  <c r="AB22" i="6"/>
  <c r="AD22" i="6"/>
  <c r="AB18" i="6"/>
  <c r="AI20" i="6"/>
  <c r="AF19" i="6"/>
  <c r="AC76" i="6" s="1"/>
  <c r="AB138" i="6"/>
  <c r="AB137" i="6"/>
  <c r="AC134" i="6"/>
  <c r="AC138" i="6" s="1"/>
  <c r="AC86" i="6"/>
  <c r="AU23" i="6"/>
  <c r="AT23" i="6" s="1"/>
  <c r="AS23" i="6"/>
  <c r="AR23" i="6"/>
  <c r="W23" i="6"/>
  <c r="V23" i="6" s="1"/>
  <c r="U23" i="6"/>
  <c r="T23" i="6"/>
  <c r="P153" i="6"/>
  <c r="P150" i="6"/>
  <c r="P147" i="6"/>
  <c r="AN153" i="6"/>
  <c r="AN150" i="6"/>
  <c r="AN147" i="6"/>
  <c r="AN120" i="6"/>
  <c r="AN119" i="6"/>
  <c r="AO116" i="6"/>
  <c r="AO120" i="6" s="1"/>
  <c r="AR37" i="6"/>
  <c r="AN117" i="6" s="1"/>
  <c r="AN118" i="6" s="1"/>
  <c r="AO147" i="6"/>
  <c r="AO148" i="6" s="1"/>
  <c r="AO144" i="6"/>
  <c r="AO145" i="6" s="1"/>
  <c r="Q86" i="6"/>
  <c r="Q147" i="6"/>
  <c r="Q148" i="6" s="1"/>
  <c r="Q144" i="6"/>
  <c r="Q145" i="6" s="1"/>
  <c r="AC147" i="6"/>
  <c r="AC148" i="6" s="1"/>
  <c r="AC144" i="6"/>
  <c r="AC145" i="6" s="1"/>
  <c r="E144" i="6"/>
  <c r="E145" i="6" s="1"/>
  <c r="E147" i="6"/>
  <c r="E148" i="6" s="1"/>
  <c r="AB111" i="6" l="1"/>
  <c r="AB112" i="6" s="1"/>
  <c r="AB116" i="6"/>
  <c r="AB117" i="6" s="1"/>
  <c r="D275" i="6"/>
  <c r="D107" i="6"/>
  <c r="D108" i="6"/>
  <c r="D269" i="6"/>
  <c r="D268" i="6"/>
  <c r="D226" i="6"/>
  <c r="D227" i="6"/>
  <c r="AC23" i="6"/>
  <c r="AB113" i="6"/>
  <c r="AC111" i="6"/>
  <c r="E106" i="6"/>
  <c r="E107" i="6" s="1"/>
  <c r="E100" i="6"/>
  <c r="E101" i="6" s="1"/>
  <c r="E118" i="6"/>
  <c r="E119" i="6" s="1"/>
  <c r="E102" i="6"/>
  <c r="AC118" i="6"/>
  <c r="AC119" i="6" s="1"/>
  <c r="AC124" i="6"/>
  <c r="AC125" i="6" s="1"/>
  <c r="AB114" i="6"/>
  <c r="AC130" i="6"/>
  <c r="AC131" i="6" s="1"/>
  <c r="AC123" i="6"/>
  <c r="AC92" i="6"/>
  <c r="AC98" i="6" s="1"/>
  <c r="AC104" i="6" s="1"/>
  <c r="AC135" i="6"/>
  <c r="AC136" i="6" s="1"/>
  <c r="AC137" i="6" s="1"/>
  <c r="AO117" i="6"/>
  <c r="AO118" i="6" s="1"/>
  <c r="AO119" i="6" s="1"/>
  <c r="AB120" i="6" l="1"/>
  <c r="AB119" i="6"/>
  <c r="AB118" i="6"/>
  <c r="AN75" i="6" l="1"/>
  <c r="AN78" i="6"/>
  <c r="AN77" i="6"/>
  <c r="AO86" i="6"/>
  <c r="AO92" i="6" s="1"/>
  <c r="AO98" i="6" s="1"/>
  <c r="AN114" i="6"/>
  <c r="AN113" i="6"/>
  <c r="AN92" i="6"/>
  <c r="AN104" i="6" s="1"/>
  <c r="AN108" i="6" s="1"/>
  <c r="AN86" i="6"/>
  <c r="AN90" i="6" s="1"/>
  <c r="AC87" i="6"/>
  <c r="AB90" i="6"/>
  <c r="AC80" i="6"/>
  <c r="AC78" i="6"/>
  <c r="AC84" i="6" s="1"/>
  <c r="AB78" i="6"/>
  <c r="AB77" i="6"/>
  <c r="AC75" i="6"/>
  <c r="AC81" i="6" s="1"/>
  <c r="AB76" i="6"/>
  <c r="P92" i="6"/>
  <c r="P96" i="6" s="1"/>
  <c r="Q90" i="6"/>
  <c r="P86" i="6"/>
  <c r="P90" i="6" s="1"/>
  <c r="P75" i="6"/>
  <c r="P102" i="6"/>
  <c r="AN380" i="6"/>
  <c r="AN384" i="6" s="1"/>
  <c r="P380" i="6"/>
  <c r="P381" i="6" s="1"/>
  <c r="Q380" i="6"/>
  <c r="Q384" i="6" s="1"/>
  <c r="AN422" i="6"/>
  <c r="AN425" i="6" s="1"/>
  <c r="AO416" i="6"/>
  <c r="AO420" i="6" s="1"/>
  <c r="AN416" i="6"/>
  <c r="AN420" i="6" s="1"/>
  <c r="AO410" i="6"/>
  <c r="AO411" i="6" s="1"/>
  <c r="AO380" i="6"/>
  <c r="AO384" i="6" s="1"/>
  <c r="AO374" i="6"/>
  <c r="AN374" i="6"/>
  <c r="P314" i="6"/>
  <c r="P422" i="6"/>
  <c r="P425" i="6" s="1"/>
  <c r="Q416" i="6"/>
  <c r="Q420" i="6" s="1"/>
  <c r="P416" i="6"/>
  <c r="P420" i="6" s="1"/>
  <c r="Q410" i="6"/>
  <c r="Q411" i="6" s="1"/>
  <c r="Q374" i="6"/>
  <c r="P374" i="6"/>
  <c r="P223" i="6"/>
  <c r="P271" i="6"/>
  <c r="P275" i="6" s="1"/>
  <c r="P265" i="6"/>
  <c r="P269" i="6" s="1"/>
  <c r="P229" i="6"/>
  <c r="P233" i="6" s="1"/>
  <c r="E96" i="6"/>
  <c r="Q375" i="6" l="1"/>
  <c r="Q450" i="6"/>
  <c r="Q451" i="6" s="1"/>
  <c r="AN377" i="6"/>
  <c r="AN441" i="6"/>
  <c r="AN442" i="6" s="1"/>
  <c r="AO375" i="6"/>
  <c r="AO450" i="6"/>
  <c r="AO451" i="6" s="1"/>
  <c r="P377" i="6"/>
  <c r="P441" i="6"/>
  <c r="P442" i="6" s="1"/>
  <c r="P227" i="6"/>
  <c r="P290" i="6"/>
  <c r="P291" i="6" s="1"/>
  <c r="AC128" i="6"/>
  <c r="AC116" i="6"/>
  <c r="AC88" i="6"/>
  <c r="AC89" i="6" s="1"/>
  <c r="AB96" i="6"/>
  <c r="Q381" i="6"/>
  <c r="AB108" i="6"/>
  <c r="AB89" i="6"/>
  <c r="AC90" i="6"/>
  <c r="AN96" i="6"/>
  <c r="AN98" i="6"/>
  <c r="AN102" i="6" s="1"/>
  <c r="AN95" i="6"/>
  <c r="Q92" i="6"/>
  <c r="Q96" i="6" s="1"/>
  <c r="E93" i="6"/>
  <c r="AN76" i="6"/>
  <c r="AO104" i="6"/>
  <c r="AO108" i="6" s="1"/>
  <c r="AO102" i="6"/>
  <c r="AN107" i="6"/>
  <c r="AO99" i="6"/>
  <c r="AO100" i="6" s="1"/>
  <c r="AO101" i="6" s="1"/>
  <c r="AO96" i="6"/>
  <c r="AO93" i="6"/>
  <c r="AO94" i="6" s="1"/>
  <c r="AO95" i="6" s="1"/>
  <c r="AO87" i="6"/>
  <c r="AO88" i="6" s="1"/>
  <c r="AO89" i="6" s="1"/>
  <c r="AN89" i="6"/>
  <c r="AO90" i="6"/>
  <c r="AB107" i="6"/>
  <c r="AB95" i="6"/>
  <c r="P95" i="6"/>
  <c r="Q87" i="6"/>
  <c r="Q88" i="6" s="1"/>
  <c r="Q89" i="6" s="1"/>
  <c r="P89" i="6"/>
  <c r="P101" i="6"/>
  <c r="AO414" i="6"/>
  <c r="P384" i="6"/>
  <c r="Q414" i="6"/>
  <c r="P426" i="6"/>
  <c r="AN426" i="6"/>
  <c r="P378" i="6"/>
  <c r="AN378" i="6"/>
  <c r="Q378" i="6"/>
  <c r="AO378" i="6"/>
  <c r="AN381" i="6"/>
  <c r="AN382" i="6" s="1"/>
  <c r="AO381" i="6"/>
  <c r="AO417" i="6"/>
  <c r="AO418" i="6" s="1"/>
  <c r="AO419" i="6" s="1"/>
  <c r="AN383" i="6"/>
  <c r="AN419" i="6"/>
  <c r="P382" i="6"/>
  <c r="Q417" i="6"/>
  <c r="Q418" i="6" s="1"/>
  <c r="Q419" i="6" s="1"/>
  <c r="P383" i="6"/>
  <c r="P419" i="6"/>
  <c r="P226" i="6"/>
  <c r="P274" i="6"/>
  <c r="P230" i="6"/>
  <c r="P231" i="6" s="1"/>
  <c r="P232" i="6"/>
  <c r="P268" i="6"/>
  <c r="P78" i="6"/>
  <c r="P77" i="6"/>
  <c r="P76" i="6"/>
  <c r="AN314" i="6"/>
  <c r="AN163" i="6"/>
  <c r="AN168" i="6"/>
  <c r="AR175" i="6" s="1"/>
  <c r="AU327" i="6"/>
  <c r="AU176" i="6"/>
  <c r="AB168" i="6"/>
  <c r="AF179" i="6" s="1"/>
  <c r="AI176" i="6"/>
  <c r="AB163" i="6"/>
  <c r="W327" i="6"/>
  <c r="W176" i="6"/>
  <c r="E94" i="6" l="1"/>
  <c r="E95" i="6" s="1"/>
  <c r="AC120" i="6"/>
  <c r="AC117" i="6"/>
  <c r="AC129" i="6"/>
  <c r="AC132" i="6"/>
  <c r="AC93" i="6"/>
  <c r="Q93" i="6"/>
  <c r="Q94" i="6" s="1"/>
  <c r="Q95" i="6" s="1"/>
  <c r="AN101" i="6"/>
  <c r="AC96" i="6"/>
  <c r="AO105" i="6"/>
  <c r="AO106" i="6" s="1"/>
  <c r="AO107" i="6" s="1"/>
  <c r="AF175" i="6"/>
  <c r="AF180" i="6"/>
  <c r="AC94" i="6" l="1"/>
  <c r="AC95" i="6" s="1"/>
  <c r="AC102" i="6"/>
  <c r="AC99" i="6"/>
  <c r="E87" i="6"/>
  <c r="E80" i="6"/>
  <c r="E78" i="6"/>
  <c r="E84" i="6" s="1"/>
  <c r="E75" i="6"/>
  <c r="E81" i="6" s="1"/>
  <c r="J10" i="6"/>
  <c r="K22" i="6"/>
  <c r="E104" i="6" l="1"/>
  <c r="E116" i="6"/>
  <c r="D84" i="6"/>
  <c r="D83" i="6"/>
  <c r="D145" i="6"/>
  <c r="D167" i="6"/>
  <c r="C282" i="6" s="1"/>
  <c r="D81" i="6"/>
  <c r="D80" i="6"/>
  <c r="D110" i="6" s="1"/>
  <c r="D93" i="6"/>
  <c r="D94" i="6" s="1"/>
  <c r="D82" i="6"/>
  <c r="E88" i="6"/>
  <c r="E89" i="6" s="1"/>
  <c r="AC100" i="6"/>
  <c r="AC101" i="6" s="1"/>
  <c r="AC108" i="6"/>
  <c r="AC105" i="6"/>
  <c r="V330" i="6"/>
  <c r="V331" i="6"/>
  <c r="E90" i="6"/>
  <c r="D116" i="6" l="1"/>
  <c r="D111" i="6"/>
  <c r="D112" i="6" s="1"/>
  <c r="D113" i="6"/>
  <c r="D114" i="6"/>
  <c r="F179" i="6"/>
  <c r="D272" i="6"/>
  <c r="F180" i="6"/>
  <c r="D266" i="6"/>
  <c r="D224" i="6"/>
  <c r="D259" i="6"/>
  <c r="D279" i="6"/>
  <c r="D148" i="6"/>
  <c r="D154" i="6" s="1"/>
  <c r="D151" i="6"/>
  <c r="E108" i="6"/>
  <c r="E105" i="6"/>
  <c r="E120" i="6"/>
  <c r="E117" i="6"/>
  <c r="AC106" i="6"/>
  <c r="AC107" i="6" s="1"/>
  <c r="D117" i="6" l="1"/>
  <c r="D118" i="6" s="1"/>
  <c r="D119" i="6"/>
  <c r="D120" i="6"/>
  <c r="D225" i="6"/>
  <c r="D293" i="6"/>
  <c r="D294" i="6" s="1"/>
  <c r="D299" i="6"/>
  <c r="D296" i="6" s="1"/>
  <c r="D281" i="6"/>
  <c r="D273" i="6"/>
  <c r="D267" i="6"/>
  <c r="D285" i="6"/>
  <c r="D284" i="6"/>
  <c r="D262" i="6"/>
  <c r="D263" i="6"/>
  <c r="D260" i="6"/>
  <c r="D261" i="6" s="1"/>
  <c r="V11" i="6"/>
  <c r="P319" i="6" s="1"/>
  <c r="V10" i="6"/>
  <c r="P145" i="6" s="1"/>
  <c r="Q436" i="6" l="1"/>
  <c r="Q438" i="6" s="1"/>
  <c r="Q439" i="6" s="1"/>
  <c r="T12" i="6"/>
  <c r="D300" i="6"/>
  <c r="D297" i="6" s="1"/>
  <c r="O439" i="6"/>
  <c r="D287" i="6"/>
  <c r="D288" i="6" s="1"/>
  <c r="P148" i="6"/>
  <c r="P154" i="6" s="1"/>
  <c r="P151" i="6"/>
  <c r="Q74" i="6"/>
  <c r="Q98" i="6"/>
  <c r="P83" i="6"/>
  <c r="P99" i="6"/>
  <c r="P100" i="6" s="1"/>
  <c r="P87" i="6"/>
  <c r="P88" i="6" s="1"/>
  <c r="P84" i="6"/>
  <c r="P80" i="6"/>
  <c r="P82" i="6"/>
  <c r="P81" i="6"/>
  <c r="P93" i="6"/>
  <c r="P94" i="6" s="1"/>
  <c r="P318" i="6"/>
  <c r="P167" i="6"/>
  <c r="P279" i="6" s="1"/>
  <c r="K176" i="6"/>
  <c r="AH11" i="6"/>
  <c r="AR26" i="6"/>
  <c r="AR19" i="6"/>
  <c r="T26" i="6"/>
  <c r="T19" i="6"/>
  <c r="AT11" i="6"/>
  <c r="AH37" i="6"/>
  <c r="AU33" i="6"/>
  <c r="AT33" i="6" s="1"/>
  <c r="O433" i="6" l="1"/>
  <c r="P430" i="6"/>
  <c r="P299" i="6"/>
  <c r="P281" i="6"/>
  <c r="P282" i="6" s="1"/>
  <c r="O282" i="6"/>
  <c r="E214" i="6"/>
  <c r="E281" i="6" s="1"/>
  <c r="Q376" i="6"/>
  <c r="Q412" i="6"/>
  <c r="Q413" i="6" s="1"/>
  <c r="Q422" i="6"/>
  <c r="Q382" i="6"/>
  <c r="Q383" i="6" s="1"/>
  <c r="P375" i="6"/>
  <c r="P410" i="6"/>
  <c r="P423" i="6"/>
  <c r="P417" i="6"/>
  <c r="P266" i="6"/>
  <c r="P259" i="6"/>
  <c r="P272" i="6"/>
  <c r="P224" i="6"/>
  <c r="H179" i="6"/>
  <c r="J163" i="6" s="1"/>
  <c r="T176" i="6"/>
  <c r="W175" i="6"/>
  <c r="R180" i="6"/>
  <c r="R179" i="6"/>
  <c r="R331" i="6"/>
  <c r="T327" i="6"/>
  <c r="W326" i="6"/>
  <c r="O405" i="6" s="1"/>
  <c r="R330" i="6"/>
  <c r="T330" i="6"/>
  <c r="T331" i="6"/>
  <c r="T326" i="6"/>
  <c r="P168" i="6"/>
  <c r="O288" i="6" s="1"/>
  <c r="P436" i="6" l="1"/>
  <c r="P435" i="6"/>
  <c r="Q447" i="6"/>
  <c r="Q448" i="6" s="1"/>
  <c r="Q441" i="6"/>
  <c r="P450" i="6"/>
  <c r="P432" i="6"/>
  <c r="P433" i="6" s="1"/>
  <c r="P376" i="6"/>
  <c r="P444" i="6"/>
  <c r="P445" i="6" s="1"/>
  <c r="Q377" i="6"/>
  <c r="P284" i="6"/>
  <c r="P285" i="6"/>
  <c r="P418" i="6"/>
  <c r="P424" i="6"/>
  <c r="P225" i="6"/>
  <c r="P293" i="6"/>
  <c r="P294" i="6" s="1"/>
  <c r="P300" i="6"/>
  <c r="P297" i="6" s="1"/>
  <c r="P296" i="6"/>
  <c r="Q406" i="6"/>
  <c r="Q404" i="6"/>
  <c r="Q405" i="6" s="1"/>
  <c r="P267" i="6"/>
  <c r="P273" i="6"/>
  <c r="E261" i="6"/>
  <c r="E262" i="6" s="1"/>
  <c r="E282" i="6"/>
  <c r="E285" i="6"/>
  <c r="Q214" i="6"/>
  <c r="Q80" i="6"/>
  <c r="Q255" i="6"/>
  <c r="Q256" i="6" s="1"/>
  <c r="E271" i="6"/>
  <c r="Q423" i="6"/>
  <c r="Q424" i="6" s="1"/>
  <c r="Q426" i="6"/>
  <c r="E225" i="6"/>
  <c r="E296" i="6" s="1"/>
  <c r="O393" i="6"/>
  <c r="Q394" i="6" s="1"/>
  <c r="O387" i="6"/>
  <c r="Q388" i="6" s="1"/>
  <c r="O399" i="6"/>
  <c r="P411" i="6"/>
  <c r="P412" i="6" s="1"/>
  <c r="P413" i="6"/>
  <c r="P414" i="6"/>
  <c r="E229" i="6"/>
  <c r="E279" i="6"/>
  <c r="E278" i="6"/>
  <c r="D282" i="6" s="1"/>
  <c r="E284" i="6"/>
  <c r="E265" i="6"/>
  <c r="E223" i="6"/>
  <c r="E299" i="6" s="1"/>
  <c r="E300" i="6" s="1"/>
  <c r="E259" i="6"/>
  <c r="E231" i="6"/>
  <c r="E232" i="6" s="1"/>
  <c r="P260" i="6"/>
  <c r="P261" i="6" s="1"/>
  <c r="P263" i="6"/>
  <c r="P262" i="6"/>
  <c r="T175" i="6"/>
  <c r="T180" i="6"/>
  <c r="T179" i="6"/>
  <c r="V163" i="6" s="1"/>
  <c r="AR29" i="6"/>
  <c r="AF26" i="6"/>
  <c r="AT37" i="6"/>
  <c r="AT29" i="6"/>
  <c r="AH29" i="6"/>
  <c r="V27" i="6"/>
  <c r="T27" i="6"/>
  <c r="J27" i="6"/>
  <c r="H27" i="6"/>
  <c r="AT26" i="6"/>
  <c r="AH26" i="6"/>
  <c r="V26" i="6"/>
  <c r="J26" i="6"/>
  <c r="H26" i="6"/>
  <c r="AT22" i="6"/>
  <c r="AR22" i="6"/>
  <c r="V22" i="6"/>
  <c r="T22" i="6"/>
  <c r="J22" i="6"/>
  <c r="AT19" i="6"/>
  <c r="V19" i="6"/>
  <c r="J19" i="6"/>
  <c r="AT18" i="6"/>
  <c r="AR18" i="6"/>
  <c r="V18" i="6"/>
  <c r="T18" i="6"/>
  <c r="AT10" i="6"/>
  <c r="Q243" i="6" l="1"/>
  <c r="Q244" i="6" s="1"/>
  <c r="AN145" i="6"/>
  <c r="AN151" i="6" s="1"/>
  <c r="AU35" i="6"/>
  <c r="AT35" i="6"/>
  <c r="AU34" i="6"/>
  <c r="AT34" i="6" s="1"/>
  <c r="P451" i="6"/>
  <c r="P448" i="6" s="1"/>
  <c r="P447" i="6"/>
  <c r="Q444" i="6"/>
  <c r="Q442" i="6"/>
  <c r="Q445" i="6" s="1"/>
  <c r="P438" i="6"/>
  <c r="P439" i="6" s="1"/>
  <c r="Q425" i="6"/>
  <c r="Q281" i="6"/>
  <c r="Q282" i="6" s="1"/>
  <c r="Q279" i="6"/>
  <c r="Q278" i="6"/>
  <c r="Q285" i="6"/>
  <c r="Q284" i="6"/>
  <c r="P287" i="6"/>
  <c r="P288" i="6" s="1"/>
  <c r="Q271" i="6"/>
  <c r="Q275" i="6" s="1"/>
  <c r="Q261" i="6"/>
  <c r="Q262" i="6" s="1"/>
  <c r="Q225" i="6"/>
  <c r="E226" i="6"/>
  <c r="E290" i="6"/>
  <c r="E287" i="6"/>
  <c r="E288" i="6" s="1"/>
  <c r="Q237" i="6"/>
  <c r="Q238" i="6" s="1"/>
  <c r="Q265" i="6"/>
  <c r="Q269" i="6" s="1"/>
  <c r="Q259" i="6"/>
  <c r="Q263" i="6" s="1"/>
  <c r="Q231" i="6"/>
  <c r="Q232" i="6" s="1"/>
  <c r="Q223" i="6"/>
  <c r="Q229" i="6"/>
  <c r="Q233" i="6" s="1"/>
  <c r="E76" i="6"/>
  <c r="E77" i="6" s="1"/>
  <c r="E83" i="6" s="1"/>
  <c r="AN84" i="6"/>
  <c r="AN105" i="6"/>
  <c r="AN106" i="6" s="1"/>
  <c r="AN80" i="6"/>
  <c r="AN111" i="6"/>
  <c r="AN112" i="6" s="1"/>
  <c r="AN83" i="6"/>
  <c r="AN99" i="6"/>
  <c r="AN100" i="6" s="1"/>
  <c r="AN93" i="6"/>
  <c r="AN94" i="6" s="1"/>
  <c r="AN87" i="6"/>
  <c r="AN88" i="6" s="1"/>
  <c r="AN81" i="6"/>
  <c r="AN82" i="6"/>
  <c r="Q102" i="6"/>
  <c r="Q99" i="6"/>
  <c r="Q100" i="6" s="1"/>
  <c r="Q101" i="6" s="1"/>
  <c r="Q78" i="6"/>
  <c r="Q84" i="6" s="1"/>
  <c r="Q75" i="6"/>
  <c r="Q76" i="6" s="1"/>
  <c r="Q400" i="6"/>
  <c r="Q401" i="6" s="1"/>
  <c r="Q398" i="6"/>
  <c r="Q407" i="6"/>
  <c r="Q389" i="6"/>
  <c r="Q386" i="6"/>
  <c r="Q395" i="6"/>
  <c r="Q392" i="6"/>
  <c r="P386" i="6"/>
  <c r="E266" i="6"/>
  <c r="E267" i="6" s="1"/>
  <c r="E268" i="6" s="1"/>
  <c r="E269" i="6"/>
  <c r="E260" i="6"/>
  <c r="E263" i="6"/>
  <c r="E227" i="6"/>
  <c r="E224" i="6"/>
  <c r="E230" i="6"/>
  <c r="E233" i="6"/>
  <c r="P235" i="6"/>
  <c r="P241" i="6" s="1"/>
  <c r="P242" i="6" s="1"/>
  <c r="Q235" i="6"/>
  <c r="AN167" i="6"/>
  <c r="AR176" i="6" s="1"/>
  <c r="AN318" i="6"/>
  <c r="K175" i="6"/>
  <c r="H176" i="6"/>
  <c r="AN148" i="6" l="1"/>
  <c r="AN154" i="6" s="1"/>
  <c r="AN430" i="6"/>
  <c r="AM433" i="6"/>
  <c r="Q224" i="6"/>
  <c r="Q299" i="6"/>
  <c r="Q300" i="6" s="1"/>
  <c r="Q287" i="6"/>
  <c r="Q288" i="6" s="1"/>
  <c r="Q290" i="6"/>
  <c r="Q296" i="6"/>
  <c r="Q297" i="6" s="1"/>
  <c r="Q272" i="6"/>
  <c r="Q273" i="6" s="1"/>
  <c r="Q274" i="6" s="1"/>
  <c r="Q226" i="6"/>
  <c r="E293" i="6"/>
  <c r="E291" i="6"/>
  <c r="E294" i="6" s="1"/>
  <c r="Q266" i="6"/>
  <c r="Q267" i="6" s="1"/>
  <c r="Q268" i="6" s="1"/>
  <c r="Q260" i="6"/>
  <c r="Q227" i="6"/>
  <c r="Q230" i="6"/>
  <c r="C242" i="6"/>
  <c r="C248" i="6"/>
  <c r="C254" i="6"/>
  <c r="C236" i="6"/>
  <c r="E82" i="6"/>
  <c r="Q81" i="6"/>
  <c r="Q82" i="6"/>
  <c r="AN417" i="6"/>
  <c r="AN410" i="6"/>
  <c r="AN375" i="6"/>
  <c r="AN423" i="6"/>
  <c r="AN424" i="6" s="1"/>
  <c r="Q408" i="6"/>
  <c r="Q402" i="6"/>
  <c r="Q399" i="6"/>
  <c r="P392" i="6"/>
  <c r="P398" i="6" s="1"/>
  <c r="P404" i="6" s="1"/>
  <c r="P390" i="6"/>
  <c r="P389" i="6"/>
  <c r="Q390" i="6"/>
  <c r="Q387" i="6"/>
  <c r="P387" i="6"/>
  <c r="P388" i="6" s="1"/>
  <c r="Q396" i="6"/>
  <c r="Q393" i="6"/>
  <c r="P236" i="6"/>
  <c r="P237" i="6" s="1"/>
  <c r="P239" i="6"/>
  <c r="P238" i="6"/>
  <c r="Q239" i="6"/>
  <c r="Q236" i="6"/>
  <c r="P243" i="6"/>
  <c r="Q241" i="6"/>
  <c r="Q245" i="6" s="1"/>
  <c r="Q77" i="6"/>
  <c r="Q83" i="6" s="1"/>
  <c r="AR327" i="6"/>
  <c r="AP330" i="6"/>
  <c r="AP331" i="6"/>
  <c r="AU326" i="6"/>
  <c r="AP180" i="6"/>
  <c r="AU175" i="6"/>
  <c r="AP179" i="6"/>
  <c r="H175" i="6"/>
  <c r="H180" i="6"/>
  <c r="AN418" i="6" l="1"/>
  <c r="AN435" i="6"/>
  <c r="AN436" i="6"/>
  <c r="AN376" i="6"/>
  <c r="AN444" i="6"/>
  <c r="AN445" i="6" s="1"/>
  <c r="AN432" i="6"/>
  <c r="AN433" i="6" s="1"/>
  <c r="AN450" i="6"/>
  <c r="Q291" i="6"/>
  <c r="Q294" i="6" s="1"/>
  <c r="Q293" i="6"/>
  <c r="D235" i="6"/>
  <c r="D236" i="6" s="1"/>
  <c r="D237" i="6" s="1"/>
  <c r="E237" i="6"/>
  <c r="E238" i="6" s="1"/>
  <c r="P401" i="6"/>
  <c r="P402" i="6"/>
  <c r="P399" i="6"/>
  <c r="P400" i="6" s="1"/>
  <c r="AM393" i="6"/>
  <c r="AM399" i="6"/>
  <c r="AM387" i="6"/>
  <c r="AM405" i="6"/>
  <c r="AN411" i="6"/>
  <c r="AN412" i="6" s="1"/>
  <c r="AN414" i="6"/>
  <c r="AN413" i="6"/>
  <c r="P405" i="6"/>
  <c r="P406" i="6" s="1"/>
  <c r="P395" i="6"/>
  <c r="P396" i="6"/>
  <c r="P393" i="6"/>
  <c r="P394" i="6" s="1"/>
  <c r="Q249" i="6"/>
  <c r="Q250" i="6" s="1"/>
  <c r="P247" i="6"/>
  <c r="P248" i="6" s="1"/>
  <c r="P249" i="6" s="1"/>
  <c r="Q247" i="6"/>
  <c r="Q242" i="6"/>
  <c r="P245" i="6"/>
  <c r="P244" i="6"/>
  <c r="E235" i="6"/>
  <c r="E275" i="6"/>
  <c r="E272" i="6"/>
  <c r="AN438" i="6" l="1"/>
  <c r="AN439" i="6" s="1"/>
  <c r="AN451" i="6"/>
  <c r="AN448" i="6" s="1"/>
  <c r="AN447" i="6"/>
  <c r="D241" i="6"/>
  <c r="D238" i="6"/>
  <c r="D239" i="6"/>
  <c r="Q248" i="6"/>
  <c r="Q251" i="6"/>
  <c r="AO404" i="6"/>
  <c r="AO386" i="6"/>
  <c r="AN386" i="6"/>
  <c r="AN392" i="6" s="1"/>
  <c r="AN393" i="6" s="1"/>
  <c r="AN394" i="6" s="1"/>
  <c r="AO398" i="6"/>
  <c r="AO392" i="6"/>
  <c r="P407" i="6"/>
  <c r="P408" i="6"/>
  <c r="E243" i="6"/>
  <c r="E244" i="6" s="1"/>
  <c r="Q253" i="6"/>
  <c r="P253" i="6"/>
  <c r="P251" i="6"/>
  <c r="P250" i="6"/>
  <c r="E241" i="6"/>
  <c r="E239" i="6"/>
  <c r="E236" i="6"/>
  <c r="E273" i="6"/>
  <c r="E274" i="6" l="1"/>
  <c r="E297" i="6"/>
  <c r="D242" i="6"/>
  <c r="D243" i="6" s="1"/>
  <c r="D247" i="6"/>
  <c r="D245" i="6"/>
  <c r="D244" i="6"/>
  <c r="AN398" i="6"/>
  <c r="AN401" i="6" s="1"/>
  <c r="Q254" i="6"/>
  <c r="Q257" i="6"/>
  <c r="AO393" i="6"/>
  <c r="AO396" i="6"/>
  <c r="AN396" i="6"/>
  <c r="AN395" i="6"/>
  <c r="AO402" i="6"/>
  <c r="AO399" i="6"/>
  <c r="AN390" i="6"/>
  <c r="AN389" i="6"/>
  <c r="AO408" i="6"/>
  <c r="AO405" i="6"/>
  <c r="AN387" i="6"/>
  <c r="AN388" i="6" s="1"/>
  <c r="AO390" i="6"/>
  <c r="AO387" i="6"/>
  <c r="P257" i="6"/>
  <c r="P256" i="6"/>
  <c r="P254" i="6"/>
  <c r="P255" i="6" s="1"/>
  <c r="E249" i="6"/>
  <c r="E250" i="6" s="1"/>
  <c r="E247" i="6"/>
  <c r="E242" i="6"/>
  <c r="E245" i="6"/>
  <c r="E253" i="6"/>
  <c r="AN402" i="6" l="1"/>
  <c r="D253" i="6"/>
  <c r="D248" i="6"/>
  <c r="D249" i="6" s="1"/>
  <c r="D251" i="6"/>
  <c r="D250" i="6"/>
  <c r="AN404" i="6"/>
  <c r="AN399" i="6"/>
  <c r="AN400" i="6" s="1"/>
  <c r="E255" i="6"/>
  <c r="E256" i="6" s="1"/>
  <c r="E248" i="6"/>
  <c r="E251" i="6"/>
  <c r="E257" i="6"/>
  <c r="E254" i="6"/>
  <c r="D254" i="6" l="1"/>
  <c r="D255" i="6" s="1"/>
  <c r="D257" i="6"/>
  <c r="D256" i="6"/>
  <c r="AN405" i="6"/>
  <c r="AN406" i="6" s="1"/>
  <c r="AN407" i="6"/>
  <c r="AN408" i="6"/>
  <c r="AI18" i="6"/>
  <c r="AH18" i="6" s="1"/>
  <c r="AH19" i="6"/>
  <c r="AH10" i="6"/>
  <c r="AG20" i="6"/>
  <c r="AH20" i="6"/>
  <c r="AF18" i="6"/>
  <c r="AI22" i="6"/>
  <c r="AH22" i="6" s="1"/>
  <c r="AF37" i="6"/>
  <c r="AB135" i="6" s="1"/>
  <c r="AB136" i="6" s="1"/>
  <c r="AA19" i="6"/>
  <c r="AA20" i="6"/>
  <c r="AF22" i="6"/>
  <c r="AB87" i="6" s="1"/>
  <c r="AF29" i="6"/>
  <c r="AA18" i="6"/>
  <c r="AI35" i="6" l="1"/>
  <c r="AH35" i="6"/>
  <c r="AI34" i="6"/>
  <c r="AH34" i="6" s="1"/>
  <c r="AB80" i="6"/>
  <c r="AB122" i="6" s="1"/>
  <c r="AB105" i="6"/>
  <c r="AB106" i="6" s="1"/>
  <c r="AB99" i="6"/>
  <c r="AB100" i="6" s="1"/>
  <c r="AB145" i="6"/>
  <c r="AB151" i="6" s="1"/>
  <c r="AC77" i="6"/>
  <c r="AC83" i="6" s="1"/>
  <c r="AC82" i="6"/>
  <c r="AB83" i="6"/>
  <c r="AB88" i="6"/>
  <c r="AB93" i="6"/>
  <c r="AB94" i="6" s="1"/>
  <c r="AB81" i="6"/>
  <c r="AB82" i="6"/>
  <c r="AB84" i="6"/>
  <c r="AB167" i="6"/>
  <c r="AR180" i="6"/>
  <c r="AR179" i="6"/>
  <c r="AN319" i="6"/>
  <c r="AR13" i="6" s="1"/>
  <c r="AM439" i="6" l="1"/>
  <c r="AO436" i="6"/>
  <c r="AO438" i="6" s="1"/>
  <c r="AO439" i="6" s="1"/>
  <c r="AR12" i="6"/>
  <c r="AO406" i="6"/>
  <c r="AO407" i="6" s="1"/>
  <c r="AB128" i="6"/>
  <c r="AB129" i="6" s="1"/>
  <c r="AB123" i="6"/>
  <c r="AB124" i="6" s="1"/>
  <c r="AB148" i="6"/>
  <c r="AB154" i="6" s="1"/>
  <c r="AB126" i="6"/>
  <c r="AB125" i="6"/>
  <c r="AO400" i="6"/>
  <c r="AO401" i="6" s="1"/>
  <c r="AO74" i="6"/>
  <c r="AO76" i="6" s="1"/>
  <c r="AO110" i="6"/>
  <c r="AB102" i="6"/>
  <c r="AB101" i="6"/>
  <c r="AR331" i="6"/>
  <c r="AO412" i="6"/>
  <c r="AO413" i="6" s="1"/>
  <c r="AO376" i="6"/>
  <c r="AO382" i="6"/>
  <c r="AO383" i="6" s="1"/>
  <c r="AO422" i="6"/>
  <c r="AO394" i="6"/>
  <c r="AO395" i="6" s="1"/>
  <c r="AO388" i="6"/>
  <c r="AO389" i="6" s="1"/>
  <c r="AR330" i="6"/>
  <c r="AF176" i="6"/>
  <c r="AI175" i="6"/>
  <c r="AD179" i="6"/>
  <c r="AD180" i="6"/>
  <c r="AR326" i="6"/>
  <c r="AO377" i="6" l="1"/>
  <c r="AO447" i="6"/>
  <c r="AO448" i="6" s="1"/>
  <c r="AO441" i="6"/>
  <c r="AB132" i="6"/>
  <c r="AB130" i="6"/>
  <c r="AB131" i="6"/>
  <c r="AO77" i="6"/>
  <c r="AO83" i="6" s="1"/>
  <c r="AO82" i="6"/>
  <c r="AO80" i="6"/>
  <c r="AO75" i="6"/>
  <c r="AO81" i="6" s="1"/>
  <c r="AO78" i="6"/>
  <c r="AO84" i="6" s="1"/>
  <c r="AO114" i="6"/>
  <c r="AO111" i="6"/>
  <c r="AO112" i="6" s="1"/>
  <c r="AO113" i="6" s="1"/>
  <c r="AO426" i="6"/>
  <c r="AO423" i="6"/>
  <c r="AO424" i="6" s="1"/>
  <c r="AO425" i="6" s="1"/>
  <c r="AO444" i="6" l="1"/>
  <c r="AO442" i="6"/>
  <c r="AO445" i="6" s="1"/>
</calcChain>
</file>

<file path=xl/sharedStrings.xml><?xml version="1.0" encoding="utf-8"?>
<sst xmlns="http://schemas.openxmlformats.org/spreadsheetml/2006/main" count="1192" uniqueCount="139">
  <si>
    <t>Linteaux 1</t>
  </si>
  <si>
    <t>mm</t>
  </si>
  <si>
    <t>unité</t>
  </si>
  <si>
    <t>unité/1</t>
  </si>
  <si>
    <t>u</t>
  </si>
  <si>
    <t>x</t>
  </si>
  <si>
    <t>Traverses</t>
  </si>
  <si>
    <t>OSB Joue Haute</t>
  </si>
  <si>
    <t>OSB Joue latéral</t>
  </si>
  <si>
    <t>dimensions extérieurs</t>
  </si>
  <si>
    <t>FENETRE Sans Volet Roulant</t>
  </si>
  <si>
    <t>FENETRE avec Volet Roulant</t>
  </si>
  <si>
    <t>RWH 16mm</t>
  </si>
  <si>
    <t>Revêtement avant</t>
  </si>
  <si>
    <t xml:space="preserve">OSB 15mm </t>
  </si>
  <si>
    <t>Pare Pluie</t>
  </si>
  <si>
    <t>Liteaux</t>
  </si>
  <si>
    <t>ml</t>
  </si>
  <si>
    <t>OSB Joue latérale</t>
  </si>
  <si>
    <t>OSB  Intérieur</t>
  </si>
  <si>
    <t>Linteaux</t>
  </si>
  <si>
    <t>Montant avec  entaille</t>
  </si>
  <si>
    <t>Montant avec entaille</t>
  </si>
  <si>
    <t>Nom du projet:</t>
  </si>
  <si>
    <t>Largeur ossature</t>
  </si>
  <si>
    <t>Hauteur ossature</t>
  </si>
  <si>
    <t>Dépassée droite</t>
  </si>
  <si>
    <t>Dépassée gauche</t>
  </si>
  <si>
    <t>Dépassée haute</t>
  </si>
  <si>
    <t>Dépassée basse</t>
  </si>
  <si>
    <t>Porte avec Volet Roulant</t>
  </si>
  <si>
    <t>non</t>
  </si>
  <si>
    <t>Nombre total</t>
  </si>
  <si>
    <t>Nombre de bloc /précadre</t>
  </si>
  <si>
    <t>Montants</t>
  </si>
  <si>
    <t>Dimension panneau 1</t>
  </si>
  <si>
    <t>Dimension panneau 2</t>
  </si>
  <si>
    <t>X</t>
  </si>
  <si>
    <t>Y</t>
  </si>
  <si>
    <t>Précadre</t>
  </si>
  <si>
    <t>Porte de garage</t>
  </si>
  <si>
    <t>dimensions extérieures</t>
  </si>
  <si>
    <t>Renforcée</t>
  </si>
  <si>
    <t>Porte Sans Volet Roulant Standard</t>
  </si>
  <si>
    <t>ép</t>
  </si>
  <si>
    <t>Désignation</t>
  </si>
  <si>
    <t>Longueur</t>
  </si>
  <si>
    <t>Section</t>
  </si>
  <si>
    <t xml:space="preserve">OSB 12mm </t>
  </si>
  <si>
    <t>CONFORT +</t>
  </si>
  <si>
    <t>FIBRE à couper en longueur</t>
  </si>
  <si>
    <t>Nombre:</t>
  </si>
  <si>
    <t>Largeur nominale:</t>
  </si>
  <si>
    <t>Hauteur nominale:</t>
  </si>
  <si>
    <t>Lieu:</t>
  </si>
  <si>
    <t>Hauteur mur:</t>
  </si>
  <si>
    <t>Hauteur linteau:</t>
  </si>
  <si>
    <t>Largeur ossature:</t>
  </si>
  <si>
    <t>Hauteur ossature:</t>
  </si>
  <si>
    <t>Dépassée gauche:</t>
  </si>
  <si>
    <t>Dépassée droite:</t>
  </si>
  <si>
    <t>Dépassée haute:</t>
  </si>
  <si>
    <t>Dépassée basse:</t>
  </si>
  <si>
    <t>Dimension RWH ou Fibre:</t>
  </si>
  <si>
    <t>Dimension panneau OSB 12:</t>
  </si>
  <si>
    <t>Dimension RWH 16 ou Fibre 40:</t>
  </si>
  <si>
    <t>Dimensions</t>
  </si>
  <si>
    <t>27x38</t>
  </si>
  <si>
    <t>par défaut à 2150mm</t>
  </si>
  <si>
    <t>par défaut à 2720mm</t>
  </si>
  <si>
    <t>RWH</t>
  </si>
  <si>
    <t>16 ou 40</t>
  </si>
  <si>
    <t>Nombre total:</t>
  </si>
  <si>
    <t>Montant 1 PC</t>
  </si>
  <si>
    <t>Montant 2 PC</t>
  </si>
  <si>
    <t>Linteau PC</t>
  </si>
  <si>
    <t>Traverse haute PC</t>
  </si>
  <si>
    <t>Montant complément 1 PC</t>
  </si>
  <si>
    <t>Montant complément 2 PC</t>
  </si>
  <si>
    <t>Montant complément 3 PC</t>
  </si>
  <si>
    <t>Montant complément 4 PC</t>
  </si>
  <si>
    <t>Traverse basse PC</t>
  </si>
  <si>
    <t>Ligne Semelle</t>
  </si>
  <si>
    <t>Ligne altimétrie</t>
  </si>
  <si>
    <t>Ligne Linteau</t>
  </si>
  <si>
    <t>Ligne Niveau brut</t>
  </si>
  <si>
    <t>Traverse haute 2 PC</t>
  </si>
  <si>
    <t>Traverse haute 3 PC</t>
  </si>
  <si>
    <t>OSB PC</t>
  </si>
  <si>
    <t>OSB Sur-Porte</t>
  </si>
  <si>
    <t>Montant gauche Sur-Porte</t>
  </si>
  <si>
    <t>Montant droit  Sur-Porte</t>
  </si>
  <si>
    <t>Lisse basse  Sur-Porte</t>
  </si>
  <si>
    <t>Lisse haute  Sur-Porte</t>
  </si>
  <si>
    <t>Ligne de Cotation Largeur  Sur-Porte</t>
  </si>
  <si>
    <t>Texte de Cotation Largeur  Sur-Porte</t>
  </si>
  <si>
    <t>Ligne de Cotation hauteur  Sur-Porte</t>
  </si>
  <si>
    <t>Texte de Cotation hauteur  Sur-Porte</t>
  </si>
  <si>
    <t>Dépassée Gauche  Sur-Porte</t>
  </si>
  <si>
    <t>Dépassée Droite  Sur-Porte</t>
  </si>
  <si>
    <t>Dépassée Haute  Sur-Porte</t>
  </si>
  <si>
    <t>Dépassée basse  Sur-Porte</t>
  </si>
  <si>
    <t>Distance cotation largeur Sur-Porte</t>
  </si>
  <si>
    <t>Départ angle bas gauche Sur-Porte</t>
  </si>
  <si>
    <t>Distance cotation hauteur Sur-Porte</t>
  </si>
  <si>
    <t>Distance dépassée gauche Sur-Porte</t>
  </si>
  <si>
    <t>Distance dépassée droite Sur-Porte</t>
  </si>
  <si>
    <t>Distance dépassée haute Sur-Porte</t>
  </si>
  <si>
    <t>Distance dépassée basse Sur-Porte</t>
  </si>
  <si>
    <t>Distance texte de cotation//ligne de cotation Sur-Porte</t>
  </si>
  <si>
    <t>Départ angle bas gauche Sous-Porte</t>
  </si>
  <si>
    <t>Distance cotation largeur Sous-Porte</t>
  </si>
  <si>
    <t>Distance cotation hauteur Sous-Porte</t>
  </si>
  <si>
    <t>Distance dépassée gauche Sous-Porte</t>
  </si>
  <si>
    <t>Distance dépassée droite Sous-Porte</t>
  </si>
  <si>
    <t>Distance dépassée haute Sous-Porte</t>
  </si>
  <si>
    <t>Distance dépassée basse Sous-Porte</t>
  </si>
  <si>
    <t>Distance texte de cotation//ligne de cotation Sous-Porte</t>
  </si>
  <si>
    <t>OSB Sous-Porte</t>
  </si>
  <si>
    <t>Montant gauche Sous-Porte</t>
  </si>
  <si>
    <t>Montant droit  Sous-Porte</t>
  </si>
  <si>
    <t>Lisse basse  Sous-Porte</t>
  </si>
  <si>
    <t>Lisse haute  Sous-Porte</t>
  </si>
  <si>
    <t>Ligne de Cotation Largeur  Sous-Porte</t>
  </si>
  <si>
    <t>Texte de Cotation Largeur  Sous-Porte</t>
  </si>
  <si>
    <t>Ligne de Cotation hauteur  Sous-Porte</t>
  </si>
  <si>
    <t>Texte de Cotation hauteur  Sous-Porte</t>
  </si>
  <si>
    <t>Dépassée Gauche  Sous-Porte</t>
  </si>
  <si>
    <t>Dépassée Droite  Sous-Porte</t>
  </si>
  <si>
    <t>Dépassée Haute  Sous-Porte</t>
  </si>
  <si>
    <t>Dépassée basse  Sous-Porte</t>
  </si>
  <si>
    <t>ossature intermédiaire 1 Sur-Porte</t>
  </si>
  <si>
    <t>ossature intermédiaire 2 Sur-Porte</t>
  </si>
  <si>
    <t>ossature intermédiaire 3 Sur-Porte</t>
  </si>
  <si>
    <t>ossature intermédiaire 4 Sur-Porte</t>
  </si>
  <si>
    <t>ossature intermédiaire 1 Sous-Porte</t>
  </si>
  <si>
    <t>ossature intermédiaire 2 Sous-Porte</t>
  </si>
  <si>
    <t>ossature intermédiaire 3 Sous-Porte</t>
  </si>
  <si>
    <t>ossature intermédiaire 4 Sous-Porte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</si>
</sst>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trike/>
      <sz val="14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trike/>
      <sz val="11"/>
      <color rgb="FFC00000"/>
      <name val="Calibri"/>
      <family val="2"/>
      <scheme val="minor"/>
    </font>
    <font>
      <strike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trike/>
      <sz val="16"/>
      <color rgb="FFFF0000"/>
      <name val="Calibri"/>
      <family val="2"/>
      <scheme val="minor"/>
    </font>
    <font>
      <strike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trike/>
      <sz val="16"/>
      <color theme="1"/>
      <name val="Calibri"/>
      <family val="2"/>
      <scheme val="minor"/>
    </font>
    <font>
      <i/>
      <strike/>
      <sz val="11"/>
      <color rgb="FFFF0000"/>
      <name val="Calibri"/>
      <family val="2"/>
      <scheme val="minor"/>
    </font>
    <font>
      <strike/>
      <sz val="11"/>
      <name val="Calibri"/>
      <family val="2"/>
      <scheme val="minor"/>
    </font>
    <font>
      <b/>
      <strike/>
      <sz val="11"/>
      <color theme="9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6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12" fillId="0" borderId="0" xfId="0" applyFont="1"/>
    <xf numFmtId="0" fontId="0" fillId="5" borderId="0" xfId="0" applyFill="1"/>
    <xf numFmtId="0" fontId="3" fillId="5" borderId="0" xfId="0" applyFont="1" applyFill="1"/>
    <xf numFmtId="0" fontId="0" fillId="4" borderId="0" xfId="0" applyFill="1"/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0" fillId="2" borderId="17" xfId="0" applyFill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5" fillId="0" borderId="12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20" fontId="0" fillId="5" borderId="0" xfId="0" applyNumberForma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20" fillId="0" borderId="0" xfId="0" applyFont="1"/>
    <xf numFmtId="0" fontId="19" fillId="0" borderId="0" xfId="0" applyFont="1" applyAlignment="1">
      <alignment vertical="center"/>
    </xf>
    <xf numFmtId="0" fontId="7" fillId="0" borderId="1" xfId="0" applyFont="1" applyBorder="1" applyAlignment="1">
      <alignment horizontal="center"/>
    </xf>
    <xf numFmtId="0" fontId="1" fillId="2" borderId="6" xfId="0" applyFont="1" applyFill="1" applyBorder="1" applyAlignment="1">
      <alignment horizontal="right"/>
    </xf>
    <xf numFmtId="0" fontId="1" fillId="2" borderId="7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0" fillId="0" borderId="12" xfId="0" applyFont="1" applyBorder="1" applyAlignment="1">
      <alignment horizontal="right"/>
    </xf>
    <xf numFmtId="0" fontId="0" fillId="0" borderId="13" xfId="0" applyBorder="1" applyAlignment="1">
      <alignment horizontal="center"/>
    </xf>
    <xf numFmtId="0" fontId="10" fillId="0" borderId="14" xfId="0" applyFont="1" applyBorder="1" applyAlignment="1">
      <alignment horizontal="right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9" fillId="0" borderId="12" xfId="0" applyFont="1" applyBorder="1" applyAlignment="1">
      <alignment horizontal="right"/>
    </xf>
    <xf numFmtId="0" fontId="9" fillId="0" borderId="14" xfId="0" applyFont="1" applyBorder="1" applyAlignment="1">
      <alignment horizontal="right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12" xfId="0" applyFont="1" applyBorder="1" applyAlignment="1">
      <alignment horizontal="right"/>
    </xf>
    <xf numFmtId="0" fontId="7" fillId="0" borderId="13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5" borderId="0" xfId="0" applyFont="1" applyFill="1" applyAlignment="1">
      <alignment horizontal="center" vertical="center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5" borderId="0" xfId="0" applyFont="1" applyFill="1" applyAlignment="1">
      <alignment horizontal="center"/>
    </xf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22" fillId="0" borderId="0" xfId="0" applyFont="1"/>
    <xf numFmtId="0" fontId="23" fillId="0" borderId="0" xfId="0" applyFont="1"/>
    <xf numFmtId="0" fontId="8" fillId="0" borderId="0" xfId="0" applyFont="1" applyAlignment="1">
      <alignment horizontal="right"/>
    </xf>
    <xf numFmtId="0" fontId="1" fillId="2" borderId="28" xfId="0" applyFont="1" applyFill="1" applyBorder="1" applyAlignment="1">
      <alignment horizontal="left" vertical="center"/>
    </xf>
    <xf numFmtId="0" fontId="1" fillId="2" borderId="2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5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30" fillId="0" borderId="0" xfId="0" applyFont="1"/>
    <xf numFmtId="0" fontId="15" fillId="2" borderId="28" xfId="0" applyFont="1" applyFill="1" applyBorder="1" applyAlignment="1">
      <alignment horizontal="center"/>
    </xf>
    <xf numFmtId="0" fontId="15" fillId="2" borderId="9" xfId="0" applyFont="1" applyFill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5" fillId="0" borderId="12" xfId="0" applyFont="1" applyBorder="1" applyAlignment="1">
      <alignment horizontal="right"/>
    </xf>
    <xf numFmtId="0" fontId="32" fillId="0" borderId="1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3" fillId="0" borderId="12" xfId="0" applyFont="1" applyBorder="1" applyAlignment="1">
      <alignment horizontal="right" vertical="center"/>
    </xf>
    <xf numFmtId="0" fontId="33" fillId="0" borderId="14" xfId="0" applyFont="1" applyBorder="1" applyAlignment="1">
      <alignment horizontal="right" vertical="center"/>
    </xf>
    <xf numFmtId="0" fontId="32" fillId="0" borderId="15" xfId="0" applyFont="1" applyBorder="1" applyAlignment="1">
      <alignment horizontal="center"/>
    </xf>
    <xf numFmtId="0" fontId="32" fillId="0" borderId="16" xfId="0" applyFont="1" applyBorder="1" applyAlignment="1">
      <alignment horizontal="center"/>
    </xf>
    <xf numFmtId="0" fontId="15" fillId="2" borderId="6" xfId="0" applyFont="1" applyFill="1" applyBorder="1" applyAlignment="1">
      <alignment horizontal="right"/>
    </xf>
    <xf numFmtId="0" fontId="15" fillId="2" borderId="8" xfId="0" applyFont="1" applyFill="1" applyBorder="1" applyAlignment="1">
      <alignment horizontal="center"/>
    </xf>
    <xf numFmtId="0" fontId="15" fillId="2" borderId="10" xfId="0" applyFont="1" applyFill="1" applyBorder="1" applyAlignment="1">
      <alignment horizontal="center"/>
    </xf>
    <xf numFmtId="0" fontId="15" fillId="2" borderId="7" xfId="0" applyFont="1" applyFill="1" applyBorder="1" applyAlignment="1">
      <alignment horizontal="center"/>
    </xf>
    <xf numFmtId="0" fontId="15" fillId="2" borderId="11" xfId="0" applyFont="1" applyFill="1" applyBorder="1" applyAlignment="1">
      <alignment horizontal="center"/>
    </xf>
    <xf numFmtId="0" fontId="17" fillId="0" borderId="12" xfId="0" applyFont="1" applyBorder="1" applyAlignment="1">
      <alignment horizontal="right"/>
    </xf>
    <xf numFmtId="0" fontId="14" fillId="0" borderId="2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7" fillId="0" borderId="14" xfId="0" applyFont="1" applyBorder="1" applyAlignment="1">
      <alignment horizontal="right"/>
    </xf>
    <xf numFmtId="0" fontId="14" fillId="0" borderId="25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6" fillId="0" borderId="12" xfId="0" applyFont="1" applyBorder="1" applyAlignment="1">
      <alignment horizontal="right"/>
    </xf>
    <xf numFmtId="0" fontId="16" fillId="0" borderId="14" xfId="0" applyFont="1" applyBorder="1" applyAlignment="1">
      <alignment horizontal="right"/>
    </xf>
    <xf numFmtId="0" fontId="0" fillId="0" borderId="25" xfId="0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0" xfId="0" applyBorder="1" applyAlignment="1">
      <alignment horizontal="left" vertical="center"/>
    </xf>
    <xf numFmtId="0" fontId="0" fillId="0" borderId="3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1" fillId="2" borderId="36" xfId="0" applyFont="1" applyFill="1" applyBorder="1" applyAlignment="1">
      <alignment horizontal="right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39" xfId="0" applyFont="1" applyBorder="1" applyAlignment="1">
      <alignment horizontal="right" vertical="center"/>
    </xf>
    <xf numFmtId="0" fontId="0" fillId="0" borderId="40" xfId="0" applyBorder="1" applyAlignment="1">
      <alignment horizontal="center" vertical="center"/>
    </xf>
    <xf numFmtId="2" fontId="0" fillId="0" borderId="40" xfId="0" applyNumberFormat="1" applyBorder="1" applyAlignment="1">
      <alignment horizontal="center" vertical="center"/>
    </xf>
    <xf numFmtId="1" fontId="0" fillId="0" borderId="41" xfId="0" applyNumberFormat="1" applyBorder="1" applyAlignment="1">
      <alignment horizontal="center" vertical="center"/>
    </xf>
    <xf numFmtId="164" fontId="0" fillId="0" borderId="42" xfId="0" applyNumberFormat="1" applyBorder="1" applyAlignment="1">
      <alignment horizontal="center" vertical="center"/>
    </xf>
    <xf numFmtId="0" fontId="4" fillId="0" borderId="43" xfId="0" applyFont="1" applyBorder="1" applyAlignment="1">
      <alignment horizontal="right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5" xfId="0" applyBorder="1" applyAlignment="1">
      <alignment horizontal="right" vertical="center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>
      <alignment horizontal="left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right" vertical="center"/>
    </xf>
    <xf numFmtId="0" fontId="0" fillId="0" borderId="52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5" fillId="0" borderId="32" xfId="0" applyFont="1" applyBorder="1" applyAlignment="1">
      <alignment horizontal="center" vertical="center"/>
    </xf>
    <xf numFmtId="0" fontId="35" fillId="0" borderId="31" xfId="0" applyFont="1" applyBorder="1" applyAlignment="1">
      <alignment vertical="center"/>
    </xf>
    <xf numFmtId="0" fontId="35" fillId="0" borderId="32" xfId="0" applyFont="1" applyBorder="1" applyAlignment="1">
      <alignment vertical="center"/>
    </xf>
    <xf numFmtId="0" fontId="35" fillId="0" borderId="33" xfId="0" applyFont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8" xfId="0" applyFont="1" applyFill="1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2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47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30" xfId="0" applyBorder="1" applyAlignment="1">
      <alignment horizontal="right"/>
    </xf>
    <xf numFmtId="0" fontId="15" fillId="2" borderId="7" xfId="0" applyFont="1" applyFill="1" applyBorder="1" applyAlignment="1">
      <alignment horizontal="center" vertical="center"/>
    </xf>
    <xf numFmtId="0" fontId="15" fillId="2" borderId="46" xfId="0" applyFont="1" applyFill="1" applyBorder="1" applyAlignment="1">
      <alignment horizontal="center" vertical="center"/>
    </xf>
    <xf numFmtId="0" fontId="15" fillId="2" borderId="47" xfId="0" applyFont="1" applyFill="1" applyBorder="1" applyAlignment="1">
      <alignment horizontal="center" vertical="center"/>
    </xf>
    <xf numFmtId="0" fontId="15" fillId="2" borderId="48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right" vertical="center"/>
    </xf>
    <xf numFmtId="0" fontId="1" fillId="0" borderId="23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13" fillId="0" borderId="11" xfId="0" applyFont="1" applyBorder="1" applyAlignment="1">
      <alignment horizontal="center" vertical="center"/>
    </xf>
    <xf numFmtId="0" fontId="15" fillId="0" borderId="14" xfId="0" applyFont="1" applyBorder="1" applyAlignment="1">
      <alignment horizontal="right" vertical="center"/>
    </xf>
    <xf numFmtId="0" fontId="36" fillId="0" borderId="16" xfId="0" applyFont="1" applyBorder="1" applyAlignment="1">
      <alignment horizontal="left" vertical="center"/>
    </xf>
    <xf numFmtId="0" fontId="21" fillId="3" borderId="0" xfId="0" applyFont="1" applyFill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15" xfId="0" applyFont="1" applyFill="1" applyBorder="1" applyAlignment="1" applyProtection="1">
      <alignment horizontal="center" vertical="center"/>
      <protection locked="0"/>
    </xf>
    <xf numFmtId="0" fontId="1" fillId="3" borderId="16" xfId="0" applyFont="1" applyFill="1" applyBorder="1" applyAlignment="1" applyProtection="1">
      <alignment horizontal="center" vertical="center"/>
      <protection locked="0"/>
    </xf>
    <xf numFmtId="0" fontId="27" fillId="3" borderId="0" xfId="0" applyFont="1" applyFill="1" applyAlignment="1" applyProtection="1">
      <alignment vertical="center"/>
      <protection locked="0"/>
    </xf>
    <xf numFmtId="0" fontId="31" fillId="3" borderId="0" xfId="0" applyFont="1" applyFill="1" applyAlignment="1" applyProtection="1">
      <alignment vertical="center"/>
      <protection locked="0"/>
    </xf>
    <xf numFmtId="0" fontId="15" fillId="3" borderId="16" xfId="0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Protection="1">
      <protection locked="0"/>
    </xf>
    <xf numFmtId="0" fontId="23" fillId="4" borderId="31" xfId="0" applyFont="1" applyFill="1" applyBorder="1" applyAlignment="1">
      <alignment horizontal="center" vertical="center"/>
    </xf>
    <xf numFmtId="0" fontId="23" fillId="4" borderId="32" xfId="0" applyFont="1" applyFill="1" applyBorder="1" applyAlignment="1">
      <alignment horizontal="center" vertical="center"/>
    </xf>
    <xf numFmtId="0" fontId="23" fillId="4" borderId="33" xfId="0" applyFont="1" applyFill="1" applyBorder="1" applyAlignment="1">
      <alignment horizontal="center" vertical="center"/>
    </xf>
    <xf numFmtId="0" fontId="30" fillId="4" borderId="31" xfId="0" applyFont="1" applyFill="1" applyBorder="1" applyAlignment="1">
      <alignment horizontal="center" vertical="center"/>
    </xf>
    <xf numFmtId="0" fontId="30" fillId="4" borderId="32" xfId="0" applyFont="1" applyFill="1" applyBorder="1" applyAlignment="1">
      <alignment horizontal="center" vertical="center"/>
    </xf>
    <xf numFmtId="0" fontId="30" fillId="4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Ensemble!$C$159</c:f>
          <c:strCache>
            <c:ptCount val="1"/>
            <c:pt idx="0">
              <c:v>Blocs sur Porte 0 / 0; sans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2749271484295102E-2"/>
          <c:y val="3.9662420348315026E-2"/>
          <c:w val="0.9679658057333641"/>
          <c:h val="0.92067516394461912"/>
        </c:manualLayout>
      </c:layout>
      <c:scatterChart>
        <c:scatterStyle val="lineMarker"/>
        <c:varyColors val="0"/>
        <c:ser>
          <c:idx val="0"/>
          <c:order val="0"/>
          <c:tx>
            <c:strRef>
              <c:f>Ensemble!$C$223</c:f>
              <c:strCache>
                <c:ptCount val="1"/>
                <c:pt idx="0">
                  <c:v>OSB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Ensemble!$D$223:$D$227</c:f>
              <c:numCache>
                <c:formatCode>General</c:formatCode>
                <c:ptCount val="5"/>
                <c:pt idx="0">
                  <c:v>33</c:v>
                </c:pt>
                <c:pt idx="1">
                  <c:v>87</c:v>
                </c:pt>
                <c:pt idx="2">
                  <c:v>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Ensemble!$E$223:$E$227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2760</c:v>
                </c:pt>
                <c:pt idx="3">
                  <c:v>2760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A0D-4CC6-B4E3-7D0413E72292}"/>
            </c:ext>
          </c:extLst>
        </c:ser>
        <c:ser>
          <c:idx val="2"/>
          <c:order val="1"/>
          <c:tx>
            <c:strRef>
              <c:f>Ensemble!$C$229</c:f>
              <c:strCache>
                <c:ptCount val="1"/>
                <c:pt idx="0">
                  <c:v>Montant gauche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Ensemble!$D$229:$D$233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Ensemble!$E$229:$E$233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A0D-4CC6-B4E3-7D0413E72292}"/>
            </c:ext>
          </c:extLst>
        </c:ser>
        <c:ser>
          <c:idx val="1"/>
          <c:order val="2"/>
          <c:tx>
            <c:strRef>
              <c:f>Ensemble!$C$265</c:f>
              <c:strCache>
                <c:ptCount val="1"/>
                <c:pt idx="0">
                  <c:v>Lisse basse 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Ensemble!$D$265:$D$269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Ensemble!$E$265:$E$269</c:f>
              <c:numCache>
                <c:formatCode>General</c:formatCode>
                <c:ptCount val="5"/>
                <c:pt idx="0">
                  <c:v>2430</c:v>
                </c:pt>
                <c:pt idx="1">
                  <c:v>2430</c:v>
                </c:pt>
                <c:pt idx="2">
                  <c:v>2475</c:v>
                </c:pt>
                <c:pt idx="3">
                  <c:v>2475</c:v>
                </c:pt>
                <c:pt idx="4">
                  <c:v>2430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A0D-4CC6-B4E3-7D0413E72292}"/>
            </c:ext>
          </c:extLst>
        </c:ser>
        <c:ser>
          <c:idx val="3"/>
          <c:order val="3"/>
          <c:tx>
            <c:strRef>
              <c:f>Ensemble!$C$259</c:f>
              <c:strCache>
                <c:ptCount val="1"/>
                <c:pt idx="0">
                  <c:v>Montant droit 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Ensemble!$D$259:$D$263</c:f>
              <c:numCache>
                <c:formatCode>General</c:formatCode>
                <c:ptCount val="5"/>
                <c:pt idx="0">
                  <c:v>15</c:v>
                </c:pt>
                <c:pt idx="1">
                  <c:v>60</c:v>
                </c:pt>
                <c:pt idx="2">
                  <c:v>60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Ensemble!$E$259:$E$263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A0D-4CC6-B4E3-7D0413E72292}"/>
            </c:ext>
          </c:extLst>
        </c:ser>
        <c:ser>
          <c:idx val="4"/>
          <c:order val="4"/>
          <c:tx>
            <c:strRef>
              <c:f>Ensemble!$C$271</c:f>
              <c:strCache>
                <c:ptCount val="1"/>
                <c:pt idx="0">
                  <c:v>Lisse haute 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Ensemble!$D$271:$D$275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Ensemble!$E$271:$E$275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A0D-4CC6-B4E3-7D0413E72292}"/>
            </c:ext>
          </c:extLst>
        </c:ser>
        <c:ser>
          <c:idx val="5"/>
          <c:order val="5"/>
          <c:tx>
            <c:strRef>
              <c:f>Ensemble!$D$167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tx2"/>
              </a:solidFill>
              <a:headEnd type="triangle"/>
              <a:tailEnd type="triangle"/>
            </a:ln>
          </c:spPr>
          <c:marker>
            <c:symbol val="none"/>
          </c:marker>
          <c:dLbls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3796-43E4-BD1A-86ECFAB85918}"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Ensemble!$D$278:$D$279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Ensemble!$E$278:$E$279</c:f>
              <c:numCache>
                <c:formatCode>General</c:formatCode>
                <c:ptCount val="2"/>
                <c:pt idx="0">
                  <c:v>2030</c:v>
                </c:pt>
                <c:pt idx="1">
                  <c:v>2030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A0D-4CC6-B4E3-7D0413E72292}"/>
            </c:ext>
          </c:extLst>
        </c:ser>
        <c:ser>
          <c:idx val="6"/>
          <c:order val="6"/>
          <c:tx>
            <c:strRef>
              <c:f>Ensemble!$C$284</c:f>
              <c:strCache>
                <c:ptCount val="1"/>
                <c:pt idx="0">
                  <c:v>Ligne de Cotation hauteur  Sur-Porte</c:v>
                </c:pt>
              </c:strCache>
            </c:strRef>
          </c:tx>
          <c:spPr>
            <a:ln>
              <a:solidFill>
                <a:schemeClr val="tx2"/>
              </a:solidFill>
              <a:headEnd type="triangle"/>
              <a:tailEnd type="triangle"/>
            </a:ln>
          </c:spPr>
          <c:marker>
            <c:symbol val="none"/>
          </c:marker>
          <c:dLbls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3796-43E4-BD1A-86ECFAB85918}"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Ensemble!$D$284:$D$285</c:f>
              <c:numCache>
                <c:formatCode>General</c:formatCode>
                <c:ptCount val="2"/>
                <c:pt idx="0">
                  <c:v>260</c:v>
                </c:pt>
                <c:pt idx="1">
                  <c:v>260</c:v>
                </c:pt>
              </c:numCache>
            </c:numRef>
          </c:xVal>
          <c:yVal>
            <c:numRef>
              <c:f>Ensemble!$E$284:$E$285</c:f>
              <c:numCache>
                <c:formatCode>General</c:formatCode>
                <c:ptCount val="2"/>
                <c:pt idx="0">
                  <c:v>2430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9A0D-4CC6-B4E3-7D0413E72292}"/>
            </c:ext>
          </c:extLst>
        </c:ser>
        <c:ser>
          <c:idx val="7"/>
          <c:order val="7"/>
          <c:tx>
            <c:strRef>
              <c:f>Ensemble!$C$235</c:f>
              <c:strCache>
                <c:ptCount val="1"/>
                <c:pt idx="0">
                  <c:v>ossature intermédiaire 1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Ensemble!$D$235:$D$239</c:f>
            </c:numRef>
          </c:xVal>
          <c:yVal>
            <c:numRef>
              <c:f>Ensemble!$E$235:$E$239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9A0D-4CC6-B4E3-7D0413E72292}"/>
            </c:ext>
          </c:extLst>
        </c:ser>
        <c:ser>
          <c:idx val="8"/>
          <c:order val="8"/>
          <c:tx>
            <c:strRef>
              <c:f>Ensemble!$C$241</c:f>
              <c:strCache>
                <c:ptCount val="1"/>
                <c:pt idx="0">
                  <c:v>ossature intermédiaire 2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Ensemble!$D$241:$D$245</c:f>
            </c:numRef>
          </c:xVal>
          <c:yVal>
            <c:numRef>
              <c:f>Ensemble!$E$241:$E$245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9A0D-4CC6-B4E3-7D0413E72292}"/>
            </c:ext>
          </c:extLst>
        </c:ser>
        <c:ser>
          <c:idx val="9"/>
          <c:order val="9"/>
          <c:tx>
            <c:strRef>
              <c:f>Ensemble!$C$247</c:f>
              <c:strCache>
                <c:ptCount val="1"/>
                <c:pt idx="0">
                  <c:v>ossature intermédiaire 3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Ensemble!$D$247:$D$251</c:f>
            </c:numRef>
          </c:xVal>
          <c:yVal>
            <c:numRef>
              <c:f>Ensemble!$E$247:$E$251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9A0D-4CC6-B4E3-7D0413E72292}"/>
            </c:ext>
          </c:extLst>
        </c:ser>
        <c:ser>
          <c:idx val="10"/>
          <c:order val="10"/>
          <c:tx>
            <c:strRef>
              <c:f>Ensemble!$C$253</c:f>
              <c:strCache>
                <c:ptCount val="1"/>
                <c:pt idx="0">
                  <c:v>ossature intermédiaire 4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Ensemble!$D$253:$D$257</c:f>
            </c:numRef>
          </c:xVal>
          <c:yVal>
            <c:numRef>
              <c:f>Ensemble!$E$253:$E$257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9A0D-4CC6-B4E3-7D0413E72292}"/>
            </c:ext>
          </c:extLst>
        </c:ser>
        <c:ser>
          <c:idx val="11"/>
          <c:order val="11"/>
          <c:tx>
            <c:strRef>
              <c:f>Ensemble!$C$299</c:f>
              <c:strCache>
                <c:ptCount val="1"/>
                <c:pt idx="0">
                  <c:v>Dépassée basse  Sur-Porte</c:v>
                </c:pt>
              </c:strCache>
            </c:strRef>
          </c:tx>
          <c:spPr>
            <a:ln>
              <a:solidFill>
                <a:schemeClr val="accent6">
                  <a:shade val="65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9007818-8E43-41F1-96D7-3204794ACC46}" type="CELLRANGE">
                      <a:rPr lang="en-US" b="1">
                        <a:solidFill>
                          <a:schemeClr val="accent4">
                            <a:lumMod val="50000"/>
                          </a:schemeClr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3796-43E4-BD1A-86ECFAB8591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3796-43E4-BD1A-86ECFAB85918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Ensemble!$D$299:$D$300</c:f>
              <c:numCache>
                <c:formatCode>General</c:formatCode>
                <c:ptCount val="2"/>
                <c:pt idx="0">
                  <c:v>90</c:v>
                </c:pt>
                <c:pt idx="1">
                  <c:v>140</c:v>
                </c:pt>
              </c:numCache>
            </c:numRef>
          </c:xVal>
          <c:yVal>
            <c:numRef>
              <c:f>Ensemble!$E$299:$E$300</c:f>
              <c:numCache>
                <c:formatCode>General</c:formatCode>
                <c:ptCount val="2"/>
                <c:pt idx="0">
                  <c:v>2165</c:v>
                </c:pt>
                <c:pt idx="1">
                  <c:v>2165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Ensemble!$C$300</c15:f>
                <c15:dlblRangeCache>
                  <c:ptCount val="1"/>
                  <c:pt idx="0">
                    <c:v>Panneaux +265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3796-43E4-BD1A-86ECFAB85918}"/>
            </c:ext>
          </c:extLst>
        </c:ser>
        <c:ser>
          <c:idx val="12"/>
          <c:order val="12"/>
          <c:tx>
            <c:strRef>
              <c:f>Ensemble!$C$290</c:f>
              <c:strCache>
                <c:ptCount val="1"/>
                <c:pt idx="0">
                  <c:v>Dépassée Gauche  Sur-Porte</c:v>
                </c:pt>
              </c:strCache>
            </c:strRef>
          </c:tx>
          <c:spPr>
            <a:ln>
              <a:solidFill>
                <a:schemeClr val="accent4">
                  <a:lumMod val="60000"/>
                  <a:lumOff val="40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B90B337B-D4C8-4D41-A019-C13B4DBAC997}" type="CELLRANGE">
                      <a:rPr lang="en-US" b="1">
                        <a:solidFill>
                          <a:schemeClr val="accent4">
                            <a:lumMod val="50000"/>
                          </a:schemeClr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3796-43E4-BD1A-86ECFAB8591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3796-43E4-BD1A-86ECFAB859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Ensemble!$D$290:$D$291</c:f>
              <c:numCache>
                <c:formatCode>General</c:formatCode>
                <c:ptCount val="2"/>
                <c:pt idx="0">
                  <c:v>33</c:v>
                </c:pt>
                <c:pt idx="1">
                  <c:v>33</c:v>
                </c:pt>
              </c:numCache>
            </c:numRef>
          </c:xVal>
          <c:yVal>
            <c:numRef>
              <c:f>Ensemble!$E$290:$E$291</c:f>
              <c:numCache>
                <c:formatCode>General</c:formatCode>
                <c:ptCount val="2"/>
                <c:pt idx="0">
                  <c:v>2462.5</c:v>
                </c:pt>
                <c:pt idx="1">
                  <c:v>2512.5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Ensemble!$C$291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3796-43E4-BD1A-86ECFAB85918}"/>
            </c:ext>
          </c:extLst>
        </c:ser>
        <c:ser>
          <c:idx val="13"/>
          <c:order val="13"/>
          <c:tx>
            <c:strRef>
              <c:f>Ensemble!$C$296</c:f>
              <c:strCache>
                <c:ptCount val="1"/>
                <c:pt idx="0">
                  <c:v>Dépassée Haute  Sur-Porte</c:v>
                </c:pt>
              </c:strCache>
            </c:strRef>
          </c:tx>
          <c:spPr>
            <a:ln>
              <a:solidFill>
                <a:schemeClr val="accent4">
                  <a:lumMod val="60000"/>
                  <a:lumOff val="40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F6A1E4C-8D53-454F-BBFD-147F0C7BD8F3}" type="CELLRANGE">
                      <a:rPr lang="en-US" b="1">
                        <a:solidFill>
                          <a:schemeClr val="accent4">
                            <a:lumMod val="50000"/>
                          </a:schemeClr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3796-43E4-BD1A-86ECFAB8591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3796-43E4-BD1A-86ECFAB85918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Ensemble!$D$296:$D$297</c:f>
              <c:numCache>
                <c:formatCode>General</c:formatCode>
                <c:ptCount val="2"/>
                <c:pt idx="0">
                  <c:v>90</c:v>
                </c:pt>
                <c:pt idx="1">
                  <c:v>140</c:v>
                </c:pt>
              </c:numCache>
            </c:numRef>
          </c:xVal>
          <c:yVal>
            <c:numRef>
              <c:f>Ensemble!$E$296:$E$297</c:f>
              <c:numCache>
                <c:formatCode>General</c:formatCode>
                <c:ptCount val="2"/>
                <c:pt idx="0">
                  <c:v>2760</c:v>
                </c:pt>
                <c:pt idx="1">
                  <c:v>2760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Ensemble!$C$297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A-3796-43E4-BD1A-86ECFAB85918}"/>
            </c:ext>
          </c:extLst>
        </c:ser>
        <c:ser>
          <c:idx val="14"/>
          <c:order val="14"/>
          <c:tx>
            <c:strRef>
              <c:f>Ensemble!$C$293</c:f>
              <c:strCache>
                <c:ptCount val="1"/>
                <c:pt idx="0">
                  <c:v>Dépassée Droite  Sur-Porte</c:v>
                </c:pt>
              </c:strCache>
            </c:strRef>
          </c:tx>
          <c:spPr>
            <a:ln>
              <a:solidFill>
                <a:schemeClr val="accent4">
                  <a:lumMod val="60000"/>
                  <a:lumOff val="40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2FBC551E-AFFE-4394-841E-0341CD1A52A5}" type="CELLRANGE">
                      <a:rPr lang="en-US" b="1">
                        <a:solidFill>
                          <a:schemeClr val="accent4">
                            <a:lumMod val="50000"/>
                          </a:schemeClr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3796-43E4-BD1A-86ECFAB8591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3796-43E4-BD1A-86ECFAB859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Ensemble!$D$293:$D$294</c:f>
              <c:numCache>
                <c:formatCode>General</c:formatCode>
                <c:ptCount val="2"/>
                <c:pt idx="0">
                  <c:v>87</c:v>
                </c:pt>
                <c:pt idx="1">
                  <c:v>87</c:v>
                </c:pt>
              </c:numCache>
            </c:numRef>
          </c:xVal>
          <c:yVal>
            <c:numRef>
              <c:f>Ensemble!$E$293:$E$294</c:f>
              <c:numCache>
                <c:formatCode>General</c:formatCode>
                <c:ptCount val="2"/>
                <c:pt idx="0">
                  <c:v>2462.5</c:v>
                </c:pt>
                <c:pt idx="1">
                  <c:v>2512.5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Ensemble!$C$294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3796-43E4-BD1A-86ECFAB85918}"/>
            </c:ext>
          </c:extLst>
        </c:ser>
        <c:ser>
          <c:idx val="15"/>
          <c:order val="15"/>
          <c:tx>
            <c:strRef>
              <c:f>Ensemble!$C$281</c:f>
              <c:strCache>
                <c:ptCount val="1"/>
                <c:pt idx="0">
                  <c:v>Texte de Cotation Largeur  Sur-Porte</c:v>
                </c:pt>
              </c:strCache>
            </c:strRef>
          </c:tx>
          <c:spPr>
            <a:ln>
              <a:solidFill>
                <a:schemeClr val="accent6">
                  <a:shade val="65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7A26DCD5-75C8-4566-8438-62B541D8D5FB}" type="CELLRANGE">
                      <a:rPr lang="en-US" b="1">
                        <a:solidFill>
                          <a:schemeClr val="tx2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3796-43E4-BD1A-86ECFAB8591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3796-43E4-BD1A-86ECFAB85918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Ensemble!$D$281:$D$282</c:f>
              <c:numCache>
                <c:formatCode>General</c:formatCode>
                <c:ptCount val="2"/>
                <c:pt idx="0">
                  <c:v>60</c:v>
                </c:pt>
                <c:pt idx="1">
                  <c:v>110</c:v>
                </c:pt>
              </c:numCache>
            </c:numRef>
          </c:xVal>
          <c:yVal>
            <c:numRef>
              <c:f>Ensemble!$E$281:$E$282</c:f>
              <c:numCache>
                <c:formatCode>General</c:formatCode>
                <c:ptCount val="2"/>
                <c:pt idx="0">
                  <c:v>2030</c:v>
                </c:pt>
                <c:pt idx="1">
                  <c:v>2030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Ensemble!$C$282</c15:f>
                <c15:dlblRangeCache>
                  <c:ptCount val="1"/>
                  <c:pt idx="0">
                    <c:v>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0-3796-43E4-BD1A-86ECFAB85918}"/>
            </c:ext>
          </c:extLst>
        </c:ser>
        <c:ser>
          <c:idx val="16"/>
          <c:order val="16"/>
          <c:tx>
            <c:strRef>
              <c:f>Ensemble!$C$287</c:f>
              <c:strCache>
                <c:ptCount val="1"/>
                <c:pt idx="0">
                  <c:v>Texte de Cotation hauteur  Sur-Porte</c:v>
                </c:pt>
              </c:strCache>
            </c:strRef>
          </c:tx>
          <c:spPr>
            <a:ln>
              <a:solidFill>
                <a:schemeClr val="accent6">
                  <a:shade val="65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3DF628FB-DA7F-4291-B647-79D494BF52A1}" type="CELLRANGE">
                      <a:rPr lang="en-US" b="1">
                        <a:solidFill>
                          <a:schemeClr val="tx2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3796-43E4-BD1A-86ECFAB8591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3796-43E4-BD1A-86ECFAB859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Ensemble!$D$287:$D$288</c:f>
              <c:numCache>
                <c:formatCode>General</c:formatCode>
                <c:ptCount val="2"/>
                <c:pt idx="0">
                  <c:v>260</c:v>
                </c:pt>
                <c:pt idx="1">
                  <c:v>260</c:v>
                </c:pt>
              </c:numCache>
            </c:numRef>
          </c:xVal>
          <c:yVal>
            <c:numRef>
              <c:f>Ensemble!$E$287:$E$288</c:f>
              <c:numCache>
                <c:formatCode>General</c:formatCode>
                <c:ptCount val="2"/>
                <c:pt idx="0">
                  <c:v>2575</c:v>
                </c:pt>
                <c:pt idx="1">
                  <c:v>2625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Ensemble!$C$288</c15:f>
                <c15:dlblRangeCache>
                  <c:ptCount val="1"/>
                  <c:pt idx="0">
                    <c:v>290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3-3796-43E4-BD1A-86ECFAB85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309000"/>
        <c:axId val="366309392"/>
      </c:scatterChart>
      <c:valAx>
        <c:axId val="366309000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366309392"/>
        <c:crossesAt val="-2147483647"/>
        <c:crossBetween val="midCat"/>
      </c:valAx>
      <c:valAx>
        <c:axId val="366309392"/>
        <c:scaling>
          <c:orientation val="minMax"/>
          <c:max val="3000"/>
          <c:min val="18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366309000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Ensemble!$C$4</c:f>
          <c:strCache>
            <c:ptCount val="1"/>
            <c:pt idx="0">
              <c:v>Porte 0 / 0; sans VR; </c:v>
            </c:pt>
          </c:strCache>
        </c:strRef>
      </c:tx>
      <c:overlay val="0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49693618029961E-2"/>
          <c:y val="3.746492021674945E-2"/>
          <c:w val="0.9465030638197004"/>
          <c:h val="0.96253507978325059"/>
        </c:manualLayout>
      </c:layout>
      <c:scatterChart>
        <c:scatterStyle val="lineMarker"/>
        <c:varyColors val="0"/>
        <c:ser>
          <c:idx val="0"/>
          <c:order val="0"/>
          <c:tx>
            <c:strRef>
              <c:f>Ensemble!$C$223</c:f>
              <c:strCache>
                <c:ptCount val="1"/>
                <c:pt idx="0">
                  <c:v>OSB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Ensemble!$D$223:$D$227</c:f>
              <c:numCache>
                <c:formatCode>General</c:formatCode>
                <c:ptCount val="5"/>
                <c:pt idx="0">
                  <c:v>33</c:v>
                </c:pt>
                <c:pt idx="1">
                  <c:v>87</c:v>
                </c:pt>
                <c:pt idx="2">
                  <c:v>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Ensemble!$E$223:$E$227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2760</c:v>
                </c:pt>
                <c:pt idx="3">
                  <c:v>2760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724-4E92-BDFF-F1E1A793FC26}"/>
            </c:ext>
          </c:extLst>
        </c:ser>
        <c:ser>
          <c:idx val="2"/>
          <c:order val="1"/>
          <c:tx>
            <c:strRef>
              <c:f>Ensemble!$C$229</c:f>
              <c:strCache>
                <c:ptCount val="1"/>
                <c:pt idx="0">
                  <c:v>Montant gauche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Ensemble!$D$229:$D$233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Ensemble!$E$229:$E$233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724-4E92-BDFF-F1E1A793FC26}"/>
            </c:ext>
          </c:extLst>
        </c:ser>
        <c:ser>
          <c:idx val="1"/>
          <c:order val="2"/>
          <c:tx>
            <c:strRef>
              <c:f>Ensemble!$C$265</c:f>
              <c:strCache>
                <c:ptCount val="1"/>
                <c:pt idx="0">
                  <c:v>Lisse basse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Ensemble!$D$265:$D$269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Ensemble!$E$265:$E$269</c:f>
              <c:numCache>
                <c:formatCode>General</c:formatCode>
                <c:ptCount val="5"/>
                <c:pt idx="0">
                  <c:v>2430</c:v>
                </c:pt>
                <c:pt idx="1">
                  <c:v>2430</c:v>
                </c:pt>
                <c:pt idx="2">
                  <c:v>2475</c:v>
                </c:pt>
                <c:pt idx="3">
                  <c:v>2475</c:v>
                </c:pt>
                <c:pt idx="4">
                  <c:v>2430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724-4E92-BDFF-F1E1A793FC26}"/>
            </c:ext>
          </c:extLst>
        </c:ser>
        <c:ser>
          <c:idx val="3"/>
          <c:order val="3"/>
          <c:tx>
            <c:strRef>
              <c:f>Ensemble!$C$259</c:f>
              <c:strCache>
                <c:ptCount val="1"/>
                <c:pt idx="0">
                  <c:v>Montant droit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Ensemble!$D$259:$D$263</c:f>
              <c:numCache>
                <c:formatCode>General</c:formatCode>
                <c:ptCount val="5"/>
                <c:pt idx="0">
                  <c:v>15</c:v>
                </c:pt>
                <c:pt idx="1">
                  <c:v>60</c:v>
                </c:pt>
                <c:pt idx="2">
                  <c:v>60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Ensemble!$E$259:$E$263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724-4E92-BDFF-F1E1A793FC26}"/>
            </c:ext>
          </c:extLst>
        </c:ser>
        <c:ser>
          <c:idx val="4"/>
          <c:order val="4"/>
          <c:tx>
            <c:strRef>
              <c:f>Ensemble!$C$271</c:f>
              <c:strCache>
                <c:ptCount val="1"/>
                <c:pt idx="0">
                  <c:v>Lisse haute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Ensemble!$D$271:$D$275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Ensemble!$E$271:$E$275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724-4E92-BDFF-F1E1A793FC26}"/>
            </c:ext>
          </c:extLst>
        </c:ser>
        <c:ser>
          <c:idx val="7"/>
          <c:order val="5"/>
          <c:tx>
            <c:strRef>
              <c:f>Ensemble!$C$235</c:f>
              <c:strCache>
                <c:ptCount val="1"/>
                <c:pt idx="0">
                  <c:v>ossature intermédiaire 1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Ensemble!$D$235:$D$239</c:f>
            </c:numRef>
          </c:xVal>
          <c:yVal>
            <c:numRef>
              <c:f>Ensemble!$E$235:$E$239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724-4E92-BDFF-F1E1A793FC26}"/>
            </c:ext>
          </c:extLst>
        </c:ser>
        <c:ser>
          <c:idx val="8"/>
          <c:order val="6"/>
          <c:tx>
            <c:strRef>
              <c:f>Ensemble!$C$241</c:f>
              <c:strCache>
                <c:ptCount val="1"/>
                <c:pt idx="0">
                  <c:v>ossature intermédiaire 2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Ensemble!$D$241:$D$245</c:f>
            </c:numRef>
          </c:xVal>
          <c:yVal>
            <c:numRef>
              <c:f>Ensemble!$E$241:$E$245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C724-4E92-BDFF-F1E1A793FC26}"/>
            </c:ext>
          </c:extLst>
        </c:ser>
        <c:ser>
          <c:idx val="9"/>
          <c:order val="7"/>
          <c:tx>
            <c:strRef>
              <c:f>Ensemble!$C$247</c:f>
              <c:strCache>
                <c:ptCount val="1"/>
                <c:pt idx="0">
                  <c:v>ossature intermédiaire 3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Ensemble!$D$247:$D$251</c:f>
            </c:numRef>
          </c:xVal>
          <c:yVal>
            <c:numRef>
              <c:f>Ensemble!$E$247:$E$251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724-4E92-BDFF-F1E1A793FC26}"/>
            </c:ext>
          </c:extLst>
        </c:ser>
        <c:ser>
          <c:idx val="10"/>
          <c:order val="8"/>
          <c:tx>
            <c:strRef>
              <c:f>Ensemble!$C$253</c:f>
              <c:strCache>
                <c:ptCount val="1"/>
                <c:pt idx="0">
                  <c:v>ossature intermédiaire 4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Ensemble!$D$253:$D$257</c:f>
            </c:numRef>
          </c:xVal>
          <c:yVal>
            <c:numRef>
              <c:f>Ensemble!$E$253:$E$257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724-4E92-BDFF-F1E1A793FC26}"/>
            </c:ext>
          </c:extLst>
        </c:ser>
        <c:ser>
          <c:idx val="11"/>
          <c:order val="9"/>
          <c:tx>
            <c:strRef>
              <c:f>Ensemble!$C$74</c:f>
              <c:strCache>
                <c:ptCount val="1"/>
                <c:pt idx="0">
                  <c:v>Montant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Ensemble!$D$74:$D$78</c:f>
              <c:numCache>
                <c:formatCode>General</c:formatCode>
                <c:ptCount val="5"/>
                <c:pt idx="0">
                  <c:v>0</c:v>
                </c:pt>
                <c:pt idx="1">
                  <c:v>45</c:v>
                </c:pt>
                <c:pt idx="2">
                  <c:v>45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Ensemble!$E$74:$E$78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235</c:v>
                </c:pt>
                <c:pt idx="3">
                  <c:v>235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724-4E92-BDFF-F1E1A793FC26}"/>
            </c:ext>
          </c:extLst>
        </c:ser>
        <c:ser>
          <c:idx val="12"/>
          <c:order val="10"/>
          <c:tx>
            <c:strRef>
              <c:f>Ensemble!$C$80</c:f>
              <c:strCache>
                <c:ptCount val="1"/>
                <c:pt idx="0">
                  <c:v>Montant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Ensemble!$D$80:$D$84</c:f>
              <c:numCache>
                <c:formatCode>General</c:formatCode>
                <c:ptCount val="5"/>
                <c:pt idx="0">
                  <c:v>75</c:v>
                </c:pt>
                <c:pt idx="1">
                  <c:v>120</c:v>
                </c:pt>
                <c:pt idx="2">
                  <c:v>120</c:v>
                </c:pt>
                <c:pt idx="3">
                  <c:v>75</c:v>
                </c:pt>
                <c:pt idx="4">
                  <c:v>75</c:v>
                </c:pt>
              </c:numCache>
            </c:numRef>
          </c:xVal>
          <c:yVal>
            <c:numRef>
              <c:f>Ensemble!$E$80:$E$84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235</c:v>
                </c:pt>
                <c:pt idx="3">
                  <c:v>235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C724-4E92-BDFF-F1E1A793FC26}"/>
            </c:ext>
          </c:extLst>
        </c:ser>
        <c:ser>
          <c:idx val="13"/>
          <c:order val="11"/>
          <c:tx>
            <c:strRef>
              <c:f>Ensemble!$C$86</c:f>
              <c:strCache>
                <c:ptCount val="1"/>
                <c:pt idx="0">
                  <c:v>Linteau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Ensemble!$D$86:$D$90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Ensemble!$E$86:$E$90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2385</c:v>
                </c:pt>
                <c:pt idx="3">
                  <c:v>2385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C724-4E92-BDFF-F1E1A793FC26}"/>
            </c:ext>
          </c:extLst>
        </c:ser>
        <c:ser>
          <c:idx val="14"/>
          <c:order val="12"/>
          <c:tx>
            <c:strRef>
              <c:f>Ensemble!$C$92</c:f>
              <c:strCache>
                <c:ptCount val="1"/>
                <c:pt idx="0">
                  <c:v>Traverse haute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Ensemble!$D$92:$D$96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Ensemble!$E$92:$E$96</c:f>
              <c:numCache>
                <c:formatCode>General</c:formatCode>
                <c:ptCount val="5"/>
                <c:pt idx="0">
                  <c:v>2385</c:v>
                </c:pt>
                <c:pt idx="1">
                  <c:v>2385</c:v>
                </c:pt>
                <c:pt idx="2">
                  <c:v>2430</c:v>
                </c:pt>
                <c:pt idx="3">
                  <c:v>2430</c:v>
                </c:pt>
                <c:pt idx="4">
                  <c:v>2385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C724-4E92-BDFF-F1E1A793FC26}"/>
            </c:ext>
          </c:extLst>
        </c:ser>
        <c:ser>
          <c:idx val="5"/>
          <c:order val="13"/>
          <c:tx>
            <c:strRef>
              <c:f>Ensemble!$C$144</c:f>
              <c:strCache>
                <c:ptCount val="1"/>
                <c:pt idx="0">
                  <c:v>Ligne Linteau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Ensemble!$D$144:$D$145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Ensemble!$E$144:$E$145</c:f>
              <c:numCache>
                <c:formatCode>General</c:formatCode>
                <c:ptCount val="2"/>
                <c:pt idx="0">
                  <c:v>2150</c:v>
                </c:pt>
                <c:pt idx="1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C724-4E92-BDFF-F1E1A793FC26}"/>
            </c:ext>
          </c:extLst>
        </c:ser>
        <c:ser>
          <c:idx val="6"/>
          <c:order val="14"/>
          <c:tx>
            <c:strRef>
              <c:f>Ensemble!$C$147</c:f>
              <c:strCache>
                <c:ptCount val="1"/>
                <c:pt idx="0">
                  <c:v>Ligne altimétrie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Ensemble!$D$147:$D$148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Ensemble!$E$147:$E$148</c:f>
              <c:numCache>
                <c:formatCode>General</c:formatCode>
                <c:ptCount val="2"/>
                <c:pt idx="0">
                  <c:v>2720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C724-4E92-BDFF-F1E1A793FC26}"/>
            </c:ext>
          </c:extLst>
        </c:ser>
        <c:ser>
          <c:idx val="15"/>
          <c:order val="15"/>
          <c:tx>
            <c:strRef>
              <c:f>Ensemble!$C$150</c:f>
              <c:strCache>
                <c:ptCount val="1"/>
                <c:pt idx="0">
                  <c:v>Ligne Semelle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Ensemble!$D$150:$D$151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Ensemble!$E$150:$E$151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C724-4E92-BDFF-F1E1A793FC26}"/>
            </c:ext>
          </c:extLst>
        </c:ser>
        <c:ser>
          <c:idx val="16"/>
          <c:order val="16"/>
          <c:tx>
            <c:strRef>
              <c:f>Ensemble!$C$153</c:f>
              <c:strCache>
                <c:ptCount val="1"/>
                <c:pt idx="0">
                  <c:v>Ligne Niveau brut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dLbl>
              <c:idx val="1"/>
              <c:dLblPos val="b"/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C724-4E92-BDFF-F1E1A793FC26}"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Ensemble!$D$153:$D$154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Ensemble!$E$153:$E$154</c:f>
              <c:numCache>
                <c:formatCode>General</c:formatCode>
                <c:ptCount val="2"/>
                <c:pt idx="0">
                  <c:v>-45</c:v>
                </c:pt>
                <c:pt idx="1">
                  <c:v>-45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C724-4E92-BDFF-F1E1A793FC26}"/>
            </c:ext>
          </c:extLst>
        </c:ser>
        <c:ser>
          <c:idx val="17"/>
          <c:order val="17"/>
          <c:tx>
            <c:strRef>
              <c:f>Ensemble!$C$98</c:f>
              <c:strCache>
                <c:ptCount val="1"/>
                <c:pt idx="0">
                  <c:v>Montant complément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Ensemble!$D$98:$D$102</c:f>
            </c:numRef>
          </c:xVal>
          <c:yVal>
            <c:numRef>
              <c:f>Ensemble!$E$98:$E$102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C724-4E92-BDFF-F1E1A793FC26}"/>
            </c:ext>
          </c:extLst>
        </c:ser>
        <c:ser>
          <c:idx val="18"/>
          <c:order val="18"/>
          <c:tx>
            <c:strRef>
              <c:f>Ensemble!$C$104</c:f>
              <c:strCache>
                <c:ptCount val="1"/>
                <c:pt idx="0">
                  <c:v>Montant complément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Ensemble!$D$104:$D$108</c:f>
            </c:numRef>
          </c:xVal>
          <c:yVal>
            <c:numRef>
              <c:f>Ensemble!$E$104:$E$108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C724-4E92-BDFF-F1E1A793FC26}"/>
            </c:ext>
          </c:extLst>
        </c:ser>
        <c:ser>
          <c:idx val="19"/>
          <c:order val="19"/>
          <c:tx>
            <c:strRef>
              <c:f>Ensemble!$C$110</c:f>
              <c:strCache>
                <c:ptCount val="1"/>
                <c:pt idx="0">
                  <c:v>Montant complément 3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Ensemble!$D$110:$D$114</c:f>
            </c:numRef>
          </c:xVal>
          <c:yVal>
            <c:numRef>
              <c:f>Ensemble!$E$110:$E$114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C724-4E92-BDFF-F1E1A793FC26}"/>
            </c:ext>
          </c:extLst>
        </c:ser>
        <c:ser>
          <c:idx val="20"/>
          <c:order val="20"/>
          <c:tx>
            <c:strRef>
              <c:f>Ensemble!$C$116</c:f>
              <c:strCache>
                <c:ptCount val="1"/>
                <c:pt idx="0">
                  <c:v>Montant complément 4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Ensemble!$D$116:$D$120</c:f>
            </c:numRef>
          </c:xVal>
          <c:yVal>
            <c:numRef>
              <c:f>Ensemble!$E$116:$E$120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C724-4E92-BDFF-F1E1A793FC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9844616"/>
        <c:axId val="502846696"/>
      </c:scatterChart>
      <c:valAx>
        <c:axId val="459844616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02846696"/>
        <c:crossesAt val="-2147483647"/>
        <c:crossBetween val="midCat"/>
      </c:valAx>
      <c:valAx>
        <c:axId val="502846696"/>
        <c:scaling>
          <c:orientation val="minMax"/>
          <c:max val="3000"/>
          <c:min val="-5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59844616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Ensemble!$O$159</c:f>
          <c:strCache>
            <c:ptCount val="1"/>
            <c:pt idx="0">
              <c:v>Blocs sur Fenêtre 0 / 0; sans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2232255294403917E-2"/>
          <c:y val="3.3698488742184007E-2"/>
          <c:w val="0.95553548941119215"/>
          <c:h val="0.938219437305996"/>
        </c:manualLayout>
      </c:layout>
      <c:scatterChart>
        <c:scatterStyle val="lineMarker"/>
        <c:varyColors val="0"/>
        <c:ser>
          <c:idx val="0"/>
          <c:order val="0"/>
          <c:tx>
            <c:strRef>
              <c:f>Ensemble!$O$223</c:f>
              <c:strCache>
                <c:ptCount val="1"/>
                <c:pt idx="0">
                  <c:v>OSB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Ensemble!$P$223:$P$227</c:f>
              <c:numCache>
                <c:formatCode>General</c:formatCode>
                <c:ptCount val="5"/>
                <c:pt idx="0">
                  <c:v>33</c:v>
                </c:pt>
                <c:pt idx="1">
                  <c:v>87</c:v>
                </c:pt>
                <c:pt idx="2">
                  <c:v>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Ensemble!$Q$223:$Q$227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2760</c:v>
                </c:pt>
                <c:pt idx="3">
                  <c:v>2760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34E-4981-A672-DD9615B534C0}"/>
            </c:ext>
          </c:extLst>
        </c:ser>
        <c:ser>
          <c:idx val="2"/>
          <c:order val="1"/>
          <c:tx>
            <c:strRef>
              <c:f>Ensemble!$O$229</c:f>
              <c:strCache>
                <c:ptCount val="1"/>
                <c:pt idx="0">
                  <c:v>Montant gauche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Ensemble!$P$229:$P$233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Ensemble!$Q$229:$Q$233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34E-4981-A672-DD9615B534C0}"/>
            </c:ext>
          </c:extLst>
        </c:ser>
        <c:ser>
          <c:idx val="1"/>
          <c:order val="2"/>
          <c:tx>
            <c:strRef>
              <c:f>Ensemble!$O$265</c:f>
              <c:strCache>
                <c:ptCount val="1"/>
                <c:pt idx="0">
                  <c:v>Lisse basse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Ensemble!$P$265:$P$269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Ensemble!$Q$265:$Q$269</c:f>
              <c:numCache>
                <c:formatCode>General</c:formatCode>
                <c:ptCount val="5"/>
                <c:pt idx="0">
                  <c:v>2430</c:v>
                </c:pt>
                <c:pt idx="1">
                  <c:v>2430</c:v>
                </c:pt>
                <c:pt idx="2">
                  <c:v>2475</c:v>
                </c:pt>
                <c:pt idx="3">
                  <c:v>2475</c:v>
                </c:pt>
                <c:pt idx="4">
                  <c:v>2430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34E-4981-A672-DD9615B534C0}"/>
            </c:ext>
          </c:extLst>
        </c:ser>
        <c:ser>
          <c:idx val="3"/>
          <c:order val="3"/>
          <c:tx>
            <c:strRef>
              <c:f>Ensemble!$O$259</c:f>
              <c:strCache>
                <c:ptCount val="1"/>
                <c:pt idx="0">
                  <c:v>Montant droit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Ensemble!$P$259:$P$263</c:f>
              <c:numCache>
                <c:formatCode>General</c:formatCode>
                <c:ptCount val="5"/>
                <c:pt idx="0">
                  <c:v>15</c:v>
                </c:pt>
                <c:pt idx="1">
                  <c:v>60</c:v>
                </c:pt>
                <c:pt idx="2">
                  <c:v>60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Ensemble!$Q$259:$Q$263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34E-4981-A672-DD9615B534C0}"/>
            </c:ext>
          </c:extLst>
        </c:ser>
        <c:ser>
          <c:idx val="4"/>
          <c:order val="4"/>
          <c:tx>
            <c:strRef>
              <c:f>Ensemble!$O$271</c:f>
              <c:strCache>
                <c:ptCount val="1"/>
                <c:pt idx="0">
                  <c:v>Lisse haute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Ensemble!$P$271:$P$275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Ensemble!$Q$271:$Q$275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34E-4981-A672-DD9615B534C0}"/>
            </c:ext>
          </c:extLst>
        </c:ser>
        <c:ser>
          <c:idx val="5"/>
          <c:order val="5"/>
          <c:tx>
            <c:strRef>
              <c:f>Ensemble!$D$167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34E-4981-A672-DD9615B534C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F8BC-4967-B0DD-A0270AAE16F3}"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Ensemble!$P$278:$P$279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Ensemble!$Q$278:$Q$279</c:f>
              <c:numCache>
                <c:formatCode>General</c:formatCode>
                <c:ptCount val="2"/>
                <c:pt idx="0">
                  <c:v>2030</c:v>
                </c:pt>
                <c:pt idx="1">
                  <c:v>2030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34E-4981-A672-DD9615B534C0}"/>
            </c:ext>
          </c:extLst>
        </c:ser>
        <c:ser>
          <c:idx val="6"/>
          <c:order val="6"/>
          <c:tx>
            <c:strRef>
              <c:f>Ensemble!$O$284</c:f>
              <c:strCache>
                <c:ptCount val="1"/>
                <c:pt idx="0">
                  <c:v>Ligne de Cotation hauteur  Sur-Porte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xVal>
            <c:numRef>
              <c:f>Ensemble!$P$284:$P$285</c:f>
              <c:numCache>
                <c:formatCode>General</c:formatCode>
                <c:ptCount val="2"/>
                <c:pt idx="0">
                  <c:v>210</c:v>
                </c:pt>
                <c:pt idx="1">
                  <c:v>210</c:v>
                </c:pt>
              </c:numCache>
            </c:numRef>
          </c:xVal>
          <c:yVal>
            <c:numRef>
              <c:f>Ensemble!$Q$284:$Q$285</c:f>
              <c:numCache>
                <c:formatCode>General</c:formatCode>
                <c:ptCount val="2"/>
                <c:pt idx="0">
                  <c:v>2430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34E-4981-A672-DD9615B534C0}"/>
            </c:ext>
          </c:extLst>
        </c:ser>
        <c:ser>
          <c:idx val="7"/>
          <c:order val="7"/>
          <c:tx>
            <c:strRef>
              <c:f>Ensemble!$O$235</c:f>
              <c:strCache>
                <c:ptCount val="1"/>
                <c:pt idx="0">
                  <c:v>ossature intermédiaire 1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Ensemble!$P$235:$P$239</c:f>
            </c:numRef>
          </c:xVal>
          <c:yVal>
            <c:numRef>
              <c:f>Ensemble!$Q$235:$Q$239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D34E-4981-A672-DD9615B534C0}"/>
            </c:ext>
          </c:extLst>
        </c:ser>
        <c:ser>
          <c:idx val="8"/>
          <c:order val="8"/>
          <c:tx>
            <c:strRef>
              <c:f>Ensemble!$O$241</c:f>
              <c:strCache>
                <c:ptCount val="1"/>
                <c:pt idx="0">
                  <c:v>ossature intermédiaire 2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Ensemble!$P$241:$P$245</c:f>
            </c:numRef>
          </c:xVal>
          <c:yVal>
            <c:numRef>
              <c:f>Ensemble!$Q$241:$Q$245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D34E-4981-A672-DD9615B534C0}"/>
            </c:ext>
          </c:extLst>
        </c:ser>
        <c:ser>
          <c:idx val="9"/>
          <c:order val="9"/>
          <c:tx>
            <c:strRef>
              <c:f>Ensemble!$O$247</c:f>
              <c:strCache>
                <c:ptCount val="1"/>
                <c:pt idx="0">
                  <c:v>ossature intermédiaire 3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Ensemble!$P$247:$P$251</c:f>
            </c:numRef>
          </c:xVal>
          <c:yVal>
            <c:numRef>
              <c:f>Ensemble!$Q$247:$Q$251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D34E-4981-A672-DD9615B534C0}"/>
            </c:ext>
          </c:extLst>
        </c:ser>
        <c:ser>
          <c:idx val="10"/>
          <c:order val="10"/>
          <c:tx>
            <c:strRef>
              <c:f>Ensemble!$O$253</c:f>
              <c:strCache>
                <c:ptCount val="1"/>
                <c:pt idx="0">
                  <c:v>ossature intermédiaire 4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Ensemble!$P$253:$P$257</c:f>
            </c:numRef>
          </c:xVal>
          <c:yVal>
            <c:numRef>
              <c:f>Ensemble!$Q$253:$Q$257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D34E-4981-A672-DD9615B534C0}"/>
            </c:ext>
          </c:extLst>
        </c:ser>
        <c:ser>
          <c:idx val="11"/>
          <c:order val="11"/>
          <c:tx>
            <c:strRef>
              <c:f>Ensemble!$O$281</c:f>
              <c:strCache>
                <c:ptCount val="1"/>
                <c:pt idx="0">
                  <c:v>Texte de Cotation Largeur 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4C9CB7F8-B9DC-4E50-AD69-A2902F8A4DFE}" type="CELLRANGE">
                      <a:rPr lang="en-US" b="1">
                        <a:solidFill>
                          <a:schemeClr val="tx2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F8BC-4967-B0DD-A0270AAE16F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F8BC-4967-B0DD-A0270AAE16F3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Ensemble!$P$281:$P$282</c:f>
              <c:numCache>
                <c:formatCode>General</c:formatCode>
                <c:ptCount val="2"/>
                <c:pt idx="0">
                  <c:v>60</c:v>
                </c:pt>
                <c:pt idx="1">
                  <c:v>110</c:v>
                </c:pt>
              </c:numCache>
            </c:numRef>
          </c:xVal>
          <c:yVal>
            <c:numRef>
              <c:f>Ensemble!$Q$281:$Q$282</c:f>
              <c:numCache>
                <c:formatCode>General</c:formatCode>
                <c:ptCount val="2"/>
                <c:pt idx="0">
                  <c:v>2030</c:v>
                </c:pt>
                <c:pt idx="1">
                  <c:v>2030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Ensemble!$O$282</c15:f>
                <c15:dlblRangeCache>
                  <c:ptCount val="1"/>
                  <c:pt idx="0">
                    <c:v>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F8BC-4967-B0DD-A0270AAE16F3}"/>
            </c:ext>
          </c:extLst>
        </c:ser>
        <c:ser>
          <c:idx val="12"/>
          <c:order val="12"/>
          <c:tx>
            <c:strRef>
              <c:f>Ensemble!$O$287</c:f>
              <c:strCache>
                <c:ptCount val="1"/>
                <c:pt idx="0">
                  <c:v>Texte de Cotation hauteur 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091BEBA9-ABF9-4B09-87C8-8D48AC890339}" type="CELLRANGE">
                      <a:rPr lang="en-US" b="1">
                        <a:solidFill>
                          <a:schemeClr val="tx2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F8BC-4967-B0DD-A0270AAE16F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F8BC-4967-B0DD-A0270AAE16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Ensemble!$P$287:$P$288</c:f>
              <c:numCache>
                <c:formatCode>General</c:formatCode>
                <c:ptCount val="2"/>
                <c:pt idx="0">
                  <c:v>210</c:v>
                </c:pt>
                <c:pt idx="1">
                  <c:v>210</c:v>
                </c:pt>
              </c:numCache>
            </c:numRef>
          </c:xVal>
          <c:yVal>
            <c:numRef>
              <c:f>Ensemble!$Q$287:$Q$288</c:f>
              <c:numCache>
                <c:formatCode>General</c:formatCode>
                <c:ptCount val="2"/>
                <c:pt idx="0">
                  <c:v>2575</c:v>
                </c:pt>
                <c:pt idx="1">
                  <c:v>2625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Ensemble!$O$288</c15:f>
                <c15:dlblRangeCache>
                  <c:ptCount val="1"/>
                  <c:pt idx="0">
                    <c:v>290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F8BC-4967-B0DD-A0270AAE16F3}"/>
            </c:ext>
          </c:extLst>
        </c:ser>
        <c:ser>
          <c:idx val="13"/>
          <c:order val="13"/>
          <c:tx>
            <c:strRef>
              <c:f>Ensemble!$O$290</c:f>
              <c:strCache>
                <c:ptCount val="1"/>
                <c:pt idx="0">
                  <c:v>Dépassée Gauche 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23BBA69-6C02-40B1-A0A2-E20737BFB68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F8BC-4967-B0DD-A0270AAE16F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F8BC-4967-B0DD-A0270AAE16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Ensemble!$P$290:$P$291</c:f>
              <c:numCache>
                <c:formatCode>General</c:formatCode>
                <c:ptCount val="2"/>
                <c:pt idx="0">
                  <c:v>33</c:v>
                </c:pt>
                <c:pt idx="1">
                  <c:v>33</c:v>
                </c:pt>
              </c:numCache>
            </c:numRef>
          </c:xVal>
          <c:yVal>
            <c:numRef>
              <c:f>Ensemble!$Q$290:$Q$291</c:f>
              <c:numCache>
                <c:formatCode>General</c:formatCode>
                <c:ptCount val="2"/>
                <c:pt idx="0">
                  <c:v>2462.5</c:v>
                </c:pt>
                <c:pt idx="1">
                  <c:v>2512.5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Ensemble!$O$291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F8BC-4967-B0DD-A0270AAE16F3}"/>
            </c:ext>
          </c:extLst>
        </c:ser>
        <c:ser>
          <c:idx val="14"/>
          <c:order val="14"/>
          <c:tx>
            <c:strRef>
              <c:f>Ensemble!$O$293</c:f>
              <c:strCache>
                <c:ptCount val="1"/>
                <c:pt idx="0">
                  <c:v>Dépassée Droite 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8B54305-D419-41F4-84B5-96D8B2D2B2F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F8BC-4967-B0DD-A0270AAE16F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F8BC-4967-B0DD-A0270AAE16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Ensemble!$P$293:$P$294</c:f>
              <c:numCache>
                <c:formatCode>General</c:formatCode>
                <c:ptCount val="2"/>
                <c:pt idx="0">
                  <c:v>87</c:v>
                </c:pt>
                <c:pt idx="1">
                  <c:v>87</c:v>
                </c:pt>
              </c:numCache>
            </c:numRef>
          </c:xVal>
          <c:yVal>
            <c:numRef>
              <c:f>Ensemble!$Q$293:$Q$294</c:f>
              <c:numCache>
                <c:formatCode>General</c:formatCode>
                <c:ptCount val="2"/>
                <c:pt idx="0">
                  <c:v>2462.5</c:v>
                </c:pt>
                <c:pt idx="1">
                  <c:v>2512.5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Ensemble!$O$294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F8BC-4967-B0DD-A0270AAE16F3}"/>
            </c:ext>
          </c:extLst>
        </c:ser>
        <c:ser>
          <c:idx val="15"/>
          <c:order val="15"/>
          <c:tx>
            <c:strRef>
              <c:f>Ensemble!$O$296</c:f>
              <c:strCache>
                <c:ptCount val="1"/>
                <c:pt idx="0">
                  <c:v>Dépassée Haute 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F7D0F03C-35AB-4A60-A06E-E3BB8A75D133}" type="CELLRANGE">
                      <a:rPr lang="en-US" b="1">
                        <a:solidFill>
                          <a:schemeClr val="accent4">
                            <a:lumMod val="50000"/>
                          </a:schemeClr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F8BC-4967-B0DD-A0270AAE16F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F8BC-4967-B0DD-A0270AAE16F3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Ensemble!$P$296:$P$297</c:f>
              <c:numCache>
                <c:formatCode>General</c:formatCode>
                <c:ptCount val="2"/>
                <c:pt idx="0">
                  <c:v>90</c:v>
                </c:pt>
                <c:pt idx="1">
                  <c:v>140</c:v>
                </c:pt>
              </c:numCache>
            </c:numRef>
          </c:xVal>
          <c:yVal>
            <c:numRef>
              <c:f>Ensemble!$Q$296:$Q$297</c:f>
              <c:numCache>
                <c:formatCode>General</c:formatCode>
                <c:ptCount val="2"/>
                <c:pt idx="0">
                  <c:v>2760</c:v>
                </c:pt>
                <c:pt idx="1">
                  <c:v>2760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Ensemble!$O$297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F-F8BC-4967-B0DD-A0270AAE16F3}"/>
            </c:ext>
          </c:extLst>
        </c:ser>
        <c:ser>
          <c:idx val="16"/>
          <c:order val="16"/>
          <c:tx>
            <c:strRef>
              <c:f>Ensemble!$O$299</c:f>
              <c:strCache>
                <c:ptCount val="1"/>
                <c:pt idx="0">
                  <c:v>Dépassée basse  Sur-Porte</c:v>
                </c:pt>
              </c:strCache>
            </c:strRef>
          </c:tx>
          <c:spPr>
            <a:ln>
              <a:solidFill>
                <a:schemeClr val="accent4">
                  <a:lumMod val="75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D79F1D4-1174-4BFA-800B-BFFFAEA1385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F8BC-4967-B0DD-A0270AAE16F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F8BC-4967-B0DD-A0270AAE16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Ensemble!$P$299:$P$300</c:f>
              <c:numCache>
                <c:formatCode>General</c:formatCode>
                <c:ptCount val="2"/>
                <c:pt idx="0">
                  <c:v>90</c:v>
                </c:pt>
                <c:pt idx="1">
                  <c:v>140</c:v>
                </c:pt>
              </c:numCache>
            </c:numRef>
          </c:xVal>
          <c:yVal>
            <c:numRef>
              <c:f>Ensemble!$Q$299:$Q$300</c:f>
              <c:numCache>
                <c:formatCode>General</c:formatCode>
                <c:ptCount val="2"/>
                <c:pt idx="0">
                  <c:v>2165</c:v>
                </c:pt>
                <c:pt idx="1">
                  <c:v>2165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Ensemble!$O$300</c15:f>
                <c15:dlblRangeCache>
                  <c:ptCount val="1"/>
                  <c:pt idx="0">
                    <c:v>Panneaux +265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2-F8BC-4967-B0DD-A0270AAE16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848656"/>
        <c:axId val="502845128"/>
      </c:scatterChart>
      <c:valAx>
        <c:axId val="502848656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02845128"/>
        <c:crossesAt val="-2147483647"/>
        <c:crossBetween val="midCat"/>
      </c:valAx>
      <c:valAx>
        <c:axId val="502845128"/>
        <c:scaling>
          <c:orientation val="minMax"/>
          <c:max val="3000"/>
          <c:min val="18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2848656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Ensemble!$O$310</c:f>
          <c:strCache>
            <c:ptCount val="1"/>
            <c:pt idx="0">
              <c:v>Blocs sous Fenêtre 0 / 0; sans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2351229213553663E-2"/>
          <c:y val="0"/>
          <c:w val="0.96764877078644629"/>
          <c:h val="0.95010125302290149"/>
        </c:manualLayout>
      </c:layout>
      <c:scatterChart>
        <c:scatterStyle val="lineMarker"/>
        <c:varyColors val="0"/>
        <c:ser>
          <c:idx val="0"/>
          <c:order val="0"/>
          <c:tx>
            <c:strRef>
              <c:f>Ensemble!$O$374</c:f>
              <c:strCache>
                <c:ptCount val="1"/>
                <c:pt idx="0">
                  <c:v>OSB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Ensemble!$P$374:$P$378</c:f>
              <c:numCache>
                <c:formatCode>General</c:formatCode>
                <c:ptCount val="5"/>
                <c:pt idx="0">
                  <c:v>33</c:v>
                </c:pt>
                <c:pt idx="1">
                  <c:v>87</c:v>
                </c:pt>
                <c:pt idx="2">
                  <c:v>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Ensemble!$Q$374:$Q$378</c:f>
              <c:numCache>
                <c:formatCode>General</c:formatCode>
                <c:ptCount val="5"/>
                <c:pt idx="0">
                  <c:v>-40</c:v>
                </c:pt>
                <c:pt idx="1">
                  <c:v>-40</c:v>
                </c:pt>
                <c:pt idx="2">
                  <c:v>2060</c:v>
                </c:pt>
                <c:pt idx="3">
                  <c:v>2060</c:v>
                </c:pt>
                <c:pt idx="4">
                  <c:v>-40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34E-4981-A672-DD9615B534C0}"/>
            </c:ext>
          </c:extLst>
        </c:ser>
        <c:ser>
          <c:idx val="2"/>
          <c:order val="1"/>
          <c:tx>
            <c:strRef>
              <c:f>Ensemble!$O$380</c:f>
              <c:strCache>
                <c:ptCount val="1"/>
                <c:pt idx="0">
                  <c:v>Montant gauche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Ensemble!$P$380:$P$384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Ensemble!$Q$380:$Q$384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1975</c:v>
                </c:pt>
                <c:pt idx="3">
                  <c:v>1975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34E-4981-A672-DD9615B534C0}"/>
            </c:ext>
          </c:extLst>
        </c:ser>
        <c:ser>
          <c:idx val="1"/>
          <c:order val="2"/>
          <c:tx>
            <c:strRef>
              <c:f>Ensemble!$O$416</c:f>
              <c:strCache>
                <c:ptCount val="1"/>
                <c:pt idx="0">
                  <c:v>Lisse basse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Ensemble!$P$416:$P$420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Ensemble!$Q$416:$Q$420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45</c:v>
                </c:pt>
                <c:pt idx="3">
                  <c:v>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34E-4981-A672-DD9615B534C0}"/>
            </c:ext>
          </c:extLst>
        </c:ser>
        <c:ser>
          <c:idx val="3"/>
          <c:order val="3"/>
          <c:tx>
            <c:strRef>
              <c:f>Ensemble!$O$410</c:f>
              <c:strCache>
                <c:ptCount val="1"/>
                <c:pt idx="0">
                  <c:v>Montant droit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Ensemble!$P$410:$P$414</c:f>
              <c:numCache>
                <c:formatCode>General</c:formatCode>
                <c:ptCount val="5"/>
                <c:pt idx="0">
                  <c:v>15</c:v>
                </c:pt>
                <c:pt idx="1">
                  <c:v>60</c:v>
                </c:pt>
                <c:pt idx="2">
                  <c:v>60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Ensemble!$Q$410:$Q$414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1975</c:v>
                </c:pt>
                <c:pt idx="3">
                  <c:v>1975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34E-4981-A672-DD9615B534C0}"/>
            </c:ext>
          </c:extLst>
        </c:ser>
        <c:ser>
          <c:idx val="4"/>
          <c:order val="4"/>
          <c:tx>
            <c:strRef>
              <c:f>Ensemble!$O$422</c:f>
              <c:strCache>
                <c:ptCount val="1"/>
                <c:pt idx="0">
                  <c:v>Lisse haute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Ensemble!$P$422:$P$426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Ensemble!$Q$422:$Q$426</c:f>
              <c:numCache>
                <c:formatCode>General</c:formatCode>
                <c:ptCount val="5"/>
                <c:pt idx="0">
                  <c:v>1975</c:v>
                </c:pt>
                <c:pt idx="1">
                  <c:v>1975</c:v>
                </c:pt>
                <c:pt idx="2">
                  <c:v>2020</c:v>
                </c:pt>
                <c:pt idx="3">
                  <c:v>2020</c:v>
                </c:pt>
                <c:pt idx="4">
                  <c:v>1975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34E-4981-A672-DD9615B534C0}"/>
            </c:ext>
          </c:extLst>
        </c:ser>
        <c:ser>
          <c:idx val="5"/>
          <c:order val="5"/>
          <c:tx>
            <c:strRef>
              <c:f>Ensemble!$O$429</c:f>
              <c:strCache>
                <c:ptCount val="1"/>
                <c:pt idx="0">
                  <c:v>Ligne de Cotation Largeur  Sous-Porte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552-4A1C-8C86-C2C09BE9422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8C64-466F-A654-4A6E5F722616}"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Ensemble!$P$429:$P$430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Ensemble!$Q$429:$Q$430</c:f>
              <c:numCache>
                <c:formatCode>General</c:formatCode>
                <c:ptCount val="2"/>
                <c:pt idx="0">
                  <c:v>-250</c:v>
                </c:pt>
                <c:pt idx="1">
                  <c:v>-250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34E-4981-A672-DD9615B534C0}"/>
            </c:ext>
          </c:extLst>
        </c:ser>
        <c:ser>
          <c:idx val="6"/>
          <c:order val="6"/>
          <c:tx>
            <c:strRef>
              <c:f>Ensemble!$O$435</c:f>
              <c:strCache>
                <c:ptCount val="1"/>
                <c:pt idx="0">
                  <c:v>Ligne de Cotation hauteur  Sous-Porte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xVal>
            <c:numRef>
              <c:f>Ensemble!$P$435:$P$436</c:f>
              <c:numCache>
                <c:formatCode>General</c:formatCode>
                <c:ptCount val="2"/>
                <c:pt idx="0">
                  <c:v>210</c:v>
                </c:pt>
                <c:pt idx="1">
                  <c:v>210</c:v>
                </c:pt>
              </c:numCache>
            </c:numRef>
          </c:xVal>
          <c:yVal>
            <c:numRef>
              <c:f>Ensemble!$Q$435:$Q$436</c:f>
              <c:numCache>
                <c:formatCode>General</c:formatCode>
                <c:ptCount val="2"/>
                <c:pt idx="0">
                  <c:v>0</c:v>
                </c:pt>
                <c:pt idx="1">
                  <c:v>2020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34E-4981-A672-DD9615B534C0}"/>
            </c:ext>
          </c:extLst>
        </c:ser>
        <c:ser>
          <c:idx val="7"/>
          <c:order val="7"/>
          <c:tx>
            <c:strRef>
              <c:f>Ensemble!$O$386</c:f>
              <c:strCache>
                <c:ptCount val="1"/>
                <c:pt idx="0">
                  <c:v>ossature intermédiaire 1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Ensemble!$P$386:$P$390</c:f>
            </c:numRef>
          </c:xVal>
          <c:yVal>
            <c:numRef>
              <c:f>Ensemble!$Q$386:$Q$390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D34E-4981-A672-DD9615B534C0}"/>
            </c:ext>
          </c:extLst>
        </c:ser>
        <c:ser>
          <c:idx val="8"/>
          <c:order val="8"/>
          <c:tx>
            <c:strRef>
              <c:f>Ensemble!$O$392</c:f>
              <c:strCache>
                <c:ptCount val="1"/>
                <c:pt idx="0">
                  <c:v>ossature intermédiaire 2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Ensemble!$P$392:$P$396</c:f>
            </c:numRef>
          </c:xVal>
          <c:yVal>
            <c:numRef>
              <c:f>Ensemble!$Q$392:$Q$396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D34E-4981-A672-DD9615B534C0}"/>
            </c:ext>
          </c:extLst>
        </c:ser>
        <c:ser>
          <c:idx val="9"/>
          <c:order val="9"/>
          <c:tx>
            <c:strRef>
              <c:f>Ensemble!$O$398</c:f>
              <c:strCache>
                <c:ptCount val="1"/>
                <c:pt idx="0">
                  <c:v>ossature intermédiaire 3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Ensemble!$P$398:$P$402</c:f>
            </c:numRef>
          </c:xVal>
          <c:yVal>
            <c:numRef>
              <c:f>Ensemble!$Q$398:$Q$402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D34E-4981-A672-DD9615B534C0}"/>
            </c:ext>
          </c:extLst>
        </c:ser>
        <c:ser>
          <c:idx val="10"/>
          <c:order val="10"/>
          <c:tx>
            <c:strRef>
              <c:f>Ensemble!$O$404</c:f>
              <c:strCache>
                <c:ptCount val="1"/>
                <c:pt idx="0">
                  <c:v>ossature intermédiaire 4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Ensemble!$P$404:$P$408</c:f>
            </c:numRef>
          </c:xVal>
          <c:yVal>
            <c:numRef>
              <c:f>Ensemble!$Q$404:$Q$408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D34E-4981-A672-DD9615B534C0}"/>
            </c:ext>
          </c:extLst>
        </c:ser>
        <c:ser>
          <c:idx val="11"/>
          <c:order val="11"/>
          <c:tx>
            <c:strRef>
              <c:f>Ensemble!$O$441</c:f>
              <c:strCache>
                <c:ptCount val="1"/>
                <c:pt idx="0">
                  <c:v>Dépassée Gauche  Sous-Porte</c:v>
                </c:pt>
              </c:strCache>
            </c:strRef>
          </c:tx>
          <c:spPr>
            <a:ln>
              <a:solidFill>
                <a:schemeClr val="tx2"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64398CEB-631B-4C8A-8D9D-C80A2E0F6CE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8C64-466F-A654-4A6E5F72261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8C64-466F-A654-4A6E5F7226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Ensemble!$P$441:$P$442</c:f>
              <c:numCache>
                <c:formatCode>General</c:formatCode>
                <c:ptCount val="2"/>
                <c:pt idx="0">
                  <c:v>33</c:v>
                </c:pt>
                <c:pt idx="1">
                  <c:v>33</c:v>
                </c:pt>
              </c:numCache>
            </c:numRef>
          </c:xVal>
          <c:yVal>
            <c:numRef>
              <c:f>Ensemble!$Q$441:$Q$442</c:f>
              <c:numCache>
                <c:formatCode>General</c:formatCode>
                <c:ptCount val="2"/>
                <c:pt idx="0">
                  <c:v>1010</c:v>
                </c:pt>
                <c:pt idx="1">
                  <c:v>1060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Ensemble!$O$442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8C64-466F-A654-4A6E5F722616}"/>
            </c:ext>
          </c:extLst>
        </c:ser>
        <c:ser>
          <c:idx val="12"/>
          <c:order val="12"/>
          <c:tx>
            <c:strRef>
              <c:f>Ensemble!$O$444</c:f>
              <c:strCache>
                <c:ptCount val="1"/>
                <c:pt idx="0">
                  <c:v>Dépassée Droite  Sous-Porte</c:v>
                </c:pt>
              </c:strCache>
            </c:strRef>
          </c:tx>
          <c:spPr>
            <a:ln>
              <a:solidFill>
                <a:schemeClr val="tx2"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C2985025-D319-41E6-86AB-A7C90BFAFE3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8C64-466F-A654-4A6E5F72261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8C64-466F-A654-4A6E5F7226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Ensemble!$P$444:$P$445</c:f>
              <c:numCache>
                <c:formatCode>General</c:formatCode>
                <c:ptCount val="2"/>
                <c:pt idx="0">
                  <c:v>87</c:v>
                </c:pt>
                <c:pt idx="1">
                  <c:v>87</c:v>
                </c:pt>
              </c:numCache>
            </c:numRef>
          </c:xVal>
          <c:yVal>
            <c:numRef>
              <c:f>Ensemble!$Q$444:$Q$445</c:f>
              <c:numCache>
                <c:formatCode>General</c:formatCode>
                <c:ptCount val="2"/>
                <c:pt idx="0">
                  <c:v>1010</c:v>
                </c:pt>
                <c:pt idx="1">
                  <c:v>1060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Ensemble!$O$445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8C64-466F-A654-4A6E5F722616}"/>
            </c:ext>
          </c:extLst>
        </c:ser>
        <c:ser>
          <c:idx val="14"/>
          <c:order val="13"/>
          <c:tx>
            <c:strRef>
              <c:f>Ensemble!$O$447</c:f>
              <c:strCache>
                <c:ptCount val="1"/>
                <c:pt idx="0">
                  <c:v>Dépassée Haute 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77158E6D-C3D6-42B3-A164-62B4507BC39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8C64-466F-A654-4A6E5F72261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8C64-466F-A654-4A6E5F7226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Ensemble!$P$447:$P$448</c:f>
              <c:numCache>
                <c:formatCode>General</c:formatCode>
                <c:ptCount val="2"/>
                <c:pt idx="0">
                  <c:v>90</c:v>
                </c:pt>
                <c:pt idx="1">
                  <c:v>140</c:v>
                </c:pt>
              </c:numCache>
            </c:numRef>
          </c:xVal>
          <c:yVal>
            <c:numRef>
              <c:f>Ensemble!$Q$447:$Q$448</c:f>
              <c:numCache>
                <c:formatCode>General</c:formatCode>
                <c:ptCount val="2"/>
                <c:pt idx="0">
                  <c:v>2060</c:v>
                </c:pt>
                <c:pt idx="1">
                  <c:v>2060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Ensemble!$O$448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8C64-466F-A654-4A6E5F722616}"/>
            </c:ext>
          </c:extLst>
        </c:ser>
        <c:ser>
          <c:idx val="15"/>
          <c:order val="14"/>
          <c:tx>
            <c:strRef>
              <c:f>Ensemble!$O$432</c:f>
              <c:strCache>
                <c:ptCount val="1"/>
                <c:pt idx="0">
                  <c:v>Texte de Cotation Largeur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1A7394D2-891D-4234-B46F-7B613401A8C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8C64-466F-A654-4A6E5F72261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8C64-466F-A654-4A6E5F7226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tx2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Ensemble!$P$432:$P$433</c:f>
              <c:numCache>
                <c:formatCode>General</c:formatCode>
                <c:ptCount val="2"/>
                <c:pt idx="0">
                  <c:v>60</c:v>
                </c:pt>
                <c:pt idx="1">
                  <c:v>110</c:v>
                </c:pt>
              </c:numCache>
            </c:numRef>
          </c:xVal>
          <c:yVal>
            <c:numRef>
              <c:f>Ensemble!$Q$432:$Q$433</c:f>
              <c:numCache>
                <c:formatCode>General</c:formatCode>
                <c:ptCount val="2"/>
                <c:pt idx="0">
                  <c:v>-250</c:v>
                </c:pt>
                <c:pt idx="1">
                  <c:v>-250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Ensemble!$O$433</c15:f>
                <c15:dlblRangeCache>
                  <c:ptCount val="1"/>
                  <c:pt idx="0">
                    <c:v>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8C64-466F-A654-4A6E5F722616}"/>
            </c:ext>
          </c:extLst>
        </c:ser>
        <c:ser>
          <c:idx val="13"/>
          <c:order val="15"/>
          <c:tx>
            <c:strRef>
              <c:f>Ensemble!$O$438</c:f>
              <c:strCache>
                <c:ptCount val="1"/>
                <c:pt idx="0">
                  <c:v>Texte de Cotation hauteur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40AD7C60-1A7E-4882-8087-F5723EF61C7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8C64-466F-A654-4A6E5F72261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8C64-466F-A654-4A6E5F7226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Ensemble!$P$438:$P$439</c:f>
              <c:numCache>
                <c:formatCode>General</c:formatCode>
                <c:ptCount val="2"/>
                <c:pt idx="0">
                  <c:v>210</c:v>
                </c:pt>
                <c:pt idx="1">
                  <c:v>210</c:v>
                </c:pt>
              </c:numCache>
            </c:numRef>
          </c:xVal>
          <c:yVal>
            <c:numRef>
              <c:f>Ensemble!$Q$438:$Q$439</c:f>
              <c:numCache>
                <c:formatCode>General</c:formatCode>
                <c:ptCount val="2"/>
                <c:pt idx="0">
                  <c:v>1010</c:v>
                </c:pt>
                <c:pt idx="1">
                  <c:v>1060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Ensemble!$O$439</c15:f>
                <c15:dlblRangeCache>
                  <c:ptCount val="1"/>
                  <c:pt idx="0">
                    <c:v>2020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F-8C64-466F-A654-4A6E5F722616}"/>
            </c:ext>
          </c:extLst>
        </c:ser>
        <c:ser>
          <c:idx val="16"/>
          <c:order val="16"/>
          <c:tx>
            <c:strRef>
              <c:f>Ensemble!$O$450</c:f>
              <c:strCache>
                <c:ptCount val="1"/>
                <c:pt idx="0">
                  <c:v>Dépassée basse 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DD99E01C-8C94-4E45-ABA8-48E69231BA6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8C64-466F-A654-4A6E5F72261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8C64-466F-A654-4A6E5F7226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Ensemble!$P$450:$P$451</c:f>
              <c:numCache>
                <c:formatCode>General</c:formatCode>
                <c:ptCount val="2"/>
                <c:pt idx="0">
                  <c:v>90</c:v>
                </c:pt>
                <c:pt idx="1">
                  <c:v>140</c:v>
                </c:pt>
              </c:numCache>
            </c:numRef>
          </c:xVal>
          <c:yVal>
            <c:numRef>
              <c:f>Ensemble!$Q$450:$Q$451</c:f>
              <c:numCache>
                <c:formatCode>General</c:formatCode>
                <c:ptCount val="2"/>
                <c:pt idx="0">
                  <c:v>-40</c:v>
                </c:pt>
                <c:pt idx="1">
                  <c:v>-40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Ensemble!$O$451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2-8C64-466F-A654-4A6E5F7226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847872"/>
        <c:axId val="502847088"/>
      </c:scatterChart>
      <c:valAx>
        <c:axId val="502847872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02847088"/>
        <c:crossesAt val="-2147483647"/>
        <c:crossBetween val="midCat"/>
      </c:valAx>
      <c:valAx>
        <c:axId val="502847088"/>
        <c:scaling>
          <c:orientation val="minMax"/>
          <c:max val="1500"/>
          <c:min val="-3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2847872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Ensemble!$AM$310</c:f>
          <c:strCache>
            <c:ptCount val="1"/>
            <c:pt idx="0">
              <c:v>Blocs sous Fenêtre 0 / 0; avec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3483639938683059E-2"/>
          <c:y val="1.1662803554308258E-2"/>
          <c:w val="0.97527999344574767"/>
          <c:h val="0.96792729022565227"/>
        </c:manualLayout>
      </c:layout>
      <c:scatterChart>
        <c:scatterStyle val="lineMarker"/>
        <c:varyColors val="0"/>
        <c:ser>
          <c:idx val="0"/>
          <c:order val="0"/>
          <c:tx>
            <c:strRef>
              <c:f>Ensemble!$AM$374</c:f>
              <c:strCache>
                <c:ptCount val="1"/>
                <c:pt idx="0">
                  <c:v>OSB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Ensemble!$AN$374:$AN$378</c:f>
              <c:numCache>
                <c:formatCode>General</c:formatCode>
                <c:ptCount val="5"/>
                <c:pt idx="0">
                  <c:v>33</c:v>
                </c:pt>
                <c:pt idx="1">
                  <c:v>87</c:v>
                </c:pt>
                <c:pt idx="2">
                  <c:v>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Ensemble!$AO$374:$AO$378</c:f>
              <c:numCache>
                <c:formatCode>General</c:formatCode>
                <c:ptCount val="5"/>
                <c:pt idx="0">
                  <c:v>-40</c:v>
                </c:pt>
                <c:pt idx="1">
                  <c:v>-40</c:v>
                </c:pt>
                <c:pt idx="2">
                  <c:v>2060</c:v>
                </c:pt>
                <c:pt idx="3">
                  <c:v>2060</c:v>
                </c:pt>
                <c:pt idx="4">
                  <c:v>-40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706-4280-A557-0D68BBD803C4}"/>
            </c:ext>
          </c:extLst>
        </c:ser>
        <c:ser>
          <c:idx val="2"/>
          <c:order val="1"/>
          <c:tx>
            <c:strRef>
              <c:f>Ensemble!$AM$380</c:f>
              <c:strCache>
                <c:ptCount val="1"/>
                <c:pt idx="0">
                  <c:v>Montant gauche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Ensemble!$AN$380:$AN$384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Ensemble!$AO$380:$AO$384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1975</c:v>
                </c:pt>
                <c:pt idx="3">
                  <c:v>1975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706-4280-A557-0D68BBD803C4}"/>
            </c:ext>
          </c:extLst>
        </c:ser>
        <c:ser>
          <c:idx val="1"/>
          <c:order val="2"/>
          <c:tx>
            <c:strRef>
              <c:f>Ensemble!$AM$416</c:f>
              <c:strCache>
                <c:ptCount val="1"/>
                <c:pt idx="0">
                  <c:v>Lisse basse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Ensemble!$AN$416:$AN$420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Ensemble!$AO$416:$AO$420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45</c:v>
                </c:pt>
                <c:pt idx="3">
                  <c:v>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706-4280-A557-0D68BBD803C4}"/>
            </c:ext>
          </c:extLst>
        </c:ser>
        <c:ser>
          <c:idx val="3"/>
          <c:order val="3"/>
          <c:tx>
            <c:strRef>
              <c:f>Ensemble!$AM$410</c:f>
              <c:strCache>
                <c:ptCount val="1"/>
                <c:pt idx="0">
                  <c:v>Montant droit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Ensemble!$AN$410:$AN$414</c:f>
              <c:numCache>
                <c:formatCode>General</c:formatCode>
                <c:ptCount val="5"/>
                <c:pt idx="0">
                  <c:v>15</c:v>
                </c:pt>
                <c:pt idx="1">
                  <c:v>60</c:v>
                </c:pt>
                <c:pt idx="2">
                  <c:v>60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Ensemble!$AO$410:$AO$414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1975</c:v>
                </c:pt>
                <c:pt idx="3">
                  <c:v>1975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706-4280-A557-0D68BBD803C4}"/>
            </c:ext>
          </c:extLst>
        </c:ser>
        <c:ser>
          <c:idx val="4"/>
          <c:order val="4"/>
          <c:tx>
            <c:strRef>
              <c:f>Ensemble!$AM$422</c:f>
              <c:strCache>
                <c:ptCount val="1"/>
                <c:pt idx="0">
                  <c:v>Lisse haute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Ensemble!$AN$422:$AN$426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Ensemble!$AO$422:$AO$426</c:f>
              <c:numCache>
                <c:formatCode>General</c:formatCode>
                <c:ptCount val="5"/>
                <c:pt idx="0">
                  <c:v>1975</c:v>
                </c:pt>
                <c:pt idx="1">
                  <c:v>1975</c:v>
                </c:pt>
                <c:pt idx="2">
                  <c:v>2020</c:v>
                </c:pt>
                <c:pt idx="3">
                  <c:v>2020</c:v>
                </c:pt>
                <c:pt idx="4">
                  <c:v>1975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706-4280-A557-0D68BBD803C4}"/>
            </c:ext>
          </c:extLst>
        </c:ser>
        <c:ser>
          <c:idx val="5"/>
          <c:order val="5"/>
          <c:tx>
            <c:strRef>
              <c:f>Ensemble!$AM$429</c:f>
              <c:strCache>
                <c:ptCount val="1"/>
                <c:pt idx="0">
                  <c:v>Ligne de Cotation Largeur  Sous-Porte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xVal>
            <c:numRef>
              <c:f>Ensemble!$AN$429:$AN$430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Ensemble!$AO$429:$AO$430</c:f>
              <c:numCache>
                <c:formatCode>General</c:formatCode>
                <c:ptCount val="2"/>
                <c:pt idx="0">
                  <c:v>-250</c:v>
                </c:pt>
                <c:pt idx="1">
                  <c:v>-250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706-4280-A557-0D68BBD803C4}"/>
            </c:ext>
          </c:extLst>
        </c:ser>
        <c:ser>
          <c:idx val="6"/>
          <c:order val="6"/>
          <c:tx>
            <c:strRef>
              <c:f>Ensemble!$AM$435</c:f>
              <c:strCache>
                <c:ptCount val="1"/>
                <c:pt idx="0">
                  <c:v>Ligne de Cotation hauteur  Sous-Porte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xVal>
            <c:numRef>
              <c:f>Ensemble!$AN$435:$AN$436</c:f>
              <c:numCache>
                <c:formatCode>General</c:formatCode>
                <c:ptCount val="2"/>
                <c:pt idx="0">
                  <c:v>210</c:v>
                </c:pt>
                <c:pt idx="1">
                  <c:v>210</c:v>
                </c:pt>
              </c:numCache>
            </c:numRef>
          </c:xVal>
          <c:yVal>
            <c:numRef>
              <c:f>Ensemble!$AO$435:$AO$436</c:f>
              <c:numCache>
                <c:formatCode>General</c:formatCode>
                <c:ptCount val="2"/>
                <c:pt idx="0">
                  <c:v>0</c:v>
                </c:pt>
                <c:pt idx="1">
                  <c:v>2020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706-4280-A557-0D68BBD803C4}"/>
            </c:ext>
          </c:extLst>
        </c:ser>
        <c:ser>
          <c:idx val="7"/>
          <c:order val="7"/>
          <c:tx>
            <c:strRef>
              <c:f>Ensemble!$AM$386</c:f>
              <c:strCache>
                <c:ptCount val="1"/>
                <c:pt idx="0">
                  <c:v>ossature intermédiaire 1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Ensemble!$AN$386:$AN$390</c:f>
            </c:numRef>
          </c:xVal>
          <c:yVal>
            <c:numRef>
              <c:f>Ensemble!$AO$386:$AO$390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706-4280-A557-0D68BBD803C4}"/>
            </c:ext>
          </c:extLst>
        </c:ser>
        <c:ser>
          <c:idx val="8"/>
          <c:order val="8"/>
          <c:tx>
            <c:strRef>
              <c:f>Ensemble!$AM$392</c:f>
              <c:strCache>
                <c:ptCount val="1"/>
                <c:pt idx="0">
                  <c:v>ossature intermédiaire 2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Ensemble!$AN$392:$AN$396</c:f>
            </c:numRef>
          </c:xVal>
          <c:yVal>
            <c:numRef>
              <c:f>Ensemble!$AO$392:$AO$396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706-4280-A557-0D68BBD803C4}"/>
            </c:ext>
          </c:extLst>
        </c:ser>
        <c:ser>
          <c:idx val="9"/>
          <c:order val="9"/>
          <c:tx>
            <c:strRef>
              <c:f>Ensemble!$AM$398</c:f>
              <c:strCache>
                <c:ptCount val="1"/>
                <c:pt idx="0">
                  <c:v>ossature intermédiaire 3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Ensemble!$AN$398:$AN$402</c:f>
            </c:numRef>
          </c:xVal>
          <c:yVal>
            <c:numRef>
              <c:f>Ensemble!$AO$398:$AO$402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4706-4280-A557-0D68BBD803C4}"/>
            </c:ext>
          </c:extLst>
        </c:ser>
        <c:ser>
          <c:idx val="10"/>
          <c:order val="10"/>
          <c:tx>
            <c:strRef>
              <c:f>Ensemble!$AM$404</c:f>
              <c:strCache>
                <c:ptCount val="1"/>
                <c:pt idx="0">
                  <c:v>ossature intermédiaire 4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Ensemble!$AN$404:$AN$408</c:f>
            </c:numRef>
          </c:xVal>
          <c:yVal>
            <c:numRef>
              <c:f>Ensemble!$AO$404:$AO$408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4706-4280-A557-0D68BBD803C4}"/>
            </c:ext>
          </c:extLst>
        </c:ser>
        <c:ser>
          <c:idx val="11"/>
          <c:order val="11"/>
          <c:tx>
            <c:strRef>
              <c:f>Ensemble!$AM$432</c:f>
              <c:strCache>
                <c:ptCount val="1"/>
                <c:pt idx="0">
                  <c:v>Texte de Cotation Largeur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C4AD15DE-B26D-4A9D-AE6F-3121993B2C7D}" type="CELLRANGE">
                      <a:rPr lang="en-US" b="1">
                        <a:solidFill>
                          <a:schemeClr val="tx2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4C20-4C5E-9232-0DC4838CB1D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C20-4C5E-9232-0DC4838CB1D6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Ensemble!$AN$432:$AN$433</c:f>
              <c:numCache>
                <c:formatCode>General</c:formatCode>
                <c:ptCount val="2"/>
                <c:pt idx="0">
                  <c:v>60</c:v>
                </c:pt>
                <c:pt idx="1">
                  <c:v>110</c:v>
                </c:pt>
              </c:numCache>
            </c:numRef>
          </c:xVal>
          <c:yVal>
            <c:numRef>
              <c:f>Ensemble!$AO$432:$AO$433</c:f>
              <c:numCache>
                <c:formatCode>General</c:formatCode>
                <c:ptCount val="2"/>
                <c:pt idx="0">
                  <c:v>-250</c:v>
                </c:pt>
                <c:pt idx="1">
                  <c:v>-250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Ensemble!$AM$433</c15:f>
                <c15:dlblRangeCache>
                  <c:ptCount val="1"/>
                  <c:pt idx="0">
                    <c:v>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4C20-4C5E-9232-0DC4838CB1D6}"/>
            </c:ext>
          </c:extLst>
        </c:ser>
        <c:ser>
          <c:idx val="12"/>
          <c:order val="12"/>
          <c:tx>
            <c:strRef>
              <c:f>Ensemble!$AM$438</c:f>
              <c:strCache>
                <c:ptCount val="1"/>
                <c:pt idx="0">
                  <c:v>Texte de Cotation hauteur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5FEF7577-2323-4257-AC31-B34A316E9A8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4C20-4C5E-9232-0DC4838CB1D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C20-4C5E-9232-0DC4838CB1D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Ensemble!$AN$438:$AN$439</c:f>
              <c:numCache>
                <c:formatCode>General</c:formatCode>
                <c:ptCount val="2"/>
                <c:pt idx="0">
                  <c:v>210</c:v>
                </c:pt>
                <c:pt idx="1">
                  <c:v>210</c:v>
                </c:pt>
              </c:numCache>
            </c:numRef>
          </c:xVal>
          <c:yVal>
            <c:numRef>
              <c:f>Ensemble!$AO$438:$AO$439</c:f>
              <c:numCache>
                <c:formatCode>General</c:formatCode>
                <c:ptCount val="2"/>
                <c:pt idx="0">
                  <c:v>1010</c:v>
                </c:pt>
                <c:pt idx="1">
                  <c:v>1060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Ensemble!$AM$439</c15:f>
                <c15:dlblRangeCache>
                  <c:ptCount val="1"/>
                  <c:pt idx="0">
                    <c:v>2020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4C20-4C5E-9232-0DC4838CB1D6}"/>
            </c:ext>
          </c:extLst>
        </c:ser>
        <c:ser>
          <c:idx val="13"/>
          <c:order val="13"/>
          <c:tx>
            <c:strRef>
              <c:f>Ensemble!$AN$441:$AN$442</c:f>
              <c:strCache>
                <c:ptCount val="2"/>
                <c:pt idx="0">
                  <c:v>33</c:v>
                </c:pt>
                <c:pt idx="1">
                  <c:v>33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3473C944-B7EF-4BDE-9FC7-870F1879337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4C20-4C5E-9232-0DC4838CB1D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C20-4C5E-9232-0DC4838CB1D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Ensemble!$AN$441:$AN$442</c:f>
              <c:numCache>
                <c:formatCode>General</c:formatCode>
                <c:ptCount val="2"/>
                <c:pt idx="0">
                  <c:v>33</c:v>
                </c:pt>
                <c:pt idx="1">
                  <c:v>33</c:v>
                </c:pt>
              </c:numCache>
            </c:numRef>
          </c:xVal>
          <c:yVal>
            <c:numRef>
              <c:f>Ensemble!$AO$441:$AO$442</c:f>
              <c:numCache>
                <c:formatCode>General</c:formatCode>
                <c:ptCount val="2"/>
                <c:pt idx="0">
                  <c:v>1010</c:v>
                </c:pt>
                <c:pt idx="1">
                  <c:v>1060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Ensemble!$AM$442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4C20-4C5E-9232-0DC4838CB1D6}"/>
            </c:ext>
          </c:extLst>
        </c:ser>
        <c:ser>
          <c:idx val="14"/>
          <c:order val="14"/>
          <c:tx>
            <c:strRef>
              <c:f>Ensemble!$AM$444</c:f>
              <c:strCache>
                <c:ptCount val="1"/>
                <c:pt idx="0">
                  <c:v>Dépassée Droite 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76A5FC30-3BD3-4F39-B737-097E109C321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4C20-4C5E-9232-0DC4838CB1D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4C20-4C5E-9232-0DC4838CB1D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Ensemble!$AN$444:$AN$445</c:f>
              <c:numCache>
                <c:formatCode>General</c:formatCode>
                <c:ptCount val="2"/>
                <c:pt idx="0">
                  <c:v>87</c:v>
                </c:pt>
                <c:pt idx="1">
                  <c:v>87</c:v>
                </c:pt>
              </c:numCache>
            </c:numRef>
          </c:xVal>
          <c:yVal>
            <c:numRef>
              <c:f>Ensemble!$AO$444:$AO$445</c:f>
              <c:numCache>
                <c:formatCode>General</c:formatCode>
                <c:ptCount val="2"/>
                <c:pt idx="0">
                  <c:v>1010</c:v>
                </c:pt>
                <c:pt idx="1">
                  <c:v>1060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Ensemble!$AM$445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B-4C20-4C5E-9232-0DC4838CB1D6}"/>
            </c:ext>
          </c:extLst>
        </c:ser>
        <c:ser>
          <c:idx val="15"/>
          <c:order val="15"/>
          <c:tx>
            <c:strRef>
              <c:f>Ensemble!$AM$447</c:f>
              <c:strCache>
                <c:ptCount val="1"/>
                <c:pt idx="0">
                  <c:v>Dépassée Haute 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4CFF089C-CA0B-4CF6-B506-6B7E3DCFF1E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4C20-4C5E-9232-0DC4838CB1D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4C20-4C5E-9232-0DC4838CB1D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Ensemble!$AN$447:$AN$448</c:f>
              <c:numCache>
                <c:formatCode>General</c:formatCode>
                <c:ptCount val="2"/>
                <c:pt idx="0">
                  <c:v>90</c:v>
                </c:pt>
                <c:pt idx="1">
                  <c:v>140</c:v>
                </c:pt>
              </c:numCache>
            </c:numRef>
          </c:xVal>
          <c:yVal>
            <c:numRef>
              <c:f>Ensemble!$AO$447:$AO$448</c:f>
              <c:numCache>
                <c:formatCode>General</c:formatCode>
                <c:ptCount val="2"/>
                <c:pt idx="0">
                  <c:v>2060</c:v>
                </c:pt>
                <c:pt idx="1">
                  <c:v>2060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Ensemble!$AM$451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E-4C20-4C5E-9232-0DC4838CB1D6}"/>
            </c:ext>
          </c:extLst>
        </c:ser>
        <c:ser>
          <c:idx val="16"/>
          <c:order val="16"/>
          <c:tx>
            <c:strRef>
              <c:f>Ensemble!$AM$450</c:f>
              <c:strCache>
                <c:ptCount val="1"/>
                <c:pt idx="0">
                  <c:v>Dépassée basse 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594FB4AC-E1E2-4B70-A5BC-6157CBB4A77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4C20-4C5E-9232-0DC4838CB1D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4C20-4C5E-9232-0DC4838CB1D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</c:ext>
            </c:extLst>
          </c:dLbls>
          <c:xVal>
            <c:numRef>
              <c:f>Ensemble!$AN$450:$AN$451</c:f>
              <c:numCache>
                <c:formatCode>General</c:formatCode>
                <c:ptCount val="2"/>
                <c:pt idx="0">
                  <c:v>90</c:v>
                </c:pt>
                <c:pt idx="1">
                  <c:v>140</c:v>
                </c:pt>
              </c:numCache>
            </c:numRef>
          </c:xVal>
          <c:yVal>
            <c:numRef>
              <c:f>Ensemble!$AO$450:$AO$451</c:f>
              <c:numCache>
                <c:formatCode>General</c:formatCode>
                <c:ptCount val="2"/>
                <c:pt idx="0">
                  <c:v>-40</c:v>
                </c:pt>
                <c:pt idx="1">
                  <c:v>-40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Ensemble!$AM$451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1-4C20-4C5E-9232-0DC4838CB1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846304"/>
        <c:axId val="502847480"/>
      </c:scatterChart>
      <c:valAx>
        <c:axId val="502846304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02847480"/>
        <c:crossesAt val="-2147483647"/>
        <c:crossBetween val="midCat"/>
      </c:valAx>
      <c:valAx>
        <c:axId val="502847480"/>
        <c:scaling>
          <c:orientation val="minMax"/>
          <c:max val="1500"/>
          <c:min val="-4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2846304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Ensemble!$O$4</c:f>
          <c:strCache>
            <c:ptCount val="1"/>
            <c:pt idx="0">
              <c:v>Fenêtre 0 / 0; sans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49693618029961E-2"/>
          <c:y val="3.746492021674945E-2"/>
          <c:w val="0.9465030638197004"/>
          <c:h val="0.96253507978325059"/>
        </c:manualLayout>
      </c:layout>
      <c:scatterChart>
        <c:scatterStyle val="lineMarker"/>
        <c:varyColors val="0"/>
        <c:ser>
          <c:idx val="0"/>
          <c:order val="0"/>
          <c:tx>
            <c:strRef>
              <c:f>Ensemble!$O$223</c:f>
              <c:strCache>
                <c:ptCount val="1"/>
                <c:pt idx="0">
                  <c:v>OSB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Ensemble!$P$223:$P$227</c:f>
              <c:numCache>
                <c:formatCode>General</c:formatCode>
                <c:ptCount val="5"/>
                <c:pt idx="0">
                  <c:v>33</c:v>
                </c:pt>
                <c:pt idx="1">
                  <c:v>87</c:v>
                </c:pt>
                <c:pt idx="2">
                  <c:v>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Ensemble!$Q$223:$Q$227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2760</c:v>
                </c:pt>
                <c:pt idx="3">
                  <c:v>2760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724-4E92-BDFF-F1E1A793FC26}"/>
            </c:ext>
          </c:extLst>
        </c:ser>
        <c:ser>
          <c:idx val="2"/>
          <c:order val="1"/>
          <c:tx>
            <c:strRef>
              <c:f>Ensemble!$O$229</c:f>
              <c:strCache>
                <c:ptCount val="1"/>
                <c:pt idx="0">
                  <c:v>Montant gauche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Ensemble!$P$229:$P$233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Ensemble!$Q$229:$Q$233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724-4E92-BDFF-F1E1A793FC26}"/>
            </c:ext>
          </c:extLst>
        </c:ser>
        <c:ser>
          <c:idx val="1"/>
          <c:order val="2"/>
          <c:tx>
            <c:strRef>
              <c:f>Ensemble!$O$265</c:f>
              <c:strCache>
                <c:ptCount val="1"/>
                <c:pt idx="0">
                  <c:v>Lisse basse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Ensemble!$P$265:$P$269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Ensemble!$Q$265:$Q$269</c:f>
              <c:numCache>
                <c:formatCode>General</c:formatCode>
                <c:ptCount val="5"/>
                <c:pt idx="0">
                  <c:v>2430</c:v>
                </c:pt>
                <c:pt idx="1">
                  <c:v>2430</c:v>
                </c:pt>
                <c:pt idx="2">
                  <c:v>2475</c:v>
                </c:pt>
                <c:pt idx="3">
                  <c:v>2475</c:v>
                </c:pt>
                <c:pt idx="4">
                  <c:v>2430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724-4E92-BDFF-F1E1A793FC26}"/>
            </c:ext>
          </c:extLst>
        </c:ser>
        <c:ser>
          <c:idx val="3"/>
          <c:order val="3"/>
          <c:tx>
            <c:strRef>
              <c:f>Ensemble!$O$259</c:f>
              <c:strCache>
                <c:ptCount val="1"/>
                <c:pt idx="0">
                  <c:v>Montant droit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Ensemble!$P$259:$P$263</c:f>
              <c:numCache>
                <c:formatCode>General</c:formatCode>
                <c:ptCount val="5"/>
                <c:pt idx="0">
                  <c:v>15</c:v>
                </c:pt>
                <c:pt idx="1">
                  <c:v>60</c:v>
                </c:pt>
                <c:pt idx="2">
                  <c:v>60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Ensemble!$Q$259:$Q$263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724-4E92-BDFF-F1E1A793FC26}"/>
            </c:ext>
          </c:extLst>
        </c:ser>
        <c:ser>
          <c:idx val="4"/>
          <c:order val="4"/>
          <c:tx>
            <c:strRef>
              <c:f>Ensemble!$O$271</c:f>
              <c:strCache>
                <c:ptCount val="1"/>
                <c:pt idx="0">
                  <c:v>Lisse haute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Ensemble!$P$271:$P$275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Ensemble!$Q$271:$Q$275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724-4E92-BDFF-F1E1A793FC26}"/>
            </c:ext>
          </c:extLst>
        </c:ser>
        <c:ser>
          <c:idx val="7"/>
          <c:order val="5"/>
          <c:tx>
            <c:strRef>
              <c:f>Ensemble!$O$235</c:f>
              <c:strCache>
                <c:ptCount val="1"/>
                <c:pt idx="0">
                  <c:v>ossature intermédiaire 1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Ensemble!$P$235:$P$239</c:f>
            </c:numRef>
          </c:xVal>
          <c:yVal>
            <c:numRef>
              <c:f>Ensemble!$Q$235:$Q$239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724-4E92-BDFF-F1E1A793FC26}"/>
            </c:ext>
          </c:extLst>
        </c:ser>
        <c:ser>
          <c:idx val="8"/>
          <c:order val="6"/>
          <c:tx>
            <c:strRef>
              <c:f>Ensemble!$O$241</c:f>
              <c:strCache>
                <c:ptCount val="1"/>
                <c:pt idx="0">
                  <c:v>ossature intermédiaire 2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Ensemble!$P$241:$P$245</c:f>
            </c:numRef>
          </c:xVal>
          <c:yVal>
            <c:numRef>
              <c:f>Ensemble!$Q$241:$Q$245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C724-4E92-BDFF-F1E1A793FC26}"/>
            </c:ext>
          </c:extLst>
        </c:ser>
        <c:ser>
          <c:idx val="9"/>
          <c:order val="7"/>
          <c:tx>
            <c:strRef>
              <c:f>Ensemble!$O$247</c:f>
              <c:strCache>
                <c:ptCount val="1"/>
                <c:pt idx="0">
                  <c:v>ossature intermédiaire 3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Ensemble!$P$247:$P$251</c:f>
            </c:numRef>
          </c:xVal>
          <c:yVal>
            <c:numRef>
              <c:f>Ensemble!$Q$247:$Q$251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724-4E92-BDFF-F1E1A793FC26}"/>
            </c:ext>
          </c:extLst>
        </c:ser>
        <c:ser>
          <c:idx val="10"/>
          <c:order val="8"/>
          <c:tx>
            <c:strRef>
              <c:f>Ensemble!$O$253</c:f>
              <c:strCache>
                <c:ptCount val="1"/>
                <c:pt idx="0">
                  <c:v>ossature intermédiaire 4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Ensemble!$P$253:$P$257</c:f>
            </c:numRef>
          </c:xVal>
          <c:yVal>
            <c:numRef>
              <c:f>Ensemble!$Q$253:$Q$257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724-4E92-BDFF-F1E1A793FC26}"/>
            </c:ext>
          </c:extLst>
        </c:ser>
        <c:ser>
          <c:idx val="11"/>
          <c:order val="9"/>
          <c:tx>
            <c:strRef>
              <c:f>Ensemble!$O$74</c:f>
              <c:strCache>
                <c:ptCount val="1"/>
                <c:pt idx="0">
                  <c:v>Montant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Ensemble!$P$74:$P$78</c:f>
              <c:numCache>
                <c:formatCode>General</c:formatCode>
                <c:ptCount val="5"/>
                <c:pt idx="0">
                  <c:v>0</c:v>
                </c:pt>
                <c:pt idx="1">
                  <c:v>45</c:v>
                </c:pt>
                <c:pt idx="2">
                  <c:v>45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Ensemble!$Q$74:$Q$78</c:f>
              <c:numCache>
                <c:formatCode>General</c:formatCode>
                <c:ptCount val="5"/>
                <c:pt idx="0">
                  <c:v>2065</c:v>
                </c:pt>
                <c:pt idx="1">
                  <c:v>2065</c:v>
                </c:pt>
                <c:pt idx="2">
                  <c:v>2385</c:v>
                </c:pt>
                <c:pt idx="3">
                  <c:v>2385</c:v>
                </c:pt>
                <c:pt idx="4">
                  <c:v>2065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724-4E92-BDFF-F1E1A793FC26}"/>
            </c:ext>
          </c:extLst>
        </c:ser>
        <c:ser>
          <c:idx val="12"/>
          <c:order val="10"/>
          <c:tx>
            <c:strRef>
              <c:f>Ensemble!$O$80</c:f>
              <c:strCache>
                <c:ptCount val="1"/>
                <c:pt idx="0">
                  <c:v>Montant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Ensemble!$P$80:$P$84</c:f>
              <c:numCache>
                <c:formatCode>General</c:formatCode>
                <c:ptCount val="5"/>
                <c:pt idx="0">
                  <c:v>75</c:v>
                </c:pt>
                <c:pt idx="1">
                  <c:v>120</c:v>
                </c:pt>
                <c:pt idx="2">
                  <c:v>120</c:v>
                </c:pt>
                <c:pt idx="3">
                  <c:v>75</c:v>
                </c:pt>
                <c:pt idx="4">
                  <c:v>75</c:v>
                </c:pt>
              </c:numCache>
            </c:numRef>
          </c:xVal>
          <c:yVal>
            <c:numRef>
              <c:f>Ensemble!$Q$80:$Q$84</c:f>
              <c:numCache>
                <c:formatCode>General</c:formatCode>
                <c:ptCount val="5"/>
                <c:pt idx="0">
                  <c:v>2065</c:v>
                </c:pt>
                <c:pt idx="1">
                  <c:v>2065</c:v>
                </c:pt>
                <c:pt idx="2">
                  <c:v>2385</c:v>
                </c:pt>
                <c:pt idx="3">
                  <c:v>2385</c:v>
                </c:pt>
                <c:pt idx="4">
                  <c:v>2065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C724-4E92-BDFF-F1E1A793FC26}"/>
            </c:ext>
          </c:extLst>
        </c:ser>
        <c:ser>
          <c:idx val="13"/>
          <c:order val="11"/>
          <c:tx>
            <c:strRef>
              <c:f>Ensemble!$O$86</c:f>
              <c:strCache>
                <c:ptCount val="1"/>
                <c:pt idx="0">
                  <c:v>Linteau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Ensemble!$P$86:$P$90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Ensemble!$Q$86:$Q$90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2385</c:v>
                </c:pt>
                <c:pt idx="3">
                  <c:v>2385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C724-4E92-BDFF-F1E1A793FC26}"/>
            </c:ext>
          </c:extLst>
        </c:ser>
        <c:ser>
          <c:idx val="14"/>
          <c:order val="12"/>
          <c:tx>
            <c:strRef>
              <c:f>Ensemble!$O$92</c:f>
              <c:strCache>
                <c:ptCount val="1"/>
                <c:pt idx="0">
                  <c:v>Traverse haute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Ensemble!$P$92:$P$96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Ensemble!$Q$92:$Q$96</c:f>
              <c:numCache>
                <c:formatCode>General</c:formatCode>
                <c:ptCount val="5"/>
                <c:pt idx="0">
                  <c:v>2385</c:v>
                </c:pt>
                <c:pt idx="1">
                  <c:v>2385</c:v>
                </c:pt>
                <c:pt idx="2">
                  <c:v>2430</c:v>
                </c:pt>
                <c:pt idx="3">
                  <c:v>2430</c:v>
                </c:pt>
                <c:pt idx="4">
                  <c:v>2385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C724-4E92-BDFF-F1E1A793FC26}"/>
            </c:ext>
          </c:extLst>
        </c:ser>
        <c:ser>
          <c:idx val="5"/>
          <c:order val="13"/>
          <c:tx>
            <c:strRef>
              <c:f>Ensemble!$O$98</c:f>
              <c:strCache>
                <c:ptCount val="1"/>
                <c:pt idx="0">
                  <c:v>Traverse basse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Ensemble!$P$98:$P$102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Ensemble!$Q$98:$Q$102</c:f>
              <c:numCache>
                <c:formatCode>General</c:formatCode>
                <c:ptCount val="5"/>
                <c:pt idx="0">
                  <c:v>2020</c:v>
                </c:pt>
                <c:pt idx="1">
                  <c:v>2020</c:v>
                </c:pt>
                <c:pt idx="2">
                  <c:v>2065</c:v>
                </c:pt>
                <c:pt idx="3">
                  <c:v>2065</c:v>
                </c:pt>
                <c:pt idx="4">
                  <c:v>2020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F4-4089-A952-2E479D7CE878}"/>
            </c:ext>
          </c:extLst>
        </c:ser>
        <c:ser>
          <c:idx val="6"/>
          <c:order val="14"/>
          <c:tx>
            <c:strRef>
              <c:f>Ensemble!$O$374</c:f>
              <c:strCache>
                <c:ptCount val="1"/>
                <c:pt idx="0">
                  <c:v>OSB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Ensemble!$P$374:$P$378</c:f>
              <c:numCache>
                <c:formatCode>General</c:formatCode>
                <c:ptCount val="5"/>
                <c:pt idx="0">
                  <c:v>33</c:v>
                </c:pt>
                <c:pt idx="1">
                  <c:v>87</c:v>
                </c:pt>
                <c:pt idx="2">
                  <c:v>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Ensemble!$Q$374:$Q$378</c:f>
              <c:numCache>
                <c:formatCode>General</c:formatCode>
                <c:ptCount val="5"/>
                <c:pt idx="0">
                  <c:v>-40</c:v>
                </c:pt>
                <c:pt idx="1">
                  <c:v>-40</c:v>
                </c:pt>
                <c:pt idx="2">
                  <c:v>2060</c:v>
                </c:pt>
                <c:pt idx="3">
                  <c:v>2060</c:v>
                </c:pt>
                <c:pt idx="4">
                  <c:v>-40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7F4-4089-A952-2E479D7CE878}"/>
            </c:ext>
          </c:extLst>
        </c:ser>
        <c:ser>
          <c:idx val="15"/>
          <c:order val="15"/>
          <c:tx>
            <c:strRef>
              <c:f>Ensemble!$O$380</c:f>
              <c:strCache>
                <c:ptCount val="1"/>
                <c:pt idx="0">
                  <c:v>Montant gauche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Ensemble!$P$380:$P$384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Ensemble!$Q$380:$Q$384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1975</c:v>
                </c:pt>
                <c:pt idx="3">
                  <c:v>1975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7F4-4089-A952-2E479D7CE878}"/>
            </c:ext>
          </c:extLst>
        </c:ser>
        <c:ser>
          <c:idx val="16"/>
          <c:order val="16"/>
          <c:tx>
            <c:strRef>
              <c:f>Ensemble!$O$386</c:f>
              <c:strCache>
                <c:ptCount val="1"/>
                <c:pt idx="0">
                  <c:v>ossature intermédiaire 1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Ensemble!$P$386:$P$390</c:f>
            </c:numRef>
          </c:xVal>
          <c:yVal>
            <c:numRef>
              <c:f>Ensemble!$Q$386:$Q$390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7F4-4089-A952-2E479D7CE878}"/>
            </c:ext>
          </c:extLst>
        </c:ser>
        <c:ser>
          <c:idx val="17"/>
          <c:order val="17"/>
          <c:tx>
            <c:strRef>
              <c:f>Ensemble!$O$392</c:f>
              <c:strCache>
                <c:ptCount val="1"/>
                <c:pt idx="0">
                  <c:v>ossature intermédiaire 2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Ensemble!$P$392:$P$396</c:f>
            </c:numRef>
          </c:xVal>
          <c:yVal>
            <c:numRef>
              <c:f>Ensemble!$Q$392:$Q$396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7F4-4089-A952-2E479D7CE878}"/>
            </c:ext>
          </c:extLst>
        </c:ser>
        <c:ser>
          <c:idx val="18"/>
          <c:order val="18"/>
          <c:tx>
            <c:strRef>
              <c:f>Ensemble!$O$398</c:f>
              <c:strCache>
                <c:ptCount val="1"/>
                <c:pt idx="0">
                  <c:v>ossature intermédiaire 3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Ensemble!$P$398:$P$402</c:f>
            </c:numRef>
          </c:xVal>
          <c:yVal>
            <c:numRef>
              <c:f>Ensemble!$Q$398:$Q$402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7F4-4089-A952-2E479D7CE878}"/>
            </c:ext>
          </c:extLst>
        </c:ser>
        <c:ser>
          <c:idx val="19"/>
          <c:order val="19"/>
          <c:tx>
            <c:strRef>
              <c:f>Ensemble!$O$404</c:f>
              <c:strCache>
                <c:ptCount val="1"/>
                <c:pt idx="0">
                  <c:v>ossature intermédiaire 4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Ensemble!$P$404:$P$408</c:f>
            </c:numRef>
          </c:xVal>
          <c:yVal>
            <c:numRef>
              <c:f>Ensemble!$Q$404:$Q$408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67F4-4089-A952-2E479D7CE878}"/>
            </c:ext>
          </c:extLst>
        </c:ser>
        <c:ser>
          <c:idx val="20"/>
          <c:order val="20"/>
          <c:tx>
            <c:strRef>
              <c:f>Ensemble!$O$410</c:f>
              <c:strCache>
                <c:ptCount val="1"/>
                <c:pt idx="0">
                  <c:v>Montant droit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Ensemble!$P$410:$P$414</c:f>
              <c:numCache>
                <c:formatCode>General</c:formatCode>
                <c:ptCount val="5"/>
                <c:pt idx="0">
                  <c:v>15</c:v>
                </c:pt>
                <c:pt idx="1">
                  <c:v>60</c:v>
                </c:pt>
                <c:pt idx="2">
                  <c:v>60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Ensemble!$Q$410:$Q$414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1975</c:v>
                </c:pt>
                <c:pt idx="3">
                  <c:v>1975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67F4-4089-A952-2E479D7CE878}"/>
            </c:ext>
          </c:extLst>
        </c:ser>
        <c:ser>
          <c:idx val="21"/>
          <c:order val="21"/>
          <c:tx>
            <c:strRef>
              <c:f>Ensemble!$O$416</c:f>
              <c:strCache>
                <c:ptCount val="1"/>
                <c:pt idx="0">
                  <c:v>Lisse basse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Ensemble!$P$416:$P$420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Ensemble!$Q$416:$Q$420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45</c:v>
                </c:pt>
                <c:pt idx="3">
                  <c:v>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67F4-4089-A952-2E479D7CE878}"/>
            </c:ext>
          </c:extLst>
        </c:ser>
        <c:ser>
          <c:idx val="22"/>
          <c:order val="22"/>
          <c:tx>
            <c:strRef>
              <c:f>Ensemble!$O$422</c:f>
              <c:strCache>
                <c:ptCount val="1"/>
                <c:pt idx="0">
                  <c:v>Lisse haute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Ensemble!$P$422:$P$426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Ensemble!$Q$422:$Q$426</c:f>
              <c:numCache>
                <c:formatCode>General</c:formatCode>
                <c:ptCount val="5"/>
                <c:pt idx="0">
                  <c:v>1975</c:v>
                </c:pt>
                <c:pt idx="1">
                  <c:v>1975</c:v>
                </c:pt>
                <c:pt idx="2">
                  <c:v>2020</c:v>
                </c:pt>
                <c:pt idx="3">
                  <c:v>2020</c:v>
                </c:pt>
                <c:pt idx="4">
                  <c:v>1975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67F4-4089-A952-2E479D7CE878}"/>
            </c:ext>
          </c:extLst>
        </c:ser>
        <c:ser>
          <c:idx val="23"/>
          <c:order val="23"/>
          <c:tx>
            <c:strRef>
              <c:f>Ensemble!$O$144</c:f>
              <c:strCache>
                <c:ptCount val="1"/>
                <c:pt idx="0">
                  <c:v>Ligne Linteau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Ensemble!$P$144:$P$145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Ensemble!$Q$144:$Q$145</c:f>
              <c:numCache>
                <c:formatCode>General</c:formatCode>
                <c:ptCount val="2"/>
                <c:pt idx="0">
                  <c:v>2150</c:v>
                </c:pt>
                <c:pt idx="1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67F4-4089-A952-2E479D7CE878}"/>
            </c:ext>
          </c:extLst>
        </c:ser>
        <c:ser>
          <c:idx val="24"/>
          <c:order val="24"/>
          <c:tx>
            <c:strRef>
              <c:f>Ensemble!$O$147</c:f>
              <c:strCache>
                <c:ptCount val="1"/>
                <c:pt idx="0">
                  <c:v>Ligne altimétrie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Ensemble!$P$147:$P$148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Ensemble!$Q$147:$Q$148</c:f>
              <c:numCache>
                <c:formatCode>General</c:formatCode>
                <c:ptCount val="2"/>
                <c:pt idx="0">
                  <c:v>2720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67F4-4089-A952-2E479D7CE878}"/>
            </c:ext>
          </c:extLst>
        </c:ser>
        <c:ser>
          <c:idx val="25"/>
          <c:order val="25"/>
          <c:tx>
            <c:strRef>
              <c:f>Ensemble!$O$150</c:f>
              <c:strCache>
                <c:ptCount val="1"/>
                <c:pt idx="0">
                  <c:v>Ligne Semelle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Ensemble!$P$150:$P$151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Ensemble!$Q$150:$Q$151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67F4-4089-A952-2E479D7CE878}"/>
            </c:ext>
          </c:extLst>
        </c:ser>
        <c:ser>
          <c:idx val="26"/>
          <c:order val="26"/>
          <c:tx>
            <c:strRef>
              <c:f>Ensemble!$O$153</c:f>
              <c:strCache>
                <c:ptCount val="1"/>
                <c:pt idx="0">
                  <c:v>Ligne Niveau brut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b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Ensemble!$P$153:$P$154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Ensemble!$Q$153:$Q$154</c:f>
              <c:numCache>
                <c:formatCode>General</c:formatCode>
                <c:ptCount val="2"/>
                <c:pt idx="0">
                  <c:v>-45</c:v>
                </c:pt>
                <c:pt idx="1">
                  <c:v>-45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67F4-4089-A952-2E479D7CE8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388416"/>
        <c:axId val="513389984"/>
      </c:scatterChart>
      <c:valAx>
        <c:axId val="513388416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13389984"/>
        <c:crossesAt val="-2147483647"/>
        <c:crossBetween val="midCat"/>
      </c:valAx>
      <c:valAx>
        <c:axId val="513389984"/>
        <c:scaling>
          <c:orientation val="minMax"/>
          <c:max val="3000"/>
          <c:min val="-5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3388416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Ensemble!$AM$4</c:f>
          <c:strCache>
            <c:ptCount val="1"/>
            <c:pt idx="0">
              <c:v>Fenêtre 0 / 0; avec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49693618029961E-2"/>
          <c:y val="3.746492021674945E-2"/>
          <c:w val="0.9465030638197004"/>
          <c:h val="0.96253507978325059"/>
        </c:manualLayout>
      </c:layout>
      <c:scatterChart>
        <c:scatterStyle val="lineMarker"/>
        <c:varyColors val="0"/>
        <c:ser>
          <c:idx val="11"/>
          <c:order val="0"/>
          <c:tx>
            <c:strRef>
              <c:f>Ensemble!$AM$74</c:f>
              <c:strCache>
                <c:ptCount val="1"/>
                <c:pt idx="0">
                  <c:v>Montant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Ensemble!$AN$74:$AN$78</c:f>
              <c:numCache>
                <c:formatCode>General</c:formatCode>
                <c:ptCount val="5"/>
                <c:pt idx="0">
                  <c:v>0</c:v>
                </c:pt>
                <c:pt idx="1">
                  <c:v>45</c:v>
                </c:pt>
                <c:pt idx="2">
                  <c:v>45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Ensemble!$AO$74:$AO$78</c:f>
              <c:numCache>
                <c:formatCode>General</c:formatCode>
                <c:ptCount val="5"/>
                <c:pt idx="0">
                  <c:v>2065</c:v>
                </c:pt>
                <c:pt idx="1">
                  <c:v>2065</c:v>
                </c:pt>
                <c:pt idx="2">
                  <c:v>2585</c:v>
                </c:pt>
                <c:pt idx="3">
                  <c:v>2585</c:v>
                </c:pt>
                <c:pt idx="4">
                  <c:v>2065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C724-4E92-BDFF-F1E1A793FC26}"/>
            </c:ext>
          </c:extLst>
        </c:ser>
        <c:ser>
          <c:idx val="12"/>
          <c:order val="1"/>
          <c:tx>
            <c:strRef>
              <c:f>Ensemble!$AM$80</c:f>
              <c:strCache>
                <c:ptCount val="1"/>
                <c:pt idx="0">
                  <c:v>Montant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Ensemble!$AN$80:$AN$84</c:f>
              <c:numCache>
                <c:formatCode>General</c:formatCode>
                <c:ptCount val="5"/>
                <c:pt idx="0">
                  <c:v>75</c:v>
                </c:pt>
                <c:pt idx="1">
                  <c:v>120</c:v>
                </c:pt>
                <c:pt idx="2">
                  <c:v>120</c:v>
                </c:pt>
                <c:pt idx="3">
                  <c:v>75</c:v>
                </c:pt>
                <c:pt idx="4">
                  <c:v>75</c:v>
                </c:pt>
              </c:numCache>
            </c:numRef>
          </c:xVal>
          <c:yVal>
            <c:numRef>
              <c:f>Ensemble!$AO$80:$AO$84</c:f>
              <c:numCache>
                <c:formatCode>General</c:formatCode>
                <c:ptCount val="5"/>
                <c:pt idx="0">
                  <c:v>2065</c:v>
                </c:pt>
                <c:pt idx="1">
                  <c:v>2065</c:v>
                </c:pt>
                <c:pt idx="2">
                  <c:v>2585</c:v>
                </c:pt>
                <c:pt idx="3">
                  <c:v>2585</c:v>
                </c:pt>
                <c:pt idx="4">
                  <c:v>2065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C724-4E92-BDFF-F1E1A793FC26}"/>
            </c:ext>
          </c:extLst>
        </c:ser>
        <c:ser>
          <c:idx val="13"/>
          <c:order val="2"/>
          <c:tx>
            <c:strRef>
              <c:f>Ensemble!$AM$86</c:f>
              <c:strCache>
                <c:ptCount val="1"/>
                <c:pt idx="0">
                  <c:v>Linteau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Ensemble!$AN$86:$AN$90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Ensemble!$AO$86:$AO$90</c:f>
              <c:numCache>
                <c:formatCode>General</c:formatCode>
                <c:ptCount val="5"/>
                <c:pt idx="0">
                  <c:v>2365</c:v>
                </c:pt>
                <c:pt idx="1">
                  <c:v>2365</c:v>
                </c:pt>
                <c:pt idx="2">
                  <c:v>2585</c:v>
                </c:pt>
                <c:pt idx="3">
                  <c:v>2585</c:v>
                </c:pt>
                <c:pt idx="4">
                  <c:v>2365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C724-4E92-BDFF-F1E1A793FC26}"/>
            </c:ext>
          </c:extLst>
        </c:ser>
        <c:ser>
          <c:idx val="14"/>
          <c:order val="3"/>
          <c:tx>
            <c:strRef>
              <c:f>Ensemble!$AM$92</c:f>
              <c:strCache>
                <c:ptCount val="1"/>
                <c:pt idx="0">
                  <c:v>Traverse haute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Ensemble!$AN$92:$AN$96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Ensemble!$AO$92:$AO$96</c:f>
              <c:numCache>
                <c:formatCode>General</c:formatCode>
                <c:ptCount val="5"/>
                <c:pt idx="0">
                  <c:v>2585</c:v>
                </c:pt>
                <c:pt idx="1">
                  <c:v>2585</c:v>
                </c:pt>
                <c:pt idx="2">
                  <c:v>2630</c:v>
                </c:pt>
                <c:pt idx="3">
                  <c:v>2630</c:v>
                </c:pt>
                <c:pt idx="4">
                  <c:v>2585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C724-4E92-BDFF-F1E1A793FC26}"/>
            </c:ext>
          </c:extLst>
        </c:ser>
        <c:ser>
          <c:idx val="5"/>
          <c:order val="4"/>
          <c:tx>
            <c:strRef>
              <c:f>Ensemble!$AM$110</c:f>
              <c:strCache>
                <c:ptCount val="1"/>
                <c:pt idx="0">
                  <c:v>Traverse basse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Ensemble!$AN$110:$AN$114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Ensemble!$AO$110:$AO$114</c:f>
              <c:numCache>
                <c:formatCode>General</c:formatCode>
                <c:ptCount val="5"/>
                <c:pt idx="0">
                  <c:v>2020</c:v>
                </c:pt>
                <c:pt idx="1">
                  <c:v>2020</c:v>
                </c:pt>
                <c:pt idx="2">
                  <c:v>2065</c:v>
                </c:pt>
                <c:pt idx="3">
                  <c:v>2065</c:v>
                </c:pt>
                <c:pt idx="4">
                  <c:v>2020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F4-4089-A952-2E479D7CE878}"/>
            </c:ext>
          </c:extLst>
        </c:ser>
        <c:ser>
          <c:idx val="6"/>
          <c:order val="5"/>
          <c:tx>
            <c:strRef>
              <c:f>Ensemble!$AM$374</c:f>
              <c:strCache>
                <c:ptCount val="1"/>
                <c:pt idx="0">
                  <c:v>OSB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Ensemble!$AN$374:$AN$378</c:f>
              <c:numCache>
                <c:formatCode>General</c:formatCode>
                <c:ptCount val="5"/>
                <c:pt idx="0">
                  <c:v>33</c:v>
                </c:pt>
                <c:pt idx="1">
                  <c:v>87</c:v>
                </c:pt>
                <c:pt idx="2">
                  <c:v>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Ensemble!$AO$374:$AO$378</c:f>
              <c:numCache>
                <c:formatCode>General</c:formatCode>
                <c:ptCount val="5"/>
                <c:pt idx="0">
                  <c:v>-40</c:v>
                </c:pt>
                <c:pt idx="1">
                  <c:v>-40</c:v>
                </c:pt>
                <c:pt idx="2">
                  <c:v>2060</c:v>
                </c:pt>
                <c:pt idx="3">
                  <c:v>2060</c:v>
                </c:pt>
                <c:pt idx="4">
                  <c:v>-40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7F4-4089-A952-2E479D7CE878}"/>
            </c:ext>
          </c:extLst>
        </c:ser>
        <c:ser>
          <c:idx val="15"/>
          <c:order val="6"/>
          <c:tx>
            <c:strRef>
              <c:f>Ensemble!$AM$380</c:f>
              <c:strCache>
                <c:ptCount val="1"/>
                <c:pt idx="0">
                  <c:v>Montant gauche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Ensemble!$AN$380:$AN$384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Ensemble!$AO$380:$AO$384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1975</c:v>
                </c:pt>
                <c:pt idx="3">
                  <c:v>1975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7F4-4089-A952-2E479D7CE878}"/>
            </c:ext>
          </c:extLst>
        </c:ser>
        <c:ser>
          <c:idx val="16"/>
          <c:order val="7"/>
          <c:tx>
            <c:strRef>
              <c:f>Ensemble!$AM$386</c:f>
              <c:strCache>
                <c:ptCount val="1"/>
                <c:pt idx="0">
                  <c:v>ossature intermédiaire 1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Ensemble!$AN$386:$AN$390</c:f>
            </c:numRef>
          </c:xVal>
          <c:yVal>
            <c:numRef>
              <c:f>Ensemble!$AO$386:$AO$390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7F4-4089-A952-2E479D7CE878}"/>
            </c:ext>
          </c:extLst>
        </c:ser>
        <c:ser>
          <c:idx val="17"/>
          <c:order val="8"/>
          <c:tx>
            <c:strRef>
              <c:f>Ensemble!$AM$392</c:f>
              <c:strCache>
                <c:ptCount val="1"/>
                <c:pt idx="0">
                  <c:v>ossature intermédiaire 2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Ensemble!$AN$392:$AN$396</c:f>
            </c:numRef>
          </c:xVal>
          <c:yVal>
            <c:numRef>
              <c:f>Ensemble!$AO$392:$AO$396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7F4-4089-A952-2E479D7CE878}"/>
            </c:ext>
          </c:extLst>
        </c:ser>
        <c:ser>
          <c:idx val="18"/>
          <c:order val="9"/>
          <c:tx>
            <c:strRef>
              <c:f>Ensemble!$AM$398</c:f>
              <c:strCache>
                <c:ptCount val="1"/>
                <c:pt idx="0">
                  <c:v>ossature intermédiaire 3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Ensemble!$AN$398:$AN$402</c:f>
            </c:numRef>
          </c:xVal>
          <c:yVal>
            <c:numRef>
              <c:f>Ensemble!$AO$398:$AO$402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7F4-4089-A952-2E479D7CE878}"/>
            </c:ext>
          </c:extLst>
        </c:ser>
        <c:ser>
          <c:idx val="19"/>
          <c:order val="10"/>
          <c:tx>
            <c:strRef>
              <c:f>Ensemble!$AM$404</c:f>
              <c:strCache>
                <c:ptCount val="1"/>
                <c:pt idx="0">
                  <c:v>ossature intermédiaire 4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Ensemble!$AN$404:$AN$408</c:f>
            </c:numRef>
          </c:xVal>
          <c:yVal>
            <c:numRef>
              <c:f>Ensemble!$AO$404:$AO$408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67F4-4089-A952-2E479D7CE878}"/>
            </c:ext>
          </c:extLst>
        </c:ser>
        <c:ser>
          <c:idx val="20"/>
          <c:order val="11"/>
          <c:tx>
            <c:strRef>
              <c:f>Ensemble!$AM$410</c:f>
              <c:strCache>
                <c:ptCount val="1"/>
                <c:pt idx="0">
                  <c:v>Montant droit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Ensemble!$AN$410:$AN$414</c:f>
              <c:numCache>
                <c:formatCode>General</c:formatCode>
                <c:ptCount val="5"/>
                <c:pt idx="0">
                  <c:v>15</c:v>
                </c:pt>
                <c:pt idx="1">
                  <c:v>60</c:v>
                </c:pt>
                <c:pt idx="2">
                  <c:v>60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Ensemble!$AO$410:$AO$414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1975</c:v>
                </c:pt>
                <c:pt idx="3">
                  <c:v>1975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67F4-4089-A952-2E479D7CE878}"/>
            </c:ext>
          </c:extLst>
        </c:ser>
        <c:ser>
          <c:idx val="21"/>
          <c:order val="12"/>
          <c:tx>
            <c:strRef>
              <c:f>Ensemble!$AM$416</c:f>
              <c:strCache>
                <c:ptCount val="1"/>
                <c:pt idx="0">
                  <c:v>Lisse basse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Ensemble!$AN$416:$AN$420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Ensemble!$AO$416:$AO$420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45</c:v>
                </c:pt>
                <c:pt idx="3">
                  <c:v>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67F4-4089-A952-2E479D7CE878}"/>
            </c:ext>
          </c:extLst>
        </c:ser>
        <c:ser>
          <c:idx val="22"/>
          <c:order val="13"/>
          <c:tx>
            <c:strRef>
              <c:f>Ensemble!$AM$422</c:f>
              <c:strCache>
                <c:ptCount val="1"/>
                <c:pt idx="0">
                  <c:v>Lisse haute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Ensemble!$AN$422:$AN$426</c:f>
              <c:numCache>
                <c:formatCode>General</c:formatCode>
                <c:ptCount val="5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Ensemble!$AO$422:$AO$426</c:f>
              <c:numCache>
                <c:formatCode>General</c:formatCode>
                <c:ptCount val="5"/>
                <c:pt idx="0">
                  <c:v>1975</c:v>
                </c:pt>
                <c:pt idx="1">
                  <c:v>1975</c:v>
                </c:pt>
                <c:pt idx="2">
                  <c:v>2020</c:v>
                </c:pt>
                <c:pt idx="3">
                  <c:v>2020</c:v>
                </c:pt>
                <c:pt idx="4">
                  <c:v>1975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67F4-4089-A952-2E479D7CE878}"/>
            </c:ext>
          </c:extLst>
        </c:ser>
        <c:ser>
          <c:idx val="0"/>
          <c:order val="14"/>
          <c:tx>
            <c:strRef>
              <c:f>Ensemble!$AM$98</c:f>
              <c:strCache>
                <c:ptCount val="1"/>
                <c:pt idx="0">
                  <c:v>Traverse haute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Ensemble!$AN$98:$AN$102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Ensemble!$AO$98:$AO$102</c:f>
              <c:numCache>
                <c:formatCode>General</c:formatCode>
                <c:ptCount val="5"/>
                <c:pt idx="0">
                  <c:v>2630</c:v>
                </c:pt>
                <c:pt idx="1">
                  <c:v>2630</c:v>
                </c:pt>
                <c:pt idx="2">
                  <c:v>2675</c:v>
                </c:pt>
                <c:pt idx="3">
                  <c:v>2675</c:v>
                </c:pt>
                <c:pt idx="4">
                  <c:v>2630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9E6-48F4-BE46-41D1185B1A25}"/>
            </c:ext>
          </c:extLst>
        </c:ser>
        <c:ser>
          <c:idx val="1"/>
          <c:order val="15"/>
          <c:tx>
            <c:strRef>
              <c:f>Ensemble!$AM$104</c:f>
              <c:strCache>
                <c:ptCount val="1"/>
                <c:pt idx="0">
                  <c:v>Traverse haute 3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Ensemble!$AN$104:$AN$108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Ensemble!$AO$104:$AO$108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9E6-48F4-BE46-41D1185B1A25}"/>
            </c:ext>
          </c:extLst>
        </c:ser>
        <c:ser>
          <c:idx val="2"/>
          <c:order val="16"/>
          <c:tx>
            <c:strRef>
              <c:f>Ensemble!$AM$144</c:f>
              <c:strCache>
                <c:ptCount val="1"/>
                <c:pt idx="0">
                  <c:v>Ligne Linteau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Ensemble!$AN$144:$AN$145</c:f>
              <c:numCache>
                <c:formatCode>General</c:formatCode>
                <c:ptCount val="2"/>
                <c:pt idx="0">
                  <c:v>-300</c:v>
                </c:pt>
                <c:pt idx="1">
                  <c:v>620</c:v>
                </c:pt>
              </c:numCache>
            </c:numRef>
          </c:xVal>
          <c:yVal>
            <c:numRef>
              <c:f>Ensemble!$AO$144:$AO$145</c:f>
              <c:numCache>
                <c:formatCode>General</c:formatCode>
                <c:ptCount val="2"/>
                <c:pt idx="0">
                  <c:v>2150</c:v>
                </c:pt>
                <c:pt idx="1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9E6-48F4-BE46-41D1185B1A25}"/>
            </c:ext>
          </c:extLst>
        </c:ser>
        <c:ser>
          <c:idx val="3"/>
          <c:order val="17"/>
          <c:tx>
            <c:strRef>
              <c:f>Ensemble!$AM$147</c:f>
              <c:strCache>
                <c:ptCount val="1"/>
                <c:pt idx="0">
                  <c:v>Ligne altimétrie</c:v>
                </c:pt>
              </c:strCache>
            </c:strRef>
          </c:tx>
          <c:marker>
            <c:symbol val="none"/>
          </c:marker>
          <c:dPt>
            <c:idx val="1"/>
            <c:bubble3D val="0"/>
            <c:spPr>
              <a:ln>
                <a:prstDash val="dashDot"/>
              </a:ln>
            </c:spPr>
            <c:extLst>
              <c:ext xmlns:c16="http://schemas.microsoft.com/office/drawing/2014/chart" uri="{C3380CC4-5D6E-409C-BE32-E72D297353CC}">
                <c16:uniqueId val="{00000008-99E6-48F4-BE46-41D1185B1A25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Ensemble!$AN$147:$AN$148</c:f>
              <c:numCache>
                <c:formatCode>General</c:formatCode>
                <c:ptCount val="2"/>
                <c:pt idx="0">
                  <c:v>-300</c:v>
                </c:pt>
                <c:pt idx="1">
                  <c:v>620</c:v>
                </c:pt>
              </c:numCache>
            </c:numRef>
          </c:xVal>
          <c:yVal>
            <c:numRef>
              <c:f>Ensemble!$AO$147:$AO$148</c:f>
              <c:numCache>
                <c:formatCode>General</c:formatCode>
                <c:ptCount val="2"/>
                <c:pt idx="0">
                  <c:v>2720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9E6-48F4-BE46-41D1185B1A25}"/>
            </c:ext>
          </c:extLst>
        </c:ser>
        <c:ser>
          <c:idx val="4"/>
          <c:order val="18"/>
          <c:tx>
            <c:strRef>
              <c:f>Ensemble!$AM$150</c:f>
              <c:strCache>
                <c:ptCount val="1"/>
                <c:pt idx="0">
                  <c:v>Ligne Semelle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Ensemble!$AN$150:$AN$151</c:f>
              <c:numCache>
                <c:formatCode>General</c:formatCode>
                <c:ptCount val="2"/>
                <c:pt idx="0">
                  <c:v>-300</c:v>
                </c:pt>
                <c:pt idx="1">
                  <c:v>620</c:v>
                </c:pt>
              </c:numCache>
            </c:numRef>
          </c:xVal>
          <c:yVal>
            <c:numRef>
              <c:f>Ensemble!$AO$150:$AO$151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9E6-48F4-BE46-41D1185B1A25}"/>
            </c:ext>
          </c:extLst>
        </c:ser>
        <c:ser>
          <c:idx val="7"/>
          <c:order val="19"/>
          <c:tx>
            <c:strRef>
              <c:f>Ensemble!$AM$153</c:f>
              <c:strCache>
                <c:ptCount val="1"/>
                <c:pt idx="0">
                  <c:v>Ligne Niveau brut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b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Ensemble!$AN$153:$AN$154</c:f>
              <c:numCache>
                <c:formatCode>General</c:formatCode>
                <c:ptCount val="2"/>
                <c:pt idx="0">
                  <c:v>-300</c:v>
                </c:pt>
                <c:pt idx="1">
                  <c:v>620</c:v>
                </c:pt>
              </c:numCache>
            </c:numRef>
          </c:xVal>
          <c:yVal>
            <c:numRef>
              <c:f>Ensemble!$AO$153:$AO$154</c:f>
              <c:numCache>
                <c:formatCode>General</c:formatCode>
                <c:ptCount val="2"/>
                <c:pt idx="0">
                  <c:v>-45</c:v>
                </c:pt>
                <c:pt idx="1">
                  <c:v>-45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9E6-48F4-BE46-41D1185B1A25}"/>
            </c:ext>
          </c:extLst>
        </c:ser>
        <c:ser>
          <c:idx val="8"/>
          <c:order val="20"/>
          <c:tx>
            <c:strRef>
              <c:f>Ensemble!$AM$116</c:f>
              <c:strCache>
                <c:ptCount val="1"/>
                <c:pt idx="0">
                  <c:v>OSB PC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Ensemble!$AN$116:$AN$120</c:f>
              <c:numCache>
                <c:formatCode>General</c:formatCode>
                <c:ptCount val="5"/>
                <c:pt idx="0">
                  <c:v>45</c:v>
                </c:pt>
                <c:pt idx="1">
                  <c:v>75</c:v>
                </c:pt>
                <c:pt idx="2">
                  <c:v>75</c:v>
                </c:pt>
                <c:pt idx="3">
                  <c:v>45</c:v>
                </c:pt>
                <c:pt idx="4">
                  <c:v>45</c:v>
                </c:pt>
              </c:numCache>
            </c:numRef>
          </c:xVal>
          <c:yVal>
            <c:numRef>
              <c:f>Ensemble!$AO$116:$AO$120</c:f>
              <c:numCache>
                <c:formatCode>General</c:formatCode>
                <c:ptCount val="5"/>
                <c:pt idx="0">
                  <c:v>2150</c:v>
                </c:pt>
                <c:pt idx="1">
                  <c:v>2150</c:v>
                </c:pt>
                <c:pt idx="2">
                  <c:v>2745</c:v>
                </c:pt>
                <c:pt idx="3">
                  <c:v>2745</c:v>
                </c:pt>
                <c:pt idx="4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9E6-48F4-BE46-41D1185B1A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387632"/>
        <c:axId val="513389200"/>
      </c:scatterChart>
      <c:valAx>
        <c:axId val="513387632"/>
        <c:scaling>
          <c:orientation val="minMax"/>
          <c:min val="-4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13389200"/>
        <c:crossesAt val="-2147483647"/>
        <c:crossBetween val="midCat"/>
      </c:valAx>
      <c:valAx>
        <c:axId val="513389200"/>
        <c:scaling>
          <c:orientation val="minMax"/>
          <c:max val="3000"/>
          <c:min val="-5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3387632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Ensemble!$AA$4</c:f>
          <c:strCache>
            <c:ptCount val="1"/>
            <c:pt idx="0">
              <c:v>Porte 0 / 0; avec VR; </c:v>
            </c:pt>
          </c:strCache>
        </c:strRef>
      </c:tx>
      <c:overlay val="0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496929548323691E-2"/>
          <c:y val="3.7464945235197632E-2"/>
          <c:w val="0.9465030638197004"/>
          <c:h val="0.96253507978325059"/>
        </c:manualLayout>
      </c:layout>
      <c:scatterChart>
        <c:scatterStyle val="lineMarker"/>
        <c:varyColors val="0"/>
        <c:ser>
          <c:idx val="11"/>
          <c:order val="0"/>
          <c:tx>
            <c:strRef>
              <c:f>Ensemble!$AA$74</c:f>
              <c:strCache>
                <c:ptCount val="1"/>
                <c:pt idx="0">
                  <c:v>Montant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Ensemble!$AB$74:$AB$78</c:f>
              <c:numCache>
                <c:formatCode>General</c:formatCode>
                <c:ptCount val="5"/>
                <c:pt idx="0">
                  <c:v>0</c:v>
                </c:pt>
                <c:pt idx="1">
                  <c:v>45</c:v>
                </c:pt>
                <c:pt idx="2">
                  <c:v>45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Ensemble!$AC$74:$AC$78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435</c:v>
                </c:pt>
                <c:pt idx="3">
                  <c:v>435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6FE3-47D9-B922-FFA80D2DDE66}"/>
            </c:ext>
          </c:extLst>
        </c:ser>
        <c:ser>
          <c:idx val="12"/>
          <c:order val="1"/>
          <c:tx>
            <c:strRef>
              <c:f>Ensemble!$AA$80</c:f>
              <c:strCache>
                <c:ptCount val="1"/>
                <c:pt idx="0">
                  <c:v>Montant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Ensemble!$AB$80:$AB$84</c:f>
              <c:numCache>
                <c:formatCode>General</c:formatCode>
                <c:ptCount val="5"/>
                <c:pt idx="0">
                  <c:v>75</c:v>
                </c:pt>
                <c:pt idx="1">
                  <c:v>120</c:v>
                </c:pt>
                <c:pt idx="2">
                  <c:v>120</c:v>
                </c:pt>
                <c:pt idx="3">
                  <c:v>75</c:v>
                </c:pt>
                <c:pt idx="4">
                  <c:v>75</c:v>
                </c:pt>
              </c:numCache>
            </c:numRef>
          </c:xVal>
          <c:yVal>
            <c:numRef>
              <c:f>Ensemble!$AC$80:$AC$84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435</c:v>
                </c:pt>
                <c:pt idx="3">
                  <c:v>435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6FE3-47D9-B922-FFA80D2DDE66}"/>
            </c:ext>
          </c:extLst>
        </c:ser>
        <c:ser>
          <c:idx val="13"/>
          <c:order val="2"/>
          <c:tx>
            <c:strRef>
              <c:f>Ensemble!$AA$86</c:f>
              <c:strCache>
                <c:ptCount val="1"/>
                <c:pt idx="0">
                  <c:v>Linteau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Ensemble!$AB$86:$AB$90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Ensemble!$AC$86:$AC$90</c:f>
              <c:numCache>
                <c:formatCode>General</c:formatCode>
                <c:ptCount val="5"/>
                <c:pt idx="0">
                  <c:v>2365</c:v>
                </c:pt>
                <c:pt idx="1">
                  <c:v>2365</c:v>
                </c:pt>
                <c:pt idx="2">
                  <c:v>2585</c:v>
                </c:pt>
                <c:pt idx="3">
                  <c:v>2585</c:v>
                </c:pt>
                <c:pt idx="4">
                  <c:v>2365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6FE3-47D9-B922-FFA80D2DDE66}"/>
            </c:ext>
          </c:extLst>
        </c:ser>
        <c:ser>
          <c:idx val="14"/>
          <c:order val="3"/>
          <c:tx>
            <c:strRef>
              <c:f>Ensemble!$AA$92</c:f>
              <c:strCache>
                <c:ptCount val="1"/>
                <c:pt idx="0">
                  <c:v>Traverse haute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Ensemble!$AB$92:$AB$96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Ensemble!$AC$92:$AC$96</c:f>
              <c:numCache>
                <c:formatCode>General</c:formatCode>
                <c:ptCount val="5"/>
                <c:pt idx="0">
                  <c:v>2585</c:v>
                </c:pt>
                <c:pt idx="1">
                  <c:v>2585</c:v>
                </c:pt>
                <c:pt idx="2">
                  <c:v>2630</c:v>
                </c:pt>
                <c:pt idx="3">
                  <c:v>2630</c:v>
                </c:pt>
                <c:pt idx="4">
                  <c:v>2585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6FE3-47D9-B922-FFA80D2DDE66}"/>
            </c:ext>
          </c:extLst>
        </c:ser>
        <c:ser>
          <c:idx val="5"/>
          <c:order val="4"/>
          <c:tx>
            <c:strRef>
              <c:f>Ensemble!$AA$144</c:f>
              <c:strCache>
                <c:ptCount val="1"/>
                <c:pt idx="0">
                  <c:v>Ligne Linteau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Ensemble!$AB$144:$AB$145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Ensemble!$AC$144:$AC$145</c:f>
              <c:numCache>
                <c:formatCode>General</c:formatCode>
                <c:ptCount val="2"/>
                <c:pt idx="0">
                  <c:v>2150</c:v>
                </c:pt>
                <c:pt idx="1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6FE3-47D9-B922-FFA80D2DDE66}"/>
            </c:ext>
          </c:extLst>
        </c:ser>
        <c:ser>
          <c:idx val="6"/>
          <c:order val="5"/>
          <c:tx>
            <c:strRef>
              <c:f>Ensemble!$AA$147</c:f>
              <c:strCache>
                <c:ptCount val="1"/>
                <c:pt idx="0">
                  <c:v>Ligne altimétrie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Ensemble!$AB$147:$AB$148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Ensemble!$AC$147:$AC$148</c:f>
              <c:numCache>
                <c:formatCode>General</c:formatCode>
                <c:ptCount val="2"/>
                <c:pt idx="0">
                  <c:v>2720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6FE3-47D9-B922-FFA80D2DDE66}"/>
            </c:ext>
          </c:extLst>
        </c:ser>
        <c:ser>
          <c:idx val="15"/>
          <c:order val="6"/>
          <c:tx>
            <c:strRef>
              <c:f>Ensemble!$AA$150</c:f>
              <c:strCache>
                <c:ptCount val="1"/>
                <c:pt idx="0">
                  <c:v>Ligne Semelle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Ensemble!$AB$150:$AB$151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Ensemble!$AC$150:$AC$151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6FE3-47D9-B922-FFA80D2DDE66}"/>
            </c:ext>
          </c:extLst>
        </c:ser>
        <c:ser>
          <c:idx val="16"/>
          <c:order val="7"/>
          <c:tx>
            <c:strRef>
              <c:f>Ensemble!$AA$153</c:f>
              <c:strCache>
                <c:ptCount val="1"/>
                <c:pt idx="0">
                  <c:v>Ligne Niveau brut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b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Ensemble!$AB$153:$AB$154</c:f>
              <c:numCache>
                <c:formatCode>General</c:formatCode>
                <c:ptCount val="2"/>
                <c:pt idx="0">
                  <c:v>-200</c:v>
                </c:pt>
                <c:pt idx="1">
                  <c:v>620</c:v>
                </c:pt>
              </c:numCache>
            </c:numRef>
          </c:xVal>
          <c:yVal>
            <c:numRef>
              <c:f>Ensemble!$AC$153:$AC$154</c:f>
              <c:numCache>
                <c:formatCode>General</c:formatCode>
                <c:ptCount val="2"/>
                <c:pt idx="0">
                  <c:v>-45</c:v>
                </c:pt>
                <c:pt idx="1">
                  <c:v>-45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6FE3-47D9-B922-FFA80D2DDE66}"/>
            </c:ext>
          </c:extLst>
        </c:ser>
        <c:ser>
          <c:idx val="0"/>
          <c:order val="8"/>
          <c:tx>
            <c:strRef>
              <c:f>Ensemble!$AA$98</c:f>
              <c:strCache>
                <c:ptCount val="1"/>
                <c:pt idx="0">
                  <c:v>Traverse haute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Ensemble!$AB$98:$AB$102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Ensemble!$AC$98:$AC$102</c:f>
              <c:numCache>
                <c:formatCode>General</c:formatCode>
                <c:ptCount val="5"/>
                <c:pt idx="0">
                  <c:v>2630</c:v>
                </c:pt>
                <c:pt idx="1">
                  <c:v>2630</c:v>
                </c:pt>
                <c:pt idx="2">
                  <c:v>2675</c:v>
                </c:pt>
                <c:pt idx="3">
                  <c:v>2675</c:v>
                </c:pt>
                <c:pt idx="4">
                  <c:v>2630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6FE3-47D9-B922-FFA80D2DDE66}"/>
            </c:ext>
          </c:extLst>
        </c:ser>
        <c:ser>
          <c:idx val="1"/>
          <c:order val="9"/>
          <c:tx>
            <c:strRef>
              <c:f>Ensemble!$AA$104</c:f>
              <c:strCache>
                <c:ptCount val="1"/>
                <c:pt idx="0">
                  <c:v>Traverse haute 3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Ensemble!$AB$104:$AB$108</c:f>
              <c:numCache>
                <c:formatCode>General</c:formatCode>
                <c:ptCount val="5"/>
                <c:pt idx="0">
                  <c:v>0</c:v>
                </c:pt>
                <c:pt idx="1">
                  <c:v>120</c:v>
                </c:pt>
                <c:pt idx="2">
                  <c:v>120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Ensemble!$AC$104:$AC$108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6FE3-47D9-B922-FFA80D2DDE66}"/>
            </c:ext>
          </c:extLst>
        </c:ser>
        <c:ser>
          <c:idx val="2"/>
          <c:order val="10"/>
          <c:tx>
            <c:strRef>
              <c:f>Ensemble!$AA$134</c:f>
              <c:strCache>
                <c:ptCount val="1"/>
                <c:pt idx="0">
                  <c:v>OSB PC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Ensemble!$AB$134:$AB$138</c:f>
              <c:numCache>
                <c:formatCode>General</c:formatCode>
                <c:ptCount val="5"/>
                <c:pt idx="0">
                  <c:v>45</c:v>
                </c:pt>
                <c:pt idx="1">
                  <c:v>75</c:v>
                </c:pt>
                <c:pt idx="2">
                  <c:v>75</c:v>
                </c:pt>
                <c:pt idx="3">
                  <c:v>45</c:v>
                </c:pt>
                <c:pt idx="4">
                  <c:v>45</c:v>
                </c:pt>
              </c:numCache>
            </c:numRef>
          </c:xVal>
          <c:yVal>
            <c:numRef>
              <c:f>Ensemble!$AC$134:$AC$138</c:f>
              <c:numCache>
                <c:formatCode>General</c:formatCode>
                <c:ptCount val="5"/>
                <c:pt idx="0">
                  <c:v>2150</c:v>
                </c:pt>
                <c:pt idx="1">
                  <c:v>2150</c:v>
                </c:pt>
                <c:pt idx="2">
                  <c:v>2745</c:v>
                </c:pt>
                <c:pt idx="3">
                  <c:v>2745</c:v>
                </c:pt>
                <c:pt idx="4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6FE3-47D9-B922-FFA80D2DDE66}"/>
            </c:ext>
          </c:extLst>
        </c:ser>
        <c:ser>
          <c:idx val="3"/>
          <c:order val="11"/>
          <c:tx>
            <c:strRef>
              <c:f>Ensemble!$AA$110</c:f>
              <c:strCache>
                <c:ptCount val="1"/>
                <c:pt idx="0">
                  <c:v>Montant complément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Ensemble!$AB$110:$AB$114</c:f>
            </c:numRef>
          </c:xVal>
          <c:yVal>
            <c:numRef>
              <c:f>Ensemble!$AC$110:$AC$114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6FE3-47D9-B922-FFA80D2DDE66}"/>
            </c:ext>
          </c:extLst>
        </c:ser>
        <c:ser>
          <c:idx val="4"/>
          <c:order val="12"/>
          <c:tx>
            <c:strRef>
              <c:f>Ensemble!$AA$116</c:f>
              <c:strCache>
                <c:ptCount val="1"/>
                <c:pt idx="0">
                  <c:v>Montant complément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Ensemble!$AB$116:$AB$120</c:f>
            </c:numRef>
          </c:xVal>
          <c:yVal>
            <c:numRef>
              <c:f>Ensemble!$AC$116:$AC$120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6FE3-47D9-B922-FFA80D2DDE66}"/>
            </c:ext>
          </c:extLst>
        </c:ser>
        <c:ser>
          <c:idx val="7"/>
          <c:order val="13"/>
          <c:tx>
            <c:strRef>
              <c:f>Ensemble!$AA$122</c:f>
              <c:strCache>
                <c:ptCount val="1"/>
                <c:pt idx="0">
                  <c:v>Montant complément 3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Ensemble!$AB$122:$AB$126</c:f>
            </c:numRef>
          </c:xVal>
          <c:yVal>
            <c:numRef>
              <c:f>Ensemble!$AC$122:$AC$126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6FE3-47D9-B922-FFA80D2DDE66}"/>
            </c:ext>
          </c:extLst>
        </c:ser>
        <c:ser>
          <c:idx val="8"/>
          <c:order val="14"/>
          <c:tx>
            <c:strRef>
              <c:f>Ensemble!$AA$128</c:f>
              <c:strCache>
                <c:ptCount val="1"/>
                <c:pt idx="0">
                  <c:v>Montant complément 4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Ensemble!$AB$128:$AB$131</c:f>
            </c:numRef>
          </c:xVal>
          <c:yVal>
            <c:numRef>
              <c:f>Ensemble!$AC$128:$AC$132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6FE3-47D9-B922-FFA80D2DDE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388024"/>
        <c:axId val="513388808"/>
      </c:scatterChart>
      <c:valAx>
        <c:axId val="513388024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13388808"/>
        <c:crossesAt val="-2147483647"/>
        <c:crossBetween val="midCat"/>
      </c:valAx>
      <c:valAx>
        <c:axId val="513388808"/>
        <c:scaling>
          <c:orientation val="minMax"/>
          <c:max val="3000"/>
          <c:min val="-5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3388024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'Ensemble (2)'!$C$159</c:f>
          <c:strCache>
            <c:ptCount val="1"/>
            <c:pt idx="0">
              <c:v>Blocs sur Porte 150 / 215; sans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2749271484295102E-2"/>
          <c:y val="3.9662420348315026E-2"/>
          <c:w val="0.9679658057333641"/>
          <c:h val="0.92067516394461912"/>
        </c:manualLayout>
      </c:layout>
      <c:scatterChart>
        <c:scatterStyle val="lineMarker"/>
        <c:varyColors val="0"/>
        <c:ser>
          <c:idx val="0"/>
          <c:order val="0"/>
          <c:tx>
            <c:strRef>
              <c:f>'Ensemble (2)'!$C$223</c:f>
              <c:strCache>
                <c:ptCount val="1"/>
                <c:pt idx="0">
                  <c:v>OSB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'Ensemble (2)'!$D$223:$D$227</c:f>
              <c:numCache>
                <c:formatCode>General</c:formatCode>
                <c:ptCount val="5"/>
                <c:pt idx="0">
                  <c:v>33</c:v>
                </c:pt>
                <c:pt idx="1">
                  <c:v>1587</c:v>
                </c:pt>
                <c:pt idx="2">
                  <c:v>1587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'Ensemble (2)'!$E$223:$E$227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2760</c:v>
                </c:pt>
                <c:pt idx="3">
                  <c:v>2760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2C-498F-AFF2-7A29439D58F1}"/>
            </c:ext>
          </c:extLst>
        </c:ser>
        <c:ser>
          <c:idx val="2"/>
          <c:order val="1"/>
          <c:tx>
            <c:strRef>
              <c:f>'Ensemble (2)'!$C$229</c:f>
              <c:strCache>
                <c:ptCount val="1"/>
                <c:pt idx="0">
                  <c:v>Montant gauche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'Ensemble (2)'!$D$229:$D$233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(2)'!$E$229:$E$233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C2C-498F-AFF2-7A29439D58F1}"/>
            </c:ext>
          </c:extLst>
        </c:ser>
        <c:ser>
          <c:idx val="1"/>
          <c:order val="2"/>
          <c:tx>
            <c:strRef>
              <c:f>'Ensemble (2)'!$C$265</c:f>
              <c:strCache>
                <c:ptCount val="1"/>
                <c:pt idx="0">
                  <c:v>Lisse basse 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'Ensemble (2)'!$D$265:$D$269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(2)'!$E$265:$E$269</c:f>
              <c:numCache>
                <c:formatCode>General</c:formatCode>
                <c:ptCount val="5"/>
                <c:pt idx="0">
                  <c:v>2430</c:v>
                </c:pt>
                <c:pt idx="1">
                  <c:v>2430</c:v>
                </c:pt>
                <c:pt idx="2">
                  <c:v>2475</c:v>
                </c:pt>
                <c:pt idx="3">
                  <c:v>2475</c:v>
                </c:pt>
                <c:pt idx="4">
                  <c:v>2430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C2C-498F-AFF2-7A29439D58F1}"/>
            </c:ext>
          </c:extLst>
        </c:ser>
        <c:ser>
          <c:idx val="3"/>
          <c:order val="3"/>
          <c:tx>
            <c:strRef>
              <c:f>'Ensemble (2)'!$C$259</c:f>
              <c:strCache>
                <c:ptCount val="1"/>
                <c:pt idx="0">
                  <c:v>Montant droit 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'Ensemble (2)'!$D$259:$D$263</c:f>
              <c:numCache>
                <c:formatCode>General</c:formatCode>
                <c:ptCount val="5"/>
                <c:pt idx="0">
                  <c:v>1515</c:v>
                </c:pt>
                <c:pt idx="1">
                  <c:v>1560</c:v>
                </c:pt>
                <c:pt idx="2">
                  <c:v>1560</c:v>
                </c:pt>
                <c:pt idx="3">
                  <c:v>1515</c:v>
                </c:pt>
                <c:pt idx="4">
                  <c:v>1515</c:v>
                </c:pt>
              </c:numCache>
            </c:numRef>
          </c:xVal>
          <c:yVal>
            <c:numRef>
              <c:f>'Ensemble (2)'!$E$259:$E$263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C2C-498F-AFF2-7A29439D58F1}"/>
            </c:ext>
          </c:extLst>
        </c:ser>
        <c:ser>
          <c:idx val="4"/>
          <c:order val="4"/>
          <c:tx>
            <c:strRef>
              <c:f>'Ensemble (2)'!$C$271</c:f>
              <c:strCache>
                <c:ptCount val="1"/>
                <c:pt idx="0">
                  <c:v>Lisse haute 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'Ensemble (2)'!$D$271:$D$275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(2)'!$E$271:$E$275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C2C-498F-AFF2-7A29439D58F1}"/>
            </c:ext>
          </c:extLst>
        </c:ser>
        <c:ser>
          <c:idx val="5"/>
          <c:order val="5"/>
          <c:tx>
            <c:strRef>
              <c:f>'Ensemble (2)'!$D$167</c:f>
              <c:strCache>
                <c:ptCount val="1"/>
                <c:pt idx="0">
                  <c:v>1500</c:v>
                </c:pt>
              </c:strCache>
            </c:strRef>
          </c:tx>
          <c:spPr>
            <a:ln>
              <a:solidFill>
                <a:schemeClr val="tx2"/>
              </a:solidFill>
              <a:headEnd type="triangle"/>
              <a:tailEnd type="triangle"/>
            </a:ln>
          </c:spPr>
          <c:marker>
            <c:symbol val="none"/>
          </c:marker>
          <c:dLbls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DC2C-498F-AFF2-7A29439D58F1}"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(2)'!$D$278:$D$279</c:f>
              <c:numCache>
                <c:formatCode>General</c:formatCode>
                <c:ptCount val="2"/>
                <c:pt idx="0">
                  <c:v>60</c:v>
                </c:pt>
                <c:pt idx="1">
                  <c:v>1560</c:v>
                </c:pt>
              </c:numCache>
            </c:numRef>
          </c:xVal>
          <c:yVal>
            <c:numRef>
              <c:f>'Ensemble (2)'!$E$278:$E$279</c:f>
              <c:numCache>
                <c:formatCode>General</c:formatCode>
                <c:ptCount val="2"/>
                <c:pt idx="0">
                  <c:v>2030</c:v>
                </c:pt>
                <c:pt idx="1">
                  <c:v>2030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C2C-498F-AFF2-7A29439D58F1}"/>
            </c:ext>
          </c:extLst>
        </c:ser>
        <c:ser>
          <c:idx val="6"/>
          <c:order val="6"/>
          <c:tx>
            <c:strRef>
              <c:f>'Ensemble (2)'!$C$284</c:f>
              <c:strCache>
                <c:ptCount val="1"/>
                <c:pt idx="0">
                  <c:v>Ligne de Cotation hauteur  Sur-Porte</c:v>
                </c:pt>
              </c:strCache>
            </c:strRef>
          </c:tx>
          <c:spPr>
            <a:ln>
              <a:solidFill>
                <a:schemeClr val="tx2"/>
              </a:solidFill>
              <a:headEnd type="triangle"/>
              <a:tailEnd type="triangle"/>
            </a:ln>
          </c:spPr>
          <c:marker>
            <c:symbol val="none"/>
          </c:marker>
          <c:dLbls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DC2C-498F-AFF2-7A29439D58F1}"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'Ensemble (2)'!$D$284:$D$285</c:f>
              <c:numCache>
                <c:formatCode>General</c:formatCode>
                <c:ptCount val="2"/>
                <c:pt idx="0">
                  <c:v>1760</c:v>
                </c:pt>
                <c:pt idx="1">
                  <c:v>1760</c:v>
                </c:pt>
              </c:numCache>
            </c:numRef>
          </c:xVal>
          <c:yVal>
            <c:numRef>
              <c:f>'Ensemble (2)'!$E$284:$E$285</c:f>
              <c:numCache>
                <c:formatCode>General</c:formatCode>
                <c:ptCount val="2"/>
                <c:pt idx="0">
                  <c:v>2430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DC2C-498F-AFF2-7A29439D58F1}"/>
            </c:ext>
          </c:extLst>
        </c:ser>
        <c:ser>
          <c:idx val="7"/>
          <c:order val="7"/>
          <c:tx>
            <c:strRef>
              <c:f>'Ensemble (2)'!$C$235</c:f>
              <c:strCache>
                <c:ptCount val="1"/>
                <c:pt idx="0">
                  <c:v>ossature intermédiaire 1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Ensemble!$D$235:$D$239</c:f>
            </c:numRef>
          </c:xVal>
          <c:yVal>
            <c:numRef>
              <c:f>'Ensemble (2)'!$E$235:$E$239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DC2C-498F-AFF2-7A29439D58F1}"/>
            </c:ext>
          </c:extLst>
        </c:ser>
        <c:ser>
          <c:idx val="8"/>
          <c:order val="8"/>
          <c:tx>
            <c:strRef>
              <c:f>'Ensemble (2)'!$C$241</c:f>
              <c:strCache>
                <c:ptCount val="1"/>
                <c:pt idx="0">
                  <c:v>ossature intermédiaire 2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Ensemble!$D$241:$D$245</c:f>
            </c:numRef>
          </c:xVal>
          <c:yVal>
            <c:numRef>
              <c:f>'Ensemble (2)'!$E$241:$E$245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DC2C-498F-AFF2-7A29439D58F1}"/>
            </c:ext>
          </c:extLst>
        </c:ser>
        <c:ser>
          <c:idx val="9"/>
          <c:order val="9"/>
          <c:tx>
            <c:strRef>
              <c:f>'Ensemble (2)'!$C$247</c:f>
              <c:strCache>
                <c:ptCount val="1"/>
                <c:pt idx="0">
                  <c:v>ossature intermédiaire 3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Ensemble!$D$247:$D$251</c:f>
            </c:numRef>
          </c:xVal>
          <c:yVal>
            <c:numRef>
              <c:f>'Ensemble (2)'!$E$247:$E$251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DC2C-498F-AFF2-7A29439D58F1}"/>
            </c:ext>
          </c:extLst>
        </c:ser>
        <c:ser>
          <c:idx val="10"/>
          <c:order val="10"/>
          <c:tx>
            <c:strRef>
              <c:f>'Ensemble (2)'!$C$253</c:f>
              <c:strCache>
                <c:ptCount val="1"/>
                <c:pt idx="0">
                  <c:v>ossature intermédiaire 4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Ensemble!$D$253:$D$257</c:f>
            </c:numRef>
          </c:xVal>
          <c:yVal>
            <c:numRef>
              <c:f>'Ensemble (2)'!$E$253:$E$257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DC2C-498F-AFF2-7A29439D58F1}"/>
            </c:ext>
          </c:extLst>
        </c:ser>
        <c:ser>
          <c:idx val="11"/>
          <c:order val="11"/>
          <c:tx>
            <c:strRef>
              <c:f>'Ensemble (2)'!$C$299</c:f>
              <c:strCache>
                <c:ptCount val="1"/>
                <c:pt idx="0">
                  <c:v>Dépassée basse  Sur-Porte</c:v>
                </c:pt>
              </c:strCache>
            </c:strRef>
          </c:tx>
          <c:spPr>
            <a:ln>
              <a:solidFill>
                <a:schemeClr val="accent6">
                  <a:shade val="65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9007818-8E43-41F1-96D7-3204794ACC46}" type="CELLRANGE">
                      <a:rPr lang="en-US" b="1">
                        <a:solidFill>
                          <a:schemeClr val="accent4">
                            <a:lumMod val="50000"/>
                          </a:schemeClr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DC2C-498F-AFF2-7A29439D58F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DC2C-498F-AFF2-7A29439D58F1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(2)'!$D$299:$D$300</c:f>
              <c:numCache>
                <c:formatCode>General</c:formatCode>
                <c:ptCount val="2"/>
                <c:pt idx="0">
                  <c:v>840</c:v>
                </c:pt>
                <c:pt idx="1">
                  <c:v>890</c:v>
                </c:pt>
              </c:numCache>
            </c:numRef>
          </c:xVal>
          <c:yVal>
            <c:numRef>
              <c:f>'Ensemble (2)'!$E$299:$E$300</c:f>
              <c:numCache>
                <c:formatCode>General</c:formatCode>
                <c:ptCount val="2"/>
                <c:pt idx="0">
                  <c:v>2165</c:v>
                </c:pt>
                <c:pt idx="1">
                  <c:v>2165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(2)'!$C$300</c15:f>
                <c15:dlblRangeCache>
                  <c:ptCount val="1"/>
                  <c:pt idx="0">
                    <c:v>Panneaux +265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F-DC2C-498F-AFF2-7A29439D58F1}"/>
            </c:ext>
          </c:extLst>
        </c:ser>
        <c:ser>
          <c:idx val="12"/>
          <c:order val="12"/>
          <c:tx>
            <c:strRef>
              <c:f>'Ensemble (2)'!$C$290</c:f>
              <c:strCache>
                <c:ptCount val="1"/>
                <c:pt idx="0">
                  <c:v>Dépassée Gauche  Sur-Porte</c:v>
                </c:pt>
              </c:strCache>
            </c:strRef>
          </c:tx>
          <c:spPr>
            <a:ln>
              <a:solidFill>
                <a:schemeClr val="accent4">
                  <a:lumMod val="60000"/>
                  <a:lumOff val="40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B90B337B-D4C8-4D41-A019-C13B4DBAC997}" type="CELLRANGE">
                      <a:rPr lang="en-US" b="1">
                        <a:solidFill>
                          <a:schemeClr val="accent4">
                            <a:lumMod val="50000"/>
                          </a:schemeClr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DC2C-498F-AFF2-7A29439D58F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DC2C-498F-AFF2-7A29439D58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(2)'!$D$290:$D$291</c:f>
              <c:numCache>
                <c:formatCode>General</c:formatCode>
                <c:ptCount val="2"/>
                <c:pt idx="0">
                  <c:v>33</c:v>
                </c:pt>
                <c:pt idx="1">
                  <c:v>33</c:v>
                </c:pt>
              </c:numCache>
            </c:numRef>
          </c:xVal>
          <c:yVal>
            <c:numRef>
              <c:f>'Ensemble (2)'!$E$290:$E$291</c:f>
              <c:numCache>
                <c:formatCode>General</c:formatCode>
                <c:ptCount val="2"/>
                <c:pt idx="0">
                  <c:v>2462.5</c:v>
                </c:pt>
                <c:pt idx="1">
                  <c:v>2512.5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(2)'!$C$291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2-DC2C-498F-AFF2-7A29439D58F1}"/>
            </c:ext>
          </c:extLst>
        </c:ser>
        <c:ser>
          <c:idx val="13"/>
          <c:order val="13"/>
          <c:tx>
            <c:strRef>
              <c:f>'Ensemble (2)'!$C$296</c:f>
              <c:strCache>
                <c:ptCount val="1"/>
                <c:pt idx="0">
                  <c:v>Dépassée Haute  Sur-Porte</c:v>
                </c:pt>
              </c:strCache>
            </c:strRef>
          </c:tx>
          <c:spPr>
            <a:ln>
              <a:solidFill>
                <a:schemeClr val="accent4">
                  <a:lumMod val="60000"/>
                  <a:lumOff val="40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F6A1E4C-8D53-454F-BBFD-147F0C7BD8F3}" type="CELLRANGE">
                      <a:rPr lang="en-US" b="1">
                        <a:solidFill>
                          <a:schemeClr val="accent4">
                            <a:lumMod val="50000"/>
                          </a:schemeClr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DC2C-498F-AFF2-7A29439D58F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4-DC2C-498F-AFF2-7A29439D58F1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(2)'!$D$296:$D$297</c:f>
              <c:numCache>
                <c:formatCode>General</c:formatCode>
                <c:ptCount val="2"/>
                <c:pt idx="0">
                  <c:v>840</c:v>
                </c:pt>
                <c:pt idx="1">
                  <c:v>890</c:v>
                </c:pt>
              </c:numCache>
            </c:numRef>
          </c:xVal>
          <c:yVal>
            <c:numRef>
              <c:f>'Ensemble (2)'!$E$296:$E$297</c:f>
              <c:numCache>
                <c:formatCode>General</c:formatCode>
                <c:ptCount val="2"/>
                <c:pt idx="0">
                  <c:v>2760</c:v>
                </c:pt>
                <c:pt idx="1">
                  <c:v>2760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(2)'!$C$297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5-DC2C-498F-AFF2-7A29439D58F1}"/>
            </c:ext>
          </c:extLst>
        </c:ser>
        <c:ser>
          <c:idx val="14"/>
          <c:order val="14"/>
          <c:tx>
            <c:strRef>
              <c:f>'Ensemble (2)'!$C$293</c:f>
              <c:strCache>
                <c:ptCount val="1"/>
                <c:pt idx="0">
                  <c:v>Dépassée Droite  Sur-Porte</c:v>
                </c:pt>
              </c:strCache>
            </c:strRef>
          </c:tx>
          <c:spPr>
            <a:ln>
              <a:solidFill>
                <a:schemeClr val="accent4">
                  <a:lumMod val="60000"/>
                  <a:lumOff val="40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2FBC551E-AFFE-4394-841E-0341CD1A52A5}" type="CELLRANGE">
                      <a:rPr lang="en-US" b="1">
                        <a:solidFill>
                          <a:schemeClr val="accent4">
                            <a:lumMod val="50000"/>
                          </a:schemeClr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DC2C-498F-AFF2-7A29439D58F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DC2C-498F-AFF2-7A29439D58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(2)'!$D$293:$D$294</c:f>
              <c:numCache>
                <c:formatCode>General</c:formatCode>
                <c:ptCount val="2"/>
                <c:pt idx="0">
                  <c:v>1587</c:v>
                </c:pt>
                <c:pt idx="1">
                  <c:v>1587</c:v>
                </c:pt>
              </c:numCache>
            </c:numRef>
          </c:xVal>
          <c:yVal>
            <c:numRef>
              <c:f>'Ensemble (2)'!$E$293:$E$294</c:f>
              <c:numCache>
                <c:formatCode>General</c:formatCode>
                <c:ptCount val="2"/>
                <c:pt idx="0">
                  <c:v>2462.5</c:v>
                </c:pt>
                <c:pt idx="1">
                  <c:v>2512.5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(2)'!$C$294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8-DC2C-498F-AFF2-7A29439D58F1}"/>
            </c:ext>
          </c:extLst>
        </c:ser>
        <c:ser>
          <c:idx val="15"/>
          <c:order val="15"/>
          <c:tx>
            <c:strRef>
              <c:f>'Ensemble (2)'!$C$281</c:f>
              <c:strCache>
                <c:ptCount val="1"/>
                <c:pt idx="0">
                  <c:v>Texte de Cotation Largeur  Sur-Porte</c:v>
                </c:pt>
              </c:strCache>
            </c:strRef>
          </c:tx>
          <c:spPr>
            <a:ln>
              <a:solidFill>
                <a:schemeClr val="accent6">
                  <a:shade val="65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7A26DCD5-75C8-4566-8438-62B541D8D5FB}" type="CELLRANGE">
                      <a:rPr lang="en-US" b="1">
                        <a:solidFill>
                          <a:schemeClr val="tx2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DC2C-498F-AFF2-7A29439D58F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DC2C-498F-AFF2-7A29439D58F1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(2)'!$D$281:$D$282</c:f>
              <c:numCache>
                <c:formatCode>General</c:formatCode>
                <c:ptCount val="2"/>
                <c:pt idx="0">
                  <c:v>810</c:v>
                </c:pt>
                <c:pt idx="1">
                  <c:v>860</c:v>
                </c:pt>
              </c:numCache>
            </c:numRef>
          </c:xVal>
          <c:yVal>
            <c:numRef>
              <c:f>'Ensemble (2)'!$E$281:$E$282</c:f>
              <c:numCache>
                <c:formatCode>General</c:formatCode>
                <c:ptCount val="2"/>
                <c:pt idx="0">
                  <c:v>2030</c:v>
                </c:pt>
                <c:pt idx="1">
                  <c:v>2030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(2)'!$C$282</c15:f>
                <c15:dlblRangeCache>
                  <c:ptCount val="1"/>
                  <c:pt idx="0">
                    <c:v>1500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DC2C-498F-AFF2-7A29439D58F1}"/>
            </c:ext>
          </c:extLst>
        </c:ser>
        <c:ser>
          <c:idx val="16"/>
          <c:order val="16"/>
          <c:tx>
            <c:strRef>
              <c:f>'Ensemble (2)'!$C$287</c:f>
              <c:strCache>
                <c:ptCount val="1"/>
                <c:pt idx="0">
                  <c:v>Texte de Cotation hauteur  Sur-Porte</c:v>
                </c:pt>
              </c:strCache>
            </c:strRef>
          </c:tx>
          <c:spPr>
            <a:ln>
              <a:solidFill>
                <a:schemeClr val="accent6">
                  <a:shade val="65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3DF628FB-DA7F-4291-B647-79D494BF52A1}" type="CELLRANGE">
                      <a:rPr lang="en-US" b="1">
                        <a:solidFill>
                          <a:schemeClr val="tx2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DC2C-498F-AFF2-7A29439D58F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DC2C-498F-AFF2-7A29439D58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(2)'!$D$287:$D$288</c:f>
              <c:numCache>
                <c:formatCode>General</c:formatCode>
                <c:ptCount val="2"/>
                <c:pt idx="0">
                  <c:v>1760</c:v>
                </c:pt>
                <c:pt idx="1">
                  <c:v>1760</c:v>
                </c:pt>
              </c:numCache>
            </c:numRef>
          </c:xVal>
          <c:yVal>
            <c:numRef>
              <c:f>'Ensemble (2)'!$E$287:$E$288</c:f>
              <c:numCache>
                <c:formatCode>General</c:formatCode>
                <c:ptCount val="2"/>
                <c:pt idx="0">
                  <c:v>2575</c:v>
                </c:pt>
                <c:pt idx="1">
                  <c:v>2625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(2)'!$C$288</c15:f>
                <c15:dlblRangeCache>
                  <c:ptCount val="1"/>
                  <c:pt idx="0">
                    <c:v>290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E-DC2C-498F-AFF2-7A29439D58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309000"/>
        <c:axId val="366309392"/>
      </c:scatterChart>
      <c:valAx>
        <c:axId val="366309000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366309392"/>
        <c:crossesAt val="-2147483647"/>
        <c:crossBetween val="midCat"/>
      </c:valAx>
      <c:valAx>
        <c:axId val="366309392"/>
        <c:scaling>
          <c:orientation val="minMax"/>
          <c:max val="3000"/>
          <c:min val="18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366309000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'Ensemble (2)'!$C$4</c:f>
          <c:strCache>
            <c:ptCount val="1"/>
            <c:pt idx="0">
              <c:v>Porte 150 / 215; sans VR; </c:v>
            </c:pt>
          </c:strCache>
        </c:strRef>
      </c:tx>
      <c:overlay val="0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49693618029961E-2"/>
          <c:y val="3.746492021674945E-2"/>
          <c:w val="0.9465030638197004"/>
          <c:h val="0.96253507978325059"/>
        </c:manualLayout>
      </c:layout>
      <c:scatterChart>
        <c:scatterStyle val="lineMarker"/>
        <c:varyColors val="0"/>
        <c:ser>
          <c:idx val="0"/>
          <c:order val="0"/>
          <c:tx>
            <c:strRef>
              <c:f>'Ensemble (2)'!$C$223</c:f>
              <c:strCache>
                <c:ptCount val="1"/>
                <c:pt idx="0">
                  <c:v>OSB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'Ensemble (2)'!$D$223:$D$227</c:f>
              <c:numCache>
                <c:formatCode>General</c:formatCode>
                <c:ptCount val="5"/>
                <c:pt idx="0">
                  <c:v>33</c:v>
                </c:pt>
                <c:pt idx="1">
                  <c:v>1587</c:v>
                </c:pt>
                <c:pt idx="2">
                  <c:v>1587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'Ensemble (2)'!$E$223:$E$227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2760</c:v>
                </c:pt>
                <c:pt idx="3">
                  <c:v>2760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1EC-4115-A1F1-35AEB268A243}"/>
            </c:ext>
          </c:extLst>
        </c:ser>
        <c:ser>
          <c:idx val="2"/>
          <c:order val="1"/>
          <c:tx>
            <c:strRef>
              <c:f>'Ensemble (2)'!$C$229</c:f>
              <c:strCache>
                <c:ptCount val="1"/>
                <c:pt idx="0">
                  <c:v>Montant gauche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(2)'!$D$229:$D$233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(2)'!$E$229:$E$233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1EC-4115-A1F1-35AEB268A243}"/>
            </c:ext>
          </c:extLst>
        </c:ser>
        <c:ser>
          <c:idx val="1"/>
          <c:order val="2"/>
          <c:tx>
            <c:strRef>
              <c:f>'Ensemble (2)'!$C$265</c:f>
              <c:strCache>
                <c:ptCount val="1"/>
                <c:pt idx="0">
                  <c:v>Lisse basse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(2)'!$D$265:$D$269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(2)'!$E$265:$E$269</c:f>
              <c:numCache>
                <c:formatCode>General</c:formatCode>
                <c:ptCount val="5"/>
                <c:pt idx="0">
                  <c:v>2430</c:v>
                </c:pt>
                <c:pt idx="1">
                  <c:v>2430</c:v>
                </c:pt>
                <c:pt idx="2">
                  <c:v>2475</c:v>
                </c:pt>
                <c:pt idx="3">
                  <c:v>2475</c:v>
                </c:pt>
                <c:pt idx="4">
                  <c:v>2430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1EC-4115-A1F1-35AEB268A243}"/>
            </c:ext>
          </c:extLst>
        </c:ser>
        <c:ser>
          <c:idx val="3"/>
          <c:order val="3"/>
          <c:tx>
            <c:strRef>
              <c:f>'Ensemble (2)'!$C$259</c:f>
              <c:strCache>
                <c:ptCount val="1"/>
                <c:pt idx="0">
                  <c:v>Montant droit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(2)'!$D$259:$D$263</c:f>
              <c:numCache>
                <c:formatCode>General</c:formatCode>
                <c:ptCount val="5"/>
                <c:pt idx="0">
                  <c:v>1515</c:v>
                </c:pt>
                <c:pt idx="1">
                  <c:v>1560</c:v>
                </c:pt>
                <c:pt idx="2">
                  <c:v>1560</c:v>
                </c:pt>
                <c:pt idx="3">
                  <c:v>1515</c:v>
                </c:pt>
                <c:pt idx="4">
                  <c:v>1515</c:v>
                </c:pt>
              </c:numCache>
            </c:numRef>
          </c:xVal>
          <c:yVal>
            <c:numRef>
              <c:f>'Ensemble (2)'!$E$259:$E$263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1EC-4115-A1F1-35AEB268A243}"/>
            </c:ext>
          </c:extLst>
        </c:ser>
        <c:ser>
          <c:idx val="4"/>
          <c:order val="4"/>
          <c:tx>
            <c:strRef>
              <c:f>'Ensemble (2)'!$C$271</c:f>
              <c:strCache>
                <c:ptCount val="1"/>
                <c:pt idx="0">
                  <c:v>Lisse haute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(2)'!$D$271:$D$275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(2)'!$E$271:$E$275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1EC-4115-A1F1-35AEB268A243}"/>
            </c:ext>
          </c:extLst>
        </c:ser>
        <c:ser>
          <c:idx val="7"/>
          <c:order val="5"/>
          <c:tx>
            <c:strRef>
              <c:f>'Ensemble (2)'!$C$235</c:f>
              <c:strCache>
                <c:ptCount val="1"/>
                <c:pt idx="0">
                  <c:v>ossature intermédiaire 1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Ensemble!$D$235:$D$239</c:f>
            </c:numRef>
          </c:xVal>
          <c:yVal>
            <c:numRef>
              <c:f>'Ensemble (2)'!$E$235:$E$239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1EC-4115-A1F1-35AEB268A243}"/>
            </c:ext>
          </c:extLst>
        </c:ser>
        <c:ser>
          <c:idx val="8"/>
          <c:order val="6"/>
          <c:tx>
            <c:strRef>
              <c:f>'Ensemble (2)'!$C$241</c:f>
              <c:strCache>
                <c:ptCount val="1"/>
                <c:pt idx="0">
                  <c:v>ossature intermédiaire 2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Ensemble!$D$241:$D$245</c:f>
            </c:numRef>
          </c:xVal>
          <c:yVal>
            <c:numRef>
              <c:f>'Ensemble (2)'!$E$241:$E$245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1EC-4115-A1F1-35AEB268A243}"/>
            </c:ext>
          </c:extLst>
        </c:ser>
        <c:ser>
          <c:idx val="9"/>
          <c:order val="7"/>
          <c:tx>
            <c:strRef>
              <c:f>'Ensemble (2)'!$C$247</c:f>
              <c:strCache>
                <c:ptCount val="1"/>
                <c:pt idx="0">
                  <c:v>ossature intermédiaire 3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Ensemble!$D$247:$D$251</c:f>
            </c:numRef>
          </c:xVal>
          <c:yVal>
            <c:numRef>
              <c:f>'Ensemble (2)'!$E$247:$E$251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1EC-4115-A1F1-35AEB268A243}"/>
            </c:ext>
          </c:extLst>
        </c:ser>
        <c:ser>
          <c:idx val="10"/>
          <c:order val="8"/>
          <c:tx>
            <c:strRef>
              <c:f>'Ensemble (2)'!$C$253</c:f>
              <c:strCache>
                <c:ptCount val="1"/>
                <c:pt idx="0">
                  <c:v>ossature intermédiaire 4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Ensemble!$D$253:$D$257</c:f>
            </c:numRef>
          </c:xVal>
          <c:yVal>
            <c:numRef>
              <c:f>'Ensemble (2)'!$E$253:$E$257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1EC-4115-A1F1-35AEB268A243}"/>
            </c:ext>
          </c:extLst>
        </c:ser>
        <c:ser>
          <c:idx val="11"/>
          <c:order val="9"/>
          <c:tx>
            <c:strRef>
              <c:f>'Ensemble (2)'!$C$74</c:f>
              <c:strCache>
                <c:ptCount val="1"/>
                <c:pt idx="0">
                  <c:v>Montant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(2)'!$D$74:$D$78</c:f>
              <c:numCache>
                <c:formatCode>General</c:formatCode>
                <c:ptCount val="5"/>
                <c:pt idx="0">
                  <c:v>0</c:v>
                </c:pt>
                <c:pt idx="1">
                  <c:v>45</c:v>
                </c:pt>
                <c:pt idx="2">
                  <c:v>45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(2)'!$E$74:$E$78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2385</c:v>
                </c:pt>
                <c:pt idx="3">
                  <c:v>2385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41EC-4115-A1F1-35AEB268A243}"/>
            </c:ext>
          </c:extLst>
        </c:ser>
        <c:ser>
          <c:idx val="12"/>
          <c:order val="10"/>
          <c:tx>
            <c:strRef>
              <c:f>'Ensemble (2)'!$C$80</c:f>
              <c:strCache>
                <c:ptCount val="1"/>
                <c:pt idx="0">
                  <c:v>Montant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(2)'!$D$80:$D$84</c:f>
              <c:numCache>
                <c:formatCode>General</c:formatCode>
                <c:ptCount val="5"/>
                <c:pt idx="0">
                  <c:v>1575</c:v>
                </c:pt>
                <c:pt idx="1">
                  <c:v>1620</c:v>
                </c:pt>
                <c:pt idx="2">
                  <c:v>1620</c:v>
                </c:pt>
                <c:pt idx="3">
                  <c:v>1575</c:v>
                </c:pt>
                <c:pt idx="4">
                  <c:v>1575</c:v>
                </c:pt>
              </c:numCache>
            </c:numRef>
          </c:xVal>
          <c:yVal>
            <c:numRef>
              <c:f>'Ensemble (2)'!$E$80:$E$84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2385</c:v>
                </c:pt>
                <c:pt idx="3">
                  <c:v>2385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41EC-4115-A1F1-35AEB268A243}"/>
            </c:ext>
          </c:extLst>
        </c:ser>
        <c:ser>
          <c:idx val="13"/>
          <c:order val="11"/>
          <c:tx>
            <c:strRef>
              <c:f>'Ensemble (2)'!$C$86</c:f>
              <c:strCache>
                <c:ptCount val="1"/>
                <c:pt idx="0">
                  <c:v>Linteau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(2)'!$D$86:$D$90</c:f>
              <c:numCache>
                <c:formatCode>General</c:formatCode>
                <c:ptCount val="5"/>
                <c:pt idx="0">
                  <c:v>0</c:v>
                </c:pt>
                <c:pt idx="1">
                  <c:v>1620</c:v>
                </c:pt>
                <c:pt idx="2">
                  <c:v>1620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(2)'!$E$86:$E$90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2385</c:v>
                </c:pt>
                <c:pt idx="3">
                  <c:v>2385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41EC-4115-A1F1-35AEB268A243}"/>
            </c:ext>
          </c:extLst>
        </c:ser>
        <c:ser>
          <c:idx val="14"/>
          <c:order val="12"/>
          <c:tx>
            <c:strRef>
              <c:f>'Ensemble (2)'!$C$92</c:f>
              <c:strCache>
                <c:ptCount val="1"/>
                <c:pt idx="0">
                  <c:v>Traverse haute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(2)'!$D$92:$D$96</c:f>
              <c:numCache>
                <c:formatCode>General</c:formatCode>
                <c:ptCount val="5"/>
                <c:pt idx="0">
                  <c:v>0</c:v>
                </c:pt>
                <c:pt idx="1">
                  <c:v>1620</c:v>
                </c:pt>
                <c:pt idx="2">
                  <c:v>1620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(2)'!$E$92:$E$96</c:f>
              <c:numCache>
                <c:formatCode>General</c:formatCode>
                <c:ptCount val="5"/>
                <c:pt idx="0">
                  <c:v>2385</c:v>
                </c:pt>
                <c:pt idx="1">
                  <c:v>2385</c:v>
                </c:pt>
                <c:pt idx="2">
                  <c:v>2430</c:v>
                </c:pt>
                <c:pt idx="3">
                  <c:v>2430</c:v>
                </c:pt>
                <c:pt idx="4">
                  <c:v>2385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41EC-4115-A1F1-35AEB268A243}"/>
            </c:ext>
          </c:extLst>
        </c:ser>
        <c:ser>
          <c:idx val="5"/>
          <c:order val="13"/>
          <c:tx>
            <c:strRef>
              <c:f>'Ensemble (2)'!$C$144</c:f>
              <c:strCache>
                <c:ptCount val="1"/>
                <c:pt idx="0">
                  <c:v>Ligne Linteau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(2)'!$D$144:$D$145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(2)'!$E$144:$E$145</c:f>
              <c:numCache>
                <c:formatCode>General</c:formatCode>
                <c:ptCount val="2"/>
                <c:pt idx="0">
                  <c:v>2150</c:v>
                </c:pt>
                <c:pt idx="1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41EC-4115-A1F1-35AEB268A243}"/>
            </c:ext>
          </c:extLst>
        </c:ser>
        <c:ser>
          <c:idx val="6"/>
          <c:order val="14"/>
          <c:tx>
            <c:strRef>
              <c:f>'Ensemble (2)'!$C$147</c:f>
              <c:strCache>
                <c:ptCount val="1"/>
                <c:pt idx="0">
                  <c:v>Ligne altimétrie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'Ensemble (2)'!$D$147:$D$148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(2)'!$E$147:$E$148</c:f>
              <c:numCache>
                <c:formatCode>General</c:formatCode>
                <c:ptCount val="2"/>
                <c:pt idx="0">
                  <c:v>2720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41EC-4115-A1F1-35AEB268A243}"/>
            </c:ext>
          </c:extLst>
        </c:ser>
        <c:ser>
          <c:idx val="15"/>
          <c:order val="15"/>
          <c:tx>
            <c:strRef>
              <c:f>'Ensemble (2)'!$C$150</c:f>
              <c:strCache>
                <c:ptCount val="1"/>
                <c:pt idx="0">
                  <c:v>Ligne Semelle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(2)'!$D$150:$D$151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(2)'!$E$150:$E$151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41EC-4115-A1F1-35AEB268A243}"/>
            </c:ext>
          </c:extLst>
        </c:ser>
        <c:ser>
          <c:idx val="16"/>
          <c:order val="16"/>
          <c:tx>
            <c:strRef>
              <c:f>'Ensemble (2)'!$C$153</c:f>
              <c:strCache>
                <c:ptCount val="1"/>
                <c:pt idx="0">
                  <c:v>Ligne Niveau brut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dLbl>
              <c:idx val="1"/>
              <c:dLblPos val="b"/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41EC-4115-A1F1-35AEB268A243}"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(2)'!$D$153:$D$154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(2)'!$E$153:$E$154</c:f>
              <c:numCache>
                <c:formatCode>General</c:formatCode>
                <c:ptCount val="2"/>
                <c:pt idx="0">
                  <c:v>-45</c:v>
                </c:pt>
                <c:pt idx="1">
                  <c:v>-45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41EC-4115-A1F1-35AEB268A243}"/>
            </c:ext>
          </c:extLst>
        </c:ser>
        <c:ser>
          <c:idx val="17"/>
          <c:order val="17"/>
          <c:tx>
            <c:strRef>
              <c:f>'Ensemble (2)'!$C$98</c:f>
              <c:strCache>
                <c:ptCount val="1"/>
                <c:pt idx="0">
                  <c:v>Montant complément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Ensemble!$D$98:$D$102</c:f>
            </c:numRef>
          </c:xVal>
          <c:yVal>
            <c:numRef>
              <c:f>'Ensemble (2)'!$E$98:$E$102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41EC-4115-A1F1-35AEB268A243}"/>
            </c:ext>
          </c:extLst>
        </c:ser>
        <c:ser>
          <c:idx val="18"/>
          <c:order val="18"/>
          <c:tx>
            <c:strRef>
              <c:f>'Ensemble (2)'!$C$104</c:f>
              <c:strCache>
                <c:ptCount val="1"/>
                <c:pt idx="0">
                  <c:v>Montant complément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Ensemble!$D$104:$D$108</c:f>
            </c:numRef>
          </c:xVal>
          <c:yVal>
            <c:numRef>
              <c:f>'Ensemble (2)'!$E$104:$E$108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41EC-4115-A1F1-35AEB268A243}"/>
            </c:ext>
          </c:extLst>
        </c:ser>
        <c:ser>
          <c:idx val="19"/>
          <c:order val="19"/>
          <c:tx>
            <c:strRef>
              <c:f>'Ensemble (2)'!$C$110</c:f>
              <c:strCache>
                <c:ptCount val="1"/>
                <c:pt idx="0">
                  <c:v>Montant complément 3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Ensemble!$D$110:$D$114</c:f>
            </c:numRef>
          </c:xVal>
          <c:yVal>
            <c:numRef>
              <c:f>'Ensemble (2)'!$E$110:$E$114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41EC-4115-A1F1-35AEB268A243}"/>
            </c:ext>
          </c:extLst>
        </c:ser>
        <c:ser>
          <c:idx val="20"/>
          <c:order val="20"/>
          <c:tx>
            <c:strRef>
              <c:f>'Ensemble (2)'!$C$116</c:f>
              <c:strCache>
                <c:ptCount val="1"/>
                <c:pt idx="0">
                  <c:v>Montant complément 4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Ensemble!$D$116:$D$120</c:f>
            </c:numRef>
          </c:xVal>
          <c:yVal>
            <c:numRef>
              <c:f>'Ensemble (2)'!$E$116:$E$120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41EC-4115-A1F1-35AEB268A2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9844616"/>
        <c:axId val="502846696"/>
      </c:scatterChart>
      <c:valAx>
        <c:axId val="459844616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02846696"/>
        <c:crossesAt val="-2147483647"/>
        <c:crossBetween val="midCat"/>
      </c:valAx>
      <c:valAx>
        <c:axId val="502846696"/>
        <c:scaling>
          <c:orientation val="minMax"/>
          <c:max val="3000"/>
          <c:min val="-5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59844616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'Ensemble (2)'!$O$159</c:f>
          <c:strCache>
            <c:ptCount val="1"/>
            <c:pt idx="0">
              <c:v>Blocs sur Fenêtre 150 / 90; sans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2232255294403917E-2"/>
          <c:y val="3.3698488742184007E-2"/>
          <c:w val="0.95553548941119215"/>
          <c:h val="0.938219437305996"/>
        </c:manualLayout>
      </c:layout>
      <c:scatterChart>
        <c:scatterStyle val="lineMarker"/>
        <c:varyColors val="0"/>
        <c:ser>
          <c:idx val="0"/>
          <c:order val="0"/>
          <c:tx>
            <c:strRef>
              <c:f>'Ensemble (2)'!$O$223</c:f>
              <c:strCache>
                <c:ptCount val="1"/>
                <c:pt idx="0">
                  <c:v>OSB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'Ensemble (2)'!$P$223:$P$227</c:f>
              <c:numCache>
                <c:formatCode>General</c:formatCode>
                <c:ptCount val="5"/>
                <c:pt idx="0">
                  <c:v>33</c:v>
                </c:pt>
                <c:pt idx="1">
                  <c:v>1587</c:v>
                </c:pt>
                <c:pt idx="2">
                  <c:v>1587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'Ensemble (2)'!$Q$223:$Q$227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2760</c:v>
                </c:pt>
                <c:pt idx="3">
                  <c:v>2760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792-455E-A3D5-FA61EAB3D4D2}"/>
            </c:ext>
          </c:extLst>
        </c:ser>
        <c:ser>
          <c:idx val="2"/>
          <c:order val="1"/>
          <c:tx>
            <c:strRef>
              <c:f>'Ensemble (2)'!$O$229</c:f>
              <c:strCache>
                <c:ptCount val="1"/>
                <c:pt idx="0">
                  <c:v>Montant gauche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(2)'!$P$229:$P$233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(2)'!$Q$229:$Q$233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792-455E-A3D5-FA61EAB3D4D2}"/>
            </c:ext>
          </c:extLst>
        </c:ser>
        <c:ser>
          <c:idx val="1"/>
          <c:order val="2"/>
          <c:tx>
            <c:strRef>
              <c:f>'Ensemble (2)'!$O$265</c:f>
              <c:strCache>
                <c:ptCount val="1"/>
                <c:pt idx="0">
                  <c:v>Lisse basse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(2)'!$P$265:$P$269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(2)'!$Q$265:$Q$269</c:f>
              <c:numCache>
                <c:formatCode>General</c:formatCode>
                <c:ptCount val="5"/>
                <c:pt idx="0">
                  <c:v>2430</c:v>
                </c:pt>
                <c:pt idx="1">
                  <c:v>2430</c:v>
                </c:pt>
                <c:pt idx="2">
                  <c:v>2475</c:v>
                </c:pt>
                <c:pt idx="3">
                  <c:v>2475</c:v>
                </c:pt>
                <c:pt idx="4">
                  <c:v>2430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792-455E-A3D5-FA61EAB3D4D2}"/>
            </c:ext>
          </c:extLst>
        </c:ser>
        <c:ser>
          <c:idx val="3"/>
          <c:order val="3"/>
          <c:tx>
            <c:strRef>
              <c:f>'Ensemble (2)'!$O$259</c:f>
              <c:strCache>
                <c:ptCount val="1"/>
                <c:pt idx="0">
                  <c:v>Montant droit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(2)'!$P$259:$P$263</c:f>
              <c:numCache>
                <c:formatCode>General</c:formatCode>
                <c:ptCount val="5"/>
                <c:pt idx="0">
                  <c:v>1515</c:v>
                </c:pt>
                <c:pt idx="1">
                  <c:v>1560</c:v>
                </c:pt>
                <c:pt idx="2">
                  <c:v>1560</c:v>
                </c:pt>
                <c:pt idx="3">
                  <c:v>1515</c:v>
                </c:pt>
                <c:pt idx="4">
                  <c:v>1515</c:v>
                </c:pt>
              </c:numCache>
            </c:numRef>
          </c:xVal>
          <c:yVal>
            <c:numRef>
              <c:f>'Ensemble (2)'!$Q$259:$Q$263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792-455E-A3D5-FA61EAB3D4D2}"/>
            </c:ext>
          </c:extLst>
        </c:ser>
        <c:ser>
          <c:idx val="4"/>
          <c:order val="4"/>
          <c:tx>
            <c:strRef>
              <c:f>'Ensemble (2)'!$O$271</c:f>
              <c:strCache>
                <c:ptCount val="1"/>
                <c:pt idx="0">
                  <c:v>Lisse haute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(2)'!$P$271:$P$275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(2)'!$Q$271:$Q$275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792-455E-A3D5-FA61EAB3D4D2}"/>
            </c:ext>
          </c:extLst>
        </c:ser>
        <c:ser>
          <c:idx val="5"/>
          <c:order val="5"/>
          <c:tx>
            <c:strRef>
              <c:f>'Ensemble (2)'!$D$167</c:f>
              <c:strCache>
                <c:ptCount val="1"/>
                <c:pt idx="0">
                  <c:v>1500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792-455E-A3D5-FA61EAB3D4D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792-455E-A3D5-FA61EAB3D4D2}"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(2)'!$P$278:$P$279</c:f>
              <c:numCache>
                <c:formatCode>General</c:formatCode>
                <c:ptCount val="2"/>
                <c:pt idx="0">
                  <c:v>60</c:v>
                </c:pt>
                <c:pt idx="1">
                  <c:v>1560</c:v>
                </c:pt>
              </c:numCache>
            </c:numRef>
          </c:xVal>
          <c:yVal>
            <c:numRef>
              <c:f>'Ensemble (2)'!$Q$278:$Q$279</c:f>
              <c:numCache>
                <c:formatCode>General</c:formatCode>
                <c:ptCount val="2"/>
                <c:pt idx="0">
                  <c:v>2030</c:v>
                </c:pt>
                <c:pt idx="1">
                  <c:v>2030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792-455E-A3D5-FA61EAB3D4D2}"/>
            </c:ext>
          </c:extLst>
        </c:ser>
        <c:ser>
          <c:idx val="6"/>
          <c:order val="6"/>
          <c:tx>
            <c:strRef>
              <c:f>'Ensemble (2)'!$O$284</c:f>
              <c:strCache>
                <c:ptCount val="1"/>
                <c:pt idx="0">
                  <c:v>Ligne de Cotation hauteur  Sur-Porte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xVal>
            <c:numRef>
              <c:f>'Ensemble (2)'!$P$284:$P$285</c:f>
              <c:numCache>
                <c:formatCode>General</c:formatCode>
                <c:ptCount val="2"/>
                <c:pt idx="0">
                  <c:v>1710</c:v>
                </c:pt>
                <c:pt idx="1">
                  <c:v>1710</c:v>
                </c:pt>
              </c:numCache>
            </c:numRef>
          </c:xVal>
          <c:yVal>
            <c:numRef>
              <c:f>'Ensemble (2)'!$Q$284:$Q$285</c:f>
              <c:numCache>
                <c:formatCode>General</c:formatCode>
                <c:ptCount val="2"/>
                <c:pt idx="0">
                  <c:v>2430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792-455E-A3D5-FA61EAB3D4D2}"/>
            </c:ext>
          </c:extLst>
        </c:ser>
        <c:ser>
          <c:idx val="7"/>
          <c:order val="7"/>
          <c:tx>
            <c:strRef>
              <c:f>'Ensemble (2)'!$O$235</c:f>
              <c:strCache>
                <c:ptCount val="1"/>
                <c:pt idx="0">
                  <c:v>ossature intermédiaire 1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Ensemble!$P$235:$P$239</c:f>
            </c:numRef>
          </c:xVal>
          <c:yVal>
            <c:numRef>
              <c:f>'Ensemble (2)'!$Q$235:$Q$239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4792-455E-A3D5-FA61EAB3D4D2}"/>
            </c:ext>
          </c:extLst>
        </c:ser>
        <c:ser>
          <c:idx val="8"/>
          <c:order val="8"/>
          <c:tx>
            <c:strRef>
              <c:f>'Ensemble (2)'!$O$241</c:f>
              <c:strCache>
                <c:ptCount val="1"/>
                <c:pt idx="0">
                  <c:v>ossature intermédiaire 2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Ensemble!$P$241:$P$245</c:f>
            </c:numRef>
          </c:xVal>
          <c:yVal>
            <c:numRef>
              <c:f>'Ensemble (2)'!$Q$241:$Q$245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4792-455E-A3D5-FA61EAB3D4D2}"/>
            </c:ext>
          </c:extLst>
        </c:ser>
        <c:ser>
          <c:idx val="9"/>
          <c:order val="9"/>
          <c:tx>
            <c:strRef>
              <c:f>'Ensemble (2)'!$O$247</c:f>
              <c:strCache>
                <c:ptCount val="1"/>
                <c:pt idx="0">
                  <c:v>ossature intermédiaire 3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Ensemble!$P$247:$P$251</c:f>
            </c:numRef>
          </c:xVal>
          <c:yVal>
            <c:numRef>
              <c:f>'Ensemble (2)'!$Q$247:$Q$251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4792-455E-A3D5-FA61EAB3D4D2}"/>
            </c:ext>
          </c:extLst>
        </c:ser>
        <c:ser>
          <c:idx val="10"/>
          <c:order val="10"/>
          <c:tx>
            <c:strRef>
              <c:f>'Ensemble (2)'!$O$253</c:f>
              <c:strCache>
                <c:ptCount val="1"/>
                <c:pt idx="0">
                  <c:v>ossature intermédiaire 4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Ensemble!$P$253:$P$257</c:f>
            </c:numRef>
          </c:xVal>
          <c:yVal>
            <c:numRef>
              <c:f>'Ensemble (2)'!$Q$253:$Q$257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4792-455E-A3D5-FA61EAB3D4D2}"/>
            </c:ext>
          </c:extLst>
        </c:ser>
        <c:ser>
          <c:idx val="11"/>
          <c:order val="11"/>
          <c:tx>
            <c:strRef>
              <c:f>'Ensemble (2)'!$O$281</c:f>
              <c:strCache>
                <c:ptCount val="1"/>
                <c:pt idx="0">
                  <c:v>Texte de Cotation Largeur 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4C9CB7F8-B9DC-4E50-AD69-A2902F8A4DFE}" type="CELLRANGE">
                      <a:rPr lang="en-US" b="1">
                        <a:solidFill>
                          <a:schemeClr val="tx2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4792-455E-A3D5-FA61EAB3D4D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4792-455E-A3D5-FA61EAB3D4D2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(2)'!$P$281:$P$282</c:f>
              <c:numCache>
                <c:formatCode>General</c:formatCode>
                <c:ptCount val="2"/>
                <c:pt idx="0">
                  <c:v>810</c:v>
                </c:pt>
                <c:pt idx="1">
                  <c:v>860</c:v>
                </c:pt>
              </c:numCache>
            </c:numRef>
          </c:xVal>
          <c:yVal>
            <c:numRef>
              <c:f>'Ensemble (2)'!$Q$281:$Q$282</c:f>
              <c:numCache>
                <c:formatCode>General</c:formatCode>
                <c:ptCount val="2"/>
                <c:pt idx="0">
                  <c:v>2030</c:v>
                </c:pt>
                <c:pt idx="1">
                  <c:v>2030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(2)'!$O$282</c15:f>
                <c15:dlblRangeCache>
                  <c:ptCount val="1"/>
                  <c:pt idx="0">
                    <c:v>1500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F-4792-455E-A3D5-FA61EAB3D4D2}"/>
            </c:ext>
          </c:extLst>
        </c:ser>
        <c:ser>
          <c:idx val="12"/>
          <c:order val="12"/>
          <c:tx>
            <c:strRef>
              <c:f>'Ensemble (2)'!$O$287</c:f>
              <c:strCache>
                <c:ptCount val="1"/>
                <c:pt idx="0">
                  <c:v>Texte de Cotation hauteur  Sur-Porte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091BEBA9-ABF9-4B09-87C8-8D48AC890339}" type="CELLRANGE">
                      <a:rPr lang="en-US" b="1">
                        <a:solidFill>
                          <a:schemeClr val="tx2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4792-455E-A3D5-FA61EAB3D4D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4792-455E-A3D5-FA61EAB3D4D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(2)'!$P$287:$P$288</c:f>
              <c:numCache>
                <c:formatCode>General</c:formatCode>
                <c:ptCount val="2"/>
                <c:pt idx="0">
                  <c:v>1710</c:v>
                </c:pt>
                <c:pt idx="1">
                  <c:v>1710</c:v>
                </c:pt>
              </c:numCache>
            </c:numRef>
          </c:xVal>
          <c:yVal>
            <c:numRef>
              <c:f>'Ensemble (2)'!$Q$287:$Q$288</c:f>
              <c:numCache>
                <c:formatCode>General</c:formatCode>
                <c:ptCount val="2"/>
                <c:pt idx="0">
                  <c:v>2575</c:v>
                </c:pt>
                <c:pt idx="1">
                  <c:v>2625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(2)'!$O$288</c15:f>
                <c15:dlblRangeCache>
                  <c:ptCount val="1"/>
                  <c:pt idx="0">
                    <c:v>290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2-4792-455E-A3D5-FA61EAB3D4D2}"/>
            </c:ext>
          </c:extLst>
        </c:ser>
        <c:ser>
          <c:idx val="13"/>
          <c:order val="13"/>
          <c:tx>
            <c:strRef>
              <c:f>'Ensemble (2)'!$O$290</c:f>
              <c:strCache>
                <c:ptCount val="1"/>
                <c:pt idx="0">
                  <c:v>Dépassée Gauche 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20768B29-6A4E-43BB-BEA5-D01478C04C2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4792-455E-A3D5-FA61EAB3D4D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4-4792-455E-A3D5-FA61EAB3D4D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(2)'!$P$290:$P$291</c:f>
              <c:numCache>
                <c:formatCode>General</c:formatCode>
                <c:ptCount val="2"/>
                <c:pt idx="0">
                  <c:v>33</c:v>
                </c:pt>
                <c:pt idx="1">
                  <c:v>33</c:v>
                </c:pt>
              </c:numCache>
            </c:numRef>
          </c:xVal>
          <c:yVal>
            <c:numRef>
              <c:f>'Ensemble (2)'!$Q$290:$Q$291</c:f>
              <c:numCache>
                <c:formatCode>General</c:formatCode>
                <c:ptCount val="2"/>
                <c:pt idx="0">
                  <c:v>2462.5</c:v>
                </c:pt>
                <c:pt idx="1">
                  <c:v>2512.5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(2)'!$O$291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5-4792-455E-A3D5-FA61EAB3D4D2}"/>
            </c:ext>
          </c:extLst>
        </c:ser>
        <c:ser>
          <c:idx val="14"/>
          <c:order val="14"/>
          <c:tx>
            <c:strRef>
              <c:f>'Ensemble (2)'!$O$293</c:f>
              <c:strCache>
                <c:ptCount val="1"/>
                <c:pt idx="0">
                  <c:v>Dépassée Droite 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97153E2C-84D5-40F0-84A6-2E7758BDDE1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4792-455E-A3D5-FA61EAB3D4D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4792-455E-A3D5-FA61EAB3D4D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(2)'!$P$293:$P$294</c:f>
              <c:numCache>
                <c:formatCode>General</c:formatCode>
                <c:ptCount val="2"/>
                <c:pt idx="0">
                  <c:v>1587</c:v>
                </c:pt>
                <c:pt idx="1">
                  <c:v>1587</c:v>
                </c:pt>
              </c:numCache>
            </c:numRef>
          </c:xVal>
          <c:yVal>
            <c:numRef>
              <c:f>'Ensemble (2)'!$Q$293:$Q$294</c:f>
              <c:numCache>
                <c:formatCode>General</c:formatCode>
                <c:ptCount val="2"/>
                <c:pt idx="0">
                  <c:v>2462.5</c:v>
                </c:pt>
                <c:pt idx="1">
                  <c:v>2512.5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(2)'!$O$294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8-4792-455E-A3D5-FA61EAB3D4D2}"/>
            </c:ext>
          </c:extLst>
        </c:ser>
        <c:ser>
          <c:idx val="15"/>
          <c:order val="15"/>
          <c:tx>
            <c:strRef>
              <c:f>'Ensemble (2)'!$O$296</c:f>
              <c:strCache>
                <c:ptCount val="1"/>
                <c:pt idx="0">
                  <c:v>Dépassée Haute 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F7D0F03C-35AB-4A60-A06E-E3BB8A75D133}" type="CELLRANGE">
                      <a:rPr lang="en-US" b="1">
                        <a:solidFill>
                          <a:schemeClr val="accent4">
                            <a:lumMod val="50000"/>
                          </a:schemeClr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4792-455E-A3D5-FA61EAB3D4D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4792-455E-A3D5-FA61EAB3D4D2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(2)'!$P$296:$P$297</c:f>
              <c:numCache>
                <c:formatCode>General</c:formatCode>
                <c:ptCount val="2"/>
                <c:pt idx="0">
                  <c:v>840</c:v>
                </c:pt>
                <c:pt idx="1">
                  <c:v>890</c:v>
                </c:pt>
              </c:numCache>
            </c:numRef>
          </c:xVal>
          <c:yVal>
            <c:numRef>
              <c:f>'Ensemble (2)'!$Q$296:$Q$297</c:f>
              <c:numCache>
                <c:formatCode>General</c:formatCode>
                <c:ptCount val="2"/>
                <c:pt idx="0">
                  <c:v>2760</c:v>
                </c:pt>
                <c:pt idx="1">
                  <c:v>2760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(2)'!$O$297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4792-455E-A3D5-FA61EAB3D4D2}"/>
            </c:ext>
          </c:extLst>
        </c:ser>
        <c:ser>
          <c:idx val="16"/>
          <c:order val="16"/>
          <c:tx>
            <c:strRef>
              <c:f>'Ensemble (2)'!$O$299</c:f>
              <c:strCache>
                <c:ptCount val="1"/>
                <c:pt idx="0">
                  <c:v>Dépassée basse  Sur-Porte</c:v>
                </c:pt>
              </c:strCache>
            </c:strRef>
          </c:tx>
          <c:spPr>
            <a:ln>
              <a:solidFill>
                <a:schemeClr val="accent4">
                  <a:lumMod val="75000"/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02F4FEC5-59D7-45EE-AE26-F642D7EDCB1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4792-455E-A3D5-FA61EAB3D4D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4792-455E-A3D5-FA61EAB3D4D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(2)'!$P$299:$P$300</c:f>
              <c:numCache>
                <c:formatCode>General</c:formatCode>
                <c:ptCount val="2"/>
                <c:pt idx="0">
                  <c:v>840</c:v>
                </c:pt>
                <c:pt idx="1">
                  <c:v>890</c:v>
                </c:pt>
              </c:numCache>
            </c:numRef>
          </c:xVal>
          <c:yVal>
            <c:numRef>
              <c:f>'Ensemble (2)'!$Q$299:$Q$300</c:f>
              <c:numCache>
                <c:formatCode>General</c:formatCode>
                <c:ptCount val="2"/>
                <c:pt idx="0">
                  <c:v>2165</c:v>
                </c:pt>
                <c:pt idx="1">
                  <c:v>2165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(2)'!$O$300</c15:f>
                <c15:dlblRangeCache>
                  <c:ptCount val="1"/>
                  <c:pt idx="0">
                    <c:v>Panneaux +265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E-4792-455E-A3D5-FA61EAB3D4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848656"/>
        <c:axId val="502845128"/>
      </c:scatterChart>
      <c:valAx>
        <c:axId val="502848656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02845128"/>
        <c:crossesAt val="-2147483647"/>
        <c:crossBetween val="midCat"/>
      </c:valAx>
      <c:valAx>
        <c:axId val="502845128"/>
        <c:scaling>
          <c:orientation val="minMax"/>
          <c:max val="3000"/>
          <c:min val="18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2848656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'Ensemble (2)'!$O$310</c:f>
          <c:strCache>
            <c:ptCount val="1"/>
            <c:pt idx="0">
              <c:v>Blocs sous Fenêtre 150 / 90; sans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2351229213553663E-2"/>
          <c:y val="0"/>
          <c:w val="0.96764877078644629"/>
          <c:h val="0.95010125302290149"/>
        </c:manualLayout>
      </c:layout>
      <c:scatterChart>
        <c:scatterStyle val="lineMarker"/>
        <c:varyColors val="0"/>
        <c:ser>
          <c:idx val="0"/>
          <c:order val="0"/>
          <c:tx>
            <c:strRef>
              <c:f>'Ensemble (2)'!$O$374</c:f>
              <c:strCache>
                <c:ptCount val="1"/>
                <c:pt idx="0">
                  <c:v>OSB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'Ensemble (2)'!$P$374:$P$378</c:f>
              <c:numCache>
                <c:formatCode>General</c:formatCode>
                <c:ptCount val="5"/>
                <c:pt idx="0">
                  <c:v>33</c:v>
                </c:pt>
                <c:pt idx="1">
                  <c:v>1587</c:v>
                </c:pt>
                <c:pt idx="2">
                  <c:v>1587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'Ensemble (2)'!$Q$374:$Q$378</c:f>
              <c:numCache>
                <c:formatCode>General</c:formatCode>
                <c:ptCount val="5"/>
                <c:pt idx="0">
                  <c:v>-40</c:v>
                </c:pt>
                <c:pt idx="1">
                  <c:v>-40</c:v>
                </c:pt>
                <c:pt idx="2">
                  <c:v>1160</c:v>
                </c:pt>
                <c:pt idx="3">
                  <c:v>1160</c:v>
                </c:pt>
                <c:pt idx="4">
                  <c:v>-40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AE2-48AE-898E-26E4EE41A036}"/>
            </c:ext>
          </c:extLst>
        </c:ser>
        <c:ser>
          <c:idx val="2"/>
          <c:order val="1"/>
          <c:tx>
            <c:strRef>
              <c:f>'Ensemble (2)'!$O$380</c:f>
              <c:strCache>
                <c:ptCount val="1"/>
                <c:pt idx="0">
                  <c:v>Montant gauche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(2)'!$P$380:$P$384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(2)'!$Q$380:$Q$384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1075</c:v>
                </c:pt>
                <c:pt idx="3">
                  <c:v>1075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AE2-48AE-898E-26E4EE41A036}"/>
            </c:ext>
          </c:extLst>
        </c:ser>
        <c:ser>
          <c:idx val="1"/>
          <c:order val="2"/>
          <c:tx>
            <c:strRef>
              <c:f>'Ensemble (2)'!$O$416</c:f>
              <c:strCache>
                <c:ptCount val="1"/>
                <c:pt idx="0">
                  <c:v>Lisse basse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(2)'!$P$416:$P$420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(2)'!$Q$416:$Q$420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45</c:v>
                </c:pt>
                <c:pt idx="3">
                  <c:v>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AE2-48AE-898E-26E4EE41A036}"/>
            </c:ext>
          </c:extLst>
        </c:ser>
        <c:ser>
          <c:idx val="3"/>
          <c:order val="3"/>
          <c:tx>
            <c:strRef>
              <c:f>'Ensemble (2)'!$O$410</c:f>
              <c:strCache>
                <c:ptCount val="1"/>
                <c:pt idx="0">
                  <c:v>Montant droit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(2)'!$P$410:$P$414</c:f>
              <c:numCache>
                <c:formatCode>General</c:formatCode>
                <c:ptCount val="5"/>
                <c:pt idx="0">
                  <c:v>1515</c:v>
                </c:pt>
                <c:pt idx="1">
                  <c:v>1560</c:v>
                </c:pt>
                <c:pt idx="2">
                  <c:v>1560</c:v>
                </c:pt>
                <c:pt idx="3">
                  <c:v>1515</c:v>
                </c:pt>
                <c:pt idx="4">
                  <c:v>1515</c:v>
                </c:pt>
              </c:numCache>
            </c:numRef>
          </c:xVal>
          <c:yVal>
            <c:numRef>
              <c:f>'Ensemble (2)'!$Q$410:$Q$414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1075</c:v>
                </c:pt>
                <c:pt idx="3">
                  <c:v>1075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AE2-48AE-898E-26E4EE41A036}"/>
            </c:ext>
          </c:extLst>
        </c:ser>
        <c:ser>
          <c:idx val="4"/>
          <c:order val="4"/>
          <c:tx>
            <c:strRef>
              <c:f>'Ensemble (2)'!$O$422</c:f>
              <c:strCache>
                <c:ptCount val="1"/>
                <c:pt idx="0">
                  <c:v>Lisse haute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(2)'!$P$422:$P$426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(2)'!$Q$422:$Q$426</c:f>
              <c:numCache>
                <c:formatCode>General</c:formatCode>
                <c:ptCount val="5"/>
                <c:pt idx="0">
                  <c:v>1075</c:v>
                </c:pt>
                <c:pt idx="1">
                  <c:v>1075</c:v>
                </c:pt>
                <c:pt idx="2">
                  <c:v>1120</c:v>
                </c:pt>
                <c:pt idx="3">
                  <c:v>1120</c:v>
                </c:pt>
                <c:pt idx="4">
                  <c:v>1075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AE2-48AE-898E-26E4EE41A036}"/>
            </c:ext>
          </c:extLst>
        </c:ser>
        <c:ser>
          <c:idx val="5"/>
          <c:order val="5"/>
          <c:tx>
            <c:strRef>
              <c:f>'Ensemble (2)'!$O$429</c:f>
              <c:strCache>
                <c:ptCount val="1"/>
                <c:pt idx="0">
                  <c:v>Ligne de Cotation Largeur  Sous-Porte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AE2-48AE-898E-26E4EE41A03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AE2-48AE-898E-26E4EE41A036}"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(2)'!$P$429:$P$430</c:f>
              <c:numCache>
                <c:formatCode>General</c:formatCode>
                <c:ptCount val="2"/>
                <c:pt idx="0">
                  <c:v>60</c:v>
                </c:pt>
                <c:pt idx="1">
                  <c:v>1560</c:v>
                </c:pt>
              </c:numCache>
            </c:numRef>
          </c:xVal>
          <c:yVal>
            <c:numRef>
              <c:f>'Ensemble (2)'!$Q$429:$Q$430</c:f>
              <c:numCache>
                <c:formatCode>General</c:formatCode>
                <c:ptCount val="2"/>
                <c:pt idx="0">
                  <c:v>-250</c:v>
                </c:pt>
                <c:pt idx="1">
                  <c:v>-250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AE2-48AE-898E-26E4EE41A036}"/>
            </c:ext>
          </c:extLst>
        </c:ser>
        <c:ser>
          <c:idx val="6"/>
          <c:order val="6"/>
          <c:tx>
            <c:strRef>
              <c:f>'Ensemble (2)'!$O$435</c:f>
              <c:strCache>
                <c:ptCount val="1"/>
                <c:pt idx="0">
                  <c:v>Ligne de Cotation hauteur  Sous-Porte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xVal>
            <c:numRef>
              <c:f>'Ensemble (2)'!$P$435:$P$436</c:f>
              <c:numCache>
                <c:formatCode>General</c:formatCode>
                <c:ptCount val="2"/>
                <c:pt idx="0">
                  <c:v>1710</c:v>
                </c:pt>
                <c:pt idx="1">
                  <c:v>1710</c:v>
                </c:pt>
              </c:numCache>
            </c:numRef>
          </c:xVal>
          <c:yVal>
            <c:numRef>
              <c:f>'Ensemble (2)'!$Q$435:$Q$436</c:f>
              <c:numCache>
                <c:formatCode>General</c:formatCode>
                <c:ptCount val="2"/>
                <c:pt idx="0">
                  <c:v>0</c:v>
                </c:pt>
                <c:pt idx="1">
                  <c:v>1120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AAE2-48AE-898E-26E4EE41A036}"/>
            </c:ext>
          </c:extLst>
        </c:ser>
        <c:ser>
          <c:idx val="7"/>
          <c:order val="7"/>
          <c:tx>
            <c:strRef>
              <c:f>'Ensemble (2)'!$O$386</c:f>
              <c:strCache>
                <c:ptCount val="1"/>
                <c:pt idx="0">
                  <c:v>ossature intermédiaire 1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Ensemble!$P$386:$P$390</c:f>
            </c:numRef>
          </c:xVal>
          <c:yVal>
            <c:numRef>
              <c:f>'Ensemble (2)'!$Q$386:$Q$390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1075</c:v>
                </c:pt>
                <c:pt idx="3">
                  <c:v>1075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AAE2-48AE-898E-26E4EE41A036}"/>
            </c:ext>
          </c:extLst>
        </c:ser>
        <c:ser>
          <c:idx val="8"/>
          <c:order val="8"/>
          <c:tx>
            <c:strRef>
              <c:f>'Ensemble (2)'!$O$392</c:f>
              <c:strCache>
                <c:ptCount val="1"/>
                <c:pt idx="0">
                  <c:v>ossature intermédiaire 2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Ensemble!$P$392:$P$396</c:f>
            </c:numRef>
          </c:xVal>
          <c:yVal>
            <c:numRef>
              <c:f>'Ensemble (2)'!$Q$392:$Q$396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1075</c:v>
                </c:pt>
                <c:pt idx="3">
                  <c:v>1075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AAE2-48AE-898E-26E4EE41A036}"/>
            </c:ext>
          </c:extLst>
        </c:ser>
        <c:ser>
          <c:idx val="9"/>
          <c:order val="9"/>
          <c:tx>
            <c:strRef>
              <c:f>'Ensemble (2)'!$O$398</c:f>
              <c:strCache>
                <c:ptCount val="1"/>
                <c:pt idx="0">
                  <c:v>ossature intermédiaire 3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Ensemble!$P$398:$P$402</c:f>
            </c:numRef>
          </c:xVal>
          <c:yVal>
            <c:numRef>
              <c:f>'Ensemble (2)'!$Q$398:$Q$402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AAE2-48AE-898E-26E4EE41A036}"/>
            </c:ext>
          </c:extLst>
        </c:ser>
        <c:ser>
          <c:idx val="10"/>
          <c:order val="10"/>
          <c:tx>
            <c:strRef>
              <c:f>'Ensemble (2)'!$O$404</c:f>
              <c:strCache>
                <c:ptCount val="1"/>
                <c:pt idx="0">
                  <c:v>ossature intermédiaire 4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Ensemble!$P$404:$P$408</c:f>
            </c:numRef>
          </c:xVal>
          <c:yVal>
            <c:numRef>
              <c:f>'Ensemble (2)'!$Q$404:$Q$408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AAE2-48AE-898E-26E4EE41A036}"/>
            </c:ext>
          </c:extLst>
        </c:ser>
        <c:ser>
          <c:idx val="11"/>
          <c:order val="11"/>
          <c:tx>
            <c:strRef>
              <c:f>'Ensemble (2)'!$O$441</c:f>
              <c:strCache>
                <c:ptCount val="1"/>
                <c:pt idx="0">
                  <c:v>Dépassée Gauche  Sous-Porte</c:v>
                </c:pt>
              </c:strCache>
            </c:strRef>
          </c:tx>
          <c:spPr>
            <a:ln>
              <a:solidFill>
                <a:schemeClr val="tx2"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968790C1-E0A2-46E2-806E-B93D68AE093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AAE2-48AE-898E-26E4EE41A03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AAE2-48AE-898E-26E4EE41A0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(2)'!$P$441:$P$442</c:f>
              <c:numCache>
                <c:formatCode>General</c:formatCode>
                <c:ptCount val="2"/>
                <c:pt idx="0">
                  <c:v>33</c:v>
                </c:pt>
                <c:pt idx="1">
                  <c:v>33</c:v>
                </c:pt>
              </c:numCache>
            </c:numRef>
          </c:xVal>
          <c:yVal>
            <c:numRef>
              <c:f>'Ensemble (2)'!$Q$441:$Q$442</c:f>
              <c:numCache>
                <c:formatCode>General</c:formatCode>
                <c:ptCount val="2"/>
                <c:pt idx="0">
                  <c:v>560</c:v>
                </c:pt>
                <c:pt idx="1">
                  <c:v>610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(2)'!$O$442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F-AAE2-48AE-898E-26E4EE41A036}"/>
            </c:ext>
          </c:extLst>
        </c:ser>
        <c:ser>
          <c:idx val="12"/>
          <c:order val="12"/>
          <c:tx>
            <c:strRef>
              <c:f>'Ensemble (2)'!$O$444</c:f>
              <c:strCache>
                <c:ptCount val="1"/>
                <c:pt idx="0">
                  <c:v>Dépassée Droite  Sous-Porte</c:v>
                </c:pt>
              </c:strCache>
            </c:strRef>
          </c:tx>
          <c:spPr>
            <a:ln>
              <a:solidFill>
                <a:schemeClr val="tx2">
                  <a:alpha val="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A3DD6D5-AFB8-457F-A731-26240B88AAD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AAE2-48AE-898E-26E4EE41A03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AAE2-48AE-898E-26E4EE41A0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(2)'!$P$444:$P$445</c:f>
              <c:numCache>
                <c:formatCode>General</c:formatCode>
                <c:ptCount val="2"/>
                <c:pt idx="0">
                  <c:v>1587</c:v>
                </c:pt>
                <c:pt idx="1">
                  <c:v>1587</c:v>
                </c:pt>
              </c:numCache>
            </c:numRef>
          </c:xVal>
          <c:yVal>
            <c:numRef>
              <c:f>'Ensemble (2)'!$Q$444:$Q$445</c:f>
              <c:numCache>
                <c:formatCode>General</c:formatCode>
                <c:ptCount val="2"/>
                <c:pt idx="0">
                  <c:v>560</c:v>
                </c:pt>
                <c:pt idx="1">
                  <c:v>610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(2)'!$O$445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2-AAE2-48AE-898E-26E4EE41A036}"/>
            </c:ext>
          </c:extLst>
        </c:ser>
        <c:ser>
          <c:idx val="14"/>
          <c:order val="13"/>
          <c:tx>
            <c:strRef>
              <c:f>'Ensemble (2)'!$O$447</c:f>
              <c:strCache>
                <c:ptCount val="1"/>
                <c:pt idx="0">
                  <c:v>Dépassée Haute 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3D683E3C-0D33-47FA-8BEC-71D7ACF5E73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AAE2-48AE-898E-26E4EE41A03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4-AAE2-48AE-898E-26E4EE41A0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(2)'!$P$447:$P$448</c:f>
              <c:numCache>
                <c:formatCode>General</c:formatCode>
                <c:ptCount val="2"/>
                <c:pt idx="0">
                  <c:v>840</c:v>
                </c:pt>
                <c:pt idx="1">
                  <c:v>890</c:v>
                </c:pt>
              </c:numCache>
            </c:numRef>
          </c:xVal>
          <c:yVal>
            <c:numRef>
              <c:f>'Ensemble (2)'!$Q$447:$Q$448</c:f>
              <c:numCache>
                <c:formatCode>General</c:formatCode>
                <c:ptCount val="2"/>
                <c:pt idx="0">
                  <c:v>1160</c:v>
                </c:pt>
                <c:pt idx="1">
                  <c:v>1160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(2)'!$O$448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5-AAE2-48AE-898E-26E4EE41A036}"/>
            </c:ext>
          </c:extLst>
        </c:ser>
        <c:ser>
          <c:idx val="15"/>
          <c:order val="14"/>
          <c:tx>
            <c:strRef>
              <c:f>'Ensemble (2)'!$O$432</c:f>
              <c:strCache>
                <c:ptCount val="1"/>
                <c:pt idx="0">
                  <c:v>Texte de Cotation Largeur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9510BD63-21E9-48A8-928A-CFA9A436FB6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AAE2-48AE-898E-26E4EE41A03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AAE2-48AE-898E-26E4EE41A0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tx2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(2)'!$P$432:$P$433</c:f>
              <c:numCache>
                <c:formatCode>General</c:formatCode>
                <c:ptCount val="2"/>
                <c:pt idx="0">
                  <c:v>810</c:v>
                </c:pt>
                <c:pt idx="1">
                  <c:v>860</c:v>
                </c:pt>
              </c:numCache>
            </c:numRef>
          </c:xVal>
          <c:yVal>
            <c:numRef>
              <c:f>'Ensemble (2)'!$Q$432:$Q$433</c:f>
              <c:numCache>
                <c:formatCode>General</c:formatCode>
                <c:ptCount val="2"/>
                <c:pt idx="0">
                  <c:v>-250</c:v>
                </c:pt>
                <c:pt idx="1">
                  <c:v>-250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(2)'!$O$433</c15:f>
                <c15:dlblRangeCache>
                  <c:ptCount val="1"/>
                  <c:pt idx="0">
                    <c:v>1500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8-AAE2-48AE-898E-26E4EE41A036}"/>
            </c:ext>
          </c:extLst>
        </c:ser>
        <c:ser>
          <c:idx val="13"/>
          <c:order val="15"/>
          <c:tx>
            <c:strRef>
              <c:f>'Ensemble (2)'!$O$438</c:f>
              <c:strCache>
                <c:ptCount val="1"/>
                <c:pt idx="0">
                  <c:v>Texte de Cotation hauteur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66753D47-3CB0-4BC9-A9EF-D0BE94446B6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AAE2-48AE-898E-26E4EE41A03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AAE2-48AE-898E-26E4EE41A0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(2)'!$P$438:$P$439</c:f>
              <c:numCache>
                <c:formatCode>General</c:formatCode>
                <c:ptCount val="2"/>
                <c:pt idx="0">
                  <c:v>1710</c:v>
                </c:pt>
                <c:pt idx="1">
                  <c:v>1710</c:v>
                </c:pt>
              </c:numCache>
            </c:numRef>
          </c:xVal>
          <c:yVal>
            <c:numRef>
              <c:f>'Ensemble (2)'!$Q$438:$Q$439</c:f>
              <c:numCache>
                <c:formatCode>General</c:formatCode>
                <c:ptCount val="2"/>
                <c:pt idx="0">
                  <c:v>560</c:v>
                </c:pt>
                <c:pt idx="1">
                  <c:v>610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(2)'!$O$439</c15:f>
                <c15:dlblRangeCache>
                  <c:ptCount val="1"/>
                  <c:pt idx="0">
                    <c:v>1120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AAE2-48AE-898E-26E4EE41A036}"/>
            </c:ext>
          </c:extLst>
        </c:ser>
        <c:ser>
          <c:idx val="16"/>
          <c:order val="16"/>
          <c:tx>
            <c:strRef>
              <c:f>'Ensemble (2)'!$O$450</c:f>
              <c:strCache>
                <c:ptCount val="1"/>
                <c:pt idx="0">
                  <c:v>Dépassée basse 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88B795FE-E033-41DD-A471-A5B2DEB3B00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AAE2-48AE-898E-26E4EE41A03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AAE2-48AE-898E-26E4EE41A0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(2)'!$P$450:$P$451</c:f>
              <c:numCache>
                <c:formatCode>General</c:formatCode>
                <c:ptCount val="2"/>
                <c:pt idx="0">
                  <c:v>840</c:v>
                </c:pt>
                <c:pt idx="1">
                  <c:v>890</c:v>
                </c:pt>
              </c:numCache>
            </c:numRef>
          </c:xVal>
          <c:yVal>
            <c:numRef>
              <c:f>'Ensemble (2)'!$Q$450:$Q$451</c:f>
              <c:numCache>
                <c:formatCode>General</c:formatCode>
                <c:ptCount val="2"/>
                <c:pt idx="0">
                  <c:v>-40</c:v>
                </c:pt>
                <c:pt idx="1">
                  <c:v>-40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(2)'!$O$451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E-AAE2-48AE-898E-26E4EE41A0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847872"/>
        <c:axId val="502847088"/>
      </c:scatterChart>
      <c:valAx>
        <c:axId val="502847872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02847088"/>
        <c:crossesAt val="-2147483647"/>
        <c:crossBetween val="midCat"/>
      </c:valAx>
      <c:valAx>
        <c:axId val="502847088"/>
        <c:scaling>
          <c:orientation val="minMax"/>
          <c:max val="1500"/>
          <c:min val="-3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2847872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'Ensemble (2)'!$AM$310</c:f>
          <c:strCache>
            <c:ptCount val="1"/>
            <c:pt idx="0">
              <c:v>Blocs sous Fenêtre 90 / 80; avec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3483639938683059E-2"/>
          <c:y val="1.1662803554308258E-2"/>
          <c:w val="0.97527999344574767"/>
          <c:h val="0.96792729022565227"/>
        </c:manualLayout>
      </c:layout>
      <c:scatterChart>
        <c:scatterStyle val="lineMarker"/>
        <c:varyColors val="0"/>
        <c:ser>
          <c:idx val="0"/>
          <c:order val="0"/>
          <c:tx>
            <c:strRef>
              <c:f>'Ensemble (2)'!$AM$374</c:f>
              <c:strCache>
                <c:ptCount val="1"/>
                <c:pt idx="0">
                  <c:v>OSB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'Ensemble (2)'!$AN$374:$AN$378</c:f>
              <c:numCache>
                <c:formatCode>General</c:formatCode>
                <c:ptCount val="5"/>
                <c:pt idx="0">
                  <c:v>33</c:v>
                </c:pt>
                <c:pt idx="1">
                  <c:v>987</c:v>
                </c:pt>
                <c:pt idx="2">
                  <c:v>987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'Ensemble (2)'!$AO$374:$AO$378</c:f>
              <c:numCache>
                <c:formatCode>General</c:formatCode>
                <c:ptCount val="5"/>
                <c:pt idx="0">
                  <c:v>-40</c:v>
                </c:pt>
                <c:pt idx="1">
                  <c:v>-40</c:v>
                </c:pt>
                <c:pt idx="2">
                  <c:v>1260</c:v>
                </c:pt>
                <c:pt idx="3">
                  <c:v>1260</c:v>
                </c:pt>
                <c:pt idx="4">
                  <c:v>-40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01-4317-B001-7CBD66E10EE9}"/>
            </c:ext>
          </c:extLst>
        </c:ser>
        <c:ser>
          <c:idx val="2"/>
          <c:order val="1"/>
          <c:tx>
            <c:strRef>
              <c:f>'Ensemble (2)'!$AM$380</c:f>
              <c:strCache>
                <c:ptCount val="1"/>
                <c:pt idx="0">
                  <c:v>Montant gauche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'Ensemble (2)'!$AN$380:$AN$384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(2)'!$AO$380:$AO$384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1175</c:v>
                </c:pt>
                <c:pt idx="3">
                  <c:v>1175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C01-4317-B001-7CBD66E10EE9}"/>
            </c:ext>
          </c:extLst>
        </c:ser>
        <c:ser>
          <c:idx val="1"/>
          <c:order val="2"/>
          <c:tx>
            <c:strRef>
              <c:f>'Ensemble (2)'!$AM$416</c:f>
              <c:strCache>
                <c:ptCount val="1"/>
                <c:pt idx="0">
                  <c:v>Lisse basse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'Ensemble (2)'!$AN$416:$AN$420</c:f>
              <c:numCache>
                <c:formatCode>General</c:formatCode>
                <c:ptCount val="5"/>
                <c:pt idx="0">
                  <c:v>60</c:v>
                </c:pt>
                <c:pt idx="1">
                  <c:v>960</c:v>
                </c:pt>
                <c:pt idx="2">
                  <c:v>960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(2)'!$AO$416:$AO$420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45</c:v>
                </c:pt>
                <c:pt idx="3">
                  <c:v>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C01-4317-B001-7CBD66E10EE9}"/>
            </c:ext>
          </c:extLst>
        </c:ser>
        <c:ser>
          <c:idx val="3"/>
          <c:order val="3"/>
          <c:tx>
            <c:strRef>
              <c:f>'Ensemble (2)'!$AM$410</c:f>
              <c:strCache>
                <c:ptCount val="1"/>
                <c:pt idx="0">
                  <c:v>Montant droit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'Ensemble (2)'!$AN$410:$AN$414</c:f>
              <c:numCache>
                <c:formatCode>General</c:formatCode>
                <c:ptCount val="5"/>
                <c:pt idx="0">
                  <c:v>915</c:v>
                </c:pt>
                <c:pt idx="1">
                  <c:v>960</c:v>
                </c:pt>
                <c:pt idx="2">
                  <c:v>960</c:v>
                </c:pt>
                <c:pt idx="3">
                  <c:v>915</c:v>
                </c:pt>
                <c:pt idx="4">
                  <c:v>915</c:v>
                </c:pt>
              </c:numCache>
            </c:numRef>
          </c:xVal>
          <c:yVal>
            <c:numRef>
              <c:f>'Ensemble (2)'!$AO$410:$AO$414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1175</c:v>
                </c:pt>
                <c:pt idx="3">
                  <c:v>1175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C01-4317-B001-7CBD66E10EE9}"/>
            </c:ext>
          </c:extLst>
        </c:ser>
        <c:ser>
          <c:idx val="4"/>
          <c:order val="4"/>
          <c:tx>
            <c:strRef>
              <c:f>'Ensemble (2)'!$AM$422</c:f>
              <c:strCache>
                <c:ptCount val="1"/>
                <c:pt idx="0">
                  <c:v>Lisse haute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'Ensemble (2)'!$AN$422:$AN$426</c:f>
              <c:numCache>
                <c:formatCode>General</c:formatCode>
                <c:ptCount val="5"/>
                <c:pt idx="0">
                  <c:v>60</c:v>
                </c:pt>
                <c:pt idx="1">
                  <c:v>960</c:v>
                </c:pt>
                <c:pt idx="2">
                  <c:v>960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(2)'!$AO$422:$AO$426</c:f>
              <c:numCache>
                <c:formatCode>General</c:formatCode>
                <c:ptCount val="5"/>
                <c:pt idx="0">
                  <c:v>1175</c:v>
                </c:pt>
                <c:pt idx="1">
                  <c:v>1175</c:v>
                </c:pt>
                <c:pt idx="2">
                  <c:v>1220</c:v>
                </c:pt>
                <c:pt idx="3">
                  <c:v>1220</c:v>
                </c:pt>
                <c:pt idx="4">
                  <c:v>1175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C01-4317-B001-7CBD66E10EE9}"/>
            </c:ext>
          </c:extLst>
        </c:ser>
        <c:ser>
          <c:idx val="5"/>
          <c:order val="5"/>
          <c:tx>
            <c:strRef>
              <c:f>'Ensemble (2)'!$AM$429</c:f>
              <c:strCache>
                <c:ptCount val="1"/>
                <c:pt idx="0">
                  <c:v>Ligne de Cotation Largeur  Sous-Porte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xVal>
            <c:numRef>
              <c:f>'Ensemble (2)'!$AN$429:$AN$430</c:f>
              <c:numCache>
                <c:formatCode>General</c:formatCode>
                <c:ptCount val="2"/>
                <c:pt idx="0">
                  <c:v>60</c:v>
                </c:pt>
                <c:pt idx="1">
                  <c:v>960</c:v>
                </c:pt>
              </c:numCache>
            </c:numRef>
          </c:xVal>
          <c:yVal>
            <c:numRef>
              <c:f>'Ensemble (2)'!$AO$429:$AO$430</c:f>
              <c:numCache>
                <c:formatCode>General</c:formatCode>
                <c:ptCount val="2"/>
                <c:pt idx="0">
                  <c:v>-250</c:v>
                </c:pt>
                <c:pt idx="1">
                  <c:v>-250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C01-4317-B001-7CBD66E10EE9}"/>
            </c:ext>
          </c:extLst>
        </c:ser>
        <c:ser>
          <c:idx val="6"/>
          <c:order val="6"/>
          <c:tx>
            <c:strRef>
              <c:f>'Ensemble (2)'!$AM$435</c:f>
              <c:strCache>
                <c:ptCount val="1"/>
                <c:pt idx="0">
                  <c:v>Ligne de Cotation hauteur  Sous-Porte</c:v>
                </c:pt>
              </c:strCache>
            </c:strRef>
          </c:tx>
          <c:spPr>
            <a:ln>
              <a:solidFill>
                <a:schemeClr val="tx2"/>
              </a:solidFill>
              <a:headEnd type="stealth"/>
              <a:tailEnd type="stealth"/>
            </a:ln>
          </c:spPr>
          <c:marker>
            <c:symbol val="none"/>
          </c:marker>
          <c:xVal>
            <c:numRef>
              <c:f>'Ensemble (2)'!$AN$435:$AN$436</c:f>
              <c:numCache>
                <c:formatCode>General</c:formatCode>
                <c:ptCount val="2"/>
                <c:pt idx="0">
                  <c:v>1110</c:v>
                </c:pt>
                <c:pt idx="1">
                  <c:v>1110</c:v>
                </c:pt>
              </c:numCache>
            </c:numRef>
          </c:xVal>
          <c:yVal>
            <c:numRef>
              <c:f>'Ensemble (2)'!$AO$435:$AO$436</c:f>
              <c:numCache>
                <c:formatCode>General</c:formatCode>
                <c:ptCount val="2"/>
                <c:pt idx="0">
                  <c:v>0</c:v>
                </c:pt>
                <c:pt idx="1">
                  <c:v>1220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C01-4317-B001-7CBD66E10EE9}"/>
            </c:ext>
          </c:extLst>
        </c:ser>
        <c:ser>
          <c:idx val="7"/>
          <c:order val="7"/>
          <c:tx>
            <c:strRef>
              <c:f>'Ensemble (2)'!$AM$386</c:f>
              <c:strCache>
                <c:ptCount val="1"/>
                <c:pt idx="0">
                  <c:v>ossature intermédiaire 1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Ensemble!$AN$386:$AN$390</c:f>
            </c:numRef>
          </c:xVal>
          <c:yVal>
            <c:numRef>
              <c:f>'Ensemble (2)'!$AO$386:$AO$390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1175</c:v>
                </c:pt>
                <c:pt idx="3">
                  <c:v>1175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6C01-4317-B001-7CBD66E10EE9}"/>
            </c:ext>
          </c:extLst>
        </c:ser>
        <c:ser>
          <c:idx val="8"/>
          <c:order val="8"/>
          <c:tx>
            <c:strRef>
              <c:f>'Ensemble (2)'!$AM$392</c:f>
              <c:strCache>
                <c:ptCount val="1"/>
                <c:pt idx="0">
                  <c:v>ossature intermédiaire 2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Ensemble!$AN$392:$AN$396</c:f>
            </c:numRef>
          </c:xVal>
          <c:yVal>
            <c:numRef>
              <c:f>'Ensemble (2)'!$AO$392:$AO$396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6C01-4317-B001-7CBD66E10EE9}"/>
            </c:ext>
          </c:extLst>
        </c:ser>
        <c:ser>
          <c:idx val="9"/>
          <c:order val="9"/>
          <c:tx>
            <c:strRef>
              <c:f>'Ensemble (2)'!$AM$398</c:f>
              <c:strCache>
                <c:ptCount val="1"/>
                <c:pt idx="0">
                  <c:v>ossature intermédiaire 3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Ensemble!$AN$398:$AN$402</c:f>
            </c:numRef>
          </c:xVal>
          <c:yVal>
            <c:numRef>
              <c:f>'Ensemble (2)'!$AO$398:$AO$402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6C01-4317-B001-7CBD66E10EE9}"/>
            </c:ext>
          </c:extLst>
        </c:ser>
        <c:ser>
          <c:idx val="10"/>
          <c:order val="10"/>
          <c:tx>
            <c:strRef>
              <c:f>'Ensemble (2)'!$AM$404</c:f>
              <c:strCache>
                <c:ptCount val="1"/>
                <c:pt idx="0">
                  <c:v>ossature intermédiaire 4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xVal>
            <c:numRef>
              <c:f>Ensemble!$AN$404:$AN$408</c:f>
            </c:numRef>
          </c:xVal>
          <c:yVal>
            <c:numRef>
              <c:f>'Ensemble (2)'!$AO$404:$AO$408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6C01-4317-B001-7CBD66E10EE9}"/>
            </c:ext>
          </c:extLst>
        </c:ser>
        <c:ser>
          <c:idx val="11"/>
          <c:order val="11"/>
          <c:tx>
            <c:strRef>
              <c:f>'Ensemble (2)'!$AM$432</c:f>
              <c:strCache>
                <c:ptCount val="1"/>
                <c:pt idx="0">
                  <c:v>Texte de Cotation Largeur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C4AD15DE-B26D-4A9D-AE6F-3121993B2C7D}" type="CELLRANGE">
                      <a:rPr lang="en-US" b="1">
                        <a:solidFill>
                          <a:schemeClr val="tx2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6C01-4317-B001-7CBD66E10EE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6C01-4317-B001-7CBD66E10EE9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(2)'!$AN$432:$AN$433</c:f>
              <c:numCache>
                <c:formatCode>General</c:formatCode>
                <c:ptCount val="2"/>
                <c:pt idx="0">
                  <c:v>510</c:v>
                </c:pt>
                <c:pt idx="1">
                  <c:v>560</c:v>
                </c:pt>
              </c:numCache>
            </c:numRef>
          </c:xVal>
          <c:yVal>
            <c:numRef>
              <c:f>'Ensemble (2)'!$AO$432:$AO$433</c:f>
              <c:numCache>
                <c:formatCode>General</c:formatCode>
                <c:ptCount val="2"/>
                <c:pt idx="0">
                  <c:v>-250</c:v>
                </c:pt>
                <c:pt idx="1">
                  <c:v>-250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(2)'!$AM$433</c15:f>
                <c15:dlblRangeCache>
                  <c:ptCount val="1"/>
                  <c:pt idx="0">
                    <c:v>900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6C01-4317-B001-7CBD66E10EE9}"/>
            </c:ext>
          </c:extLst>
        </c:ser>
        <c:ser>
          <c:idx val="12"/>
          <c:order val="12"/>
          <c:tx>
            <c:strRef>
              <c:f>'Ensemble (2)'!$AM$438</c:f>
              <c:strCache>
                <c:ptCount val="1"/>
                <c:pt idx="0">
                  <c:v>Texte de Cotation hauteur  Sous-Porte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CD534302-C860-43EF-BBCD-986193C1449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6C01-4317-B001-7CBD66E10EE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6C01-4317-B001-7CBD66E10E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(2)'!$AN$438:$AN$439</c:f>
              <c:numCache>
                <c:formatCode>General</c:formatCode>
                <c:ptCount val="2"/>
                <c:pt idx="0">
                  <c:v>1110</c:v>
                </c:pt>
                <c:pt idx="1">
                  <c:v>1110</c:v>
                </c:pt>
              </c:numCache>
            </c:numRef>
          </c:xVal>
          <c:yVal>
            <c:numRef>
              <c:f>'Ensemble (2)'!$AO$438:$AO$439</c:f>
              <c:numCache>
                <c:formatCode>General</c:formatCode>
                <c:ptCount val="2"/>
                <c:pt idx="0">
                  <c:v>610</c:v>
                </c:pt>
                <c:pt idx="1">
                  <c:v>660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(2)'!$AM$439</c15:f>
                <c15:dlblRangeCache>
                  <c:ptCount val="1"/>
                  <c:pt idx="0">
                    <c:v>1220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0-6C01-4317-B001-7CBD66E10EE9}"/>
            </c:ext>
          </c:extLst>
        </c:ser>
        <c:ser>
          <c:idx val="13"/>
          <c:order val="13"/>
          <c:tx>
            <c:strRef>
              <c:f>'Ensemble (2)'!$AN$441:$AN$442</c:f>
              <c:strCache>
                <c:ptCount val="2"/>
                <c:pt idx="0">
                  <c:v>33</c:v>
                </c:pt>
                <c:pt idx="1">
                  <c:v>33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08C4E5D0-BA0C-4A32-A428-431D5E4DE69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6C01-4317-B001-7CBD66E10EE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6C01-4317-B001-7CBD66E10E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(2)'!$AN$441:$AN$442</c:f>
              <c:numCache>
                <c:formatCode>General</c:formatCode>
                <c:ptCount val="2"/>
                <c:pt idx="0">
                  <c:v>33</c:v>
                </c:pt>
                <c:pt idx="1">
                  <c:v>33</c:v>
                </c:pt>
              </c:numCache>
            </c:numRef>
          </c:xVal>
          <c:yVal>
            <c:numRef>
              <c:f>'Ensemble (2)'!$AO$441:$AO$442</c:f>
              <c:numCache>
                <c:formatCode>General</c:formatCode>
                <c:ptCount val="2"/>
                <c:pt idx="0">
                  <c:v>610</c:v>
                </c:pt>
                <c:pt idx="1">
                  <c:v>660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(2)'!$AM$442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3-6C01-4317-B001-7CBD66E10EE9}"/>
            </c:ext>
          </c:extLst>
        </c:ser>
        <c:ser>
          <c:idx val="14"/>
          <c:order val="14"/>
          <c:tx>
            <c:strRef>
              <c:f>'Ensemble (2)'!$AM$444</c:f>
              <c:strCache>
                <c:ptCount val="1"/>
                <c:pt idx="0">
                  <c:v>Dépassée Droite 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14B8F75E-EE85-4D29-92E4-6443BC2677F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6C01-4317-B001-7CBD66E10EE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6C01-4317-B001-7CBD66E10E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(2)'!$AN$444:$AN$445</c:f>
              <c:numCache>
                <c:formatCode>General</c:formatCode>
                <c:ptCount val="2"/>
                <c:pt idx="0">
                  <c:v>987</c:v>
                </c:pt>
                <c:pt idx="1">
                  <c:v>987</c:v>
                </c:pt>
              </c:numCache>
            </c:numRef>
          </c:xVal>
          <c:yVal>
            <c:numRef>
              <c:f>'Ensemble (2)'!$AO$444:$AO$445</c:f>
              <c:numCache>
                <c:formatCode>General</c:formatCode>
                <c:ptCount val="2"/>
                <c:pt idx="0">
                  <c:v>610</c:v>
                </c:pt>
                <c:pt idx="1">
                  <c:v>660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(2)'!$AM$445</c15:f>
                <c15:dlblRangeCache>
                  <c:ptCount val="1"/>
                  <c:pt idx="0">
                    <c:v>Panneaux + 27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6-6C01-4317-B001-7CBD66E10EE9}"/>
            </c:ext>
          </c:extLst>
        </c:ser>
        <c:ser>
          <c:idx val="15"/>
          <c:order val="15"/>
          <c:tx>
            <c:strRef>
              <c:f>'Ensemble (2)'!$AM$447</c:f>
              <c:strCache>
                <c:ptCount val="1"/>
                <c:pt idx="0">
                  <c:v>Dépassée Haute 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F1675FDD-1AFE-4D66-A5F8-404C0EBEDC7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6C01-4317-B001-7CBD66E10EE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6C01-4317-B001-7CBD66E10E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'Ensemble (2)'!$AN$447:$AN$448</c:f>
              <c:numCache>
                <c:formatCode>General</c:formatCode>
                <c:ptCount val="2"/>
                <c:pt idx="0">
                  <c:v>540</c:v>
                </c:pt>
                <c:pt idx="1">
                  <c:v>590</c:v>
                </c:pt>
              </c:numCache>
            </c:numRef>
          </c:xVal>
          <c:yVal>
            <c:numRef>
              <c:f>'Ensemble (2)'!$AO$447:$AO$448</c:f>
              <c:numCache>
                <c:formatCode>General</c:formatCode>
                <c:ptCount val="2"/>
                <c:pt idx="0">
                  <c:v>1260</c:v>
                </c:pt>
                <c:pt idx="1">
                  <c:v>1260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(2)'!$AM$451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9-6C01-4317-B001-7CBD66E10EE9}"/>
            </c:ext>
          </c:extLst>
        </c:ser>
        <c:ser>
          <c:idx val="16"/>
          <c:order val="16"/>
          <c:tx>
            <c:strRef>
              <c:f>'Ensemble (2)'!$AM$450</c:f>
              <c:strCache>
                <c:ptCount val="1"/>
                <c:pt idx="0">
                  <c:v>Dépassée basse 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4CA31F34-7D6A-476A-AEC5-26D4587565C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6C01-4317-B001-7CBD66E10EE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6C01-4317-B001-7CBD66E10E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accent4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</c:ext>
            </c:extLst>
          </c:dLbls>
          <c:xVal>
            <c:numRef>
              <c:f>'Ensemble (2)'!$AN$450:$AN$451</c:f>
              <c:numCache>
                <c:formatCode>General</c:formatCode>
                <c:ptCount val="2"/>
                <c:pt idx="0">
                  <c:v>540</c:v>
                </c:pt>
                <c:pt idx="1">
                  <c:v>590</c:v>
                </c:pt>
              </c:numCache>
            </c:numRef>
          </c:xVal>
          <c:yVal>
            <c:numRef>
              <c:f>'Ensemble (2)'!$AO$450:$AO$451</c:f>
              <c:numCache>
                <c:formatCode>General</c:formatCode>
                <c:ptCount val="2"/>
                <c:pt idx="0">
                  <c:v>-40</c:v>
                </c:pt>
                <c:pt idx="1">
                  <c:v>-40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'Ensemble (2)'!$AM$451</c15:f>
                <c15:dlblRangeCache>
                  <c:ptCount val="1"/>
                  <c:pt idx="0">
                    <c:v>Panneaux + 40 mm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C-6C01-4317-B001-7CBD66E10E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846304"/>
        <c:axId val="502847480"/>
      </c:scatterChart>
      <c:valAx>
        <c:axId val="502846304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02847480"/>
        <c:crossesAt val="-2147483647"/>
        <c:crossBetween val="midCat"/>
      </c:valAx>
      <c:valAx>
        <c:axId val="502847480"/>
        <c:scaling>
          <c:orientation val="minMax"/>
          <c:max val="1500"/>
          <c:min val="-4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2846304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'Ensemble (2)'!$O$4</c:f>
          <c:strCache>
            <c:ptCount val="1"/>
            <c:pt idx="0">
              <c:v>Fenêtre 150 / 90; sans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49693618029961E-2"/>
          <c:y val="3.746492021674945E-2"/>
          <c:w val="0.9465030638197004"/>
          <c:h val="0.96253507978325059"/>
        </c:manualLayout>
      </c:layout>
      <c:scatterChart>
        <c:scatterStyle val="lineMarker"/>
        <c:varyColors val="0"/>
        <c:ser>
          <c:idx val="0"/>
          <c:order val="0"/>
          <c:tx>
            <c:strRef>
              <c:f>'Ensemble (2)'!$O$223</c:f>
              <c:strCache>
                <c:ptCount val="1"/>
                <c:pt idx="0">
                  <c:v>OSB Sur-Porte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'Ensemble (2)'!$P$223:$P$227</c:f>
              <c:numCache>
                <c:formatCode>General</c:formatCode>
                <c:ptCount val="5"/>
                <c:pt idx="0">
                  <c:v>33</c:v>
                </c:pt>
                <c:pt idx="1">
                  <c:v>1587</c:v>
                </c:pt>
                <c:pt idx="2">
                  <c:v>1587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'Ensemble (2)'!$Q$223:$Q$227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2760</c:v>
                </c:pt>
                <c:pt idx="3">
                  <c:v>2760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CD3-449F-B531-1B6B642E9DA2}"/>
            </c:ext>
          </c:extLst>
        </c:ser>
        <c:ser>
          <c:idx val="2"/>
          <c:order val="1"/>
          <c:tx>
            <c:strRef>
              <c:f>'Ensemble (2)'!$O$229</c:f>
              <c:strCache>
                <c:ptCount val="1"/>
                <c:pt idx="0">
                  <c:v>Montant gauche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(2)'!$P$229:$P$233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(2)'!$Q$229:$Q$233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CD3-449F-B531-1B6B642E9DA2}"/>
            </c:ext>
          </c:extLst>
        </c:ser>
        <c:ser>
          <c:idx val="1"/>
          <c:order val="2"/>
          <c:tx>
            <c:strRef>
              <c:f>'Ensemble (2)'!$O$265</c:f>
              <c:strCache>
                <c:ptCount val="1"/>
                <c:pt idx="0">
                  <c:v>Lisse basse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(2)'!$P$265:$P$269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(2)'!$Q$265:$Q$269</c:f>
              <c:numCache>
                <c:formatCode>General</c:formatCode>
                <c:ptCount val="5"/>
                <c:pt idx="0">
                  <c:v>2430</c:v>
                </c:pt>
                <c:pt idx="1">
                  <c:v>2430</c:v>
                </c:pt>
                <c:pt idx="2">
                  <c:v>2475</c:v>
                </c:pt>
                <c:pt idx="3">
                  <c:v>2475</c:v>
                </c:pt>
                <c:pt idx="4">
                  <c:v>2430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CD3-449F-B531-1B6B642E9DA2}"/>
            </c:ext>
          </c:extLst>
        </c:ser>
        <c:ser>
          <c:idx val="3"/>
          <c:order val="3"/>
          <c:tx>
            <c:strRef>
              <c:f>'Ensemble (2)'!$O$259</c:f>
              <c:strCache>
                <c:ptCount val="1"/>
                <c:pt idx="0">
                  <c:v>Montant droit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(2)'!$P$259:$P$263</c:f>
              <c:numCache>
                <c:formatCode>General</c:formatCode>
                <c:ptCount val="5"/>
                <c:pt idx="0">
                  <c:v>1515</c:v>
                </c:pt>
                <c:pt idx="1">
                  <c:v>1560</c:v>
                </c:pt>
                <c:pt idx="2">
                  <c:v>1560</c:v>
                </c:pt>
                <c:pt idx="3">
                  <c:v>1515</c:v>
                </c:pt>
                <c:pt idx="4">
                  <c:v>1515</c:v>
                </c:pt>
              </c:numCache>
            </c:numRef>
          </c:xVal>
          <c:yVal>
            <c:numRef>
              <c:f>'Ensemble (2)'!$Q$259:$Q$263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CD3-449F-B531-1B6B642E9DA2}"/>
            </c:ext>
          </c:extLst>
        </c:ser>
        <c:ser>
          <c:idx val="4"/>
          <c:order val="4"/>
          <c:tx>
            <c:strRef>
              <c:f>'Ensemble (2)'!$O$271</c:f>
              <c:strCache>
                <c:ptCount val="1"/>
                <c:pt idx="0">
                  <c:v>Lisse haute 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(2)'!$P$271:$P$275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(2)'!$Q$271:$Q$275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CD3-449F-B531-1B6B642E9DA2}"/>
            </c:ext>
          </c:extLst>
        </c:ser>
        <c:ser>
          <c:idx val="7"/>
          <c:order val="5"/>
          <c:tx>
            <c:strRef>
              <c:f>'Ensemble (2)'!$O$235</c:f>
              <c:strCache>
                <c:ptCount val="1"/>
                <c:pt idx="0">
                  <c:v>ossature intermédiaire 1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Ensemble!$P$235:$P$239</c:f>
            </c:numRef>
          </c:xVal>
          <c:yVal>
            <c:numRef>
              <c:f>'Ensemble (2)'!$Q$235:$Q$239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CD3-449F-B531-1B6B642E9DA2}"/>
            </c:ext>
          </c:extLst>
        </c:ser>
        <c:ser>
          <c:idx val="8"/>
          <c:order val="6"/>
          <c:tx>
            <c:strRef>
              <c:f>'Ensemble (2)'!$O$241</c:f>
              <c:strCache>
                <c:ptCount val="1"/>
                <c:pt idx="0">
                  <c:v>ossature intermédiaire 2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Ensemble!$P$241:$P$245</c:f>
            </c:numRef>
          </c:xVal>
          <c:yVal>
            <c:numRef>
              <c:f>'Ensemble (2)'!$Q$241:$Q$245</c:f>
              <c:numCache>
                <c:formatCode>General</c:formatCode>
                <c:ptCount val="5"/>
                <c:pt idx="0">
                  <c:v>2475</c:v>
                </c:pt>
                <c:pt idx="1">
                  <c:v>2475</c:v>
                </c:pt>
                <c:pt idx="2">
                  <c:v>2675</c:v>
                </c:pt>
                <c:pt idx="3">
                  <c:v>2675</c:v>
                </c:pt>
                <c:pt idx="4">
                  <c:v>2475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CD3-449F-B531-1B6B642E9DA2}"/>
            </c:ext>
          </c:extLst>
        </c:ser>
        <c:ser>
          <c:idx val="9"/>
          <c:order val="7"/>
          <c:tx>
            <c:strRef>
              <c:f>'Ensemble (2)'!$O$247</c:f>
              <c:strCache>
                <c:ptCount val="1"/>
                <c:pt idx="0">
                  <c:v>ossature intermédiaire 3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Ensemble!$P$247:$P$251</c:f>
            </c:numRef>
          </c:xVal>
          <c:yVal>
            <c:numRef>
              <c:f>'Ensemble (2)'!$Q$247:$Q$251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CD3-449F-B531-1B6B642E9DA2}"/>
            </c:ext>
          </c:extLst>
        </c:ser>
        <c:ser>
          <c:idx val="10"/>
          <c:order val="8"/>
          <c:tx>
            <c:strRef>
              <c:f>'Ensemble (2)'!$O$253</c:f>
              <c:strCache>
                <c:ptCount val="1"/>
                <c:pt idx="0">
                  <c:v>ossature intermédiaire 4 Sur-Porte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Ensemble!$P$253:$P$257</c:f>
            </c:numRef>
          </c:xVal>
          <c:yVal>
            <c:numRef>
              <c:f>'Ensemble (2)'!$Q$253:$Q$257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8CD3-449F-B531-1B6B642E9DA2}"/>
            </c:ext>
          </c:extLst>
        </c:ser>
        <c:ser>
          <c:idx val="11"/>
          <c:order val="9"/>
          <c:tx>
            <c:strRef>
              <c:f>'Ensemble (2)'!$O$74</c:f>
              <c:strCache>
                <c:ptCount val="1"/>
                <c:pt idx="0">
                  <c:v>Montant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(2)'!$P$74:$P$78</c:f>
              <c:numCache>
                <c:formatCode>General</c:formatCode>
                <c:ptCount val="5"/>
                <c:pt idx="0">
                  <c:v>0</c:v>
                </c:pt>
                <c:pt idx="1">
                  <c:v>45</c:v>
                </c:pt>
                <c:pt idx="2">
                  <c:v>45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(2)'!$Q$74:$Q$78</c:f>
              <c:numCache>
                <c:formatCode>General</c:formatCode>
                <c:ptCount val="5"/>
                <c:pt idx="0">
                  <c:v>1165</c:v>
                </c:pt>
                <c:pt idx="1">
                  <c:v>1165</c:v>
                </c:pt>
                <c:pt idx="2">
                  <c:v>2385</c:v>
                </c:pt>
                <c:pt idx="3">
                  <c:v>2385</c:v>
                </c:pt>
                <c:pt idx="4">
                  <c:v>1165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8CD3-449F-B531-1B6B642E9DA2}"/>
            </c:ext>
          </c:extLst>
        </c:ser>
        <c:ser>
          <c:idx val="12"/>
          <c:order val="10"/>
          <c:tx>
            <c:strRef>
              <c:f>'Ensemble (2)'!$O$80</c:f>
              <c:strCache>
                <c:ptCount val="1"/>
                <c:pt idx="0">
                  <c:v>Montant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(2)'!$P$80:$P$84</c:f>
              <c:numCache>
                <c:formatCode>General</c:formatCode>
                <c:ptCount val="5"/>
                <c:pt idx="0">
                  <c:v>1575</c:v>
                </c:pt>
                <c:pt idx="1">
                  <c:v>1620</c:v>
                </c:pt>
                <c:pt idx="2">
                  <c:v>1620</c:v>
                </c:pt>
                <c:pt idx="3">
                  <c:v>1575</c:v>
                </c:pt>
                <c:pt idx="4">
                  <c:v>1575</c:v>
                </c:pt>
              </c:numCache>
            </c:numRef>
          </c:xVal>
          <c:yVal>
            <c:numRef>
              <c:f>'Ensemble (2)'!$Q$80:$Q$84</c:f>
              <c:numCache>
                <c:formatCode>General</c:formatCode>
                <c:ptCount val="5"/>
                <c:pt idx="0">
                  <c:v>1165</c:v>
                </c:pt>
                <c:pt idx="1">
                  <c:v>1165</c:v>
                </c:pt>
                <c:pt idx="2">
                  <c:v>2385</c:v>
                </c:pt>
                <c:pt idx="3">
                  <c:v>2385</c:v>
                </c:pt>
                <c:pt idx="4">
                  <c:v>1165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8CD3-449F-B531-1B6B642E9DA2}"/>
            </c:ext>
          </c:extLst>
        </c:ser>
        <c:ser>
          <c:idx val="13"/>
          <c:order val="11"/>
          <c:tx>
            <c:strRef>
              <c:f>'Ensemble (2)'!$O$86</c:f>
              <c:strCache>
                <c:ptCount val="1"/>
                <c:pt idx="0">
                  <c:v>Linteau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(2)'!$P$86:$P$90</c:f>
              <c:numCache>
                <c:formatCode>General</c:formatCode>
                <c:ptCount val="5"/>
                <c:pt idx="0">
                  <c:v>0</c:v>
                </c:pt>
                <c:pt idx="1">
                  <c:v>1620</c:v>
                </c:pt>
                <c:pt idx="2">
                  <c:v>1620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(2)'!$Q$86:$Q$90</c:f>
              <c:numCache>
                <c:formatCode>General</c:formatCode>
                <c:ptCount val="5"/>
                <c:pt idx="0">
                  <c:v>2165</c:v>
                </c:pt>
                <c:pt idx="1">
                  <c:v>2165</c:v>
                </c:pt>
                <c:pt idx="2">
                  <c:v>2385</c:v>
                </c:pt>
                <c:pt idx="3">
                  <c:v>2385</c:v>
                </c:pt>
                <c:pt idx="4">
                  <c:v>2165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8CD3-449F-B531-1B6B642E9DA2}"/>
            </c:ext>
          </c:extLst>
        </c:ser>
        <c:ser>
          <c:idx val="14"/>
          <c:order val="12"/>
          <c:tx>
            <c:strRef>
              <c:f>'Ensemble (2)'!$O$92</c:f>
              <c:strCache>
                <c:ptCount val="1"/>
                <c:pt idx="0">
                  <c:v>Traverse haute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(2)'!$P$92:$P$96</c:f>
              <c:numCache>
                <c:formatCode>General</c:formatCode>
                <c:ptCount val="5"/>
                <c:pt idx="0">
                  <c:v>0</c:v>
                </c:pt>
                <c:pt idx="1">
                  <c:v>1620</c:v>
                </c:pt>
                <c:pt idx="2">
                  <c:v>1620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(2)'!$Q$92:$Q$96</c:f>
              <c:numCache>
                <c:formatCode>General</c:formatCode>
                <c:ptCount val="5"/>
                <c:pt idx="0">
                  <c:v>2385</c:v>
                </c:pt>
                <c:pt idx="1">
                  <c:v>2385</c:v>
                </c:pt>
                <c:pt idx="2">
                  <c:v>2430</c:v>
                </c:pt>
                <c:pt idx="3">
                  <c:v>2430</c:v>
                </c:pt>
                <c:pt idx="4">
                  <c:v>2385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8CD3-449F-B531-1B6B642E9DA2}"/>
            </c:ext>
          </c:extLst>
        </c:ser>
        <c:ser>
          <c:idx val="5"/>
          <c:order val="13"/>
          <c:tx>
            <c:strRef>
              <c:f>'Ensemble (2)'!$O$98</c:f>
              <c:strCache>
                <c:ptCount val="1"/>
                <c:pt idx="0">
                  <c:v>Traverse basse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(2)'!$P$98:$P$102</c:f>
              <c:numCache>
                <c:formatCode>General</c:formatCode>
                <c:ptCount val="5"/>
                <c:pt idx="0">
                  <c:v>0</c:v>
                </c:pt>
                <c:pt idx="1">
                  <c:v>1620</c:v>
                </c:pt>
                <c:pt idx="2">
                  <c:v>1620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(2)'!$Q$98:$Q$102</c:f>
              <c:numCache>
                <c:formatCode>General</c:formatCode>
                <c:ptCount val="5"/>
                <c:pt idx="0">
                  <c:v>1120</c:v>
                </c:pt>
                <c:pt idx="1">
                  <c:v>1120</c:v>
                </c:pt>
                <c:pt idx="2">
                  <c:v>1165</c:v>
                </c:pt>
                <c:pt idx="3">
                  <c:v>1165</c:v>
                </c:pt>
                <c:pt idx="4">
                  <c:v>1120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8CD3-449F-B531-1B6B642E9DA2}"/>
            </c:ext>
          </c:extLst>
        </c:ser>
        <c:ser>
          <c:idx val="6"/>
          <c:order val="14"/>
          <c:tx>
            <c:strRef>
              <c:f>'Ensemble (2)'!$O$374</c:f>
              <c:strCache>
                <c:ptCount val="1"/>
                <c:pt idx="0">
                  <c:v>OSB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'Ensemble (2)'!$P$374:$P$378</c:f>
              <c:numCache>
                <c:formatCode>General</c:formatCode>
                <c:ptCount val="5"/>
                <c:pt idx="0">
                  <c:v>33</c:v>
                </c:pt>
                <c:pt idx="1">
                  <c:v>1587</c:v>
                </c:pt>
                <c:pt idx="2">
                  <c:v>1587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'Ensemble (2)'!$Q$374:$Q$378</c:f>
              <c:numCache>
                <c:formatCode>General</c:formatCode>
                <c:ptCount val="5"/>
                <c:pt idx="0">
                  <c:v>-40</c:v>
                </c:pt>
                <c:pt idx="1">
                  <c:v>-40</c:v>
                </c:pt>
                <c:pt idx="2">
                  <c:v>1160</c:v>
                </c:pt>
                <c:pt idx="3">
                  <c:v>1160</c:v>
                </c:pt>
                <c:pt idx="4">
                  <c:v>-40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8CD3-449F-B531-1B6B642E9DA2}"/>
            </c:ext>
          </c:extLst>
        </c:ser>
        <c:ser>
          <c:idx val="15"/>
          <c:order val="15"/>
          <c:tx>
            <c:strRef>
              <c:f>'Ensemble (2)'!$O$380</c:f>
              <c:strCache>
                <c:ptCount val="1"/>
                <c:pt idx="0">
                  <c:v>Montant gauche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(2)'!$P$380:$P$384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(2)'!$Q$380:$Q$384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1075</c:v>
                </c:pt>
                <c:pt idx="3">
                  <c:v>1075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8CD3-449F-B531-1B6B642E9DA2}"/>
            </c:ext>
          </c:extLst>
        </c:ser>
        <c:ser>
          <c:idx val="16"/>
          <c:order val="16"/>
          <c:tx>
            <c:strRef>
              <c:f>'Ensemble (2)'!$O$386</c:f>
              <c:strCache>
                <c:ptCount val="1"/>
                <c:pt idx="0">
                  <c:v>ossature intermédiaire 1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Ensemble!$P$386:$P$390</c:f>
            </c:numRef>
          </c:xVal>
          <c:yVal>
            <c:numRef>
              <c:f>'Ensemble (2)'!$Q$386:$Q$390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1075</c:v>
                </c:pt>
                <c:pt idx="3">
                  <c:v>1075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8CD3-449F-B531-1B6B642E9DA2}"/>
            </c:ext>
          </c:extLst>
        </c:ser>
        <c:ser>
          <c:idx val="17"/>
          <c:order val="17"/>
          <c:tx>
            <c:strRef>
              <c:f>'Ensemble (2)'!$O$392</c:f>
              <c:strCache>
                <c:ptCount val="1"/>
                <c:pt idx="0">
                  <c:v>ossature intermédiaire 2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Ensemble!$P$392:$P$396</c:f>
            </c:numRef>
          </c:xVal>
          <c:yVal>
            <c:numRef>
              <c:f>'Ensemble (2)'!$Q$392:$Q$396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1075</c:v>
                </c:pt>
                <c:pt idx="3">
                  <c:v>1075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8CD3-449F-B531-1B6B642E9DA2}"/>
            </c:ext>
          </c:extLst>
        </c:ser>
        <c:ser>
          <c:idx val="18"/>
          <c:order val="18"/>
          <c:tx>
            <c:strRef>
              <c:f>'Ensemble (2)'!$O$398</c:f>
              <c:strCache>
                <c:ptCount val="1"/>
                <c:pt idx="0">
                  <c:v>ossature intermédiaire 3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Ensemble!$P$398:$P$402</c:f>
            </c:numRef>
          </c:xVal>
          <c:yVal>
            <c:numRef>
              <c:f>'Ensemble (2)'!$Q$398:$Q$402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8CD3-449F-B531-1B6B642E9DA2}"/>
            </c:ext>
          </c:extLst>
        </c:ser>
        <c:ser>
          <c:idx val="19"/>
          <c:order val="19"/>
          <c:tx>
            <c:strRef>
              <c:f>'Ensemble (2)'!$O$404</c:f>
              <c:strCache>
                <c:ptCount val="1"/>
                <c:pt idx="0">
                  <c:v>ossature intermédiaire 4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Ensemble!$P$404:$P$408</c:f>
            </c:numRef>
          </c:xVal>
          <c:yVal>
            <c:numRef>
              <c:f>'Ensemble (2)'!$Q$404:$Q$408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8CD3-449F-B531-1B6B642E9DA2}"/>
            </c:ext>
          </c:extLst>
        </c:ser>
        <c:ser>
          <c:idx val="20"/>
          <c:order val="20"/>
          <c:tx>
            <c:strRef>
              <c:f>'Ensemble (2)'!$O$410</c:f>
              <c:strCache>
                <c:ptCount val="1"/>
                <c:pt idx="0">
                  <c:v>Montant droit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(2)'!$P$410:$P$414</c:f>
              <c:numCache>
                <c:formatCode>General</c:formatCode>
                <c:ptCount val="5"/>
                <c:pt idx="0">
                  <c:v>1515</c:v>
                </c:pt>
                <c:pt idx="1">
                  <c:v>1560</c:v>
                </c:pt>
                <c:pt idx="2">
                  <c:v>1560</c:v>
                </c:pt>
                <c:pt idx="3">
                  <c:v>1515</c:v>
                </c:pt>
                <c:pt idx="4">
                  <c:v>1515</c:v>
                </c:pt>
              </c:numCache>
            </c:numRef>
          </c:xVal>
          <c:yVal>
            <c:numRef>
              <c:f>'Ensemble (2)'!$Q$410:$Q$414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1075</c:v>
                </c:pt>
                <c:pt idx="3">
                  <c:v>1075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8CD3-449F-B531-1B6B642E9DA2}"/>
            </c:ext>
          </c:extLst>
        </c:ser>
        <c:ser>
          <c:idx val="21"/>
          <c:order val="21"/>
          <c:tx>
            <c:strRef>
              <c:f>'Ensemble (2)'!$O$416</c:f>
              <c:strCache>
                <c:ptCount val="1"/>
                <c:pt idx="0">
                  <c:v>Lisse basse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(2)'!$P$416:$P$420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(2)'!$Q$416:$Q$420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45</c:v>
                </c:pt>
                <c:pt idx="3">
                  <c:v>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8CD3-449F-B531-1B6B642E9DA2}"/>
            </c:ext>
          </c:extLst>
        </c:ser>
        <c:ser>
          <c:idx val="22"/>
          <c:order val="22"/>
          <c:tx>
            <c:strRef>
              <c:f>'Ensemble (2)'!$O$422</c:f>
              <c:strCache>
                <c:ptCount val="1"/>
                <c:pt idx="0">
                  <c:v>Lisse haute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(2)'!$P$422:$P$426</c:f>
              <c:numCache>
                <c:formatCode>General</c:formatCode>
                <c:ptCount val="5"/>
                <c:pt idx="0">
                  <c:v>60</c:v>
                </c:pt>
                <c:pt idx="1">
                  <c:v>1560</c:v>
                </c:pt>
                <c:pt idx="2">
                  <c:v>1560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(2)'!$Q$422:$Q$426</c:f>
              <c:numCache>
                <c:formatCode>General</c:formatCode>
                <c:ptCount val="5"/>
                <c:pt idx="0">
                  <c:v>1075</c:v>
                </c:pt>
                <c:pt idx="1">
                  <c:v>1075</c:v>
                </c:pt>
                <c:pt idx="2">
                  <c:v>1120</c:v>
                </c:pt>
                <c:pt idx="3">
                  <c:v>1120</c:v>
                </c:pt>
                <c:pt idx="4">
                  <c:v>1075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8CD3-449F-B531-1B6B642E9DA2}"/>
            </c:ext>
          </c:extLst>
        </c:ser>
        <c:ser>
          <c:idx val="23"/>
          <c:order val="23"/>
          <c:tx>
            <c:strRef>
              <c:f>'Ensemble (2)'!$O$144</c:f>
              <c:strCache>
                <c:ptCount val="1"/>
                <c:pt idx="0">
                  <c:v>Ligne Linteau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(2)'!$P$144:$P$145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(2)'!$Q$144:$Q$145</c:f>
              <c:numCache>
                <c:formatCode>General</c:formatCode>
                <c:ptCount val="2"/>
                <c:pt idx="0">
                  <c:v>2150</c:v>
                </c:pt>
                <c:pt idx="1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8CD3-449F-B531-1B6B642E9DA2}"/>
            </c:ext>
          </c:extLst>
        </c:ser>
        <c:ser>
          <c:idx val="24"/>
          <c:order val="24"/>
          <c:tx>
            <c:strRef>
              <c:f>'Ensemble (2)'!$O$147</c:f>
              <c:strCache>
                <c:ptCount val="1"/>
                <c:pt idx="0">
                  <c:v>Ligne altimétrie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(2)'!$P$147:$P$148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(2)'!$Q$147:$Q$148</c:f>
              <c:numCache>
                <c:formatCode>General</c:formatCode>
                <c:ptCount val="2"/>
                <c:pt idx="0">
                  <c:v>2720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8CD3-449F-B531-1B6B642E9DA2}"/>
            </c:ext>
          </c:extLst>
        </c:ser>
        <c:ser>
          <c:idx val="25"/>
          <c:order val="25"/>
          <c:tx>
            <c:strRef>
              <c:f>'Ensemble (2)'!$O$150</c:f>
              <c:strCache>
                <c:ptCount val="1"/>
                <c:pt idx="0">
                  <c:v>Ligne Semelle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(2)'!$P$150:$P$151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(2)'!$Q$150:$Q$151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8CD3-449F-B531-1B6B642E9DA2}"/>
            </c:ext>
          </c:extLst>
        </c:ser>
        <c:ser>
          <c:idx val="26"/>
          <c:order val="26"/>
          <c:tx>
            <c:strRef>
              <c:f>'Ensemble (2)'!$O$153</c:f>
              <c:strCache>
                <c:ptCount val="1"/>
                <c:pt idx="0">
                  <c:v>Ligne Niveau brut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b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(2)'!$P$153:$P$154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(2)'!$Q$153:$Q$154</c:f>
              <c:numCache>
                <c:formatCode>General</c:formatCode>
                <c:ptCount val="2"/>
                <c:pt idx="0">
                  <c:v>-45</c:v>
                </c:pt>
                <c:pt idx="1">
                  <c:v>-45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8CD3-449F-B531-1B6B642E9D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388416"/>
        <c:axId val="513389984"/>
      </c:scatterChart>
      <c:valAx>
        <c:axId val="513388416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13389984"/>
        <c:crossesAt val="-2147483647"/>
        <c:crossBetween val="midCat"/>
      </c:valAx>
      <c:valAx>
        <c:axId val="513389984"/>
        <c:scaling>
          <c:orientation val="minMax"/>
          <c:max val="3000"/>
          <c:min val="-5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3388416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'Ensemble (2)'!$AM$4</c:f>
          <c:strCache>
            <c:ptCount val="1"/>
            <c:pt idx="0">
              <c:v>Fenêtre 90 / 80; avec VR; </c:v>
            </c:pt>
          </c:strCache>
        </c:strRef>
      </c:tx>
      <c:overlay val="1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49693618029961E-2"/>
          <c:y val="3.746492021674945E-2"/>
          <c:w val="0.9465030638197004"/>
          <c:h val="0.96253507978325059"/>
        </c:manualLayout>
      </c:layout>
      <c:scatterChart>
        <c:scatterStyle val="lineMarker"/>
        <c:varyColors val="0"/>
        <c:ser>
          <c:idx val="11"/>
          <c:order val="0"/>
          <c:tx>
            <c:strRef>
              <c:f>'Ensemble (2)'!$AM$74</c:f>
              <c:strCache>
                <c:ptCount val="1"/>
                <c:pt idx="0">
                  <c:v>Montant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(2)'!$AN$74:$AN$78</c:f>
              <c:numCache>
                <c:formatCode>General</c:formatCode>
                <c:ptCount val="5"/>
                <c:pt idx="0">
                  <c:v>0</c:v>
                </c:pt>
                <c:pt idx="1">
                  <c:v>45</c:v>
                </c:pt>
                <c:pt idx="2">
                  <c:v>45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(2)'!$AO$74:$AO$78</c:f>
              <c:numCache>
                <c:formatCode>General</c:formatCode>
                <c:ptCount val="5"/>
                <c:pt idx="0">
                  <c:v>1265</c:v>
                </c:pt>
                <c:pt idx="1">
                  <c:v>1265</c:v>
                </c:pt>
                <c:pt idx="2">
                  <c:v>2585</c:v>
                </c:pt>
                <c:pt idx="3">
                  <c:v>2585</c:v>
                </c:pt>
                <c:pt idx="4">
                  <c:v>1265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825-4316-B65B-627F54ECF504}"/>
            </c:ext>
          </c:extLst>
        </c:ser>
        <c:ser>
          <c:idx val="12"/>
          <c:order val="1"/>
          <c:tx>
            <c:strRef>
              <c:f>'Ensemble (2)'!$AM$80</c:f>
              <c:strCache>
                <c:ptCount val="1"/>
                <c:pt idx="0">
                  <c:v>Montant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(2)'!$AN$80:$AN$84</c:f>
              <c:numCache>
                <c:formatCode>General</c:formatCode>
                <c:ptCount val="5"/>
                <c:pt idx="0">
                  <c:v>975</c:v>
                </c:pt>
                <c:pt idx="1">
                  <c:v>1020</c:v>
                </c:pt>
                <c:pt idx="2">
                  <c:v>1020</c:v>
                </c:pt>
                <c:pt idx="3">
                  <c:v>975</c:v>
                </c:pt>
                <c:pt idx="4">
                  <c:v>975</c:v>
                </c:pt>
              </c:numCache>
            </c:numRef>
          </c:xVal>
          <c:yVal>
            <c:numRef>
              <c:f>'Ensemble (2)'!$AO$80:$AO$84</c:f>
              <c:numCache>
                <c:formatCode>General</c:formatCode>
                <c:ptCount val="5"/>
                <c:pt idx="0">
                  <c:v>1265</c:v>
                </c:pt>
                <c:pt idx="1">
                  <c:v>1265</c:v>
                </c:pt>
                <c:pt idx="2">
                  <c:v>2585</c:v>
                </c:pt>
                <c:pt idx="3">
                  <c:v>2585</c:v>
                </c:pt>
                <c:pt idx="4">
                  <c:v>1265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825-4316-B65B-627F54ECF504}"/>
            </c:ext>
          </c:extLst>
        </c:ser>
        <c:ser>
          <c:idx val="13"/>
          <c:order val="2"/>
          <c:tx>
            <c:strRef>
              <c:f>'Ensemble (2)'!$AM$86</c:f>
              <c:strCache>
                <c:ptCount val="1"/>
                <c:pt idx="0">
                  <c:v>Linteau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(2)'!$AN$86:$AN$90</c:f>
              <c:numCache>
                <c:formatCode>General</c:formatCode>
                <c:ptCount val="5"/>
                <c:pt idx="0">
                  <c:v>0</c:v>
                </c:pt>
                <c:pt idx="1">
                  <c:v>1020</c:v>
                </c:pt>
                <c:pt idx="2">
                  <c:v>1020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(2)'!$AO$86:$AO$90</c:f>
              <c:numCache>
                <c:formatCode>General</c:formatCode>
                <c:ptCount val="5"/>
                <c:pt idx="0">
                  <c:v>2365</c:v>
                </c:pt>
                <c:pt idx="1">
                  <c:v>2365</c:v>
                </c:pt>
                <c:pt idx="2">
                  <c:v>2585</c:v>
                </c:pt>
                <c:pt idx="3">
                  <c:v>2585</c:v>
                </c:pt>
                <c:pt idx="4">
                  <c:v>2365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825-4316-B65B-627F54ECF504}"/>
            </c:ext>
          </c:extLst>
        </c:ser>
        <c:ser>
          <c:idx val="14"/>
          <c:order val="3"/>
          <c:tx>
            <c:strRef>
              <c:f>'Ensemble (2)'!$AM$92</c:f>
              <c:strCache>
                <c:ptCount val="1"/>
                <c:pt idx="0">
                  <c:v>Traverse haute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(2)'!$AN$92:$AN$96</c:f>
              <c:numCache>
                <c:formatCode>General</c:formatCode>
                <c:ptCount val="5"/>
                <c:pt idx="0">
                  <c:v>0</c:v>
                </c:pt>
                <c:pt idx="1">
                  <c:v>1020</c:v>
                </c:pt>
                <c:pt idx="2">
                  <c:v>1020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(2)'!$AO$92:$AO$96</c:f>
              <c:numCache>
                <c:formatCode>General</c:formatCode>
                <c:ptCount val="5"/>
                <c:pt idx="0">
                  <c:v>2585</c:v>
                </c:pt>
                <c:pt idx="1">
                  <c:v>2585</c:v>
                </c:pt>
                <c:pt idx="2">
                  <c:v>2630</c:v>
                </c:pt>
                <c:pt idx="3">
                  <c:v>2630</c:v>
                </c:pt>
                <c:pt idx="4">
                  <c:v>2585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825-4316-B65B-627F54ECF504}"/>
            </c:ext>
          </c:extLst>
        </c:ser>
        <c:ser>
          <c:idx val="5"/>
          <c:order val="4"/>
          <c:tx>
            <c:strRef>
              <c:f>'Ensemble (2)'!$AM$110</c:f>
              <c:strCache>
                <c:ptCount val="1"/>
                <c:pt idx="0">
                  <c:v>Traverse basse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(2)'!$AN$110:$AN$114</c:f>
              <c:numCache>
                <c:formatCode>General</c:formatCode>
                <c:ptCount val="5"/>
                <c:pt idx="0">
                  <c:v>0</c:v>
                </c:pt>
                <c:pt idx="1">
                  <c:v>1020</c:v>
                </c:pt>
                <c:pt idx="2">
                  <c:v>1020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(2)'!$AO$110:$AO$114</c:f>
              <c:numCache>
                <c:formatCode>General</c:formatCode>
                <c:ptCount val="5"/>
                <c:pt idx="0">
                  <c:v>1220</c:v>
                </c:pt>
                <c:pt idx="1">
                  <c:v>1220</c:v>
                </c:pt>
                <c:pt idx="2">
                  <c:v>1265</c:v>
                </c:pt>
                <c:pt idx="3">
                  <c:v>1265</c:v>
                </c:pt>
                <c:pt idx="4">
                  <c:v>1220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825-4316-B65B-627F54ECF504}"/>
            </c:ext>
          </c:extLst>
        </c:ser>
        <c:ser>
          <c:idx val="6"/>
          <c:order val="5"/>
          <c:tx>
            <c:strRef>
              <c:f>'Ensemble (2)'!$AM$374</c:f>
              <c:strCache>
                <c:ptCount val="1"/>
                <c:pt idx="0">
                  <c:v>OSB Sous-Porte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'Ensemble (2)'!$AN$374:$AN$378</c:f>
              <c:numCache>
                <c:formatCode>General</c:formatCode>
                <c:ptCount val="5"/>
                <c:pt idx="0">
                  <c:v>33</c:v>
                </c:pt>
                <c:pt idx="1">
                  <c:v>987</c:v>
                </c:pt>
                <c:pt idx="2">
                  <c:v>987</c:v>
                </c:pt>
                <c:pt idx="3">
                  <c:v>33</c:v>
                </c:pt>
                <c:pt idx="4">
                  <c:v>33</c:v>
                </c:pt>
              </c:numCache>
            </c:numRef>
          </c:xVal>
          <c:yVal>
            <c:numRef>
              <c:f>'Ensemble (2)'!$AO$374:$AO$378</c:f>
              <c:numCache>
                <c:formatCode>General</c:formatCode>
                <c:ptCount val="5"/>
                <c:pt idx="0">
                  <c:v>-40</c:v>
                </c:pt>
                <c:pt idx="1">
                  <c:v>-40</c:v>
                </c:pt>
                <c:pt idx="2">
                  <c:v>1260</c:v>
                </c:pt>
                <c:pt idx="3">
                  <c:v>1260</c:v>
                </c:pt>
                <c:pt idx="4">
                  <c:v>-40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825-4316-B65B-627F54ECF504}"/>
            </c:ext>
          </c:extLst>
        </c:ser>
        <c:ser>
          <c:idx val="15"/>
          <c:order val="6"/>
          <c:tx>
            <c:strRef>
              <c:f>'Ensemble (2)'!$AM$380</c:f>
              <c:strCache>
                <c:ptCount val="1"/>
                <c:pt idx="0">
                  <c:v>Montant gauche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(2)'!$AN$380:$AN$384</c:f>
              <c:numCache>
                <c:formatCode>General</c:formatCode>
                <c:ptCount val="5"/>
                <c:pt idx="0">
                  <c:v>60</c:v>
                </c:pt>
                <c:pt idx="1">
                  <c:v>105</c:v>
                </c:pt>
                <c:pt idx="2">
                  <c:v>105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(2)'!$AO$380:$AO$384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1175</c:v>
                </c:pt>
                <c:pt idx="3">
                  <c:v>1175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825-4316-B65B-627F54ECF504}"/>
            </c:ext>
          </c:extLst>
        </c:ser>
        <c:ser>
          <c:idx val="16"/>
          <c:order val="7"/>
          <c:tx>
            <c:strRef>
              <c:f>'Ensemble (2)'!$AM$386</c:f>
              <c:strCache>
                <c:ptCount val="1"/>
                <c:pt idx="0">
                  <c:v>ossature intermédiaire 1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Ensemble!$AN$386:$AN$390</c:f>
            </c:numRef>
          </c:xVal>
          <c:yVal>
            <c:numRef>
              <c:f>'Ensemble (2)'!$AO$386:$AO$390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1175</c:v>
                </c:pt>
                <c:pt idx="3">
                  <c:v>1175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825-4316-B65B-627F54ECF504}"/>
            </c:ext>
          </c:extLst>
        </c:ser>
        <c:ser>
          <c:idx val="17"/>
          <c:order val="8"/>
          <c:tx>
            <c:strRef>
              <c:f>'Ensemble (2)'!$AM$392</c:f>
              <c:strCache>
                <c:ptCount val="1"/>
                <c:pt idx="0">
                  <c:v>ossature intermédiaire 2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Ensemble!$AN$392:$AN$396</c:f>
            </c:numRef>
          </c:xVal>
          <c:yVal>
            <c:numRef>
              <c:f>'Ensemble (2)'!$AO$392:$AO$396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8825-4316-B65B-627F54ECF504}"/>
            </c:ext>
          </c:extLst>
        </c:ser>
        <c:ser>
          <c:idx val="18"/>
          <c:order val="9"/>
          <c:tx>
            <c:strRef>
              <c:f>'Ensemble (2)'!$AM$398</c:f>
              <c:strCache>
                <c:ptCount val="1"/>
                <c:pt idx="0">
                  <c:v>ossature intermédiaire 3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Ensemble!$AN$398:$AN$402</c:f>
            </c:numRef>
          </c:xVal>
          <c:yVal>
            <c:numRef>
              <c:f>'Ensemble (2)'!$AO$398:$AO$402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8825-4316-B65B-627F54ECF504}"/>
            </c:ext>
          </c:extLst>
        </c:ser>
        <c:ser>
          <c:idx val="19"/>
          <c:order val="10"/>
          <c:tx>
            <c:strRef>
              <c:f>'Ensemble (2)'!$AM$404</c:f>
              <c:strCache>
                <c:ptCount val="1"/>
                <c:pt idx="0">
                  <c:v>ossature intermédiaire 4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Ensemble!$AN$404:$AN$408</c:f>
            </c:numRef>
          </c:xVal>
          <c:yVal>
            <c:numRef>
              <c:f>'Ensemble (2)'!$AO$404:$AO$408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8825-4316-B65B-627F54ECF504}"/>
            </c:ext>
          </c:extLst>
        </c:ser>
        <c:ser>
          <c:idx val="20"/>
          <c:order val="11"/>
          <c:tx>
            <c:strRef>
              <c:f>'Ensemble (2)'!$AM$410</c:f>
              <c:strCache>
                <c:ptCount val="1"/>
                <c:pt idx="0">
                  <c:v>Montant droit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(2)'!$AN$410:$AN$414</c:f>
              <c:numCache>
                <c:formatCode>General</c:formatCode>
                <c:ptCount val="5"/>
                <c:pt idx="0">
                  <c:v>915</c:v>
                </c:pt>
                <c:pt idx="1">
                  <c:v>960</c:v>
                </c:pt>
                <c:pt idx="2">
                  <c:v>960</c:v>
                </c:pt>
                <c:pt idx="3">
                  <c:v>915</c:v>
                </c:pt>
                <c:pt idx="4">
                  <c:v>915</c:v>
                </c:pt>
              </c:numCache>
            </c:numRef>
          </c:xVal>
          <c:yVal>
            <c:numRef>
              <c:f>'Ensemble (2)'!$AO$410:$AO$414</c:f>
              <c:numCache>
                <c:formatCode>General</c:formatCode>
                <c:ptCount val="5"/>
                <c:pt idx="0">
                  <c:v>45</c:v>
                </c:pt>
                <c:pt idx="1">
                  <c:v>45</c:v>
                </c:pt>
                <c:pt idx="2">
                  <c:v>1175</c:v>
                </c:pt>
                <c:pt idx="3">
                  <c:v>1175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8825-4316-B65B-627F54ECF504}"/>
            </c:ext>
          </c:extLst>
        </c:ser>
        <c:ser>
          <c:idx val="21"/>
          <c:order val="12"/>
          <c:tx>
            <c:strRef>
              <c:f>'Ensemble (2)'!$AM$416</c:f>
              <c:strCache>
                <c:ptCount val="1"/>
                <c:pt idx="0">
                  <c:v>Lisse basse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(2)'!$AN$416:$AN$420</c:f>
              <c:numCache>
                <c:formatCode>General</c:formatCode>
                <c:ptCount val="5"/>
                <c:pt idx="0">
                  <c:v>60</c:v>
                </c:pt>
                <c:pt idx="1">
                  <c:v>960</c:v>
                </c:pt>
                <c:pt idx="2">
                  <c:v>960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(2)'!$AO$416:$AO$420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45</c:v>
                </c:pt>
                <c:pt idx="3">
                  <c:v>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8825-4316-B65B-627F54ECF504}"/>
            </c:ext>
          </c:extLst>
        </c:ser>
        <c:ser>
          <c:idx val="22"/>
          <c:order val="13"/>
          <c:tx>
            <c:strRef>
              <c:f>'Ensemble (2)'!$AM$422</c:f>
              <c:strCache>
                <c:ptCount val="1"/>
                <c:pt idx="0">
                  <c:v>Lisse haute  Sous-Porte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'Ensemble (2)'!$AN$422:$AN$426</c:f>
              <c:numCache>
                <c:formatCode>General</c:formatCode>
                <c:ptCount val="5"/>
                <c:pt idx="0">
                  <c:v>60</c:v>
                </c:pt>
                <c:pt idx="1">
                  <c:v>960</c:v>
                </c:pt>
                <c:pt idx="2">
                  <c:v>960</c:v>
                </c:pt>
                <c:pt idx="3">
                  <c:v>60</c:v>
                </c:pt>
                <c:pt idx="4">
                  <c:v>60</c:v>
                </c:pt>
              </c:numCache>
            </c:numRef>
          </c:xVal>
          <c:yVal>
            <c:numRef>
              <c:f>'Ensemble (2)'!$AO$422:$AO$426</c:f>
              <c:numCache>
                <c:formatCode>General</c:formatCode>
                <c:ptCount val="5"/>
                <c:pt idx="0">
                  <c:v>1175</c:v>
                </c:pt>
                <c:pt idx="1">
                  <c:v>1175</c:v>
                </c:pt>
                <c:pt idx="2">
                  <c:v>1220</c:v>
                </c:pt>
                <c:pt idx="3">
                  <c:v>1220</c:v>
                </c:pt>
                <c:pt idx="4">
                  <c:v>1175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8825-4316-B65B-627F54ECF504}"/>
            </c:ext>
          </c:extLst>
        </c:ser>
        <c:ser>
          <c:idx val="0"/>
          <c:order val="14"/>
          <c:tx>
            <c:strRef>
              <c:f>'Ensemble (2)'!$AM$98</c:f>
              <c:strCache>
                <c:ptCount val="1"/>
                <c:pt idx="0">
                  <c:v>Traverse haute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(2)'!$AN$98:$AN$102</c:f>
              <c:numCache>
                <c:formatCode>General</c:formatCode>
                <c:ptCount val="5"/>
                <c:pt idx="0">
                  <c:v>0</c:v>
                </c:pt>
                <c:pt idx="1">
                  <c:v>1020</c:v>
                </c:pt>
                <c:pt idx="2">
                  <c:v>1020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(2)'!$AO$98:$AO$102</c:f>
              <c:numCache>
                <c:formatCode>General</c:formatCode>
                <c:ptCount val="5"/>
                <c:pt idx="0">
                  <c:v>2630</c:v>
                </c:pt>
                <c:pt idx="1">
                  <c:v>2630</c:v>
                </c:pt>
                <c:pt idx="2">
                  <c:v>2675</c:v>
                </c:pt>
                <c:pt idx="3">
                  <c:v>2675</c:v>
                </c:pt>
                <c:pt idx="4">
                  <c:v>2630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8825-4316-B65B-627F54ECF504}"/>
            </c:ext>
          </c:extLst>
        </c:ser>
        <c:ser>
          <c:idx val="1"/>
          <c:order val="15"/>
          <c:tx>
            <c:strRef>
              <c:f>'Ensemble (2)'!$AM$104</c:f>
              <c:strCache>
                <c:ptCount val="1"/>
                <c:pt idx="0">
                  <c:v>Traverse haute 3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(2)'!$AN$104:$AN$108</c:f>
              <c:numCache>
                <c:formatCode>General</c:formatCode>
                <c:ptCount val="5"/>
                <c:pt idx="0">
                  <c:v>0</c:v>
                </c:pt>
                <c:pt idx="1">
                  <c:v>1020</c:v>
                </c:pt>
                <c:pt idx="2">
                  <c:v>1020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(2)'!$AO$104:$AO$108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8825-4316-B65B-627F54ECF504}"/>
            </c:ext>
          </c:extLst>
        </c:ser>
        <c:ser>
          <c:idx val="2"/>
          <c:order val="16"/>
          <c:tx>
            <c:strRef>
              <c:f>'Ensemble (2)'!$AM$144</c:f>
              <c:strCache>
                <c:ptCount val="1"/>
                <c:pt idx="0">
                  <c:v>Ligne Linteau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(2)'!$AN$144:$AN$145</c:f>
              <c:numCache>
                <c:formatCode>General</c:formatCode>
                <c:ptCount val="2"/>
                <c:pt idx="0">
                  <c:v>-300</c:v>
                </c:pt>
                <c:pt idx="1">
                  <c:v>1520</c:v>
                </c:pt>
              </c:numCache>
            </c:numRef>
          </c:xVal>
          <c:yVal>
            <c:numRef>
              <c:f>'Ensemble (2)'!$AO$144:$AO$145</c:f>
              <c:numCache>
                <c:formatCode>General</c:formatCode>
                <c:ptCount val="2"/>
                <c:pt idx="0">
                  <c:v>2150</c:v>
                </c:pt>
                <c:pt idx="1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8825-4316-B65B-627F54ECF504}"/>
            </c:ext>
          </c:extLst>
        </c:ser>
        <c:ser>
          <c:idx val="3"/>
          <c:order val="17"/>
          <c:tx>
            <c:strRef>
              <c:f>'Ensemble (2)'!$AM$147</c:f>
              <c:strCache>
                <c:ptCount val="1"/>
                <c:pt idx="0">
                  <c:v>Ligne altimétrie</c:v>
                </c:pt>
              </c:strCache>
            </c:strRef>
          </c:tx>
          <c:marker>
            <c:symbol val="none"/>
          </c:marker>
          <c:dPt>
            <c:idx val="1"/>
            <c:bubble3D val="0"/>
            <c:spPr>
              <a:ln>
                <a:prstDash val="dashDot"/>
              </a:ln>
            </c:spPr>
            <c:extLst>
              <c:ext xmlns:c16="http://schemas.microsoft.com/office/drawing/2014/chart" uri="{C3380CC4-5D6E-409C-BE32-E72D297353CC}">
                <c16:uniqueId val="{00000012-8825-4316-B65B-627F54ECF504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'Ensemble (2)'!$AN$147:$AN$148</c:f>
              <c:numCache>
                <c:formatCode>General</c:formatCode>
                <c:ptCount val="2"/>
                <c:pt idx="0">
                  <c:v>-300</c:v>
                </c:pt>
                <c:pt idx="1">
                  <c:v>1520</c:v>
                </c:pt>
              </c:numCache>
            </c:numRef>
          </c:xVal>
          <c:yVal>
            <c:numRef>
              <c:f>'Ensemble (2)'!$AO$147:$AO$148</c:f>
              <c:numCache>
                <c:formatCode>General</c:formatCode>
                <c:ptCount val="2"/>
                <c:pt idx="0">
                  <c:v>2720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8825-4316-B65B-627F54ECF504}"/>
            </c:ext>
          </c:extLst>
        </c:ser>
        <c:ser>
          <c:idx val="4"/>
          <c:order val="18"/>
          <c:tx>
            <c:strRef>
              <c:f>'Ensemble (2)'!$AM$150</c:f>
              <c:strCache>
                <c:ptCount val="1"/>
                <c:pt idx="0">
                  <c:v>Ligne Semelle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(2)'!$AN$150:$AN$151</c:f>
              <c:numCache>
                <c:formatCode>General</c:formatCode>
                <c:ptCount val="2"/>
                <c:pt idx="0">
                  <c:v>-300</c:v>
                </c:pt>
                <c:pt idx="1">
                  <c:v>1520</c:v>
                </c:pt>
              </c:numCache>
            </c:numRef>
          </c:xVal>
          <c:yVal>
            <c:numRef>
              <c:f>'Ensemble (2)'!$AO$150:$AO$151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8825-4316-B65B-627F54ECF504}"/>
            </c:ext>
          </c:extLst>
        </c:ser>
        <c:ser>
          <c:idx val="7"/>
          <c:order val="19"/>
          <c:tx>
            <c:strRef>
              <c:f>'Ensemble (2)'!$AM$153</c:f>
              <c:strCache>
                <c:ptCount val="1"/>
                <c:pt idx="0">
                  <c:v>Ligne Niveau brut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b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'Ensemble (2)'!$AN$153:$AN$154</c:f>
              <c:numCache>
                <c:formatCode>General</c:formatCode>
                <c:ptCount val="2"/>
                <c:pt idx="0">
                  <c:v>-300</c:v>
                </c:pt>
                <c:pt idx="1">
                  <c:v>1520</c:v>
                </c:pt>
              </c:numCache>
            </c:numRef>
          </c:xVal>
          <c:yVal>
            <c:numRef>
              <c:f>'Ensemble (2)'!$AO$153:$AO$154</c:f>
              <c:numCache>
                <c:formatCode>General</c:formatCode>
                <c:ptCount val="2"/>
                <c:pt idx="0">
                  <c:v>-45</c:v>
                </c:pt>
                <c:pt idx="1">
                  <c:v>-45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8825-4316-B65B-627F54ECF504}"/>
            </c:ext>
          </c:extLst>
        </c:ser>
        <c:ser>
          <c:idx val="8"/>
          <c:order val="20"/>
          <c:tx>
            <c:strRef>
              <c:f>'Ensemble (2)'!$AM$116</c:f>
              <c:strCache>
                <c:ptCount val="1"/>
                <c:pt idx="0">
                  <c:v>OSB PC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'Ensemble (2)'!$AN$116:$AN$120</c:f>
              <c:numCache>
                <c:formatCode>General</c:formatCode>
                <c:ptCount val="5"/>
                <c:pt idx="0">
                  <c:v>45</c:v>
                </c:pt>
                <c:pt idx="1">
                  <c:v>975</c:v>
                </c:pt>
                <c:pt idx="2">
                  <c:v>975</c:v>
                </c:pt>
                <c:pt idx="3">
                  <c:v>45</c:v>
                </c:pt>
                <c:pt idx="4">
                  <c:v>45</c:v>
                </c:pt>
              </c:numCache>
            </c:numRef>
          </c:xVal>
          <c:yVal>
            <c:numRef>
              <c:f>'Ensemble (2)'!$AO$116:$AO$120</c:f>
              <c:numCache>
                <c:formatCode>General</c:formatCode>
                <c:ptCount val="5"/>
                <c:pt idx="0">
                  <c:v>2150</c:v>
                </c:pt>
                <c:pt idx="1">
                  <c:v>2150</c:v>
                </c:pt>
                <c:pt idx="2">
                  <c:v>2745</c:v>
                </c:pt>
                <c:pt idx="3">
                  <c:v>2745</c:v>
                </c:pt>
                <c:pt idx="4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8825-4316-B65B-627F54ECF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387632"/>
        <c:axId val="513389200"/>
      </c:scatterChart>
      <c:valAx>
        <c:axId val="513387632"/>
        <c:scaling>
          <c:orientation val="minMax"/>
          <c:min val="-4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13389200"/>
        <c:crossesAt val="-2147483647"/>
        <c:crossBetween val="midCat"/>
      </c:valAx>
      <c:valAx>
        <c:axId val="513389200"/>
        <c:scaling>
          <c:orientation val="minMax"/>
          <c:max val="3000"/>
          <c:min val="-5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3387632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'Ensemble (2)'!$AA$4</c:f>
          <c:strCache>
            <c:ptCount val="1"/>
            <c:pt idx="0">
              <c:v>Porte 150 / 215; avec VR; </c:v>
            </c:pt>
          </c:strCache>
        </c:strRef>
      </c:tx>
      <c:overlay val="0"/>
      <c:txPr>
        <a:bodyPr/>
        <a:lstStyle/>
        <a:p>
          <a:pPr>
            <a:defRPr sz="14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496929548323691E-2"/>
          <c:y val="3.7464945235197632E-2"/>
          <c:w val="0.9465030638197004"/>
          <c:h val="0.96253507978325059"/>
        </c:manualLayout>
      </c:layout>
      <c:scatterChart>
        <c:scatterStyle val="lineMarker"/>
        <c:varyColors val="0"/>
        <c:ser>
          <c:idx val="11"/>
          <c:order val="0"/>
          <c:tx>
            <c:strRef>
              <c:f>'Ensemble (2)'!$AA$74</c:f>
              <c:strCache>
                <c:ptCount val="1"/>
                <c:pt idx="0">
                  <c:v>Montant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(2)'!$AB$74:$AB$78</c:f>
              <c:numCache>
                <c:formatCode>General</c:formatCode>
                <c:ptCount val="5"/>
                <c:pt idx="0">
                  <c:v>0</c:v>
                </c:pt>
                <c:pt idx="1">
                  <c:v>45</c:v>
                </c:pt>
                <c:pt idx="2">
                  <c:v>45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(2)'!$AC$74:$AC$78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2585</c:v>
                </c:pt>
                <c:pt idx="3">
                  <c:v>2585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B87-4D85-9B66-BEB994A1928B}"/>
            </c:ext>
          </c:extLst>
        </c:ser>
        <c:ser>
          <c:idx val="12"/>
          <c:order val="1"/>
          <c:tx>
            <c:strRef>
              <c:f>'Ensemble (2)'!$AA$80</c:f>
              <c:strCache>
                <c:ptCount val="1"/>
                <c:pt idx="0">
                  <c:v>Montant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(2)'!$AB$80:$AB$84</c:f>
              <c:numCache>
                <c:formatCode>General</c:formatCode>
                <c:ptCount val="5"/>
                <c:pt idx="0">
                  <c:v>1575</c:v>
                </c:pt>
                <c:pt idx="1">
                  <c:v>1620</c:v>
                </c:pt>
                <c:pt idx="2">
                  <c:v>1620</c:v>
                </c:pt>
                <c:pt idx="3">
                  <c:v>1575</c:v>
                </c:pt>
                <c:pt idx="4">
                  <c:v>1575</c:v>
                </c:pt>
              </c:numCache>
            </c:numRef>
          </c:xVal>
          <c:yVal>
            <c:numRef>
              <c:f>'Ensemble (2)'!$AC$80:$AC$84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2585</c:v>
                </c:pt>
                <c:pt idx="3">
                  <c:v>2585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B87-4D85-9B66-BEB994A1928B}"/>
            </c:ext>
          </c:extLst>
        </c:ser>
        <c:ser>
          <c:idx val="13"/>
          <c:order val="2"/>
          <c:tx>
            <c:strRef>
              <c:f>'Ensemble (2)'!$AA$86</c:f>
              <c:strCache>
                <c:ptCount val="1"/>
                <c:pt idx="0">
                  <c:v>Linteau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(2)'!$AB$86:$AB$90</c:f>
              <c:numCache>
                <c:formatCode>General</c:formatCode>
                <c:ptCount val="5"/>
                <c:pt idx="0">
                  <c:v>0</c:v>
                </c:pt>
                <c:pt idx="1">
                  <c:v>1620</c:v>
                </c:pt>
                <c:pt idx="2">
                  <c:v>1620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(2)'!$AC$86:$AC$90</c:f>
              <c:numCache>
                <c:formatCode>General</c:formatCode>
                <c:ptCount val="5"/>
                <c:pt idx="0">
                  <c:v>2365</c:v>
                </c:pt>
                <c:pt idx="1">
                  <c:v>2365</c:v>
                </c:pt>
                <c:pt idx="2">
                  <c:v>2585</c:v>
                </c:pt>
                <c:pt idx="3">
                  <c:v>2585</c:v>
                </c:pt>
                <c:pt idx="4">
                  <c:v>2365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B87-4D85-9B66-BEB994A1928B}"/>
            </c:ext>
          </c:extLst>
        </c:ser>
        <c:ser>
          <c:idx val="14"/>
          <c:order val="3"/>
          <c:tx>
            <c:strRef>
              <c:f>'Ensemble (2)'!$AA$92</c:f>
              <c:strCache>
                <c:ptCount val="1"/>
                <c:pt idx="0">
                  <c:v>Traverse haute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(2)'!$AB$92:$AB$96</c:f>
              <c:numCache>
                <c:formatCode>General</c:formatCode>
                <c:ptCount val="5"/>
                <c:pt idx="0">
                  <c:v>0</c:v>
                </c:pt>
                <c:pt idx="1">
                  <c:v>1620</c:v>
                </c:pt>
                <c:pt idx="2">
                  <c:v>1620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(2)'!$AC$92:$AC$96</c:f>
              <c:numCache>
                <c:formatCode>General</c:formatCode>
                <c:ptCount val="5"/>
                <c:pt idx="0">
                  <c:v>2585</c:v>
                </c:pt>
                <c:pt idx="1">
                  <c:v>2585</c:v>
                </c:pt>
                <c:pt idx="2">
                  <c:v>2630</c:v>
                </c:pt>
                <c:pt idx="3">
                  <c:v>2630</c:v>
                </c:pt>
                <c:pt idx="4">
                  <c:v>2585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B87-4D85-9B66-BEB994A1928B}"/>
            </c:ext>
          </c:extLst>
        </c:ser>
        <c:ser>
          <c:idx val="5"/>
          <c:order val="4"/>
          <c:tx>
            <c:strRef>
              <c:f>'Ensemble (2)'!$AA$144</c:f>
              <c:strCache>
                <c:ptCount val="1"/>
                <c:pt idx="0">
                  <c:v>Ligne Linteau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'Ensemble (2)'!$AB$144:$AB$145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(2)'!$AC$144:$AC$145</c:f>
              <c:numCache>
                <c:formatCode>General</c:formatCode>
                <c:ptCount val="2"/>
                <c:pt idx="0">
                  <c:v>2150</c:v>
                </c:pt>
                <c:pt idx="1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B87-4D85-9B66-BEB994A1928B}"/>
            </c:ext>
          </c:extLst>
        </c:ser>
        <c:ser>
          <c:idx val="6"/>
          <c:order val="5"/>
          <c:tx>
            <c:strRef>
              <c:f>'Ensemble (2)'!$AA$147</c:f>
              <c:strCache>
                <c:ptCount val="1"/>
                <c:pt idx="0">
                  <c:v>Ligne altimétrie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'Ensemble (2)'!$AB$147:$AB$148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(2)'!$AC$147:$AC$148</c:f>
              <c:numCache>
                <c:formatCode>General</c:formatCode>
                <c:ptCount val="2"/>
                <c:pt idx="0">
                  <c:v>2720</c:v>
                </c:pt>
                <c:pt idx="1">
                  <c:v>2720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B87-4D85-9B66-BEB994A1928B}"/>
            </c:ext>
          </c:extLst>
        </c:ser>
        <c:ser>
          <c:idx val="15"/>
          <c:order val="6"/>
          <c:tx>
            <c:strRef>
              <c:f>'Ensemble (2)'!$AA$150</c:f>
              <c:strCache>
                <c:ptCount val="1"/>
                <c:pt idx="0">
                  <c:v>Ligne Semelle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'Ensemble (2)'!$AB$150:$AB$151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(2)'!$AC$150:$AC$151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B87-4D85-9B66-BEB994A1928B}"/>
            </c:ext>
          </c:extLst>
        </c:ser>
        <c:ser>
          <c:idx val="16"/>
          <c:order val="7"/>
          <c:tx>
            <c:strRef>
              <c:f>'Ensemble (2)'!$AA$153</c:f>
              <c:strCache>
                <c:ptCount val="1"/>
                <c:pt idx="0">
                  <c:v>Ligne Niveau brut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b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'Ensemble (2)'!$AB$153:$AB$154</c:f>
              <c:numCache>
                <c:formatCode>General</c:formatCode>
                <c:ptCount val="2"/>
                <c:pt idx="0">
                  <c:v>-200</c:v>
                </c:pt>
                <c:pt idx="1">
                  <c:v>2120</c:v>
                </c:pt>
              </c:numCache>
            </c:numRef>
          </c:xVal>
          <c:yVal>
            <c:numRef>
              <c:f>'Ensemble (2)'!$AC$153:$AC$154</c:f>
              <c:numCache>
                <c:formatCode>General</c:formatCode>
                <c:ptCount val="2"/>
                <c:pt idx="0">
                  <c:v>-45</c:v>
                </c:pt>
                <c:pt idx="1">
                  <c:v>-45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2B87-4D85-9B66-BEB994A1928B}"/>
            </c:ext>
          </c:extLst>
        </c:ser>
        <c:ser>
          <c:idx val="0"/>
          <c:order val="8"/>
          <c:tx>
            <c:strRef>
              <c:f>'Ensemble (2)'!$AA$98</c:f>
              <c:strCache>
                <c:ptCount val="1"/>
                <c:pt idx="0">
                  <c:v>Traverse haute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(2)'!$AB$98:$AB$102</c:f>
              <c:numCache>
                <c:formatCode>General</c:formatCode>
                <c:ptCount val="5"/>
                <c:pt idx="0">
                  <c:v>0</c:v>
                </c:pt>
                <c:pt idx="1">
                  <c:v>1620</c:v>
                </c:pt>
                <c:pt idx="2">
                  <c:v>1620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(2)'!$AC$98:$AC$102</c:f>
              <c:numCache>
                <c:formatCode>General</c:formatCode>
                <c:ptCount val="5"/>
                <c:pt idx="0">
                  <c:v>2630</c:v>
                </c:pt>
                <c:pt idx="1">
                  <c:v>2630</c:v>
                </c:pt>
                <c:pt idx="2">
                  <c:v>2675</c:v>
                </c:pt>
                <c:pt idx="3">
                  <c:v>2675</c:v>
                </c:pt>
                <c:pt idx="4">
                  <c:v>2630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2B87-4D85-9B66-BEB994A1928B}"/>
            </c:ext>
          </c:extLst>
        </c:ser>
        <c:ser>
          <c:idx val="1"/>
          <c:order val="9"/>
          <c:tx>
            <c:strRef>
              <c:f>'Ensemble (2)'!$AA$104</c:f>
              <c:strCache>
                <c:ptCount val="1"/>
                <c:pt idx="0">
                  <c:v>Traverse haute 3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'Ensemble (2)'!$AB$104:$AB$108</c:f>
              <c:numCache>
                <c:formatCode>General</c:formatCode>
                <c:ptCount val="5"/>
                <c:pt idx="0">
                  <c:v>0</c:v>
                </c:pt>
                <c:pt idx="1">
                  <c:v>1620</c:v>
                </c:pt>
                <c:pt idx="2">
                  <c:v>1620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'Ensemble (2)'!$AC$104:$AC$108</c:f>
              <c:numCache>
                <c:formatCode>General</c:formatCode>
                <c:ptCount val="5"/>
                <c:pt idx="0">
                  <c:v>2675</c:v>
                </c:pt>
                <c:pt idx="1">
                  <c:v>2675</c:v>
                </c:pt>
                <c:pt idx="2">
                  <c:v>2720</c:v>
                </c:pt>
                <c:pt idx="3">
                  <c:v>2720</c:v>
                </c:pt>
                <c:pt idx="4">
                  <c:v>2675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2B87-4D85-9B66-BEB994A1928B}"/>
            </c:ext>
          </c:extLst>
        </c:ser>
        <c:ser>
          <c:idx val="2"/>
          <c:order val="10"/>
          <c:tx>
            <c:strRef>
              <c:f>'Ensemble (2)'!$AA$134</c:f>
              <c:strCache>
                <c:ptCount val="1"/>
                <c:pt idx="0">
                  <c:v>OSB PC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'Ensemble (2)'!$AB$134:$AB$138</c:f>
              <c:numCache>
                <c:formatCode>General</c:formatCode>
                <c:ptCount val="5"/>
                <c:pt idx="0">
                  <c:v>45</c:v>
                </c:pt>
                <c:pt idx="1">
                  <c:v>1575</c:v>
                </c:pt>
                <c:pt idx="2">
                  <c:v>1575</c:v>
                </c:pt>
                <c:pt idx="3">
                  <c:v>45</c:v>
                </c:pt>
                <c:pt idx="4">
                  <c:v>45</c:v>
                </c:pt>
              </c:numCache>
            </c:numRef>
          </c:xVal>
          <c:yVal>
            <c:numRef>
              <c:f>'Ensemble (2)'!$AC$134:$AC$138</c:f>
              <c:numCache>
                <c:formatCode>General</c:formatCode>
                <c:ptCount val="5"/>
                <c:pt idx="0">
                  <c:v>2150</c:v>
                </c:pt>
                <c:pt idx="1">
                  <c:v>2150</c:v>
                </c:pt>
                <c:pt idx="2">
                  <c:v>2745</c:v>
                </c:pt>
                <c:pt idx="3">
                  <c:v>2745</c:v>
                </c:pt>
                <c:pt idx="4">
                  <c:v>2150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2B87-4D85-9B66-BEB994A1928B}"/>
            </c:ext>
          </c:extLst>
        </c:ser>
        <c:ser>
          <c:idx val="3"/>
          <c:order val="11"/>
          <c:tx>
            <c:strRef>
              <c:f>'Ensemble (2)'!$AA$110</c:f>
              <c:strCache>
                <c:ptCount val="1"/>
                <c:pt idx="0">
                  <c:v>Montant complément 1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Ensemble!$AB$110:$AB$114</c:f>
            </c:numRef>
          </c:xVal>
          <c:yVal>
            <c:numRef>
              <c:f>'Ensemble (2)'!$AC$110:$AC$114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2B87-4D85-9B66-BEB994A1928B}"/>
            </c:ext>
          </c:extLst>
        </c:ser>
        <c:ser>
          <c:idx val="4"/>
          <c:order val="12"/>
          <c:tx>
            <c:strRef>
              <c:f>'Ensemble (2)'!$AA$116</c:f>
              <c:strCache>
                <c:ptCount val="1"/>
                <c:pt idx="0">
                  <c:v>Montant complément 2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Ensemble!$AB$116:$AB$120</c:f>
            </c:numRef>
          </c:xVal>
          <c:yVal>
            <c:numRef>
              <c:f>'Ensemble (2)'!$AC$116:$AC$120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2B87-4D85-9B66-BEB994A1928B}"/>
            </c:ext>
          </c:extLst>
        </c:ser>
        <c:ser>
          <c:idx val="7"/>
          <c:order val="13"/>
          <c:tx>
            <c:strRef>
              <c:f>'Ensemble (2)'!$AA$122</c:f>
              <c:strCache>
                <c:ptCount val="1"/>
                <c:pt idx="0">
                  <c:v>Montant complément 3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Ensemble!$AB$122:$AB$126</c:f>
            </c:numRef>
          </c:xVal>
          <c:yVal>
            <c:numRef>
              <c:f>'Ensemble (2)'!$AC$122:$AC$126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2B87-4D85-9B66-BEB994A1928B}"/>
            </c:ext>
          </c:extLst>
        </c:ser>
        <c:ser>
          <c:idx val="8"/>
          <c:order val="14"/>
          <c:tx>
            <c:strRef>
              <c:f>'Ensemble (2)'!$AA$128</c:f>
              <c:strCache>
                <c:ptCount val="1"/>
                <c:pt idx="0">
                  <c:v>Montant complément 4 PC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Ensemble!$AB$128:$AB$131</c:f>
            </c:numRef>
          </c:xVal>
          <c:yVal>
            <c:numRef>
              <c:f>'Ensemble (2)'!$AC$128:$AC$132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2B87-4D85-9B66-BEB994A192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388024"/>
        <c:axId val="513388808"/>
      </c:scatterChart>
      <c:valAx>
        <c:axId val="513388024"/>
        <c:scaling>
          <c:orientation val="minMax"/>
          <c:min val="-200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3175">
              <a:noFill/>
              <a:prstDash val="solid"/>
            </a:ln>
          </c:spPr>
        </c:minorGridlines>
        <c:numFmt formatCode="General" sourceLinked="1"/>
        <c:majorTickMark val="none"/>
        <c:minorTickMark val="in"/>
        <c:tickLblPos val="none"/>
        <c:spPr>
          <a:ln>
            <a:noFill/>
          </a:ln>
        </c:spPr>
        <c:crossAx val="513388808"/>
        <c:crossesAt val="-2147483647"/>
        <c:crossBetween val="midCat"/>
      </c:valAx>
      <c:valAx>
        <c:axId val="513388808"/>
        <c:scaling>
          <c:orientation val="minMax"/>
          <c:max val="3000"/>
          <c:min val="-50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minorGridlines>
          <c:spPr>
            <a:ln>
              <a:noFill/>
            </a:ln>
          </c:spPr>
        </c:minorGridlines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3388024"/>
        <c:crossesAt val="-2147483647"/>
        <c:crossBetween val="midCat"/>
      </c:valAx>
      <c:spPr>
        <a:noFill/>
      </c:spPr>
    </c:plotArea>
    <c:plotVisOnly val="0"/>
    <c:dispBlanksAs val="gap"/>
    <c:showDLblsOverMax val="0"/>
    <c:extLst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338093</xdr:colOff>
      <xdr:row>181</xdr:row>
      <xdr:rowOff>45399</xdr:rowOff>
    </xdr:from>
    <xdr:to>
      <xdr:col>11</xdr:col>
      <xdr:colOff>485487</xdr:colOff>
      <xdr:row>210</xdr:row>
      <xdr:rowOff>163079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2D751FA1-6DAD-4F90-B0E9-AABF0D4A9A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398319</xdr:colOff>
      <xdr:row>29</xdr:row>
      <xdr:rowOff>105147</xdr:rowOff>
    </xdr:from>
    <xdr:to>
      <xdr:col>10</xdr:col>
      <xdr:colOff>616033</xdr:colOff>
      <xdr:row>60</xdr:row>
      <xdr:rowOff>155864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295B41B1-F851-4753-B129-59282CCD0A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201125</xdr:colOff>
      <xdr:row>181</xdr:row>
      <xdr:rowOff>47831</xdr:rowOff>
    </xdr:from>
    <xdr:to>
      <xdr:col>23</xdr:col>
      <xdr:colOff>519545</xdr:colOff>
      <xdr:row>209</xdr:row>
      <xdr:rowOff>103909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8113876-F5BE-4D60-B8C8-B28398FC68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408212</xdr:colOff>
      <xdr:row>333</xdr:row>
      <xdr:rowOff>27215</xdr:rowOff>
    </xdr:from>
    <xdr:to>
      <xdr:col>22</xdr:col>
      <xdr:colOff>156881</xdr:colOff>
      <xdr:row>361</xdr:row>
      <xdr:rowOff>1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F46B2740-DE25-0567-5E7A-300E8F09F6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38</xdr:col>
      <xdr:colOff>413471</xdr:colOff>
      <xdr:row>333</xdr:row>
      <xdr:rowOff>71437</xdr:rowOff>
    </xdr:from>
    <xdr:to>
      <xdr:col>46</xdr:col>
      <xdr:colOff>619124</xdr:colOff>
      <xdr:row>360</xdr:row>
      <xdr:rowOff>77931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610C1168-9600-4432-A167-C7A87B6430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1714501</xdr:colOff>
      <xdr:row>28</xdr:row>
      <xdr:rowOff>155862</xdr:rowOff>
    </xdr:from>
    <xdr:to>
      <xdr:col>22</xdr:col>
      <xdr:colOff>554183</xdr:colOff>
      <xdr:row>67</xdr:row>
      <xdr:rowOff>51954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30FA784D-4540-2721-96A1-9FB72658A3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39</xdr:col>
      <xdr:colOff>238994</xdr:colOff>
      <xdr:row>40</xdr:row>
      <xdr:rowOff>51955</xdr:rowOff>
    </xdr:from>
    <xdr:to>
      <xdr:col>47</xdr:col>
      <xdr:colOff>0</xdr:colOff>
      <xdr:row>68</xdr:row>
      <xdr:rowOff>59084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A20C7649-3149-6A1D-D410-2522414AE4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26</xdr:col>
      <xdr:colOff>1656050</xdr:colOff>
      <xdr:row>37</xdr:row>
      <xdr:rowOff>184933</xdr:rowOff>
    </xdr:from>
    <xdr:to>
      <xdr:col>34</xdr:col>
      <xdr:colOff>606134</xdr:colOff>
      <xdr:row>68</xdr:row>
      <xdr:rowOff>65871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548D736E-8DA2-4FBD-BE54-0F33B2BC97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338093</xdr:colOff>
      <xdr:row>181</xdr:row>
      <xdr:rowOff>45399</xdr:rowOff>
    </xdr:from>
    <xdr:to>
      <xdr:col>11</xdr:col>
      <xdr:colOff>485487</xdr:colOff>
      <xdr:row>210</xdr:row>
      <xdr:rowOff>163079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B4BFFC2-020A-4AEF-9B91-386740FEF1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398319</xdr:colOff>
      <xdr:row>29</xdr:row>
      <xdr:rowOff>105147</xdr:rowOff>
    </xdr:from>
    <xdr:to>
      <xdr:col>10</xdr:col>
      <xdr:colOff>616033</xdr:colOff>
      <xdr:row>60</xdr:row>
      <xdr:rowOff>155864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1001E34-5D9C-4FF9-9F42-53187A51DB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201125</xdr:colOff>
      <xdr:row>181</xdr:row>
      <xdr:rowOff>47831</xdr:rowOff>
    </xdr:from>
    <xdr:to>
      <xdr:col>23</xdr:col>
      <xdr:colOff>519545</xdr:colOff>
      <xdr:row>209</xdr:row>
      <xdr:rowOff>103909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6C0F16E-63B8-44CF-B6DE-B8257836AE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408212</xdr:colOff>
      <xdr:row>333</xdr:row>
      <xdr:rowOff>27215</xdr:rowOff>
    </xdr:from>
    <xdr:to>
      <xdr:col>22</xdr:col>
      <xdr:colOff>156881</xdr:colOff>
      <xdr:row>361</xdr:row>
      <xdr:rowOff>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8FB8783-95D2-4337-93ED-6F5769E606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38</xdr:col>
      <xdr:colOff>413471</xdr:colOff>
      <xdr:row>333</xdr:row>
      <xdr:rowOff>71437</xdr:rowOff>
    </xdr:from>
    <xdr:to>
      <xdr:col>46</xdr:col>
      <xdr:colOff>619124</xdr:colOff>
      <xdr:row>360</xdr:row>
      <xdr:rowOff>77931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BA9D9474-DC22-46D2-8DDF-0B10C9AB6A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1714501</xdr:colOff>
      <xdr:row>28</xdr:row>
      <xdr:rowOff>155862</xdr:rowOff>
    </xdr:from>
    <xdr:to>
      <xdr:col>22</xdr:col>
      <xdr:colOff>554183</xdr:colOff>
      <xdr:row>67</xdr:row>
      <xdr:rowOff>51954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1779AEF5-DC12-4028-9F71-E8CE1270B0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39</xdr:col>
      <xdr:colOff>238994</xdr:colOff>
      <xdr:row>40</xdr:row>
      <xdr:rowOff>51955</xdr:rowOff>
    </xdr:from>
    <xdr:to>
      <xdr:col>47</xdr:col>
      <xdr:colOff>0</xdr:colOff>
      <xdr:row>68</xdr:row>
      <xdr:rowOff>59084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A7C3758B-5E92-406C-9F40-89107BC55B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26</xdr:col>
      <xdr:colOff>1656050</xdr:colOff>
      <xdr:row>37</xdr:row>
      <xdr:rowOff>184933</xdr:rowOff>
    </xdr:from>
    <xdr:to>
      <xdr:col>34</xdr:col>
      <xdr:colOff>606134</xdr:colOff>
      <xdr:row>68</xdr:row>
      <xdr:rowOff>65871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DB455045-B3FA-47B4-9B42-98D6BC63A1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showGridLines="0" zoomScale="115" zoomScaleNormal="115" workbookViewId="0">
      <selection activeCell="B31" sqref="B31"/>
    </sheetView>
  </sheetViews>
  <sheetFormatPr baseColWidth="10" defaultRowHeight="15" x14ac:dyDescent="0.25"/>
  <cols>
    <col min="1" max="1" width="24.7109375" bestFit="1" customWidth="1"/>
    <col min="2" max="2" width="43.42578125" customWidth="1"/>
  </cols>
  <sheetData>
    <row r="1" spans="1:9" ht="23.25" x14ac:dyDescent="0.35">
      <c r="A1" s="98" t="s">
        <v>23</v>
      </c>
      <c r="B1" s="231"/>
    </row>
    <row r="2" spans="1:9" ht="23.25" x14ac:dyDescent="0.35">
      <c r="A2" s="98" t="s">
        <v>54</v>
      </c>
      <c r="B2" s="231"/>
    </row>
    <row r="3" spans="1:9" x14ac:dyDescent="0.25">
      <c r="B3" s="201"/>
    </row>
    <row r="4" spans="1:9" x14ac:dyDescent="0.25">
      <c r="I4" s="198"/>
    </row>
    <row r="5" spans="1:9" x14ac:dyDescent="0.25">
      <c r="B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452"/>
  <sheetViews>
    <sheetView tabSelected="1" topLeftCell="A9" zoomScale="85" zoomScaleNormal="85" workbookViewId="0">
      <selection activeCell="C29" sqref="C29"/>
    </sheetView>
  </sheetViews>
  <sheetFormatPr baseColWidth="10" defaultColWidth="9.140625" defaultRowHeight="15" x14ac:dyDescent="0.25"/>
  <cols>
    <col min="1" max="1" width="3.28515625" style="2" customWidth="1"/>
    <col min="3" max="3" width="28.7109375" customWidth="1"/>
    <col min="4" max="4" width="9.5703125" style="2" customWidth="1"/>
    <col min="5" max="5" width="5.7109375" style="2" customWidth="1"/>
    <col min="6" max="6" width="9.5703125" style="2" customWidth="1"/>
    <col min="7" max="7" width="5.7109375" style="2" customWidth="1"/>
    <col min="8" max="8" width="9.5703125" style="2" customWidth="1"/>
    <col min="9" max="9" width="5.7109375" style="2" customWidth="1"/>
    <col min="10" max="12" width="9.5703125" style="2" customWidth="1"/>
    <col min="13" max="13" width="3.28515625" style="2" customWidth="1"/>
    <col min="14" max="14" width="9.5703125" style="2" customWidth="1"/>
    <col min="15" max="15" width="28.7109375" customWidth="1"/>
    <col min="16" max="16" width="9.5703125" style="2" customWidth="1"/>
    <col min="17" max="17" width="5.7109375" style="2" customWidth="1"/>
    <col min="18" max="18" width="9.5703125" style="2" customWidth="1"/>
    <col min="19" max="19" width="5.7109375" style="2" customWidth="1"/>
    <col min="20" max="20" width="9.5703125" style="2" customWidth="1"/>
    <col min="21" max="21" width="5.7109375" style="2" customWidth="1"/>
    <col min="22" max="24" width="9.5703125" style="2" customWidth="1"/>
    <col min="25" max="25" width="3.28515625" style="2" customWidth="1"/>
    <col min="26" max="26" width="9.5703125" customWidth="1"/>
    <col min="27" max="27" width="28.7109375" customWidth="1"/>
    <col min="28" max="28" width="9.5703125" style="2" customWidth="1"/>
    <col min="29" max="29" width="5.7109375" style="2" customWidth="1"/>
    <col min="30" max="30" width="9.5703125" style="2" customWidth="1"/>
    <col min="31" max="31" width="5.7109375" style="2" customWidth="1"/>
    <col min="32" max="32" width="9.5703125" style="2" customWidth="1"/>
    <col min="33" max="33" width="5.7109375" style="2" customWidth="1"/>
    <col min="34" max="36" width="9.5703125" style="2" customWidth="1"/>
    <col min="37" max="37" width="3.28515625" style="2" customWidth="1"/>
    <col min="38" max="38" width="9.5703125" customWidth="1"/>
    <col min="39" max="39" width="28.7109375" customWidth="1"/>
    <col min="40" max="40" width="9.5703125" style="2" customWidth="1"/>
    <col min="41" max="41" width="5.7109375" style="2" customWidth="1"/>
    <col min="42" max="42" width="9.5703125" style="2" customWidth="1"/>
    <col min="43" max="43" width="5.7109375" style="2" customWidth="1"/>
    <col min="44" max="44" width="9.5703125" style="2" customWidth="1"/>
    <col min="45" max="45" width="5.7109375" style="2" customWidth="1"/>
    <col min="46" max="48" width="9.5703125" style="2" customWidth="1"/>
    <col min="49" max="49" width="3.28515625" style="2" customWidth="1"/>
  </cols>
  <sheetData>
    <row r="1" spans="1:49" ht="18.75" x14ac:dyDescent="0.3">
      <c r="A1" s="51"/>
      <c r="B1" s="6"/>
      <c r="C1" s="6"/>
      <c r="D1" s="42"/>
      <c r="E1" s="50"/>
      <c r="F1" s="42"/>
      <c r="G1" s="42"/>
      <c r="H1" s="42"/>
      <c r="I1" s="42"/>
      <c r="J1" s="51"/>
      <c r="K1" s="51"/>
      <c r="L1" s="51"/>
      <c r="M1" s="51"/>
      <c r="N1" s="51"/>
      <c r="O1" s="7"/>
      <c r="P1" s="51"/>
      <c r="Q1" s="51"/>
      <c r="R1" s="51"/>
      <c r="S1" s="51"/>
      <c r="T1" s="51"/>
      <c r="U1" s="51"/>
      <c r="V1" s="51"/>
      <c r="W1" s="51"/>
      <c r="X1" s="51"/>
      <c r="Y1" s="51"/>
      <c r="Z1" s="6"/>
      <c r="AA1" s="6"/>
      <c r="AB1" s="42"/>
      <c r="AC1" s="42"/>
      <c r="AD1" s="42"/>
      <c r="AE1" s="42"/>
      <c r="AF1" s="42"/>
      <c r="AG1" s="42"/>
      <c r="AH1" s="42"/>
      <c r="AI1" s="42"/>
      <c r="AJ1" s="42"/>
      <c r="AK1" s="51"/>
      <c r="AL1" s="6"/>
      <c r="AM1" s="6"/>
      <c r="AN1" s="42"/>
      <c r="AO1" s="42"/>
      <c r="AP1" s="42"/>
      <c r="AQ1" s="42"/>
      <c r="AR1" s="42"/>
      <c r="AS1" s="42"/>
      <c r="AT1" s="42"/>
      <c r="AU1" s="42"/>
      <c r="AV1" s="42"/>
      <c r="AW1" s="51"/>
    </row>
    <row r="2" spans="1:49" ht="15" customHeight="1" x14ac:dyDescent="0.25">
      <c r="A2" s="42"/>
      <c r="C2" s="58" t="str">
        <f>"Chantier: "&amp;Acceuil!B1&amp;" - "&amp;Acceuil!$B$2</f>
        <v xml:space="preserve">Chantier:  - </v>
      </c>
      <c r="F2" s="56"/>
      <c r="M2" s="42"/>
      <c r="O2" s="58" t="str">
        <f>"Chantier: "&amp;Acceuil!B1&amp;" - "&amp;Acceuil!$B$2</f>
        <v xml:space="preserve">Chantier:  - </v>
      </c>
      <c r="R2" s="56"/>
      <c r="Y2" s="42"/>
      <c r="AA2" s="58" t="str">
        <f>"Chantier: "&amp;Acceuil!B1&amp;" - "&amp;Acceuil!$B$2</f>
        <v xml:space="preserve">Chantier:  - </v>
      </c>
      <c r="AD2" s="56"/>
      <c r="AK2" s="42"/>
      <c r="AM2" s="58" t="str">
        <f>"Chantier: "&amp;Acceuil!B1&amp;" - "&amp;Acceuil!$B$2</f>
        <v xml:space="preserve">Chantier:  - </v>
      </c>
      <c r="AW2" s="42"/>
    </row>
    <row r="3" spans="1:49" ht="15" customHeight="1" thickBot="1" x14ac:dyDescent="0.3">
      <c r="A3" s="42"/>
      <c r="C3" s="58"/>
      <c r="F3" s="56"/>
      <c r="M3" s="42"/>
      <c r="O3" s="58"/>
      <c r="R3" s="56"/>
      <c r="Y3" s="42"/>
      <c r="AA3" s="58"/>
      <c r="AD3" s="56"/>
      <c r="AK3" s="42"/>
      <c r="AM3" s="58"/>
      <c r="AP3" s="56"/>
      <c r="AW3" s="42"/>
    </row>
    <row r="4" spans="1:49" s="85" customFormat="1" ht="15" customHeight="1" thickBot="1" x14ac:dyDescent="0.3">
      <c r="A4" s="86"/>
      <c r="C4" s="232" t="str">
        <f>IF(D14="non","Porte"&amp;" "&amp;D10/10&amp;" / "&amp; D11/10&amp;"; sans VR; "&amp;C6,"Porte"&amp;" "&amp;D10/10&amp;" / "&amp; D11/10&amp;"; sans VR; Renforcée; "&amp;C6)</f>
        <v xml:space="preserve">Porte 0 / 0; sans VR; </v>
      </c>
      <c r="D4" s="233"/>
      <c r="E4" s="233"/>
      <c r="F4" s="233"/>
      <c r="G4" s="233"/>
      <c r="H4" s="233"/>
      <c r="I4" s="233"/>
      <c r="J4" s="233"/>
      <c r="K4" s="234"/>
      <c r="M4" s="86"/>
      <c r="O4" s="232" t="str">
        <f>"Fenêtre"&amp;" "&amp;P10/10&amp;" / "&amp; P11/10&amp;"; sans VR; "&amp;O6</f>
        <v xml:space="preserve">Fenêtre 0 / 0; sans VR; </v>
      </c>
      <c r="P4" s="233"/>
      <c r="Q4" s="233"/>
      <c r="R4" s="233"/>
      <c r="S4" s="233"/>
      <c r="T4" s="233"/>
      <c r="U4" s="233"/>
      <c r="V4" s="233"/>
      <c r="W4" s="234"/>
      <c r="Y4" s="86"/>
      <c r="AA4" s="232" t="str">
        <f>IF(AB14="non","Porte"&amp;" "&amp;AB10/10&amp;" / "&amp; AB11/10&amp;"; avec VR; "&amp;AA6,"Porte"&amp;" "&amp;AB10/10&amp;" / "&amp; AB11/10&amp;"; avec VR; Renforcée; "&amp;AA6)</f>
        <v xml:space="preserve">Porte 0 / 0; avec VR; </v>
      </c>
      <c r="AB4" s="233"/>
      <c r="AC4" s="233"/>
      <c r="AD4" s="233"/>
      <c r="AE4" s="233"/>
      <c r="AF4" s="233"/>
      <c r="AG4" s="233"/>
      <c r="AH4" s="233"/>
      <c r="AI4" s="234"/>
      <c r="AK4" s="86"/>
      <c r="AM4" s="232" t="str">
        <f>"Fenêtre"&amp;" "&amp;AN10/10&amp;" / "&amp; AN11/10&amp;"; avec VR; "&amp;AM6</f>
        <v xml:space="preserve">Fenêtre 0 / 0; avec VR; </v>
      </c>
      <c r="AN4" s="233"/>
      <c r="AO4" s="233"/>
      <c r="AP4" s="233"/>
      <c r="AQ4" s="233"/>
      <c r="AR4" s="233"/>
      <c r="AS4" s="233"/>
      <c r="AT4" s="233"/>
      <c r="AU4" s="234"/>
      <c r="AW4" s="86"/>
    </row>
    <row r="5" spans="1:49" s="83" customFormat="1" ht="15" customHeight="1" x14ac:dyDescent="0.25">
      <c r="A5" s="86"/>
      <c r="G5" s="85"/>
      <c r="I5" s="85"/>
      <c r="J5" s="85"/>
      <c r="K5" s="85"/>
      <c r="L5" s="85"/>
      <c r="M5" s="86"/>
      <c r="N5" s="85"/>
      <c r="S5" s="85"/>
      <c r="T5" s="85"/>
      <c r="U5" s="85"/>
      <c r="V5" s="85"/>
      <c r="W5" s="85"/>
      <c r="X5" s="85"/>
      <c r="Y5" s="86"/>
      <c r="AD5" s="84"/>
      <c r="AE5" s="85"/>
      <c r="AF5" s="85"/>
      <c r="AG5" s="85"/>
      <c r="AH5" s="85"/>
      <c r="AI5" s="85"/>
      <c r="AJ5" s="85"/>
      <c r="AK5" s="86"/>
      <c r="AP5" s="84"/>
      <c r="AQ5" s="85"/>
      <c r="AR5" s="85"/>
      <c r="AS5" s="85"/>
      <c r="AT5" s="85"/>
      <c r="AU5" s="85"/>
      <c r="AV5" s="85"/>
      <c r="AW5" s="86"/>
    </row>
    <row r="6" spans="1:49" s="83" customFormat="1" ht="15" customHeight="1" x14ac:dyDescent="0.25">
      <c r="A6" s="86"/>
      <c r="C6" s="222"/>
      <c r="G6" s="85"/>
      <c r="I6" s="85"/>
      <c r="J6" s="85"/>
      <c r="K6" s="85"/>
      <c r="L6" s="85"/>
      <c r="M6" s="86"/>
      <c r="N6" s="85"/>
      <c r="O6" s="222"/>
      <c r="S6" s="85"/>
      <c r="U6" s="85"/>
      <c r="V6" s="85"/>
      <c r="W6" s="85"/>
      <c r="X6" s="85"/>
      <c r="Y6" s="86"/>
      <c r="AA6" s="222"/>
      <c r="AF6" s="59"/>
      <c r="AG6" s="59"/>
      <c r="AH6" s="59"/>
      <c r="AI6" s="16"/>
      <c r="AJ6" s="85"/>
      <c r="AK6" s="86"/>
      <c r="AM6" s="228"/>
      <c r="AQ6" s="85"/>
      <c r="AS6" s="85"/>
      <c r="AT6" s="85"/>
      <c r="AU6" s="85"/>
      <c r="AV6" s="85"/>
      <c r="AW6" s="86"/>
    </row>
    <row r="7" spans="1:49" s="16" customFormat="1" ht="15" customHeight="1" thickBot="1" x14ac:dyDescent="0.3">
      <c r="A7" s="43"/>
      <c r="F7" s="20"/>
      <c r="G7" s="20"/>
      <c r="H7" s="20"/>
      <c r="I7" s="20"/>
      <c r="J7" s="20"/>
      <c r="K7" s="20"/>
      <c r="L7" s="20"/>
      <c r="M7" s="43"/>
      <c r="N7" s="20"/>
      <c r="P7" s="20"/>
      <c r="R7" s="20"/>
      <c r="S7" s="20"/>
      <c r="T7" s="20"/>
      <c r="U7" s="20"/>
      <c r="V7" s="22"/>
      <c r="W7" s="22"/>
      <c r="X7" s="22"/>
      <c r="Y7" s="43"/>
      <c r="AG7" s="20"/>
      <c r="AH7" s="20"/>
      <c r="AI7" s="20"/>
      <c r="AJ7" s="20"/>
      <c r="AK7" s="43"/>
      <c r="AM7" s="114"/>
      <c r="AP7" s="57"/>
      <c r="AQ7" s="20"/>
      <c r="AS7" s="20"/>
      <c r="AT7" s="23"/>
      <c r="AU7" s="23"/>
      <c r="AV7" s="20"/>
      <c r="AW7" s="43"/>
    </row>
    <row r="8" spans="1:49" s="16" customFormat="1" ht="15" customHeight="1" x14ac:dyDescent="0.25">
      <c r="A8" s="43"/>
      <c r="C8" s="99" t="s">
        <v>43</v>
      </c>
      <c r="D8" s="27"/>
      <c r="E8" s="100"/>
      <c r="F8" s="20"/>
      <c r="G8" s="20"/>
      <c r="J8" s="238" t="s">
        <v>41</v>
      </c>
      <c r="K8" s="239"/>
      <c r="L8" s="20"/>
      <c r="M8" s="43"/>
      <c r="N8" s="20"/>
      <c r="O8" s="99" t="s">
        <v>10</v>
      </c>
      <c r="P8" s="27"/>
      <c r="Q8" s="100"/>
      <c r="R8" s="20"/>
      <c r="S8" s="20"/>
      <c r="V8" s="238" t="s">
        <v>41</v>
      </c>
      <c r="W8" s="239"/>
      <c r="X8" s="22"/>
      <c r="Y8" s="43"/>
      <c r="AA8" s="99" t="s">
        <v>30</v>
      </c>
      <c r="AB8" s="27"/>
      <c r="AC8" s="100"/>
      <c r="AD8" s="20"/>
      <c r="AE8" s="20"/>
      <c r="AH8" s="238" t="s">
        <v>41</v>
      </c>
      <c r="AI8" s="239"/>
      <c r="AJ8" s="20"/>
      <c r="AK8" s="43"/>
      <c r="AM8" s="99" t="s">
        <v>11</v>
      </c>
      <c r="AN8" s="27"/>
      <c r="AO8" s="100"/>
      <c r="AP8" s="20"/>
      <c r="AQ8" s="20"/>
      <c r="AT8" s="238" t="s">
        <v>41</v>
      </c>
      <c r="AU8" s="239"/>
      <c r="AV8" s="20"/>
      <c r="AW8" s="43"/>
    </row>
    <row r="9" spans="1:49" s="16" customFormat="1" ht="15" customHeight="1" x14ac:dyDescent="0.25">
      <c r="A9" s="43"/>
      <c r="C9" s="216" t="s">
        <v>51</v>
      </c>
      <c r="D9" s="223"/>
      <c r="E9" s="217" t="s">
        <v>4</v>
      </c>
      <c r="F9" s="20"/>
      <c r="G9" s="20"/>
      <c r="J9" s="240"/>
      <c r="K9" s="241"/>
      <c r="L9" s="20"/>
      <c r="M9" s="43"/>
      <c r="N9" s="20"/>
      <c r="O9" s="216" t="s">
        <v>51</v>
      </c>
      <c r="P9" s="223"/>
      <c r="Q9" s="217" t="s">
        <v>4</v>
      </c>
      <c r="R9" s="20"/>
      <c r="S9" s="20"/>
      <c r="V9" s="240"/>
      <c r="W9" s="241"/>
      <c r="X9" s="22"/>
      <c r="Y9" s="43"/>
      <c r="AA9" s="216" t="s">
        <v>51</v>
      </c>
      <c r="AB9" s="223"/>
      <c r="AC9" s="217" t="s">
        <v>4</v>
      </c>
      <c r="AD9" s="20"/>
      <c r="AE9" s="20"/>
      <c r="AH9" s="240"/>
      <c r="AI9" s="241"/>
      <c r="AJ9" s="20"/>
      <c r="AK9" s="43"/>
      <c r="AM9" s="216" t="s">
        <v>51</v>
      </c>
      <c r="AN9" s="223"/>
      <c r="AO9" s="217" t="s">
        <v>4</v>
      </c>
      <c r="AP9" s="20"/>
      <c r="AQ9" s="20"/>
      <c r="AT9" s="240"/>
      <c r="AU9" s="241"/>
      <c r="AV9" s="20"/>
      <c r="AW9" s="43"/>
    </row>
    <row r="10" spans="1:49" s="16" customFormat="1" ht="15" customHeight="1" x14ac:dyDescent="0.25">
      <c r="A10" s="43"/>
      <c r="C10" s="211" t="s">
        <v>52</v>
      </c>
      <c r="D10" s="224"/>
      <c r="E10" s="121" t="s">
        <v>1</v>
      </c>
      <c r="F10" s="20"/>
      <c r="G10" s="20"/>
      <c r="J10" s="44">
        <f>IF(D14="non",D10+120,D10+300)</f>
        <v>120</v>
      </c>
      <c r="K10" s="45" t="s">
        <v>1</v>
      </c>
      <c r="L10" s="20"/>
      <c r="M10" s="43"/>
      <c r="N10" s="20"/>
      <c r="O10" s="211" t="s">
        <v>52</v>
      </c>
      <c r="P10" s="224"/>
      <c r="Q10" s="121" t="s">
        <v>1</v>
      </c>
      <c r="R10" s="20"/>
      <c r="S10" s="20"/>
      <c r="V10" s="44">
        <f>P10+120</f>
        <v>120</v>
      </c>
      <c r="W10" s="45" t="s">
        <v>1</v>
      </c>
      <c r="X10" s="22"/>
      <c r="Y10" s="43"/>
      <c r="AA10" s="211" t="s">
        <v>52</v>
      </c>
      <c r="AB10" s="224"/>
      <c r="AC10" s="121" t="s">
        <v>1</v>
      </c>
      <c r="AD10" s="20"/>
      <c r="AE10" s="20"/>
      <c r="AH10" s="44">
        <f>IF(AB14="oui",AB10+300,AB10+120)</f>
        <v>120</v>
      </c>
      <c r="AI10" s="45" t="s">
        <v>1</v>
      </c>
      <c r="AJ10" s="20"/>
      <c r="AK10" s="43"/>
      <c r="AM10" s="211" t="s">
        <v>52</v>
      </c>
      <c r="AN10" s="224"/>
      <c r="AO10" s="121" t="s">
        <v>1</v>
      </c>
      <c r="AP10" s="20"/>
      <c r="AQ10" s="20"/>
      <c r="AT10" s="44">
        <f>AN10+120</f>
        <v>120</v>
      </c>
      <c r="AU10" s="45" t="s">
        <v>1</v>
      </c>
      <c r="AV10" s="20"/>
      <c r="AW10" s="43"/>
    </row>
    <row r="11" spans="1:49" s="16" customFormat="1" ht="15" customHeight="1" thickBot="1" x14ac:dyDescent="0.3">
      <c r="A11" s="43"/>
      <c r="C11" s="211" t="s">
        <v>53</v>
      </c>
      <c r="D11" s="224"/>
      <c r="E11" s="121" t="s">
        <v>1</v>
      </c>
      <c r="F11" s="20"/>
      <c r="G11" s="20"/>
      <c r="H11" s="20"/>
      <c r="J11" s="46">
        <f>IF(D14="non",D12+280,D12+335)</f>
        <v>2430</v>
      </c>
      <c r="K11" s="47" t="s">
        <v>1</v>
      </c>
      <c r="L11" s="20"/>
      <c r="M11" s="43"/>
      <c r="N11" s="20"/>
      <c r="O11" s="211" t="s">
        <v>53</v>
      </c>
      <c r="P11" s="224"/>
      <c r="Q11" s="121" t="s">
        <v>1</v>
      </c>
      <c r="R11" s="20"/>
      <c r="S11" s="20"/>
      <c r="V11" s="46">
        <f>P11+360+50</f>
        <v>410</v>
      </c>
      <c r="W11" s="47" t="s">
        <v>1</v>
      </c>
      <c r="X11" s="22"/>
      <c r="Y11" s="43"/>
      <c r="AA11" s="211" t="s">
        <v>53</v>
      </c>
      <c r="AB11" s="224"/>
      <c r="AC11" s="121" t="s">
        <v>1</v>
      </c>
      <c r="AD11" s="20"/>
      <c r="AE11" s="20"/>
      <c r="AH11" s="46">
        <f>AB11+570</f>
        <v>570</v>
      </c>
      <c r="AI11" s="47" t="s">
        <v>1</v>
      </c>
      <c r="AJ11" s="20"/>
      <c r="AK11" s="43"/>
      <c r="AM11" s="211" t="s">
        <v>53</v>
      </c>
      <c r="AN11" s="224"/>
      <c r="AO11" s="121" t="s">
        <v>1</v>
      </c>
      <c r="AP11" s="20"/>
      <c r="AQ11" s="20"/>
      <c r="AT11" s="46">
        <f>AN11+650+50</f>
        <v>700</v>
      </c>
      <c r="AU11" s="47" t="s">
        <v>1</v>
      </c>
      <c r="AV11" s="20"/>
      <c r="AW11" s="43"/>
    </row>
    <row r="12" spans="1:49" s="16" customFormat="1" ht="15" customHeight="1" x14ac:dyDescent="0.25">
      <c r="A12" s="43"/>
      <c r="C12" s="211" t="s">
        <v>56</v>
      </c>
      <c r="D12" s="224">
        <v>2150</v>
      </c>
      <c r="E12" s="121" t="s">
        <v>1</v>
      </c>
      <c r="F12" s="186" t="s">
        <v>68</v>
      </c>
      <c r="G12" s="20"/>
      <c r="H12" s="124" t="str">
        <f>IF(D11=D12,"","Attention hauteur porte différent hauteur linteau")</f>
        <v>Attention hauteur porte différent hauteur linteau</v>
      </c>
      <c r="I12" s="20"/>
      <c r="J12" s="20"/>
      <c r="K12" s="20"/>
      <c r="L12" s="20"/>
      <c r="M12" s="43"/>
      <c r="N12" s="20"/>
      <c r="O12" s="211" t="s">
        <v>56</v>
      </c>
      <c r="P12" s="224">
        <v>2150</v>
      </c>
      <c r="Q12" s="121" t="s">
        <v>1</v>
      </c>
      <c r="R12" s="186" t="s">
        <v>68</v>
      </c>
      <c r="S12" s="20"/>
      <c r="T12" s="124" t="str">
        <f>IF(P319+130&lt;900,"Attention hauteur allège &lt;900","")</f>
        <v/>
      </c>
      <c r="U12" s="22"/>
      <c r="V12" s="22"/>
      <c r="W12" s="22"/>
      <c r="X12" s="22"/>
      <c r="Y12" s="43"/>
      <c r="AA12" s="211" t="s">
        <v>56</v>
      </c>
      <c r="AB12" s="224">
        <v>2150</v>
      </c>
      <c r="AC12" s="121" t="s">
        <v>1</v>
      </c>
      <c r="AD12" s="186" t="s">
        <v>68</v>
      </c>
      <c r="AE12" s="20"/>
      <c r="AF12" s="124" t="str">
        <f>IF(AB11=AB12,"","Attention hauteur porte différent hauteur linteau")</f>
        <v>Attention hauteur porte différent hauteur linteau</v>
      </c>
      <c r="AG12" s="22"/>
      <c r="AH12" s="20"/>
      <c r="AI12" s="20"/>
      <c r="AJ12" s="20"/>
      <c r="AK12" s="43"/>
      <c r="AM12" s="211" t="s">
        <v>56</v>
      </c>
      <c r="AN12" s="224">
        <v>2150</v>
      </c>
      <c r="AO12" s="121" t="s">
        <v>1</v>
      </c>
      <c r="AP12" s="186" t="s">
        <v>68</v>
      </c>
      <c r="AQ12" s="20"/>
      <c r="AR12" s="124" t="str">
        <f>IF((AT11+AN319)-AN13=0,"","Attention écart avec linteau de "&amp;(AT11+AN319)-AN13)</f>
        <v/>
      </c>
      <c r="AS12" s="22"/>
      <c r="AT12" s="23"/>
      <c r="AU12" s="23"/>
      <c r="AV12" s="20"/>
      <c r="AW12" s="43"/>
    </row>
    <row r="13" spans="1:49" s="16" customFormat="1" ht="15" customHeight="1" thickBot="1" x14ac:dyDescent="0.3">
      <c r="A13" s="43"/>
      <c r="C13" s="211" t="s">
        <v>55</v>
      </c>
      <c r="D13" s="224">
        <v>2720</v>
      </c>
      <c r="E13" s="121" t="s">
        <v>1</v>
      </c>
      <c r="F13" s="186" t="s">
        <v>69</v>
      </c>
      <c r="G13" s="20"/>
      <c r="H13" s="124" t="str">
        <f>IF(D13=2720,"","Attention hauteur mur non standard")</f>
        <v/>
      </c>
      <c r="I13" s="20"/>
      <c r="J13" s="20"/>
      <c r="K13" s="20"/>
      <c r="L13" s="20"/>
      <c r="M13" s="43"/>
      <c r="N13" s="20"/>
      <c r="O13" s="213" t="s">
        <v>55</v>
      </c>
      <c r="P13" s="226">
        <v>2720</v>
      </c>
      <c r="Q13" s="123" t="s">
        <v>1</v>
      </c>
      <c r="R13" s="186" t="s">
        <v>69</v>
      </c>
      <c r="S13" s="20"/>
      <c r="T13" s="124" t="str">
        <f>IF(P13=2720,"","Attention hauteur mur non standard")</f>
        <v/>
      </c>
      <c r="U13" s="22"/>
      <c r="V13" s="22"/>
      <c r="W13" s="22"/>
      <c r="X13" s="22"/>
      <c r="Y13" s="43"/>
      <c r="AA13" s="211" t="s">
        <v>55</v>
      </c>
      <c r="AB13" s="224">
        <v>2720</v>
      </c>
      <c r="AC13" s="121" t="s">
        <v>1</v>
      </c>
      <c r="AD13" s="186" t="s">
        <v>69</v>
      </c>
      <c r="AE13" s="20"/>
      <c r="AF13" s="124" t="str">
        <f>IF(AB13=2720,"","Attention hauteur mur non standard")</f>
        <v/>
      </c>
      <c r="AG13" s="22"/>
      <c r="AH13" s="20"/>
      <c r="AI13" s="20"/>
      <c r="AJ13" s="20"/>
      <c r="AK13" s="43"/>
      <c r="AM13" s="213" t="s">
        <v>55</v>
      </c>
      <c r="AN13" s="226">
        <v>2720</v>
      </c>
      <c r="AO13" s="123" t="s">
        <v>1</v>
      </c>
      <c r="AP13" s="186" t="s">
        <v>69</v>
      </c>
      <c r="AQ13" s="20"/>
      <c r="AR13" s="124" t="str">
        <f>IF(AN319+130&lt;900,"Attention hauteur allège &lt;900","")</f>
        <v/>
      </c>
      <c r="AS13" s="22"/>
      <c r="AT13" s="22"/>
      <c r="AU13" s="22"/>
      <c r="AV13" s="20"/>
      <c r="AW13" s="43"/>
    </row>
    <row r="14" spans="1:49" s="16" customFormat="1" ht="15" customHeight="1" thickBot="1" x14ac:dyDescent="0.3">
      <c r="A14" s="43"/>
      <c r="C14" s="212" t="s">
        <v>42</v>
      </c>
      <c r="D14" s="225" t="s">
        <v>31</v>
      </c>
      <c r="E14" s="122"/>
      <c r="F14" s="20"/>
      <c r="G14" s="20"/>
      <c r="H14" s="124" t="str">
        <f>IF(D12=2150,"","Attention hauteur linteau non standard")</f>
        <v/>
      </c>
      <c r="I14" s="22"/>
      <c r="J14" s="20"/>
      <c r="K14" s="20"/>
      <c r="L14" s="20"/>
      <c r="M14" s="43"/>
      <c r="N14" s="20"/>
      <c r="P14" s="20"/>
      <c r="Q14" s="20"/>
      <c r="R14" s="20"/>
      <c r="S14" s="20"/>
      <c r="T14" s="124" t="str">
        <f>IF(P12=2150,"","Attention hauteur linteau non standard")</f>
        <v/>
      </c>
      <c r="U14" s="22"/>
      <c r="V14" s="22"/>
      <c r="W14" s="22"/>
      <c r="X14" s="22"/>
      <c r="Y14" s="43"/>
      <c r="AA14" s="213" t="s">
        <v>42</v>
      </c>
      <c r="AB14" s="226" t="s">
        <v>31</v>
      </c>
      <c r="AC14" s="123"/>
      <c r="AD14" s="20"/>
      <c r="AE14" s="20"/>
      <c r="AF14" s="124" t="str">
        <f>IF(AB12=2150,"","Attention hauteur linteau non standard")</f>
        <v/>
      </c>
      <c r="AI14" s="20"/>
      <c r="AJ14" s="20"/>
      <c r="AK14" s="43"/>
      <c r="AP14" s="20"/>
      <c r="AQ14" s="20"/>
      <c r="AR14" s="124" t="str">
        <f>IF(AN13=2720,"","Attention hauteur mur non standard")</f>
        <v/>
      </c>
      <c r="AS14" s="22"/>
      <c r="AT14" s="22"/>
      <c r="AU14" s="22"/>
      <c r="AV14" s="20"/>
      <c r="AW14" s="43"/>
    </row>
    <row r="15" spans="1:49" s="16" customFormat="1" ht="15" customHeight="1" thickBot="1" x14ac:dyDescent="0.3">
      <c r="A15" s="43"/>
      <c r="C15" s="213" t="s">
        <v>40</v>
      </c>
      <c r="D15" s="226" t="s">
        <v>31</v>
      </c>
      <c r="E15" s="221" t="str">
        <f>IF(D15="OUI","changer hauteur linteau à "&amp;D11-45,"")</f>
        <v/>
      </c>
      <c r="F15" s="20"/>
      <c r="G15" s="20"/>
      <c r="H15" s="124" t="str">
        <f>IF(D12=D11,"","Problème hauteur porte/hauteur linteau")</f>
        <v>Problème hauteur porte/hauteur linteau</v>
      </c>
      <c r="I15" s="22"/>
      <c r="J15" s="20"/>
      <c r="K15" s="20"/>
      <c r="L15" s="20"/>
      <c r="M15" s="43"/>
      <c r="N15" s="20"/>
      <c r="P15" s="20"/>
      <c r="Q15" s="20"/>
      <c r="R15" s="20"/>
      <c r="S15" s="20"/>
      <c r="T15" s="22"/>
      <c r="U15" s="22"/>
      <c r="V15" s="22"/>
      <c r="W15" s="22"/>
      <c r="X15" s="22"/>
      <c r="Y15" s="43"/>
      <c r="AD15" s="20"/>
      <c r="AE15" s="20"/>
      <c r="AF15" s="124" t="str">
        <f>IF(AB12=AB11,"","Problème hauteur porte/hauteur linteau")</f>
        <v>Problème hauteur porte/hauteur linteau</v>
      </c>
      <c r="AG15" s="22"/>
      <c r="AH15" s="20"/>
      <c r="AI15" s="20"/>
      <c r="AJ15" s="20"/>
      <c r="AK15" s="43"/>
      <c r="AP15" s="20"/>
      <c r="AQ15" s="20"/>
      <c r="AR15" s="124" t="str">
        <f>IF(AN12=2150,"","Attention hauteur linteau non standard")</f>
        <v/>
      </c>
      <c r="AS15" s="22"/>
      <c r="AT15" s="22"/>
      <c r="AU15" s="22"/>
      <c r="AV15" s="20"/>
      <c r="AW15" s="43"/>
    </row>
    <row r="16" spans="1:49" s="16" customFormat="1" ht="15" customHeight="1" thickBot="1" x14ac:dyDescent="0.3">
      <c r="A16" s="43"/>
      <c r="C16" s="17"/>
      <c r="D16" s="48"/>
      <c r="E16" s="48"/>
      <c r="F16" s="48"/>
      <c r="G16" s="20"/>
      <c r="H16" s="20"/>
      <c r="I16" s="20"/>
      <c r="J16" s="20"/>
      <c r="K16" s="20"/>
      <c r="L16" s="20"/>
      <c r="M16" s="43"/>
      <c r="N16" s="20"/>
      <c r="O16" s="17"/>
      <c r="P16" s="48"/>
      <c r="Q16" s="48"/>
      <c r="R16" s="48"/>
      <c r="S16" s="20"/>
      <c r="T16" s="20"/>
      <c r="U16" s="20"/>
      <c r="V16" s="20"/>
      <c r="W16" s="20"/>
      <c r="X16" s="22"/>
      <c r="Y16" s="43"/>
      <c r="AA16" s="17"/>
      <c r="AB16" s="48"/>
      <c r="AC16" s="48"/>
      <c r="AD16" s="48"/>
      <c r="AE16" s="20"/>
      <c r="AG16" s="20"/>
      <c r="AH16" s="20"/>
      <c r="AI16" s="20"/>
      <c r="AJ16" s="20"/>
      <c r="AK16" s="43"/>
      <c r="AM16" s="17"/>
      <c r="AN16" s="48"/>
      <c r="AO16" s="48"/>
      <c r="AP16" s="48"/>
      <c r="AQ16" s="20"/>
      <c r="AS16" s="20"/>
      <c r="AT16" s="20"/>
      <c r="AU16" s="20"/>
      <c r="AV16" s="20"/>
      <c r="AW16" s="43"/>
    </row>
    <row r="17" spans="1:49" s="16" customFormat="1" ht="15" customHeight="1" x14ac:dyDescent="0.25">
      <c r="A17" s="43"/>
      <c r="C17" s="24" t="s">
        <v>45</v>
      </c>
      <c r="D17" s="27"/>
      <c r="E17" s="27" t="s">
        <v>47</v>
      </c>
      <c r="F17" s="28"/>
      <c r="G17" s="26"/>
      <c r="H17" s="27" t="s">
        <v>46</v>
      </c>
      <c r="I17" s="35"/>
      <c r="J17" s="25" t="s">
        <v>2</v>
      </c>
      <c r="K17" s="29" t="s">
        <v>3</v>
      </c>
      <c r="L17" s="20"/>
      <c r="M17" s="43"/>
      <c r="N17" s="20"/>
      <c r="O17" s="24" t="s">
        <v>45</v>
      </c>
      <c r="P17" s="27"/>
      <c r="Q17" s="27" t="s">
        <v>47</v>
      </c>
      <c r="R17" s="28"/>
      <c r="S17" s="26"/>
      <c r="T17" s="27" t="s">
        <v>46</v>
      </c>
      <c r="U17" s="35"/>
      <c r="V17" s="25" t="s">
        <v>2</v>
      </c>
      <c r="W17" s="29" t="s">
        <v>3</v>
      </c>
      <c r="X17" s="22"/>
      <c r="Y17" s="43"/>
      <c r="AA17" s="24" t="s">
        <v>45</v>
      </c>
      <c r="AB17" s="27"/>
      <c r="AC17" s="27" t="s">
        <v>47</v>
      </c>
      <c r="AD17" s="28"/>
      <c r="AE17" s="26"/>
      <c r="AF17" s="27" t="s">
        <v>46</v>
      </c>
      <c r="AG17" s="35"/>
      <c r="AH17" s="25" t="s">
        <v>2</v>
      </c>
      <c r="AI17" s="29" t="s">
        <v>3</v>
      </c>
      <c r="AJ17" s="20"/>
      <c r="AK17" s="43"/>
      <c r="AM17" s="24" t="s">
        <v>45</v>
      </c>
      <c r="AN17" s="27"/>
      <c r="AO17" s="27" t="s">
        <v>47</v>
      </c>
      <c r="AP17" s="28"/>
      <c r="AQ17" s="26"/>
      <c r="AR17" s="27" t="s">
        <v>46</v>
      </c>
      <c r="AS17" s="35"/>
      <c r="AT17" s="25" t="s">
        <v>2</v>
      </c>
      <c r="AU17" s="29" t="s">
        <v>3</v>
      </c>
      <c r="AV17" s="20"/>
      <c r="AW17" s="43"/>
    </row>
    <row r="18" spans="1:49" s="16" customFormat="1" ht="15" customHeight="1" x14ac:dyDescent="0.25">
      <c r="A18" s="43"/>
      <c r="C18" s="36" t="str">
        <f>IF(D14="oui","","Traverses")</f>
        <v>Traverses</v>
      </c>
      <c r="D18" s="115" t="str">
        <f>IF(D14="oui","","45")</f>
        <v>45</v>
      </c>
      <c r="E18" s="105" t="str">
        <f>IF(D14="non","x","")</f>
        <v>x</v>
      </c>
      <c r="F18" s="116">
        <f>IF(D14="oui","",145)</f>
        <v>145</v>
      </c>
      <c r="G18" s="103"/>
      <c r="H18" s="105">
        <f>IF(D14="oui","",D10+120)</f>
        <v>120</v>
      </c>
      <c r="I18" s="104" t="str">
        <f>IF(D14="oui","","mm")</f>
        <v>mm</v>
      </c>
      <c r="J18" s="18">
        <f>IF(D14="oui","",$D$9*K18)</f>
        <v>0</v>
      </c>
      <c r="K18" s="31">
        <f>IF(D14="oui","",1)</f>
        <v>1</v>
      </c>
      <c r="L18" s="20"/>
      <c r="M18" s="43"/>
      <c r="N18" s="20"/>
      <c r="O18" s="36" t="s">
        <v>6</v>
      </c>
      <c r="P18" s="115">
        <v>45</v>
      </c>
      <c r="Q18" s="105" t="s">
        <v>5</v>
      </c>
      <c r="R18" s="116">
        <v>145</v>
      </c>
      <c r="S18" s="103"/>
      <c r="T18" s="105">
        <f>P10+120</f>
        <v>120</v>
      </c>
      <c r="U18" s="104" t="s">
        <v>1</v>
      </c>
      <c r="V18" s="18">
        <f>$P$9*W18</f>
        <v>0</v>
      </c>
      <c r="W18" s="31">
        <v>2</v>
      </c>
      <c r="X18" s="22"/>
      <c r="Y18" s="43"/>
      <c r="AA18" s="36" t="str">
        <f>IF(AB14="oui","Traverses à raboter en 35mm","Traverses")</f>
        <v>Traverses</v>
      </c>
      <c r="AB18" s="115" t="str">
        <f>IF(AB14="oui","35","45")</f>
        <v>45</v>
      </c>
      <c r="AC18" s="105" t="s">
        <v>5</v>
      </c>
      <c r="AD18" s="116">
        <v>145</v>
      </c>
      <c r="AE18" s="103"/>
      <c r="AF18" s="105">
        <f>IF(AB14="oui",AB10+300,AB10+120)</f>
        <v>120</v>
      </c>
      <c r="AG18" s="116" t="s">
        <v>1</v>
      </c>
      <c r="AH18" s="18">
        <f>$AB$9*AI18</f>
        <v>0</v>
      </c>
      <c r="AI18" s="31">
        <f>IF(AB14="oui",1,3)</f>
        <v>3</v>
      </c>
      <c r="AJ18" s="20"/>
      <c r="AK18" s="43"/>
      <c r="AM18" s="36" t="s">
        <v>6</v>
      </c>
      <c r="AN18" s="115">
        <v>45</v>
      </c>
      <c r="AO18" s="105" t="s">
        <v>5</v>
      </c>
      <c r="AP18" s="116">
        <v>145</v>
      </c>
      <c r="AQ18" s="103"/>
      <c r="AR18" s="105">
        <f>AN10+120</f>
        <v>120</v>
      </c>
      <c r="AS18" s="116" t="s">
        <v>1</v>
      </c>
      <c r="AT18" s="18">
        <f>$AN$9*AU18</f>
        <v>0</v>
      </c>
      <c r="AU18" s="31">
        <v>4</v>
      </c>
      <c r="AV18" s="20"/>
      <c r="AW18" s="43"/>
    </row>
    <row r="19" spans="1:49" s="16" customFormat="1" ht="15" customHeight="1" x14ac:dyDescent="0.25">
      <c r="A19" s="43"/>
      <c r="C19" s="36" t="str">
        <f>IF(D14="non","Montant avec entailles","Montant sans entailles")</f>
        <v>Montant avec entailles</v>
      </c>
      <c r="D19" s="115">
        <v>45</v>
      </c>
      <c r="E19" s="105" t="s">
        <v>5</v>
      </c>
      <c r="F19" s="116">
        <v>145</v>
      </c>
      <c r="G19" s="103"/>
      <c r="H19" s="105">
        <f>IF(D14="oui",D13,D11+220+15)</f>
        <v>235</v>
      </c>
      <c r="I19" s="104" t="s">
        <v>1</v>
      </c>
      <c r="J19" s="18">
        <f>$D$9*K19</f>
        <v>0</v>
      </c>
      <c r="K19" s="31">
        <v>2</v>
      </c>
      <c r="L19" s="20"/>
      <c r="M19" s="43"/>
      <c r="N19" s="20"/>
      <c r="O19" s="36" t="s">
        <v>22</v>
      </c>
      <c r="P19" s="115">
        <v>45</v>
      </c>
      <c r="Q19" s="105" t="s">
        <v>5</v>
      </c>
      <c r="R19" s="116">
        <v>145</v>
      </c>
      <c r="S19" s="103"/>
      <c r="T19" s="105">
        <f>P11+270+50</f>
        <v>320</v>
      </c>
      <c r="U19" s="104" t="s">
        <v>1</v>
      </c>
      <c r="V19" s="18">
        <f>$P$9*W19</f>
        <v>0</v>
      </c>
      <c r="W19" s="31">
        <v>2</v>
      </c>
      <c r="X19" s="22"/>
      <c r="Y19" s="43"/>
      <c r="AA19" s="36" t="str">
        <f>IF(AB14="oui","Montant sans entailles","Montant avec entailles")</f>
        <v>Montant avec entailles</v>
      </c>
      <c r="AB19" s="115">
        <v>45</v>
      </c>
      <c r="AC19" s="105" t="s">
        <v>5</v>
      </c>
      <c r="AD19" s="116">
        <v>145</v>
      </c>
      <c r="AE19" s="103"/>
      <c r="AF19" s="105">
        <f>IF(AB14="oui",AB11+535,AB11+435)</f>
        <v>435</v>
      </c>
      <c r="AG19" s="116" t="s">
        <v>1</v>
      </c>
      <c r="AH19" s="18">
        <f>$AB$9*AI19</f>
        <v>0</v>
      </c>
      <c r="AI19" s="31">
        <v>2</v>
      </c>
      <c r="AJ19" s="20"/>
      <c r="AK19" s="43"/>
      <c r="AM19" s="36" t="s">
        <v>21</v>
      </c>
      <c r="AN19" s="115">
        <v>45</v>
      </c>
      <c r="AO19" s="105" t="s">
        <v>5</v>
      </c>
      <c r="AP19" s="116">
        <v>145</v>
      </c>
      <c r="AQ19" s="103"/>
      <c r="AR19" s="105">
        <f>AN11+470+50</f>
        <v>520</v>
      </c>
      <c r="AS19" s="116" t="s">
        <v>1</v>
      </c>
      <c r="AT19" s="18">
        <f>$AN$9*AU19</f>
        <v>0</v>
      </c>
      <c r="AU19" s="31">
        <v>2</v>
      </c>
      <c r="AV19" s="20"/>
      <c r="AW19" s="43"/>
    </row>
    <row r="20" spans="1:49" s="16" customFormat="1" ht="15" customHeight="1" x14ac:dyDescent="0.25">
      <c r="A20" s="43"/>
      <c r="C20" s="36" t="str">
        <f>IF(D14="non","","Montant sans entailles")</f>
        <v/>
      </c>
      <c r="D20" s="115" t="str">
        <f>IF(D14="non","",45)</f>
        <v/>
      </c>
      <c r="E20" s="105" t="str">
        <f>IF(D14="non","","x")</f>
        <v/>
      </c>
      <c r="F20" s="116" t="str">
        <f>IF(D14="non","",145)</f>
        <v/>
      </c>
      <c r="G20" s="103"/>
      <c r="H20" s="105" t="str">
        <f>IF(D14="non","",D12+15)</f>
        <v/>
      </c>
      <c r="I20" s="104" t="str">
        <f>IF(D14="non","","mm")</f>
        <v/>
      </c>
      <c r="J20" s="18" t="str">
        <f>IF(D14="non","",$D$9*K20)</f>
        <v/>
      </c>
      <c r="K20" s="31" t="str">
        <f>IF(D14="non","",4)</f>
        <v/>
      </c>
      <c r="L20" s="20"/>
      <c r="M20" s="43"/>
      <c r="N20" s="20"/>
      <c r="O20" s="36"/>
      <c r="P20" s="115"/>
      <c r="Q20" s="105"/>
      <c r="R20" s="116"/>
      <c r="S20" s="103"/>
      <c r="T20" s="105"/>
      <c r="U20" s="104"/>
      <c r="V20" s="18"/>
      <c r="W20" s="31"/>
      <c r="X20" s="22"/>
      <c r="Y20" s="43"/>
      <c r="AA20" s="36" t="str">
        <f>IF(AB14="oui","Montant sans entailles","")</f>
        <v/>
      </c>
      <c r="AB20" s="115" t="str">
        <f>IF(AB14="oui","45","")</f>
        <v/>
      </c>
      <c r="AC20" s="105" t="str">
        <f>IF(AB14="oui","x","")</f>
        <v/>
      </c>
      <c r="AD20" s="116" t="str">
        <f>IF(AB14="oui",145,"")</f>
        <v/>
      </c>
      <c r="AE20" s="103"/>
      <c r="AF20" s="105" t="str">
        <f>IF(AB14="oui",AB11+215,"")</f>
        <v/>
      </c>
      <c r="AG20" s="104" t="str">
        <f>IF(AB14="oui","mm","")</f>
        <v/>
      </c>
      <c r="AH20" s="18" t="str">
        <f>IF(AB14="oui",AI20*AB9,"")</f>
        <v/>
      </c>
      <c r="AI20" s="31" t="str">
        <f>IF(AB14="oui",4,"")</f>
        <v/>
      </c>
      <c r="AJ20" s="20"/>
      <c r="AK20" s="43"/>
      <c r="AM20" s="36"/>
      <c r="AN20" s="115"/>
      <c r="AO20" s="105"/>
      <c r="AP20" s="116"/>
      <c r="AQ20" s="103"/>
      <c r="AR20" s="105"/>
      <c r="AS20" s="116"/>
      <c r="AT20" s="18"/>
      <c r="AU20" s="31"/>
      <c r="AV20" s="20"/>
      <c r="AW20" s="43"/>
    </row>
    <row r="21" spans="1:49" s="16" customFormat="1" ht="15" customHeight="1" x14ac:dyDescent="0.25">
      <c r="A21" s="43"/>
      <c r="C21" s="37"/>
      <c r="D21" s="19"/>
      <c r="E21" s="19"/>
      <c r="F21" s="19"/>
      <c r="G21" s="19"/>
      <c r="H21" s="19"/>
      <c r="I21" s="19"/>
      <c r="J21" s="19"/>
      <c r="K21" s="38"/>
      <c r="L21" s="20"/>
      <c r="M21" s="43"/>
      <c r="N21" s="20"/>
      <c r="O21" s="37"/>
      <c r="P21" s="19"/>
      <c r="Q21" s="19"/>
      <c r="R21" s="19"/>
      <c r="S21" s="19"/>
      <c r="T21" s="19"/>
      <c r="U21" s="19"/>
      <c r="V21" s="19"/>
      <c r="W21" s="38"/>
      <c r="X21" s="22"/>
      <c r="Y21" s="43"/>
      <c r="AA21" s="37"/>
      <c r="AB21" s="19"/>
      <c r="AC21" s="19"/>
      <c r="AD21" s="19"/>
      <c r="AE21" s="19"/>
      <c r="AF21" s="19"/>
      <c r="AG21" s="19"/>
      <c r="AH21" s="19"/>
      <c r="AI21" s="38"/>
      <c r="AJ21" s="20"/>
      <c r="AK21" s="43"/>
      <c r="AM21" s="37"/>
      <c r="AN21" s="19"/>
      <c r="AO21" s="19"/>
      <c r="AP21" s="19"/>
      <c r="AQ21" s="19"/>
      <c r="AR21" s="19"/>
      <c r="AS21" s="117"/>
      <c r="AT21" s="19"/>
      <c r="AU21" s="38"/>
      <c r="AV21" s="20"/>
      <c r="AW21" s="43"/>
    </row>
    <row r="22" spans="1:49" s="16" customFormat="1" ht="15" customHeight="1" x14ac:dyDescent="0.25">
      <c r="A22" s="43"/>
      <c r="C22" s="39" t="s">
        <v>0</v>
      </c>
      <c r="D22" s="115" t="str">
        <f>IF(D14="non","45","LC 140")</f>
        <v>45</v>
      </c>
      <c r="E22" s="105" t="s">
        <v>5</v>
      </c>
      <c r="F22" s="160">
        <f>IF(D14="non",220,320)</f>
        <v>220</v>
      </c>
      <c r="G22" s="103"/>
      <c r="H22" s="105">
        <f>IF(D14="non",D10+120,D10+210)</f>
        <v>120</v>
      </c>
      <c r="I22" s="104" t="s">
        <v>1</v>
      </c>
      <c r="J22" s="18">
        <f>$D$9*K22</f>
        <v>0</v>
      </c>
      <c r="K22" s="31">
        <f>IF(D14="non",2,1)</f>
        <v>2</v>
      </c>
      <c r="L22" s="20"/>
      <c r="M22" s="43"/>
      <c r="N22" s="20"/>
      <c r="O22" s="39" t="s">
        <v>0</v>
      </c>
      <c r="P22" s="115">
        <v>45</v>
      </c>
      <c r="Q22" s="105" t="s">
        <v>5</v>
      </c>
      <c r="R22" s="160">
        <v>220</v>
      </c>
      <c r="S22" s="103"/>
      <c r="T22" s="105">
        <f>P10+120</f>
        <v>120</v>
      </c>
      <c r="U22" s="104" t="s">
        <v>1</v>
      </c>
      <c r="V22" s="18">
        <f>$P$9*W22</f>
        <v>0</v>
      </c>
      <c r="W22" s="31">
        <v>2</v>
      </c>
      <c r="X22" s="22"/>
      <c r="Y22" s="43"/>
      <c r="AA22" s="39" t="s">
        <v>0</v>
      </c>
      <c r="AB22" s="115" t="str">
        <f>IF(AB14="oui","LC 140","45")</f>
        <v>45</v>
      </c>
      <c r="AC22" s="105" t="s">
        <v>5</v>
      </c>
      <c r="AD22" s="116" t="str">
        <f>IF(AB14="oui","320","220")</f>
        <v>220</v>
      </c>
      <c r="AE22" s="103"/>
      <c r="AF22" s="105">
        <f>IF(AB14="oui",AB10+210,AB10+120)</f>
        <v>120</v>
      </c>
      <c r="AG22" s="116" t="s">
        <v>1</v>
      </c>
      <c r="AH22" s="18">
        <f>$AB$9*AI22</f>
        <v>0</v>
      </c>
      <c r="AI22" s="31">
        <f>IF(AB14="oui",1,2)</f>
        <v>2</v>
      </c>
      <c r="AJ22" s="20"/>
      <c r="AK22" s="43"/>
      <c r="AM22" s="39" t="s">
        <v>20</v>
      </c>
      <c r="AN22" s="115">
        <v>45</v>
      </c>
      <c r="AO22" s="105" t="s">
        <v>5</v>
      </c>
      <c r="AP22" s="116">
        <v>220</v>
      </c>
      <c r="AQ22" s="103"/>
      <c r="AR22" s="105">
        <f>AN10+120</f>
        <v>120</v>
      </c>
      <c r="AS22" s="116" t="s">
        <v>1</v>
      </c>
      <c r="AT22" s="18">
        <f>$AN$9*AU22</f>
        <v>0</v>
      </c>
      <c r="AU22" s="31">
        <v>2</v>
      </c>
      <c r="AV22" s="20"/>
      <c r="AW22" s="43"/>
    </row>
    <row r="23" spans="1:49" s="16" customFormat="1" ht="15" customHeight="1" thickBot="1" x14ac:dyDescent="0.3">
      <c r="A23" s="43"/>
      <c r="C23" s="40" t="str">
        <f>IF(D14="oui","",IF(D10&gt;1800,"Linteau central",""))</f>
        <v/>
      </c>
      <c r="D23" s="154" t="str">
        <f>IF(D14="oui","",IF(D10&gt;1800,"45",""))</f>
        <v/>
      </c>
      <c r="E23" s="108" t="str">
        <f>IF(D14="oui","",IF(D10&gt;1800,"x",""))</f>
        <v/>
      </c>
      <c r="F23" s="120" t="str">
        <f>IF(D14="oui","",IF(D10&gt;1800,220,""))</f>
        <v/>
      </c>
      <c r="G23" s="106"/>
      <c r="H23" s="108" t="str">
        <f>IF(D14="oui","",IF(D10&gt;1800,D10+120-90,""))</f>
        <v/>
      </c>
      <c r="I23" s="107" t="str">
        <f>IF(D14="oui","",IF(D10&gt;1800,"mm",""))</f>
        <v/>
      </c>
      <c r="J23" s="33" t="str">
        <f>IF(D14="oui","",IF(D10&gt;1800,D9*K23,""))</f>
        <v/>
      </c>
      <c r="K23" s="34" t="str">
        <f>IF(D14="oui","",IF(D10&gt;1800,"1",""))</f>
        <v/>
      </c>
      <c r="L23" s="20"/>
      <c r="M23" s="43"/>
      <c r="N23" s="20"/>
      <c r="O23" s="40" t="str">
        <f>IF(P10&gt;1800,"Linteau central","")</f>
        <v/>
      </c>
      <c r="P23" s="154" t="str">
        <f>IF(P10&gt;1800,"45","")</f>
        <v/>
      </c>
      <c r="Q23" s="108" t="str">
        <f>IF(P10&gt;1800,"x","")</f>
        <v/>
      </c>
      <c r="R23" s="120" t="str">
        <f>IF(P10&gt;1800,"220","")</f>
        <v/>
      </c>
      <c r="S23" s="106"/>
      <c r="T23" s="108" t="str">
        <f>IF(P10&gt;1800,P10+120-90,"")</f>
        <v/>
      </c>
      <c r="U23" s="107" t="str">
        <f>IF(P10&gt;1800,"mm","")</f>
        <v/>
      </c>
      <c r="V23" s="33" t="str">
        <f>IF(P10&gt;1800,P9*W23,"")</f>
        <v/>
      </c>
      <c r="W23" s="34" t="str">
        <f>IF(P10&gt;1800,"1","")</f>
        <v/>
      </c>
      <c r="X23" s="22"/>
      <c r="Y23" s="43"/>
      <c r="AA23" s="40" t="str">
        <f>IF(AB14="oui","",IF(AB10&gt;1800,"Linteau central",""))</f>
        <v/>
      </c>
      <c r="AB23" s="154" t="str">
        <f>IF(AB14="oui","",IF(AB10&gt;1800,"45",""))</f>
        <v/>
      </c>
      <c r="AC23" s="108" t="str">
        <f>IF(AA23="","","x")</f>
        <v/>
      </c>
      <c r="AD23" s="120" t="str">
        <f>IF(AB14="oui","",IF(AB10&gt;1800,"220",""))</f>
        <v/>
      </c>
      <c r="AE23" s="106"/>
      <c r="AF23" s="108" t="str">
        <f>IF(AB14="oui","",IF(AB10&gt;1800,AB10+120-90,""))</f>
        <v/>
      </c>
      <c r="AG23" s="120" t="str">
        <f>IF(AB14="oui","",IF(AB10&gt;1800,"mm",""))</f>
        <v/>
      </c>
      <c r="AH23" s="33" t="str">
        <f>IF(AB14="oui","",IF(AB10&gt;1800,AB9*AI23,""))</f>
        <v/>
      </c>
      <c r="AI23" s="34" t="str">
        <f>IF(AB14="oui","",IF(AB10&gt;1800,"1",""))</f>
        <v/>
      </c>
      <c r="AJ23" s="20"/>
      <c r="AK23" s="43"/>
      <c r="AM23" s="40" t="str">
        <f>IF(AN10&gt;1800,"Linteau central","")</f>
        <v/>
      </c>
      <c r="AN23" s="154" t="str">
        <f>IF(AN10&gt;1800,45,"")</f>
        <v/>
      </c>
      <c r="AO23" s="108" t="str">
        <f>IF(AN10&gt;1800,"x","")</f>
        <v/>
      </c>
      <c r="AP23" s="120" t="str">
        <f>IF(AN10&gt;1800,220,"")</f>
        <v/>
      </c>
      <c r="AQ23" s="106"/>
      <c r="AR23" s="108" t="str">
        <f>IF(AN10&gt;1800,AN10+120-90,"")</f>
        <v/>
      </c>
      <c r="AS23" s="120" t="str">
        <f>IF(AN10&gt;1800,"mm","")</f>
        <v/>
      </c>
      <c r="AT23" s="33" t="str">
        <f>IF(AN10&gt;1800,AN9*AU23,"")</f>
        <v/>
      </c>
      <c r="AU23" s="34" t="str">
        <f>IF(AN10&gt;1800,"1","")</f>
        <v/>
      </c>
      <c r="AV23" s="20"/>
      <c r="AW23" s="43"/>
    </row>
    <row r="24" spans="1:49" s="16" customFormat="1" ht="15" customHeight="1" thickBot="1" x14ac:dyDescent="0.3">
      <c r="A24" s="43"/>
      <c r="D24" s="20"/>
      <c r="E24" s="20"/>
      <c r="F24" s="20"/>
      <c r="G24" s="20"/>
      <c r="H24" s="20"/>
      <c r="I24" s="20"/>
      <c r="J24" s="20"/>
      <c r="K24" s="20"/>
      <c r="L24" s="20"/>
      <c r="M24" s="43"/>
      <c r="N24" s="20"/>
      <c r="P24" s="20"/>
      <c r="Q24" s="20"/>
      <c r="R24" s="20"/>
      <c r="S24" s="20"/>
      <c r="T24" s="20"/>
      <c r="U24" s="20"/>
      <c r="V24" s="20"/>
      <c r="W24" s="20"/>
      <c r="X24" s="22"/>
      <c r="Y24" s="43"/>
      <c r="AB24" s="20"/>
      <c r="AC24" s="20"/>
      <c r="AD24" s="20"/>
      <c r="AE24" s="20"/>
      <c r="AF24" s="20"/>
      <c r="AG24" s="20"/>
      <c r="AH24" s="20"/>
      <c r="AI24" s="20"/>
      <c r="AJ24" s="20"/>
      <c r="AK24" s="43"/>
      <c r="AN24" s="20"/>
      <c r="AO24" s="20"/>
      <c r="AP24" s="20"/>
      <c r="AQ24" s="20"/>
      <c r="AR24" s="20"/>
      <c r="AS24" s="57"/>
      <c r="AT24" s="20"/>
      <c r="AU24" s="20"/>
      <c r="AV24" s="20"/>
      <c r="AW24" s="43"/>
    </row>
    <row r="25" spans="1:49" s="16" customFormat="1" ht="15" customHeight="1" x14ac:dyDescent="0.25">
      <c r="A25" s="43"/>
      <c r="C25" s="24" t="s">
        <v>14</v>
      </c>
      <c r="D25" s="25" t="s">
        <v>44</v>
      </c>
      <c r="E25" s="175"/>
      <c r="F25" s="176"/>
      <c r="G25" s="176" t="s">
        <v>66</v>
      </c>
      <c r="H25" s="176"/>
      <c r="I25" s="177"/>
      <c r="J25" s="25" t="s">
        <v>2</v>
      </c>
      <c r="K25" s="29" t="s">
        <v>3</v>
      </c>
      <c r="L25" s="20"/>
      <c r="M25" s="43"/>
      <c r="N25" s="20"/>
      <c r="O25" s="24" t="s">
        <v>14</v>
      </c>
      <c r="P25" s="25" t="s">
        <v>44</v>
      </c>
      <c r="Q25" s="175"/>
      <c r="R25" s="176"/>
      <c r="S25" s="176" t="s">
        <v>66</v>
      </c>
      <c r="T25" s="176"/>
      <c r="U25" s="177"/>
      <c r="V25" s="25" t="s">
        <v>2</v>
      </c>
      <c r="W25" s="29" t="s">
        <v>3</v>
      </c>
      <c r="X25" s="20"/>
      <c r="Y25" s="43"/>
      <c r="AA25" s="24" t="s">
        <v>14</v>
      </c>
      <c r="AB25" s="25" t="s">
        <v>44</v>
      </c>
      <c r="AC25" s="26"/>
      <c r="AD25" s="27"/>
      <c r="AE25" s="27" t="s">
        <v>66</v>
      </c>
      <c r="AF25" s="27"/>
      <c r="AG25" s="28"/>
      <c r="AH25" s="25" t="s">
        <v>2</v>
      </c>
      <c r="AI25" s="29" t="s">
        <v>3</v>
      </c>
      <c r="AJ25" s="20"/>
      <c r="AK25" s="43"/>
      <c r="AM25" s="24" t="s">
        <v>14</v>
      </c>
      <c r="AN25" s="25" t="s">
        <v>44</v>
      </c>
      <c r="AO25" s="26"/>
      <c r="AP25" s="27"/>
      <c r="AQ25" s="27" t="s">
        <v>66</v>
      </c>
      <c r="AR25" s="27"/>
      <c r="AS25" s="28"/>
      <c r="AT25" s="25" t="s">
        <v>2</v>
      </c>
      <c r="AU25" s="29" t="s">
        <v>3</v>
      </c>
      <c r="AV25" s="20"/>
      <c r="AW25" s="43"/>
    </row>
    <row r="26" spans="1:49" s="16" customFormat="1" ht="15" customHeight="1" thickBot="1" x14ac:dyDescent="0.3">
      <c r="A26" s="43"/>
      <c r="C26" s="30" t="s">
        <v>8</v>
      </c>
      <c r="D26" s="18">
        <v>15</v>
      </c>
      <c r="E26" s="103"/>
      <c r="F26" s="159">
        <v>205</v>
      </c>
      <c r="G26" s="105" t="s">
        <v>5</v>
      </c>
      <c r="H26" s="160">
        <f>D11</f>
        <v>0</v>
      </c>
      <c r="I26" s="104" t="s">
        <v>1</v>
      </c>
      <c r="J26" s="18">
        <f>D9*K26</f>
        <v>0</v>
      </c>
      <c r="K26" s="31">
        <v>2</v>
      </c>
      <c r="L26" s="20"/>
      <c r="M26" s="43"/>
      <c r="N26" s="20"/>
      <c r="O26" s="30" t="s">
        <v>8</v>
      </c>
      <c r="P26" s="18">
        <v>15</v>
      </c>
      <c r="Q26" s="103"/>
      <c r="R26" s="159">
        <v>205</v>
      </c>
      <c r="S26" s="105" t="s">
        <v>5</v>
      </c>
      <c r="T26" s="160">
        <f>P11</f>
        <v>0</v>
      </c>
      <c r="U26" s="104" t="s">
        <v>1</v>
      </c>
      <c r="V26" s="18">
        <f>P9*W26</f>
        <v>0</v>
      </c>
      <c r="W26" s="31">
        <v>2</v>
      </c>
      <c r="X26" s="20"/>
      <c r="Y26" s="43"/>
      <c r="AA26" s="32" t="s">
        <v>18</v>
      </c>
      <c r="AB26" s="33">
        <v>15</v>
      </c>
      <c r="AC26" s="106"/>
      <c r="AD26" s="158">
        <v>205</v>
      </c>
      <c r="AE26" s="108" t="s">
        <v>5</v>
      </c>
      <c r="AF26" s="157">
        <f>AB11</f>
        <v>0</v>
      </c>
      <c r="AG26" s="119" t="s">
        <v>1</v>
      </c>
      <c r="AH26" s="33">
        <f>AB9*AI26</f>
        <v>0</v>
      </c>
      <c r="AI26" s="34">
        <v>2</v>
      </c>
      <c r="AJ26" s="20"/>
      <c r="AK26" s="43"/>
      <c r="AM26" s="32" t="s">
        <v>18</v>
      </c>
      <c r="AN26" s="33">
        <v>15</v>
      </c>
      <c r="AO26" s="106"/>
      <c r="AP26" s="158">
        <v>205</v>
      </c>
      <c r="AQ26" s="108" t="s">
        <v>5</v>
      </c>
      <c r="AR26" s="157">
        <f>AN11</f>
        <v>0</v>
      </c>
      <c r="AS26" s="119" t="s">
        <v>1</v>
      </c>
      <c r="AT26" s="33">
        <f>AN9*AU26</f>
        <v>0</v>
      </c>
      <c r="AU26" s="34">
        <v>2</v>
      </c>
      <c r="AV26" s="20"/>
      <c r="AW26" s="43"/>
    </row>
    <row r="27" spans="1:49" s="16" customFormat="1" ht="15" customHeight="1" thickBot="1" x14ac:dyDescent="0.3">
      <c r="A27" s="43"/>
      <c r="C27" s="32" t="s">
        <v>7</v>
      </c>
      <c r="D27" s="33">
        <v>15</v>
      </c>
      <c r="E27" s="106"/>
      <c r="F27" s="158">
        <v>205</v>
      </c>
      <c r="G27" s="108" t="s">
        <v>5</v>
      </c>
      <c r="H27" s="157">
        <f>D10+30</f>
        <v>30</v>
      </c>
      <c r="I27" s="107" t="s">
        <v>1</v>
      </c>
      <c r="J27" s="33">
        <f>K27*D9</f>
        <v>0</v>
      </c>
      <c r="K27" s="34">
        <v>1</v>
      </c>
      <c r="L27" s="20"/>
      <c r="M27" s="43"/>
      <c r="N27" s="20"/>
      <c r="O27" s="32" t="s">
        <v>7</v>
      </c>
      <c r="P27" s="33">
        <v>15</v>
      </c>
      <c r="Q27" s="106"/>
      <c r="R27" s="158">
        <v>205</v>
      </c>
      <c r="S27" s="108" t="s">
        <v>5</v>
      </c>
      <c r="T27" s="157">
        <f>P10+30</f>
        <v>30</v>
      </c>
      <c r="U27" s="107" t="s">
        <v>1</v>
      </c>
      <c r="V27" s="33">
        <f>W27*P9</f>
        <v>0</v>
      </c>
      <c r="W27" s="34">
        <v>1</v>
      </c>
      <c r="X27" s="20"/>
      <c r="Y27" s="43"/>
      <c r="AB27" s="20"/>
      <c r="AC27" s="20"/>
      <c r="AD27" s="20"/>
      <c r="AE27" s="20"/>
      <c r="AF27" s="20"/>
      <c r="AH27" s="20"/>
      <c r="AI27" s="20"/>
      <c r="AJ27" s="20"/>
      <c r="AK27" s="43"/>
      <c r="AN27" s="20"/>
      <c r="AO27" s="20"/>
      <c r="AP27" s="20"/>
      <c r="AQ27" s="20"/>
      <c r="AR27" s="20"/>
      <c r="AT27" s="20"/>
      <c r="AU27" s="20"/>
      <c r="AV27" s="20"/>
      <c r="AW27" s="43"/>
    </row>
    <row r="28" spans="1:49" s="16" customFormat="1" ht="15" customHeight="1" x14ac:dyDescent="0.25">
      <c r="A28" s="43"/>
      <c r="D28" s="20"/>
      <c r="E28" s="20"/>
      <c r="F28" s="20"/>
      <c r="G28" s="20"/>
      <c r="H28" s="20"/>
      <c r="I28" s="20"/>
      <c r="J28" s="20"/>
      <c r="K28" s="20"/>
      <c r="L28" s="20"/>
      <c r="M28" s="43"/>
      <c r="N28" s="20"/>
      <c r="P28" s="23"/>
      <c r="Q28" s="23"/>
      <c r="R28" s="23"/>
      <c r="S28" s="23"/>
      <c r="T28" s="23"/>
      <c r="U28" s="23"/>
      <c r="V28" s="23"/>
      <c r="W28" s="20"/>
      <c r="X28" s="20"/>
      <c r="Y28" s="43"/>
      <c r="AA28" s="24" t="s">
        <v>48</v>
      </c>
      <c r="AB28" s="25" t="s">
        <v>44</v>
      </c>
      <c r="AC28" s="26"/>
      <c r="AD28" s="27"/>
      <c r="AE28" s="27" t="s">
        <v>66</v>
      </c>
      <c r="AF28" s="27"/>
      <c r="AG28" s="191"/>
      <c r="AH28" s="25" t="s">
        <v>2</v>
      </c>
      <c r="AI28" s="29" t="s">
        <v>3</v>
      </c>
      <c r="AJ28" s="20"/>
      <c r="AK28" s="43"/>
      <c r="AM28" s="24" t="s">
        <v>48</v>
      </c>
      <c r="AN28" s="25" t="s">
        <v>44</v>
      </c>
      <c r="AO28" s="26"/>
      <c r="AP28" s="27"/>
      <c r="AQ28" s="27" t="s">
        <v>66</v>
      </c>
      <c r="AR28" s="27"/>
      <c r="AS28" s="191"/>
      <c r="AT28" s="25" t="s">
        <v>2</v>
      </c>
      <c r="AU28" s="29" t="s">
        <v>3</v>
      </c>
      <c r="AV28" s="20"/>
      <c r="AW28" s="43"/>
    </row>
    <row r="29" spans="1:49" s="16" customFormat="1" ht="15" customHeight="1" thickBot="1" x14ac:dyDescent="0.3">
      <c r="A29" s="43"/>
      <c r="D29" s="20"/>
      <c r="E29" s="20"/>
      <c r="F29" s="20"/>
      <c r="G29" s="20"/>
      <c r="H29" s="20"/>
      <c r="I29" s="20"/>
      <c r="J29" s="20"/>
      <c r="K29" s="20"/>
      <c r="L29" s="20"/>
      <c r="M29" s="43"/>
      <c r="N29" s="20"/>
      <c r="P29" s="23"/>
      <c r="Q29" s="23"/>
      <c r="R29" s="23"/>
      <c r="S29" s="23"/>
      <c r="T29" s="23"/>
      <c r="U29" s="23"/>
      <c r="V29" s="23"/>
      <c r="W29" s="20"/>
      <c r="X29" s="20"/>
      <c r="Y29" s="43"/>
      <c r="AA29" s="32" t="s">
        <v>19</v>
      </c>
      <c r="AB29" s="33">
        <v>12</v>
      </c>
      <c r="AC29" s="106"/>
      <c r="AD29" s="158">
        <v>395</v>
      </c>
      <c r="AE29" s="108" t="s">
        <v>5</v>
      </c>
      <c r="AF29" s="157">
        <f>IF(AB14="oui",AB10+210,AB10+30)</f>
        <v>30</v>
      </c>
      <c r="AG29" s="119" t="s">
        <v>1</v>
      </c>
      <c r="AH29" s="33">
        <f>AI29*AB9</f>
        <v>0</v>
      </c>
      <c r="AI29" s="34">
        <v>1</v>
      </c>
      <c r="AJ29" s="20"/>
      <c r="AK29" s="43"/>
      <c r="AM29" s="32" t="s">
        <v>19</v>
      </c>
      <c r="AN29" s="33">
        <v>12</v>
      </c>
      <c r="AO29" s="106"/>
      <c r="AP29" s="158">
        <v>395</v>
      </c>
      <c r="AQ29" s="108" t="s">
        <v>5</v>
      </c>
      <c r="AR29" s="157">
        <f>AN10+30</f>
        <v>30</v>
      </c>
      <c r="AS29" s="119" t="s">
        <v>1</v>
      </c>
      <c r="AT29" s="33">
        <f>AU29*AN9</f>
        <v>0</v>
      </c>
      <c r="AU29" s="34">
        <v>1</v>
      </c>
      <c r="AV29" s="20"/>
      <c r="AW29" s="43"/>
    </row>
    <row r="30" spans="1:49" s="16" customFormat="1" ht="15" customHeight="1" thickBot="1" x14ac:dyDescent="0.3">
      <c r="A30" s="43"/>
      <c r="D30" s="20"/>
      <c r="E30" s="20"/>
      <c r="F30" s="20"/>
      <c r="G30" s="20"/>
      <c r="H30" s="20"/>
      <c r="I30" s="20"/>
      <c r="J30" s="20"/>
      <c r="K30" s="20"/>
      <c r="L30" s="20"/>
      <c r="M30" s="43"/>
      <c r="N30" s="20"/>
      <c r="P30" s="23"/>
      <c r="Q30" s="23"/>
      <c r="R30" s="23"/>
      <c r="S30" s="23"/>
      <c r="T30" s="23"/>
      <c r="U30" s="23"/>
      <c r="V30" s="23"/>
      <c r="W30" s="20"/>
      <c r="X30" s="20"/>
      <c r="Y30" s="43"/>
      <c r="AB30" s="20"/>
      <c r="AC30" s="20"/>
      <c r="AD30" s="20"/>
      <c r="AE30" s="20"/>
      <c r="AF30" s="20"/>
      <c r="AH30" s="20"/>
      <c r="AI30" s="20"/>
      <c r="AJ30" s="20"/>
      <c r="AK30" s="43"/>
      <c r="AN30" s="20"/>
      <c r="AO30" s="20"/>
      <c r="AP30" s="20"/>
      <c r="AQ30" s="20"/>
      <c r="AR30" s="20"/>
      <c r="AT30" s="20"/>
      <c r="AU30" s="20"/>
      <c r="AV30" s="20"/>
      <c r="AW30" s="43"/>
    </row>
    <row r="31" spans="1:49" s="16" customFormat="1" ht="15" customHeight="1" thickBot="1" x14ac:dyDescent="0.3">
      <c r="A31" s="43"/>
      <c r="D31" s="20"/>
      <c r="E31" s="20"/>
      <c r="F31" s="20"/>
      <c r="G31" s="20"/>
      <c r="H31" s="20"/>
      <c r="I31" s="20"/>
      <c r="J31" s="20"/>
      <c r="K31" s="20"/>
      <c r="L31" s="20"/>
      <c r="M31" s="43"/>
      <c r="N31" s="20"/>
      <c r="P31" s="23"/>
      <c r="Q31" s="23"/>
      <c r="R31" s="23"/>
      <c r="S31" s="23"/>
      <c r="T31" s="23"/>
      <c r="U31" s="23"/>
      <c r="V31" s="23"/>
      <c r="W31" s="20"/>
      <c r="X31" s="20"/>
      <c r="Y31" s="43"/>
      <c r="AA31" s="161" t="s">
        <v>13</v>
      </c>
      <c r="AB31" s="162" t="s">
        <v>44</v>
      </c>
      <c r="AC31" s="175"/>
      <c r="AD31" s="176"/>
      <c r="AE31" s="176" t="s">
        <v>66</v>
      </c>
      <c r="AF31" s="176"/>
      <c r="AG31" s="192"/>
      <c r="AH31" s="162" t="s">
        <v>2</v>
      </c>
      <c r="AI31" s="163" t="s">
        <v>3</v>
      </c>
      <c r="AJ31" s="20"/>
      <c r="AK31" s="43"/>
      <c r="AM31" s="161" t="s">
        <v>13</v>
      </c>
      <c r="AN31" s="162" t="s">
        <v>44</v>
      </c>
      <c r="AO31" s="175"/>
      <c r="AP31" s="176"/>
      <c r="AQ31" s="176" t="s">
        <v>66</v>
      </c>
      <c r="AR31" s="176"/>
      <c r="AS31" s="192"/>
      <c r="AT31" s="162" t="s">
        <v>2</v>
      </c>
      <c r="AU31" s="163" t="s">
        <v>3</v>
      </c>
      <c r="AV31" s="20"/>
      <c r="AW31" s="43"/>
    </row>
    <row r="32" spans="1:49" s="16" customFormat="1" ht="15" customHeight="1" thickBot="1" x14ac:dyDescent="0.3">
      <c r="A32" s="43"/>
      <c r="D32" s="20"/>
      <c r="E32" s="20"/>
      <c r="F32" s="20"/>
      <c r="G32" s="20"/>
      <c r="H32" s="20"/>
      <c r="I32" s="20"/>
      <c r="J32" s="20"/>
      <c r="K32" s="20"/>
      <c r="L32" s="20"/>
      <c r="M32" s="43"/>
      <c r="N32" s="20"/>
      <c r="P32" s="23"/>
      <c r="Q32" s="23"/>
      <c r="R32" s="23"/>
      <c r="S32" s="23"/>
      <c r="T32" s="23"/>
      <c r="U32" s="23"/>
      <c r="V32" s="23"/>
      <c r="W32" s="20"/>
      <c r="X32" s="20"/>
      <c r="Y32" s="43"/>
      <c r="AA32" s="188"/>
      <c r="AB32" s="189"/>
      <c r="AC32" s="189"/>
      <c r="AD32" s="189"/>
      <c r="AE32" s="187" t="s">
        <v>49</v>
      </c>
      <c r="AF32" s="189"/>
      <c r="AG32" s="189"/>
      <c r="AH32" s="189"/>
      <c r="AI32" s="190"/>
      <c r="AJ32" s="20"/>
      <c r="AK32" s="43"/>
      <c r="AM32" s="188"/>
      <c r="AN32" s="189"/>
      <c r="AO32" s="189"/>
      <c r="AP32" s="189"/>
      <c r="AQ32" s="187" t="s">
        <v>49</v>
      </c>
      <c r="AR32" s="189"/>
      <c r="AS32" s="189"/>
      <c r="AT32" s="189"/>
      <c r="AU32" s="190"/>
      <c r="AV32" s="20"/>
      <c r="AW32" s="43"/>
    </row>
    <row r="33" spans="1:49" s="16" customFormat="1" ht="15" customHeight="1" x14ac:dyDescent="0.25">
      <c r="A33" s="43"/>
      <c r="D33" s="20"/>
      <c r="E33" s="20"/>
      <c r="F33" s="20"/>
      <c r="G33" s="20"/>
      <c r="H33" s="20"/>
      <c r="I33" s="20"/>
      <c r="J33" s="20"/>
      <c r="K33" s="20"/>
      <c r="L33" s="20"/>
      <c r="M33" s="43"/>
      <c r="N33" s="20"/>
      <c r="P33" s="23"/>
      <c r="Q33" s="23"/>
      <c r="R33" s="23"/>
      <c r="S33" s="23"/>
      <c r="T33" s="23"/>
      <c r="U33" s="23"/>
      <c r="V33" s="23"/>
      <c r="W33" s="20"/>
      <c r="X33" s="20"/>
      <c r="Y33" s="43"/>
      <c r="AA33" s="164" t="s">
        <v>50</v>
      </c>
      <c r="AB33" s="165">
        <v>40</v>
      </c>
      <c r="AC33" s="178"/>
      <c r="AD33" s="179">
        <v>560</v>
      </c>
      <c r="AE33" s="180" t="s">
        <v>5</v>
      </c>
      <c r="AF33" s="181">
        <v>590</v>
      </c>
      <c r="AG33" s="193" t="s">
        <v>1</v>
      </c>
      <c r="AH33" s="165">
        <f>AI33*AB9</f>
        <v>0</v>
      </c>
      <c r="AI33" s="166">
        <f>IF(AB14="oui",ROUNDUP((AB10+180)/AD33,0),ROUNDUP(AB10/AD33,0))</f>
        <v>0</v>
      </c>
      <c r="AJ33" s="20"/>
      <c r="AK33" s="43"/>
      <c r="AM33" s="164" t="s">
        <v>50</v>
      </c>
      <c r="AN33" s="165">
        <v>40</v>
      </c>
      <c r="AO33" s="178"/>
      <c r="AP33" s="179">
        <v>560</v>
      </c>
      <c r="AQ33" s="180" t="s">
        <v>5</v>
      </c>
      <c r="AR33" s="181">
        <v>590</v>
      </c>
      <c r="AS33" s="193" t="s">
        <v>1</v>
      </c>
      <c r="AT33" s="165">
        <f>AN9*AU33</f>
        <v>0</v>
      </c>
      <c r="AU33" s="166">
        <f>ROUNDUP(AN10/AP33,0)</f>
        <v>0</v>
      </c>
      <c r="AV33" s="20"/>
      <c r="AW33" s="43"/>
    </row>
    <row r="34" spans="1:49" s="16" customFormat="1" ht="15" customHeight="1" x14ac:dyDescent="0.25">
      <c r="A34" s="43"/>
      <c r="D34" s="20"/>
      <c r="E34" s="20"/>
      <c r="F34" s="20"/>
      <c r="G34" s="20"/>
      <c r="H34" s="20"/>
      <c r="I34" s="20"/>
      <c r="J34" s="20"/>
      <c r="K34" s="20"/>
      <c r="L34" s="20"/>
      <c r="M34" s="43"/>
      <c r="N34" s="20"/>
      <c r="P34" s="23"/>
      <c r="Q34" s="23"/>
      <c r="R34" s="23"/>
      <c r="S34" s="23"/>
      <c r="T34" s="23"/>
      <c r="U34" s="23"/>
      <c r="V34" s="23"/>
      <c r="W34" s="23"/>
      <c r="X34" s="23"/>
      <c r="Y34" s="43"/>
      <c r="AA34" s="30" t="s">
        <v>16</v>
      </c>
      <c r="AB34" s="18" t="s">
        <v>67</v>
      </c>
      <c r="AC34" s="103"/>
      <c r="AD34" s="105"/>
      <c r="AE34" s="105"/>
      <c r="AF34" s="160">
        <v>3</v>
      </c>
      <c r="AG34" s="118" t="s">
        <v>17</v>
      </c>
      <c r="AH34" s="18">
        <f>AB9*AI34</f>
        <v>0</v>
      </c>
      <c r="AI34" s="155">
        <f>ROUNDUP(((AH10/600)*(AB13-AB12+40)/1000)/AF34,0)</f>
        <v>1</v>
      </c>
      <c r="AJ34" s="20"/>
      <c r="AK34" s="43"/>
      <c r="AM34" s="30" t="s">
        <v>16</v>
      </c>
      <c r="AN34" s="18" t="s">
        <v>67</v>
      </c>
      <c r="AO34" s="103"/>
      <c r="AP34" s="105"/>
      <c r="AQ34" s="105"/>
      <c r="AR34" s="160">
        <v>3</v>
      </c>
      <c r="AS34" s="118" t="s">
        <v>17</v>
      </c>
      <c r="AT34" s="18">
        <f>AN9*AU34</f>
        <v>0</v>
      </c>
      <c r="AU34" s="155">
        <f>ROUNDUP(((AT10/600)*(AN13-AN12+40)/1000)/AR34,0)</f>
        <v>1</v>
      </c>
      <c r="AV34" s="20"/>
      <c r="AW34" s="43"/>
    </row>
    <row r="35" spans="1:49" s="16" customFormat="1" ht="15" customHeight="1" thickBot="1" x14ac:dyDescent="0.3">
      <c r="A35" s="43"/>
      <c r="D35" s="20"/>
      <c r="E35" s="20"/>
      <c r="F35" s="20"/>
      <c r="G35" s="20"/>
      <c r="H35" s="20"/>
      <c r="I35" s="20"/>
      <c r="J35" s="20"/>
      <c r="K35" s="20"/>
      <c r="L35" s="20"/>
      <c r="M35" s="43"/>
      <c r="N35" s="20"/>
      <c r="O35" s="21"/>
      <c r="P35" s="23"/>
      <c r="Q35" s="23"/>
      <c r="R35" s="23"/>
      <c r="S35" s="23"/>
      <c r="T35" s="23"/>
      <c r="U35" s="20"/>
      <c r="V35" s="20"/>
      <c r="W35" s="20"/>
      <c r="X35" s="20"/>
      <c r="Y35" s="43"/>
      <c r="AA35" s="167" t="s">
        <v>15</v>
      </c>
      <c r="AB35" s="156"/>
      <c r="AC35" s="168"/>
      <c r="AD35" s="168"/>
      <c r="AE35" s="168"/>
      <c r="AF35" s="169"/>
      <c r="AG35" s="194"/>
      <c r="AH35" s="170" t="str">
        <f>ROUNDUP(AB9*AH10*(AB13-AB12+40)/1000000*1.15,1)&amp;" m²"</f>
        <v>0 m²</v>
      </c>
      <c r="AI35" s="171" t="str">
        <f>ROUNDUP(AH10*(AB13-AB12+40)/1000000*1.15,1)&amp;" m²"</f>
        <v>0,1 m²</v>
      </c>
      <c r="AJ35" s="20"/>
      <c r="AK35" s="43"/>
      <c r="AM35" s="167" t="s">
        <v>15</v>
      </c>
      <c r="AN35" s="156"/>
      <c r="AO35" s="168"/>
      <c r="AP35" s="168"/>
      <c r="AQ35" s="168"/>
      <c r="AR35" s="169"/>
      <c r="AS35" s="194"/>
      <c r="AT35" s="170" t="str">
        <f>ROUNDUP(AN9*AT10*(AN13-AN12+40)/1000000*1.15,1)&amp;" m²"</f>
        <v>0 m²</v>
      </c>
      <c r="AU35" s="171" t="str">
        <f>ROUNDUP(AT10*(AN13-AN12+40)/1000000*1.15,1)&amp;" m²"</f>
        <v>0,1 m²</v>
      </c>
      <c r="AV35" s="20"/>
      <c r="AW35" s="43"/>
    </row>
    <row r="36" spans="1:49" s="16" customFormat="1" ht="15" customHeight="1" thickBot="1" x14ac:dyDescent="0.3">
      <c r="A36" s="43"/>
      <c r="D36" s="20"/>
      <c r="E36" s="20"/>
      <c r="F36" s="20"/>
      <c r="G36" s="20"/>
      <c r="H36" s="20"/>
      <c r="I36" s="20"/>
      <c r="J36" s="20"/>
      <c r="K36" s="20"/>
      <c r="L36" s="20"/>
      <c r="M36" s="43"/>
      <c r="N36" s="20"/>
      <c r="O36" s="21"/>
      <c r="P36" s="23"/>
      <c r="Q36" s="23"/>
      <c r="R36" s="23"/>
      <c r="S36" s="23"/>
      <c r="T36" s="23"/>
      <c r="U36" s="23"/>
      <c r="V36" s="23"/>
      <c r="W36" s="23"/>
      <c r="X36" s="23"/>
      <c r="Y36" s="43"/>
      <c r="AA36" s="188"/>
      <c r="AB36" s="189"/>
      <c r="AC36" s="189"/>
      <c r="AD36" s="189"/>
      <c r="AE36" s="187" t="s">
        <v>70</v>
      </c>
      <c r="AF36" s="189"/>
      <c r="AG36" s="189"/>
      <c r="AH36" s="189"/>
      <c r="AI36" s="190"/>
      <c r="AJ36" s="20"/>
      <c r="AK36" s="43"/>
      <c r="AM36" s="188"/>
      <c r="AN36" s="189"/>
      <c r="AO36" s="189"/>
      <c r="AP36" s="189"/>
      <c r="AQ36" s="187" t="s">
        <v>70</v>
      </c>
      <c r="AR36" s="189"/>
      <c r="AS36" s="189"/>
      <c r="AT36" s="189"/>
      <c r="AU36" s="190"/>
      <c r="AV36" s="20"/>
      <c r="AW36" s="43"/>
    </row>
    <row r="37" spans="1:49" s="16" customFormat="1" ht="15" customHeight="1" thickBot="1" x14ac:dyDescent="0.3">
      <c r="A37" s="49"/>
      <c r="B37" s="21"/>
      <c r="D37" s="20"/>
      <c r="E37" s="20"/>
      <c r="F37" s="20"/>
      <c r="G37" s="20"/>
      <c r="H37" s="20"/>
      <c r="I37" s="20"/>
      <c r="J37" s="23"/>
      <c r="K37" s="23"/>
      <c r="L37" s="23"/>
      <c r="M37" s="49"/>
      <c r="N37" s="23"/>
      <c r="O37" s="21"/>
      <c r="P37" s="23"/>
      <c r="Q37" s="23"/>
      <c r="R37" s="23"/>
      <c r="S37" s="23"/>
      <c r="T37" s="23"/>
      <c r="U37" s="23"/>
      <c r="V37" s="23"/>
      <c r="W37" s="23"/>
      <c r="X37" s="23"/>
      <c r="Y37" s="49"/>
      <c r="AA37" s="172" t="s">
        <v>12</v>
      </c>
      <c r="AB37" s="173">
        <v>16</v>
      </c>
      <c r="AC37" s="182"/>
      <c r="AD37" s="183">
        <v>595</v>
      </c>
      <c r="AE37" s="184" t="s">
        <v>5</v>
      </c>
      <c r="AF37" s="185">
        <f>IF(AB14="oui",AB10+210,AB10+30)</f>
        <v>30</v>
      </c>
      <c r="AG37" s="195" t="s">
        <v>1</v>
      </c>
      <c r="AH37" s="173">
        <f>AI37*AB9</f>
        <v>0</v>
      </c>
      <c r="AI37" s="174">
        <v>1</v>
      </c>
      <c r="AJ37" s="20"/>
      <c r="AK37" s="49"/>
      <c r="AM37" s="172" t="s">
        <v>12</v>
      </c>
      <c r="AN37" s="173">
        <v>16</v>
      </c>
      <c r="AO37" s="182"/>
      <c r="AP37" s="183">
        <v>595</v>
      </c>
      <c r="AQ37" s="184" t="s">
        <v>5</v>
      </c>
      <c r="AR37" s="185">
        <f>AN10+30</f>
        <v>30</v>
      </c>
      <c r="AS37" s="195" t="s">
        <v>1</v>
      </c>
      <c r="AT37" s="173">
        <f>AU37*AN9</f>
        <v>0</v>
      </c>
      <c r="AU37" s="174">
        <v>1</v>
      </c>
      <c r="AV37" s="20"/>
      <c r="AW37" s="49"/>
    </row>
    <row r="38" spans="1:49" s="16" customFormat="1" ht="15" customHeight="1" x14ac:dyDescent="0.25">
      <c r="A38" s="49"/>
      <c r="D38" s="20"/>
      <c r="E38" s="20"/>
      <c r="F38" s="20"/>
      <c r="G38" s="20"/>
      <c r="H38" s="20"/>
      <c r="I38" s="20"/>
      <c r="J38" s="23"/>
      <c r="K38" s="23"/>
      <c r="L38" s="23"/>
      <c r="M38" s="49"/>
      <c r="N38" s="23"/>
      <c r="O38" s="21"/>
      <c r="P38" s="23"/>
      <c r="Q38" s="23"/>
      <c r="R38" s="23"/>
      <c r="S38" s="23"/>
      <c r="T38" s="23"/>
      <c r="U38" s="23"/>
      <c r="V38" s="23"/>
      <c r="W38" s="23"/>
      <c r="X38" s="23"/>
      <c r="Y38" s="49"/>
      <c r="AB38" s="20"/>
      <c r="AC38" s="20"/>
      <c r="AD38" s="20"/>
      <c r="AE38" s="20"/>
      <c r="AF38" s="20"/>
      <c r="AG38" s="20"/>
      <c r="AH38" s="20"/>
      <c r="AI38" s="20"/>
      <c r="AJ38" s="20"/>
      <c r="AK38" s="49"/>
      <c r="AN38" s="20"/>
      <c r="AO38" s="20"/>
      <c r="AP38" s="20"/>
      <c r="AQ38" s="20"/>
      <c r="AR38" s="20"/>
      <c r="AS38" s="20"/>
      <c r="AT38" s="20"/>
      <c r="AU38" s="20"/>
      <c r="AV38" s="20"/>
      <c r="AW38" s="49"/>
    </row>
    <row r="39" spans="1:49" s="16" customFormat="1" ht="15" customHeight="1" x14ac:dyDescent="0.25">
      <c r="A39" s="49"/>
      <c r="D39" s="20"/>
      <c r="E39" s="20"/>
      <c r="F39" s="20"/>
      <c r="G39" s="20"/>
      <c r="H39" s="20"/>
      <c r="I39" s="20"/>
      <c r="J39" s="23"/>
      <c r="K39" s="23"/>
      <c r="L39" s="23"/>
      <c r="M39" s="49"/>
      <c r="N39" s="23"/>
      <c r="O39" s="21"/>
      <c r="P39" s="23"/>
      <c r="Q39" s="23"/>
      <c r="R39" s="23"/>
      <c r="S39" s="23"/>
      <c r="T39" s="23"/>
      <c r="U39" s="23"/>
      <c r="V39" s="23"/>
      <c r="W39" s="23"/>
      <c r="X39" s="23"/>
      <c r="Y39" s="49"/>
      <c r="AB39" s="20"/>
      <c r="AC39" s="20"/>
      <c r="AD39" s="20"/>
      <c r="AE39" s="20"/>
      <c r="AF39" s="20"/>
      <c r="AG39" s="20"/>
      <c r="AH39" s="20"/>
      <c r="AI39" s="20"/>
      <c r="AJ39" s="20"/>
      <c r="AK39" s="49"/>
      <c r="AN39" s="20"/>
      <c r="AO39" s="20"/>
      <c r="AP39" s="20"/>
      <c r="AQ39" s="20"/>
      <c r="AR39" s="20"/>
      <c r="AS39" s="20"/>
      <c r="AT39" s="20"/>
      <c r="AU39" s="20"/>
      <c r="AV39" s="20"/>
      <c r="AW39" s="49"/>
    </row>
    <row r="40" spans="1:49" s="16" customFormat="1" ht="15" customHeight="1" x14ac:dyDescent="0.25">
      <c r="A40" s="49"/>
      <c r="D40" s="20"/>
      <c r="E40" s="20"/>
      <c r="F40" s="20"/>
      <c r="G40" s="20"/>
      <c r="H40" s="20"/>
      <c r="I40" s="20"/>
      <c r="J40" s="23"/>
      <c r="K40" s="23"/>
      <c r="L40" s="23"/>
      <c r="M40" s="49"/>
      <c r="N40" s="23"/>
      <c r="O40" s="21"/>
      <c r="P40" s="23"/>
      <c r="Q40" s="23"/>
      <c r="R40" s="23"/>
      <c r="S40" s="23"/>
      <c r="T40" s="23"/>
      <c r="U40" s="23"/>
      <c r="V40" s="23"/>
      <c r="W40" s="23"/>
      <c r="X40" s="23"/>
      <c r="Y40" s="49"/>
      <c r="AB40" s="20"/>
      <c r="AC40" s="20"/>
      <c r="AD40" s="20"/>
      <c r="AE40" s="20"/>
      <c r="AF40" s="20"/>
      <c r="AG40" s="20"/>
      <c r="AH40" s="20"/>
      <c r="AI40" s="20"/>
      <c r="AJ40" s="20"/>
      <c r="AK40" s="49"/>
      <c r="AN40" s="20"/>
      <c r="AO40" s="20"/>
      <c r="AP40" s="20"/>
      <c r="AQ40" s="20"/>
      <c r="AR40" s="20"/>
      <c r="AS40" s="20"/>
      <c r="AT40" s="20"/>
      <c r="AU40" s="20"/>
      <c r="AV40" s="20"/>
      <c r="AW40" s="49"/>
    </row>
    <row r="41" spans="1:49" s="16" customFormat="1" ht="15" customHeight="1" x14ac:dyDescent="0.25">
      <c r="A41" s="49"/>
      <c r="D41" s="20"/>
      <c r="E41" s="20"/>
      <c r="F41" s="20"/>
      <c r="G41" s="20"/>
      <c r="H41" s="20"/>
      <c r="I41" s="20"/>
      <c r="J41" s="23"/>
      <c r="K41" s="23"/>
      <c r="L41" s="23"/>
      <c r="M41" s="49"/>
      <c r="N41" s="23"/>
      <c r="O41" s="21"/>
      <c r="P41" s="23"/>
      <c r="Q41" s="23"/>
      <c r="R41" s="23"/>
      <c r="S41" s="23"/>
      <c r="T41" s="23"/>
      <c r="U41" s="23"/>
      <c r="V41" s="23"/>
      <c r="W41" s="23"/>
      <c r="X41" s="23"/>
      <c r="Y41" s="49"/>
      <c r="AB41" s="20"/>
      <c r="AC41" s="20"/>
      <c r="AD41" s="20"/>
      <c r="AE41" s="20"/>
      <c r="AF41" s="20"/>
      <c r="AG41" s="20"/>
      <c r="AH41" s="20"/>
      <c r="AI41" s="20"/>
      <c r="AJ41" s="20"/>
      <c r="AK41" s="49"/>
      <c r="AN41" s="20"/>
      <c r="AO41" s="20"/>
      <c r="AP41" s="20"/>
      <c r="AQ41" s="20"/>
      <c r="AR41" s="20"/>
      <c r="AS41" s="20"/>
      <c r="AT41" s="20"/>
      <c r="AU41" s="20"/>
      <c r="AV41" s="20"/>
      <c r="AW41" s="49"/>
    </row>
    <row r="42" spans="1:49" s="16" customFormat="1" ht="15" customHeight="1" x14ac:dyDescent="0.25">
      <c r="A42" s="49"/>
      <c r="D42" s="20"/>
      <c r="E42" s="20"/>
      <c r="F42" s="20"/>
      <c r="G42" s="20"/>
      <c r="H42" s="20"/>
      <c r="I42" s="20"/>
      <c r="J42" s="23"/>
      <c r="K42" s="23"/>
      <c r="L42" s="23"/>
      <c r="M42" s="49"/>
      <c r="N42" s="23"/>
      <c r="O42" s="21"/>
      <c r="P42" s="23"/>
      <c r="Q42" s="23"/>
      <c r="R42" s="23"/>
      <c r="S42" s="23"/>
      <c r="T42" s="23"/>
      <c r="U42" s="23"/>
      <c r="V42" s="23"/>
      <c r="W42" s="23"/>
      <c r="X42" s="23"/>
      <c r="Y42" s="49"/>
      <c r="AB42" s="20"/>
      <c r="AC42" s="20"/>
      <c r="AD42" s="20"/>
      <c r="AE42" s="20"/>
      <c r="AF42" s="20"/>
      <c r="AG42" s="20"/>
      <c r="AH42" s="20"/>
      <c r="AI42" s="20"/>
      <c r="AJ42" s="20"/>
      <c r="AK42" s="49"/>
      <c r="AN42" s="20"/>
      <c r="AO42" s="20"/>
      <c r="AP42" s="20"/>
      <c r="AQ42" s="20"/>
      <c r="AR42" s="20"/>
      <c r="AS42" s="20"/>
      <c r="AT42" s="20"/>
      <c r="AU42" s="20"/>
      <c r="AV42" s="20"/>
      <c r="AW42" s="49"/>
    </row>
    <row r="43" spans="1:49" s="16" customFormat="1" ht="15" customHeight="1" x14ac:dyDescent="0.25">
      <c r="A43" s="49"/>
      <c r="D43" s="20"/>
      <c r="E43" s="20"/>
      <c r="F43" s="20"/>
      <c r="G43" s="20"/>
      <c r="H43" s="20"/>
      <c r="I43" s="20"/>
      <c r="J43" s="23"/>
      <c r="K43" s="23"/>
      <c r="L43" s="23"/>
      <c r="M43" s="49"/>
      <c r="N43" s="23"/>
      <c r="O43" s="21"/>
      <c r="P43" s="23"/>
      <c r="Q43" s="23"/>
      <c r="R43" s="23"/>
      <c r="S43" s="23"/>
      <c r="T43" s="23"/>
      <c r="U43" s="23"/>
      <c r="V43" s="23"/>
      <c r="W43" s="23"/>
      <c r="X43" s="23"/>
      <c r="Y43" s="49"/>
      <c r="AB43" s="20"/>
      <c r="AC43" s="20"/>
      <c r="AD43" s="20"/>
      <c r="AE43" s="20"/>
      <c r="AF43" s="20"/>
      <c r="AG43" s="20"/>
      <c r="AH43" s="20"/>
      <c r="AI43" s="20"/>
      <c r="AJ43" s="20"/>
      <c r="AK43" s="49"/>
      <c r="AN43" s="20"/>
      <c r="AO43" s="20"/>
      <c r="AP43" s="20"/>
      <c r="AQ43" s="20"/>
      <c r="AR43" s="20"/>
      <c r="AS43" s="20"/>
      <c r="AT43" s="20"/>
      <c r="AU43" s="20"/>
      <c r="AV43" s="20"/>
      <c r="AW43" s="49"/>
    </row>
    <row r="44" spans="1:49" s="16" customFormat="1" ht="15" customHeight="1" x14ac:dyDescent="0.25">
      <c r="A44" s="49"/>
      <c r="D44" s="20"/>
      <c r="E44" s="20"/>
      <c r="F44" s="20"/>
      <c r="G44" s="20"/>
      <c r="H44" s="20"/>
      <c r="I44" s="20"/>
      <c r="J44" s="23"/>
      <c r="K44" s="23"/>
      <c r="L44" s="23"/>
      <c r="M44" s="49"/>
      <c r="N44" s="23"/>
      <c r="O44" s="21"/>
      <c r="P44" s="23"/>
      <c r="Q44" s="23"/>
      <c r="R44" s="23"/>
      <c r="S44" s="23"/>
      <c r="T44" s="23"/>
      <c r="U44" s="23"/>
      <c r="V44" s="23"/>
      <c r="W44" s="23"/>
      <c r="X44" s="23"/>
      <c r="Y44" s="49"/>
      <c r="AB44" s="20"/>
      <c r="AC44" s="20"/>
      <c r="AD44" s="20"/>
      <c r="AE44" s="20"/>
      <c r="AF44" s="20"/>
      <c r="AG44" s="20"/>
      <c r="AH44" s="20"/>
      <c r="AI44" s="20"/>
      <c r="AJ44" s="20"/>
      <c r="AK44" s="49"/>
      <c r="AN44" s="20"/>
      <c r="AO44" s="20"/>
      <c r="AP44" s="20"/>
      <c r="AQ44" s="20"/>
      <c r="AR44" s="20"/>
      <c r="AS44" s="20"/>
      <c r="AT44" s="20"/>
      <c r="AU44" s="20"/>
      <c r="AV44" s="20"/>
      <c r="AW44" s="49"/>
    </row>
    <row r="45" spans="1:49" s="16" customFormat="1" ht="15" customHeight="1" x14ac:dyDescent="0.25">
      <c r="A45" s="49"/>
      <c r="D45" s="20"/>
      <c r="E45" s="20"/>
      <c r="F45" s="20"/>
      <c r="G45" s="20"/>
      <c r="H45" s="20"/>
      <c r="I45" s="20"/>
      <c r="J45" s="23"/>
      <c r="K45" s="23"/>
      <c r="L45" s="23"/>
      <c r="M45" s="49"/>
      <c r="N45" s="23"/>
      <c r="O45" s="21"/>
      <c r="P45" s="23"/>
      <c r="Q45" s="23"/>
      <c r="R45" s="23"/>
      <c r="S45" s="23"/>
      <c r="T45" s="23"/>
      <c r="U45" s="23"/>
      <c r="V45" s="23"/>
      <c r="W45" s="23"/>
      <c r="X45" s="23"/>
      <c r="Y45" s="49"/>
      <c r="AB45" s="20"/>
      <c r="AC45" s="20"/>
      <c r="AD45" s="20"/>
      <c r="AE45" s="20"/>
      <c r="AF45" s="20"/>
      <c r="AG45" s="20"/>
      <c r="AH45" s="20"/>
      <c r="AI45" s="20"/>
      <c r="AJ45" s="20"/>
      <c r="AK45" s="49"/>
      <c r="AN45" s="20"/>
      <c r="AO45" s="20"/>
      <c r="AP45" s="20"/>
      <c r="AQ45" s="20"/>
      <c r="AR45" s="20"/>
      <c r="AS45" s="20"/>
      <c r="AT45" s="20"/>
      <c r="AU45" s="20"/>
      <c r="AV45" s="20"/>
      <c r="AW45" s="49"/>
    </row>
    <row r="46" spans="1:49" s="16" customFormat="1" ht="15" customHeight="1" x14ac:dyDescent="0.25">
      <c r="A46" s="49"/>
      <c r="D46" s="20"/>
      <c r="E46" s="20"/>
      <c r="F46" s="20"/>
      <c r="G46" s="20"/>
      <c r="H46" s="20"/>
      <c r="I46" s="20"/>
      <c r="J46" s="23"/>
      <c r="K46" s="23"/>
      <c r="L46" s="23"/>
      <c r="M46" s="49"/>
      <c r="N46" s="23"/>
      <c r="O46" s="21"/>
      <c r="P46" s="23"/>
      <c r="Q46" s="23"/>
      <c r="R46" s="23"/>
      <c r="S46" s="23"/>
      <c r="T46" s="23"/>
      <c r="U46" s="23"/>
      <c r="V46" s="23"/>
      <c r="W46" s="23"/>
      <c r="X46" s="23"/>
      <c r="Y46" s="49"/>
      <c r="AB46" s="20"/>
      <c r="AC46" s="20"/>
      <c r="AD46" s="20"/>
      <c r="AE46" s="20"/>
      <c r="AF46" s="20"/>
      <c r="AG46" s="20"/>
      <c r="AH46" s="20"/>
      <c r="AI46" s="20"/>
      <c r="AJ46" s="20"/>
      <c r="AK46" s="49"/>
      <c r="AN46" s="20"/>
      <c r="AO46" s="20"/>
      <c r="AP46" s="20"/>
      <c r="AQ46" s="20"/>
      <c r="AR46" s="20"/>
      <c r="AS46" s="20"/>
      <c r="AT46" s="20"/>
      <c r="AU46" s="20"/>
      <c r="AV46" s="20"/>
      <c r="AW46" s="49"/>
    </row>
    <row r="47" spans="1:49" s="16" customFormat="1" ht="15" customHeight="1" x14ac:dyDescent="0.25">
      <c r="A47" s="49"/>
      <c r="D47" s="20"/>
      <c r="E47" s="20"/>
      <c r="F47" s="20"/>
      <c r="G47" s="20"/>
      <c r="H47" s="20"/>
      <c r="I47" s="20"/>
      <c r="J47" s="23"/>
      <c r="K47" s="23"/>
      <c r="L47" s="23"/>
      <c r="M47" s="49"/>
      <c r="N47" s="23"/>
      <c r="O47" s="21"/>
      <c r="P47" s="23"/>
      <c r="Q47" s="23"/>
      <c r="R47" s="23"/>
      <c r="S47" s="23"/>
      <c r="T47" s="23"/>
      <c r="U47" s="23"/>
      <c r="V47" s="23"/>
      <c r="W47" s="23"/>
      <c r="X47" s="23"/>
      <c r="Y47" s="49"/>
      <c r="AB47" s="20"/>
      <c r="AC47" s="20"/>
      <c r="AD47" s="20"/>
      <c r="AE47" s="20"/>
      <c r="AF47" s="20"/>
      <c r="AG47" s="20"/>
      <c r="AH47" s="20"/>
      <c r="AI47" s="20"/>
      <c r="AJ47" s="20"/>
      <c r="AK47" s="49"/>
      <c r="AN47" s="20"/>
      <c r="AO47" s="20"/>
      <c r="AP47" s="20"/>
      <c r="AQ47" s="20"/>
      <c r="AR47" s="20"/>
      <c r="AS47" s="20"/>
      <c r="AT47" s="20"/>
      <c r="AU47" s="20"/>
      <c r="AV47" s="20"/>
      <c r="AW47" s="49"/>
    </row>
    <row r="48" spans="1:49" s="16" customFormat="1" ht="15" customHeight="1" x14ac:dyDescent="0.25">
      <c r="A48" s="49"/>
      <c r="D48" s="20"/>
      <c r="E48" s="20"/>
      <c r="F48" s="20"/>
      <c r="G48" s="20"/>
      <c r="H48" s="20"/>
      <c r="I48" s="20"/>
      <c r="J48" s="23"/>
      <c r="K48" s="23"/>
      <c r="L48" s="23"/>
      <c r="M48" s="49"/>
      <c r="N48" s="23"/>
      <c r="O48" s="21"/>
      <c r="P48" s="23"/>
      <c r="Q48" s="23"/>
      <c r="R48" s="23"/>
      <c r="S48" s="23"/>
      <c r="T48" s="23"/>
      <c r="U48" s="23"/>
      <c r="V48" s="23"/>
      <c r="W48" s="23"/>
      <c r="X48" s="23"/>
      <c r="Y48" s="49"/>
      <c r="AB48" s="20"/>
      <c r="AC48" s="20"/>
      <c r="AD48" s="20"/>
      <c r="AE48" s="20"/>
      <c r="AF48" s="20"/>
      <c r="AG48" s="20"/>
      <c r="AH48" s="20"/>
      <c r="AI48" s="20"/>
      <c r="AJ48" s="20"/>
      <c r="AK48" s="49"/>
      <c r="AN48" s="20"/>
      <c r="AO48" s="20"/>
      <c r="AP48" s="20"/>
      <c r="AQ48" s="20"/>
      <c r="AR48" s="20"/>
      <c r="AS48" s="20"/>
      <c r="AT48" s="20"/>
      <c r="AU48" s="20"/>
      <c r="AV48" s="20"/>
      <c r="AW48" s="49"/>
    </row>
    <row r="49" spans="1:49" s="16" customFormat="1" ht="15" customHeight="1" x14ac:dyDescent="0.25">
      <c r="A49" s="49"/>
      <c r="D49" s="20"/>
      <c r="E49" s="20"/>
      <c r="F49" s="20"/>
      <c r="G49" s="20"/>
      <c r="H49" s="20"/>
      <c r="I49" s="20"/>
      <c r="J49" s="23"/>
      <c r="K49" s="23"/>
      <c r="L49" s="23"/>
      <c r="M49" s="49"/>
      <c r="N49" s="23"/>
      <c r="O49" s="21"/>
      <c r="P49" s="23"/>
      <c r="Q49" s="23"/>
      <c r="R49" s="23"/>
      <c r="S49" s="23"/>
      <c r="T49" s="23"/>
      <c r="U49" s="23"/>
      <c r="V49" s="23"/>
      <c r="W49" s="23"/>
      <c r="X49" s="23"/>
      <c r="Y49" s="49"/>
      <c r="AB49" s="20"/>
      <c r="AC49" s="20"/>
      <c r="AD49" s="20"/>
      <c r="AE49" s="20"/>
      <c r="AF49" s="20"/>
      <c r="AG49" s="20"/>
      <c r="AH49" s="20"/>
      <c r="AI49" s="20"/>
      <c r="AJ49" s="20"/>
      <c r="AK49" s="49"/>
      <c r="AN49" s="20"/>
      <c r="AO49" s="20"/>
      <c r="AP49" s="20"/>
      <c r="AQ49" s="20"/>
      <c r="AR49" s="20"/>
      <c r="AS49" s="20"/>
      <c r="AT49" s="20"/>
      <c r="AU49" s="20"/>
      <c r="AV49" s="20"/>
      <c r="AW49" s="49"/>
    </row>
    <row r="50" spans="1:49" s="16" customFormat="1" ht="15" customHeight="1" x14ac:dyDescent="0.25">
      <c r="A50" s="49"/>
      <c r="D50" s="20"/>
      <c r="E50" s="20"/>
      <c r="F50" s="20"/>
      <c r="G50" s="20"/>
      <c r="H50" s="20"/>
      <c r="I50" s="20"/>
      <c r="J50" s="23"/>
      <c r="K50" s="23"/>
      <c r="L50" s="23"/>
      <c r="M50" s="49"/>
      <c r="N50" s="23"/>
      <c r="O50" s="21"/>
      <c r="P50" s="23"/>
      <c r="Q50" s="23"/>
      <c r="R50" s="23"/>
      <c r="S50" s="23"/>
      <c r="T50" s="23"/>
      <c r="U50" s="23"/>
      <c r="V50" s="23"/>
      <c r="W50" s="23"/>
      <c r="X50" s="23"/>
      <c r="Y50" s="49"/>
      <c r="AB50" s="20"/>
      <c r="AC50" s="20"/>
      <c r="AD50" s="20"/>
      <c r="AE50" s="20"/>
      <c r="AF50" s="20"/>
      <c r="AG50" s="20"/>
      <c r="AH50" s="20"/>
      <c r="AI50" s="20"/>
      <c r="AJ50" s="20"/>
      <c r="AK50" s="49"/>
      <c r="AN50" s="20"/>
      <c r="AO50" s="20"/>
      <c r="AP50" s="20"/>
      <c r="AQ50" s="20"/>
      <c r="AR50" s="20"/>
      <c r="AS50" s="20"/>
      <c r="AT50" s="20"/>
      <c r="AU50" s="20"/>
      <c r="AV50" s="20"/>
      <c r="AW50" s="49"/>
    </row>
    <row r="51" spans="1:49" s="16" customFormat="1" ht="15" customHeight="1" x14ac:dyDescent="0.25">
      <c r="A51" s="49"/>
      <c r="D51" s="20"/>
      <c r="E51" s="20"/>
      <c r="F51" s="20"/>
      <c r="G51" s="20"/>
      <c r="H51" s="20"/>
      <c r="I51" s="20"/>
      <c r="J51" s="23"/>
      <c r="K51" s="23"/>
      <c r="L51" s="23"/>
      <c r="M51" s="49"/>
      <c r="N51" s="23"/>
      <c r="O51" s="21"/>
      <c r="P51" s="23"/>
      <c r="Q51" s="23"/>
      <c r="R51" s="23"/>
      <c r="S51" s="23"/>
      <c r="T51" s="23"/>
      <c r="U51" s="23"/>
      <c r="V51" s="23"/>
      <c r="W51" s="23"/>
      <c r="X51" s="23"/>
      <c r="Y51" s="49"/>
      <c r="AB51" s="20"/>
      <c r="AC51" s="20"/>
      <c r="AD51" s="20"/>
      <c r="AE51" s="20"/>
      <c r="AF51" s="20"/>
      <c r="AG51" s="20"/>
      <c r="AH51" s="20"/>
      <c r="AI51" s="20"/>
      <c r="AJ51" s="20"/>
      <c r="AK51" s="49"/>
      <c r="AN51" s="20"/>
      <c r="AO51" s="20"/>
      <c r="AP51" s="20"/>
      <c r="AQ51" s="20"/>
      <c r="AR51" s="20"/>
      <c r="AS51" s="20"/>
      <c r="AT51" s="20"/>
      <c r="AU51" s="20"/>
      <c r="AV51" s="20"/>
      <c r="AW51" s="49"/>
    </row>
    <row r="52" spans="1:49" s="16" customFormat="1" ht="15" customHeight="1" x14ac:dyDescent="0.25">
      <c r="A52" s="49"/>
      <c r="D52" s="20"/>
      <c r="E52" s="20"/>
      <c r="F52" s="20"/>
      <c r="G52" s="20"/>
      <c r="H52" s="20"/>
      <c r="I52" s="20"/>
      <c r="J52" s="23"/>
      <c r="K52" s="23"/>
      <c r="L52" s="23"/>
      <c r="M52" s="49"/>
      <c r="N52" s="23"/>
      <c r="O52" s="21"/>
      <c r="P52" s="23"/>
      <c r="Q52" s="23"/>
      <c r="R52" s="23"/>
      <c r="S52" s="23"/>
      <c r="T52" s="23"/>
      <c r="U52" s="23"/>
      <c r="V52" s="23"/>
      <c r="W52" s="23"/>
      <c r="X52" s="23"/>
      <c r="Y52" s="49"/>
      <c r="AB52" s="20"/>
      <c r="AC52" s="20"/>
      <c r="AD52" s="20"/>
      <c r="AE52" s="20"/>
      <c r="AF52" s="20"/>
      <c r="AG52" s="20"/>
      <c r="AH52" s="20"/>
      <c r="AI52" s="20"/>
      <c r="AJ52" s="20"/>
      <c r="AK52" s="49"/>
      <c r="AN52" s="20"/>
      <c r="AO52" s="20"/>
      <c r="AP52" s="20"/>
      <c r="AQ52" s="20"/>
      <c r="AR52" s="20"/>
      <c r="AS52" s="20"/>
      <c r="AT52" s="20"/>
      <c r="AU52" s="20"/>
      <c r="AV52" s="20"/>
      <c r="AW52" s="49"/>
    </row>
    <row r="53" spans="1:49" s="16" customFormat="1" ht="15" customHeight="1" x14ac:dyDescent="0.25">
      <c r="A53" s="49"/>
      <c r="D53" s="20"/>
      <c r="E53" s="20"/>
      <c r="F53" s="20"/>
      <c r="G53" s="20"/>
      <c r="H53" s="20"/>
      <c r="I53" s="20"/>
      <c r="J53" s="23"/>
      <c r="K53" s="23"/>
      <c r="L53" s="23"/>
      <c r="M53" s="49"/>
      <c r="N53" s="23"/>
      <c r="O53" s="21"/>
      <c r="P53" s="23"/>
      <c r="Q53" s="23"/>
      <c r="R53" s="23"/>
      <c r="S53" s="23"/>
      <c r="T53" s="23"/>
      <c r="U53" s="23"/>
      <c r="V53" s="23"/>
      <c r="W53" s="23"/>
      <c r="X53" s="23"/>
      <c r="Y53" s="49"/>
      <c r="AB53" s="20"/>
      <c r="AC53" s="20"/>
      <c r="AD53" s="20"/>
      <c r="AE53" s="20"/>
      <c r="AF53" s="20"/>
      <c r="AG53" s="20"/>
      <c r="AH53" s="20"/>
      <c r="AI53" s="20"/>
      <c r="AJ53" s="20"/>
      <c r="AK53" s="49"/>
      <c r="AN53" s="20"/>
      <c r="AO53" s="20"/>
      <c r="AP53" s="20"/>
      <c r="AQ53" s="20"/>
      <c r="AR53" s="20"/>
      <c r="AS53" s="20"/>
      <c r="AT53" s="20"/>
      <c r="AU53" s="20"/>
      <c r="AV53" s="20"/>
      <c r="AW53" s="49"/>
    </row>
    <row r="54" spans="1:49" s="16" customFormat="1" ht="15" customHeight="1" x14ac:dyDescent="0.25">
      <c r="A54" s="49"/>
      <c r="D54" s="20"/>
      <c r="E54" s="20"/>
      <c r="F54" s="20"/>
      <c r="G54" s="20"/>
      <c r="H54" s="20"/>
      <c r="I54" s="20"/>
      <c r="J54" s="23"/>
      <c r="K54" s="23"/>
      <c r="L54" s="23"/>
      <c r="M54" s="49"/>
      <c r="N54" s="23"/>
      <c r="O54" s="21"/>
      <c r="P54" s="23"/>
      <c r="Q54" s="23"/>
      <c r="R54" s="23"/>
      <c r="S54" s="23"/>
      <c r="T54" s="23"/>
      <c r="U54" s="23"/>
      <c r="V54" s="23"/>
      <c r="W54" s="23"/>
      <c r="X54" s="23"/>
      <c r="Y54" s="49"/>
      <c r="AB54" s="20"/>
      <c r="AC54" s="20"/>
      <c r="AD54" s="20"/>
      <c r="AE54" s="20"/>
      <c r="AF54" s="20"/>
      <c r="AG54" s="20"/>
      <c r="AH54" s="20"/>
      <c r="AI54" s="20"/>
      <c r="AJ54" s="20"/>
      <c r="AK54" s="49"/>
      <c r="AN54" s="20"/>
      <c r="AO54" s="20"/>
      <c r="AP54" s="20"/>
      <c r="AQ54" s="20"/>
      <c r="AR54" s="20"/>
      <c r="AS54" s="20"/>
      <c r="AT54" s="20"/>
      <c r="AU54" s="20"/>
      <c r="AV54" s="20"/>
      <c r="AW54" s="49"/>
    </row>
    <row r="55" spans="1:49" s="16" customFormat="1" ht="15" customHeight="1" x14ac:dyDescent="0.25">
      <c r="A55" s="49"/>
      <c r="D55" s="20"/>
      <c r="E55" s="20"/>
      <c r="F55" s="20"/>
      <c r="G55" s="20"/>
      <c r="H55" s="20"/>
      <c r="I55" s="20"/>
      <c r="J55" s="23"/>
      <c r="K55" s="23"/>
      <c r="L55" s="23"/>
      <c r="M55" s="49"/>
      <c r="N55" s="23"/>
      <c r="O55" s="21"/>
      <c r="P55" s="23"/>
      <c r="Q55" s="23"/>
      <c r="R55" s="23"/>
      <c r="S55" s="23"/>
      <c r="T55" s="23"/>
      <c r="U55" s="23"/>
      <c r="V55" s="23"/>
      <c r="W55" s="23"/>
      <c r="X55" s="23"/>
      <c r="Y55" s="49"/>
      <c r="AB55" s="20"/>
      <c r="AC55" s="20"/>
      <c r="AD55" s="20"/>
      <c r="AE55" s="20"/>
      <c r="AF55" s="20"/>
      <c r="AG55" s="20"/>
      <c r="AH55" s="20"/>
      <c r="AI55" s="20"/>
      <c r="AJ55" s="20"/>
      <c r="AK55" s="49"/>
      <c r="AN55" s="20"/>
      <c r="AO55" s="20"/>
      <c r="AP55" s="20"/>
      <c r="AQ55" s="20"/>
      <c r="AR55" s="20"/>
      <c r="AS55" s="20"/>
      <c r="AT55" s="20"/>
      <c r="AU55" s="20"/>
      <c r="AV55" s="20"/>
      <c r="AW55" s="49"/>
    </row>
    <row r="56" spans="1:49" s="16" customFormat="1" ht="15" customHeight="1" x14ac:dyDescent="0.25">
      <c r="A56" s="49"/>
      <c r="D56" s="20"/>
      <c r="E56" s="20"/>
      <c r="F56" s="20"/>
      <c r="G56" s="20"/>
      <c r="H56" s="20"/>
      <c r="I56" s="20"/>
      <c r="J56" s="23"/>
      <c r="K56" s="23"/>
      <c r="L56" s="23"/>
      <c r="M56" s="49"/>
      <c r="N56" s="23"/>
      <c r="O56" s="21"/>
      <c r="P56" s="23"/>
      <c r="Q56" s="23"/>
      <c r="R56" s="23"/>
      <c r="S56" s="23"/>
      <c r="T56" s="23"/>
      <c r="U56" s="23"/>
      <c r="V56" s="23"/>
      <c r="W56" s="23"/>
      <c r="X56" s="23"/>
      <c r="Y56" s="49"/>
      <c r="AB56" s="20"/>
      <c r="AC56" s="20"/>
      <c r="AD56" s="20"/>
      <c r="AE56" s="20"/>
      <c r="AF56" s="20"/>
      <c r="AG56" s="20"/>
      <c r="AH56" s="20"/>
      <c r="AI56" s="20"/>
      <c r="AJ56" s="20"/>
      <c r="AK56" s="49"/>
      <c r="AN56" s="20"/>
      <c r="AO56" s="20"/>
      <c r="AP56" s="20"/>
      <c r="AQ56" s="20"/>
      <c r="AR56" s="20"/>
      <c r="AS56" s="20"/>
      <c r="AT56" s="20"/>
      <c r="AU56" s="20"/>
      <c r="AV56" s="20"/>
      <c r="AW56" s="49"/>
    </row>
    <row r="57" spans="1:49" s="16" customFormat="1" ht="15" customHeight="1" x14ac:dyDescent="0.25">
      <c r="A57" s="49"/>
      <c r="D57" s="20"/>
      <c r="E57" s="20"/>
      <c r="F57" s="20"/>
      <c r="G57" s="20"/>
      <c r="H57" s="20"/>
      <c r="I57" s="20"/>
      <c r="J57" s="23"/>
      <c r="K57" s="23"/>
      <c r="L57" s="23"/>
      <c r="M57" s="49"/>
      <c r="N57" s="23"/>
      <c r="O57" s="21"/>
      <c r="P57" s="23"/>
      <c r="Q57" s="23"/>
      <c r="R57" s="23"/>
      <c r="S57" s="23"/>
      <c r="T57" s="23"/>
      <c r="U57" s="23"/>
      <c r="V57" s="23"/>
      <c r="W57" s="23"/>
      <c r="X57" s="23"/>
      <c r="Y57" s="49"/>
      <c r="AB57" s="20"/>
      <c r="AC57" s="20"/>
      <c r="AD57" s="20"/>
      <c r="AE57" s="20"/>
      <c r="AF57" s="20"/>
      <c r="AG57" s="20"/>
      <c r="AH57" s="20"/>
      <c r="AI57" s="20"/>
      <c r="AJ57" s="20"/>
      <c r="AK57" s="49"/>
      <c r="AN57" s="20"/>
      <c r="AO57" s="20"/>
      <c r="AP57" s="20"/>
      <c r="AQ57" s="20"/>
      <c r="AR57" s="20"/>
      <c r="AS57" s="20"/>
      <c r="AT57" s="20"/>
      <c r="AU57" s="20"/>
      <c r="AV57" s="20"/>
      <c r="AW57" s="49"/>
    </row>
    <row r="58" spans="1:49" s="16" customFormat="1" ht="15" customHeight="1" x14ac:dyDescent="0.25">
      <c r="A58" s="49"/>
      <c r="D58" s="20"/>
      <c r="E58" s="20"/>
      <c r="F58" s="20"/>
      <c r="G58" s="20"/>
      <c r="H58" s="20"/>
      <c r="I58" s="20"/>
      <c r="J58" s="23"/>
      <c r="K58" s="23"/>
      <c r="L58" s="23"/>
      <c r="M58" s="49"/>
      <c r="N58" s="23"/>
      <c r="O58" s="21"/>
      <c r="P58" s="23"/>
      <c r="Q58" s="23"/>
      <c r="R58" s="23"/>
      <c r="S58" s="23"/>
      <c r="T58" s="23"/>
      <c r="U58" s="23"/>
      <c r="V58" s="23"/>
      <c r="W58" s="23"/>
      <c r="X58" s="23"/>
      <c r="Y58" s="49"/>
      <c r="AB58" s="20"/>
      <c r="AC58" s="20"/>
      <c r="AD58" s="20"/>
      <c r="AE58" s="20"/>
      <c r="AF58" s="20"/>
      <c r="AG58" s="20"/>
      <c r="AH58" s="20"/>
      <c r="AI58" s="20"/>
      <c r="AJ58" s="20"/>
      <c r="AK58" s="49"/>
      <c r="AN58" s="20"/>
      <c r="AO58" s="20"/>
      <c r="AP58" s="20"/>
      <c r="AQ58" s="20"/>
      <c r="AR58" s="20"/>
      <c r="AS58" s="20"/>
      <c r="AT58" s="20"/>
      <c r="AU58" s="20"/>
      <c r="AV58" s="20"/>
      <c r="AW58" s="49"/>
    </row>
    <row r="59" spans="1:49" s="16" customFormat="1" ht="15" customHeight="1" x14ac:dyDescent="0.25">
      <c r="A59" s="49"/>
      <c r="D59" s="20"/>
      <c r="E59" s="20"/>
      <c r="F59" s="20"/>
      <c r="G59" s="20"/>
      <c r="H59" s="20"/>
      <c r="I59" s="20"/>
      <c r="J59" s="23"/>
      <c r="K59" s="23"/>
      <c r="L59" s="23"/>
      <c r="M59" s="49"/>
      <c r="N59" s="23"/>
      <c r="O59" s="21"/>
      <c r="P59" s="23"/>
      <c r="Q59" s="23"/>
      <c r="R59" s="23"/>
      <c r="S59" s="23"/>
      <c r="T59" s="23"/>
      <c r="U59" s="23"/>
      <c r="V59" s="23"/>
      <c r="W59" s="23"/>
      <c r="X59" s="23"/>
      <c r="Y59" s="49"/>
      <c r="AB59" s="20"/>
      <c r="AC59" s="20"/>
      <c r="AD59" s="20"/>
      <c r="AE59" s="20"/>
      <c r="AF59" s="20"/>
      <c r="AG59" s="20"/>
      <c r="AH59" s="20"/>
      <c r="AI59" s="20"/>
      <c r="AJ59" s="20"/>
      <c r="AK59" s="49"/>
      <c r="AN59" s="20"/>
      <c r="AO59" s="20"/>
      <c r="AP59" s="20"/>
      <c r="AQ59" s="20"/>
      <c r="AR59" s="20"/>
      <c r="AS59" s="20"/>
      <c r="AT59" s="20"/>
      <c r="AU59" s="20"/>
      <c r="AV59" s="20"/>
      <c r="AW59" s="49"/>
    </row>
    <row r="60" spans="1:49" s="16" customFormat="1" ht="15" customHeight="1" x14ac:dyDescent="0.25">
      <c r="A60" s="49"/>
      <c r="D60" s="20"/>
      <c r="E60" s="20"/>
      <c r="F60" s="20"/>
      <c r="G60" s="20"/>
      <c r="H60" s="20"/>
      <c r="I60" s="20"/>
      <c r="J60" s="23"/>
      <c r="K60" s="23"/>
      <c r="L60" s="23"/>
      <c r="M60" s="49"/>
      <c r="N60" s="23"/>
      <c r="O60" s="21"/>
      <c r="P60" s="23"/>
      <c r="Q60" s="23"/>
      <c r="R60" s="23"/>
      <c r="S60" s="23"/>
      <c r="T60" s="23"/>
      <c r="U60" s="23"/>
      <c r="V60" s="23"/>
      <c r="W60" s="23"/>
      <c r="X60" s="23"/>
      <c r="Y60" s="49"/>
      <c r="AB60" s="20"/>
      <c r="AC60" s="20"/>
      <c r="AD60" s="20"/>
      <c r="AE60" s="20"/>
      <c r="AF60" s="20"/>
      <c r="AG60" s="20"/>
      <c r="AH60" s="20"/>
      <c r="AI60" s="20"/>
      <c r="AJ60" s="20"/>
      <c r="AK60" s="49"/>
      <c r="AN60" s="20"/>
      <c r="AO60" s="20"/>
      <c r="AP60" s="20"/>
      <c r="AQ60" s="20"/>
      <c r="AR60" s="20"/>
      <c r="AS60" s="20"/>
      <c r="AT60" s="20"/>
      <c r="AU60" s="20"/>
      <c r="AV60" s="20"/>
      <c r="AW60" s="49"/>
    </row>
    <row r="61" spans="1:49" s="16" customFormat="1" ht="15" customHeight="1" x14ac:dyDescent="0.25">
      <c r="A61" s="49"/>
      <c r="D61" s="20"/>
      <c r="E61" s="20"/>
      <c r="F61" s="20"/>
      <c r="G61" s="20"/>
      <c r="H61" s="20"/>
      <c r="I61" s="20"/>
      <c r="J61" s="23"/>
      <c r="K61" s="23"/>
      <c r="L61" s="23"/>
      <c r="M61" s="49"/>
      <c r="N61" s="23"/>
      <c r="O61" s="21"/>
      <c r="P61" s="23"/>
      <c r="Q61" s="23"/>
      <c r="R61" s="23"/>
      <c r="S61" s="23"/>
      <c r="T61" s="23"/>
      <c r="U61" s="23"/>
      <c r="V61" s="23"/>
      <c r="W61" s="23"/>
      <c r="X61" s="23"/>
      <c r="Y61" s="49"/>
      <c r="AB61" s="20"/>
      <c r="AC61" s="20"/>
      <c r="AD61" s="20"/>
      <c r="AE61" s="20"/>
      <c r="AF61" s="20"/>
      <c r="AG61" s="20"/>
      <c r="AH61" s="20"/>
      <c r="AI61" s="20"/>
      <c r="AJ61" s="20"/>
      <c r="AK61" s="49"/>
      <c r="AN61" s="20"/>
      <c r="AO61" s="20"/>
      <c r="AP61" s="20"/>
      <c r="AQ61" s="20"/>
      <c r="AR61" s="20"/>
      <c r="AS61" s="20"/>
      <c r="AT61" s="20"/>
      <c r="AU61" s="20"/>
      <c r="AV61" s="20"/>
      <c r="AW61" s="49"/>
    </row>
    <row r="62" spans="1:49" s="16" customFormat="1" ht="15" customHeight="1" x14ac:dyDescent="0.25">
      <c r="A62" s="49"/>
      <c r="D62" s="20"/>
      <c r="E62" s="20"/>
      <c r="F62" s="20"/>
      <c r="G62" s="20"/>
      <c r="H62" s="20"/>
      <c r="I62" s="20"/>
      <c r="J62" s="23"/>
      <c r="K62" s="23"/>
      <c r="L62" s="23"/>
      <c r="M62" s="49"/>
      <c r="N62" s="23"/>
      <c r="O62" s="21"/>
      <c r="P62" s="23"/>
      <c r="Q62" s="23"/>
      <c r="R62" s="23"/>
      <c r="S62" s="23"/>
      <c r="T62" s="23"/>
      <c r="U62" s="23"/>
      <c r="V62" s="23"/>
      <c r="W62" s="23"/>
      <c r="X62" s="23"/>
      <c r="Y62" s="49"/>
      <c r="AB62" s="20"/>
      <c r="AC62" s="20"/>
      <c r="AD62" s="20"/>
      <c r="AE62" s="20"/>
      <c r="AF62" s="20"/>
      <c r="AG62" s="20"/>
      <c r="AH62" s="20"/>
      <c r="AI62" s="20"/>
      <c r="AJ62" s="20"/>
      <c r="AK62" s="49"/>
      <c r="AN62" s="20"/>
      <c r="AO62" s="20"/>
      <c r="AP62" s="20"/>
      <c r="AQ62" s="20"/>
      <c r="AR62" s="20"/>
      <c r="AS62" s="20"/>
      <c r="AT62" s="20"/>
      <c r="AU62" s="20"/>
      <c r="AV62" s="20"/>
      <c r="AW62" s="49"/>
    </row>
    <row r="63" spans="1:49" s="16" customFormat="1" ht="15" customHeight="1" x14ac:dyDescent="0.25">
      <c r="A63" s="49"/>
      <c r="D63" s="20"/>
      <c r="E63" s="20"/>
      <c r="F63" s="20"/>
      <c r="G63" s="20"/>
      <c r="H63" s="20"/>
      <c r="I63" s="20"/>
      <c r="J63" s="23"/>
      <c r="K63" s="23"/>
      <c r="L63" s="23"/>
      <c r="M63" s="49"/>
      <c r="N63" s="23"/>
      <c r="O63" s="21"/>
      <c r="P63" s="23"/>
      <c r="Q63" s="23"/>
      <c r="R63" s="23"/>
      <c r="S63" s="23"/>
      <c r="T63" s="23"/>
      <c r="U63" s="23"/>
      <c r="V63" s="23"/>
      <c r="W63" s="23"/>
      <c r="X63" s="23"/>
      <c r="Y63" s="49"/>
      <c r="AB63" s="20"/>
      <c r="AC63" s="20"/>
      <c r="AD63" s="20"/>
      <c r="AE63" s="20"/>
      <c r="AF63" s="20"/>
      <c r="AG63" s="20"/>
      <c r="AH63" s="20"/>
      <c r="AI63" s="20"/>
      <c r="AJ63" s="20"/>
      <c r="AK63" s="49"/>
      <c r="AN63" s="20"/>
      <c r="AO63" s="20"/>
      <c r="AP63" s="20"/>
      <c r="AQ63" s="20"/>
      <c r="AR63" s="20"/>
      <c r="AS63" s="20"/>
      <c r="AT63" s="20"/>
      <c r="AU63" s="20"/>
      <c r="AV63" s="20"/>
      <c r="AW63" s="49"/>
    </row>
    <row r="64" spans="1:49" s="16" customFormat="1" ht="15" customHeight="1" x14ac:dyDescent="0.25">
      <c r="A64" s="49"/>
      <c r="D64" s="20"/>
      <c r="E64" s="20"/>
      <c r="F64" s="20"/>
      <c r="G64" s="20"/>
      <c r="H64" s="20"/>
      <c r="I64" s="20"/>
      <c r="J64" s="23"/>
      <c r="K64" s="23"/>
      <c r="L64" s="23"/>
      <c r="M64" s="49"/>
      <c r="N64" s="23"/>
      <c r="O64" s="21"/>
      <c r="P64" s="23"/>
      <c r="Q64" s="23"/>
      <c r="R64" s="23"/>
      <c r="S64" s="23"/>
      <c r="T64" s="23"/>
      <c r="U64" s="23"/>
      <c r="V64" s="23"/>
      <c r="W64" s="23"/>
      <c r="X64" s="23"/>
      <c r="Y64" s="49"/>
      <c r="AB64" s="20"/>
      <c r="AC64" s="20"/>
      <c r="AD64" s="20"/>
      <c r="AE64" s="20"/>
      <c r="AF64" s="20"/>
      <c r="AG64" s="20"/>
      <c r="AH64" s="20"/>
      <c r="AI64" s="20"/>
      <c r="AJ64" s="20"/>
      <c r="AK64" s="49"/>
      <c r="AN64" s="20"/>
      <c r="AO64" s="20"/>
      <c r="AP64" s="20"/>
      <c r="AQ64" s="20"/>
      <c r="AR64" s="20"/>
      <c r="AS64" s="20"/>
      <c r="AT64" s="20"/>
      <c r="AU64" s="20"/>
      <c r="AV64" s="20"/>
      <c r="AW64" s="49"/>
    </row>
    <row r="65" spans="1:49" s="16" customFormat="1" ht="15" customHeight="1" x14ac:dyDescent="0.25">
      <c r="A65" s="49"/>
      <c r="D65" s="20"/>
      <c r="E65" s="20"/>
      <c r="F65" s="20"/>
      <c r="G65" s="20"/>
      <c r="H65" s="20"/>
      <c r="I65" s="20"/>
      <c r="J65" s="23"/>
      <c r="K65" s="23"/>
      <c r="L65" s="23"/>
      <c r="M65" s="49"/>
      <c r="N65" s="23"/>
      <c r="O65" s="21"/>
      <c r="P65" s="23"/>
      <c r="Q65" s="23"/>
      <c r="R65" s="23"/>
      <c r="S65" s="23"/>
      <c r="T65" s="23"/>
      <c r="U65" s="23"/>
      <c r="V65" s="23"/>
      <c r="W65" s="23"/>
      <c r="X65" s="23"/>
      <c r="Y65" s="49"/>
      <c r="AB65" s="20"/>
      <c r="AC65" s="20"/>
      <c r="AD65" s="20"/>
      <c r="AE65" s="20"/>
      <c r="AF65" s="20"/>
      <c r="AG65" s="20"/>
      <c r="AH65" s="20"/>
      <c r="AI65" s="20"/>
      <c r="AJ65" s="20"/>
      <c r="AK65" s="49"/>
      <c r="AN65" s="20"/>
      <c r="AO65" s="20"/>
      <c r="AP65" s="20"/>
      <c r="AQ65" s="20"/>
      <c r="AR65" s="20"/>
      <c r="AS65" s="20"/>
      <c r="AT65" s="20"/>
      <c r="AU65" s="20"/>
      <c r="AV65" s="20"/>
      <c r="AW65" s="49"/>
    </row>
    <row r="66" spans="1:49" s="16" customFormat="1" ht="15" customHeight="1" x14ac:dyDescent="0.25">
      <c r="A66" s="49"/>
      <c r="D66" s="20"/>
      <c r="E66" s="20"/>
      <c r="F66" s="20"/>
      <c r="G66" s="20"/>
      <c r="H66" s="20"/>
      <c r="I66" s="20"/>
      <c r="J66" s="23"/>
      <c r="K66" s="23"/>
      <c r="L66" s="23"/>
      <c r="M66" s="49"/>
      <c r="N66" s="23"/>
      <c r="O66" s="21"/>
      <c r="P66" s="23"/>
      <c r="Q66" s="23"/>
      <c r="R66" s="23"/>
      <c r="S66" s="23"/>
      <c r="T66" s="23"/>
      <c r="U66" s="23"/>
      <c r="V66" s="23"/>
      <c r="W66" s="23"/>
      <c r="X66" s="23"/>
      <c r="Y66" s="49"/>
      <c r="AB66" s="20"/>
      <c r="AC66" s="20"/>
      <c r="AD66" s="20"/>
      <c r="AE66" s="20"/>
      <c r="AF66" s="20"/>
      <c r="AG66" s="20"/>
      <c r="AH66" s="20"/>
      <c r="AI66" s="20"/>
      <c r="AJ66" s="20"/>
      <c r="AK66" s="49"/>
      <c r="AN66" s="20"/>
      <c r="AO66" s="20"/>
      <c r="AP66" s="20"/>
      <c r="AQ66" s="20"/>
      <c r="AR66" s="20"/>
      <c r="AS66" s="20"/>
      <c r="AT66" s="20"/>
      <c r="AU66" s="20"/>
      <c r="AV66" s="20"/>
      <c r="AW66" s="49"/>
    </row>
    <row r="67" spans="1:49" s="16" customFormat="1" ht="15" customHeight="1" x14ac:dyDescent="0.25">
      <c r="A67" s="49"/>
      <c r="D67" s="20"/>
      <c r="E67" s="20"/>
      <c r="F67" s="20"/>
      <c r="G67" s="20"/>
      <c r="H67" s="20"/>
      <c r="I67" s="20"/>
      <c r="J67" s="23"/>
      <c r="K67" s="23"/>
      <c r="L67" s="23"/>
      <c r="M67" s="49"/>
      <c r="N67" s="23"/>
      <c r="O67" s="21"/>
      <c r="P67" s="23"/>
      <c r="Q67" s="23"/>
      <c r="R67" s="23"/>
      <c r="S67" s="23"/>
      <c r="T67" s="23"/>
      <c r="U67" s="23"/>
      <c r="V67" s="23"/>
      <c r="W67" s="23"/>
      <c r="X67" s="23"/>
      <c r="Y67" s="49"/>
      <c r="AB67" s="20"/>
      <c r="AC67" s="20"/>
      <c r="AD67" s="20"/>
      <c r="AE67" s="20"/>
      <c r="AF67" s="20"/>
      <c r="AG67" s="20"/>
      <c r="AH67" s="20"/>
      <c r="AI67" s="20"/>
      <c r="AJ67" s="20"/>
      <c r="AK67" s="49"/>
      <c r="AN67" s="20"/>
      <c r="AO67" s="20"/>
      <c r="AP67" s="20"/>
      <c r="AQ67" s="20"/>
      <c r="AR67" s="20"/>
      <c r="AS67" s="20"/>
      <c r="AT67" s="20"/>
      <c r="AU67" s="20"/>
      <c r="AV67" s="20"/>
      <c r="AW67" s="49"/>
    </row>
    <row r="68" spans="1:49" s="16" customFormat="1" ht="15" customHeight="1" x14ac:dyDescent="0.25">
      <c r="A68" s="49"/>
      <c r="D68" s="20"/>
      <c r="E68" s="20"/>
      <c r="F68" s="20"/>
      <c r="G68" s="20"/>
      <c r="H68" s="20"/>
      <c r="I68" s="20"/>
      <c r="J68" s="23"/>
      <c r="K68" s="23"/>
      <c r="L68" s="23"/>
      <c r="M68" s="49"/>
      <c r="N68" s="23"/>
      <c r="O68" s="21"/>
      <c r="P68" s="23"/>
      <c r="Q68" s="23"/>
      <c r="R68" s="23"/>
      <c r="S68" s="23"/>
      <c r="T68" s="23"/>
      <c r="U68" s="23"/>
      <c r="V68" s="23"/>
      <c r="W68" s="23"/>
      <c r="X68" s="23"/>
      <c r="Y68" s="49"/>
      <c r="AB68" s="20"/>
      <c r="AC68" s="20"/>
      <c r="AD68" s="20"/>
      <c r="AE68" s="20"/>
      <c r="AF68" s="20"/>
      <c r="AG68" s="20"/>
      <c r="AH68" s="20"/>
      <c r="AI68" s="20"/>
      <c r="AJ68" s="20"/>
      <c r="AK68" s="49"/>
      <c r="AN68" s="20"/>
      <c r="AO68" s="20"/>
      <c r="AP68" s="20"/>
      <c r="AQ68" s="20"/>
      <c r="AR68" s="20"/>
      <c r="AS68" s="20"/>
      <c r="AT68" s="20"/>
      <c r="AU68" s="20"/>
      <c r="AV68" s="20"/>
      <c r="AW68" s="49"/>
    </row>
    <row r="69" spans="1:49" s="16" customFormat="1" ht="15" customHeight="1" x14ac:dyDescent="0.25">
      <c r="A69" s="49"/>
      <c r="D69" s="20"/>
      <c r="E69" s="20"/>
      <c r="F69" s="20"/>
      <c r="G69" s="20"/>
      <c r="H69" s="20"/>
      <c r="I69" s="20"/>
      <c r="J69" s="23"/>
      <c r="K69" s="23"/>
      <c r="L69" s="23"/>
      <c r="M69" s="49"/>
      <c r="N69" s="23"/>
      <c r="O69" s="21"/>
      <c r="P69" s="23"/>
      <c r="Q69" s="23"/>
      <c r="R69" s="23"/>
      <c r="S69" s="23"/>
      <c r="T69" s="23"/>
      <c r="U69" s="23"/>
      <c r="V69" s="23"/>
      <c r="W69" s="23"/>
      <c r="X69" s="23"/>
      <c r="Y69" s="49"/>
      <c r="AB69" s="20"/>
      <c r="AC69" s="20"/>
      <c r="AD69" s="20"/>
      <c r="AE69" s="20"/>
      <c r="AF69" s="20"/>
      <c r="AG69" s="20"/>
      <c r="AH69" s="20"/>
      <c r="AI69" s="20"/>
      <c r="AJ69" s="20"/>
      <c r="AK69" s="49"/>
      <c r="AN69" s="20"/>
      <c r="AO69" s="20"/>
      <c r="AP69" s="20"/>
      <c r="AQ69" s="20"/>
      <c r="AR69" s="20"/>
      <c r="AS69" s="20"/>
      <c r="AT69" s="20"/>
      <c r="AU69" s="20"/>
      <c r="AV69" s="20"/>
      <c r="AW69" s="49"/>
    </row>
    <row r="70" spans="1:49" s="16" customFormat="1" ht="15" customHeight="1" x14ac:dyDescent="0.25">
      <c r="A70" s="49"/>
      <c r="D70" s="20"/>
      <c r="E70" s="20"/>
      <c r="F70" s="20"/>
      <c r="G70" s="20"/>
      <c r="H70" s="20"/>
      <c r="I70" s="20"/>
      <c r="J70" s="23"/>
      <c r="K70" s="23"/>
      <c r="L70" s="23"/>
      <c r="M70" s="49"/>
      <c r="N70" s="23"/>
      <c r="O70" s="21"/>
      <c r="P70" s="23"/>
      <c r="Q70" s="23"/>
      <c r="R70" s="23"/>
      <c r="S70" s="23"/>
      <c r="T70" s="23"/>
      <c r="U70" s="23"/>
      <c r="V70" s="23"/>
      <c r="W70" s="23"/>
      <c r="X70" s="23"/>
      <c r="Y70" s="49"/>
      <c r="AJ70" s="20"/>
      <c r="AK70" s="49"/>
      <c r="AN70" s="20"/>
      <c r="AO70" s="20"/>
      <c r="AP70" s="20"/>
      <c r="AQ70" s="20"/>
      <c r="AR70" s="20"/>
      <c r="AS70" s="20"/>
      <c r="AT70" s="20"/>
      <c r="AU70" s="20"/>
      <c r="AV70" s="20"/>
      <c r="AW70" s="49"/>
    </row>
    <row r="71" spans="1:49" s="8" customFormat="1" x14ac:dyDescent="0.25">
      <c r="A71" s="42"/>
      <c r="D71" s="54"/>
      <c r="E71" s="54"/>
      <c r="F71" s="54"/>
      <c r="G71" s="54"/>
      <c r="H71" s="54"/>
      <c r="I71" s="54"/>
      <c r="J71" s="54"/>
      <c r="K71" s="54"/>
      <c r="L71" s="54"/>
      <c r="M71" s="42"/>
      <c r="N71" s="54"/>
      <c r="P71" s="54"/>
      <c r="Q71" s="54"/>
      <c r="R71" s="54"/>
      <c r="S71" s="54"/>
      <c r="T71" s="54"/>
      <c r="U71" s="54"/>
      <c r="V71" s="54"/>
      <c r="W71" s="54"/>
      <c r="X71" s="54"/>
      <c r="Y71" s="42"/>
      <c r="AB71" s="54"/>
      <c r="AC71" s="54"/>
      <c r="AD71" s="54"/>
      <c r="AE71" s="54"/>
      <c r="AF71" s="54"/>
      <c r="AG71" s="54"/>
      <c r="AH71" s="54"/>
      <c r="AI71" s="54"/>
      <c r="AJ71" s="54"/>
      <c r="AK71" s="42"/>
      <c r="AN71" s="54"/>
      <c r="AO71" s="54"/>
      <c r="AP71" s="54"/>
      <c r="AQ71" s="54"/>
      <c r="AR71" s="54"/>
      <c r="AS71" s="54"/>
      <c r="AT71" s="54"/>
      <c r="AU71" s="54"/>
      <c r="AV71" s="54"/>
      <c r="AW71" s="42"/>
    </row>
    <row r="72" spans="1:49" x14ac:dyDescent="0.25">
      <c r="A72" s="42"/>
      <c r="C72" s="5" t="s">
        <v>39</v>
      </c>
      <c r="M72" s="42"/>
      <c r="O72" s="5" t="s">
        <v>39</v>
      </c>
      <c r="Y72" s="42"/>
      <c r="AA72" s="5" t="s">
        <v>39</v>
      </c>
      <c r="AK72" s="42"/>
      <c r="AM72" s="5" t="s">
        <v>39</v>
      </c>
      <c r="AW72" s="42"/>
    </row>
    <row r="73" spans="1:49" x14ac:dyDescent="0.25">
      <c r="A73" s="42"/>
      <c r="M73" s="42"/>
      <c r="Y73" s="42"/>
      <c r="AK73" s="42"/>
      <c r="AW73" s="42"/>
    </row>
    <row r="74" spans="1:49" x14ac:dyDescent="0.25">
      <c r="A74" s="42"/>
      <c r="C74" s="1" t="s">
        <v>73</v>
      </c>
      <c r="D74" s="4">
        <v>0</v>
      </c>
      <c r="E74" s="4">
        <v>0</v>
      </c>
      <c r="M74" s="42"/>
      <c r="O74" s="1" t="s">
        <v>73</v>
      </c>
      <c r="P74" s="4">
        <v>0</v>
      </c>
      <c r="Q74" s="4">
        <f>P319+45</f>
        <v>2065</v>
      </c>
      <c r="Y74" s="42"/>
      <c r="AA74" s="1" t="s">
        <v>73</v>
      </c>
      <c r="AB74" s="4">
        <v>0</v>
      </c>
      <c r="AC74" s="4">
        <v>0</v>
      </c>
      <c r="AK74" s="42"/>
      <c r="AM74" s="1" t="s">
        <v>73</v>
      </c>
      <c r="AN74" s="4">
        <v>0</v>
      </c>
      <c r="AO74" s="4">
        <f>AN319+45</f>
        <v>2065</v>
      </c>
      <c r="AW74" s="42"/>
    </row>
    <row r="75" spans="1:49" x14ac:dyDescent="0.25">
      <c r="A75" s="42"/>
      <c r="C75" s="1"/>
      <c r="D75" s="4">
        <f>D74+45</f>
        <v>45</v>
      </c>
      <c r="E75" s="4">
        <f>E74</f>
        <v>0</v>
      </c>
      <c r="M75" s="42"/>
      <c r="O75" s="1"/>
      <c r="P75" s="4">
        <f>P74+45</f>
        <v>45</v>
      </c>
      <c r="Q75" s="4">
        <f>Q74</f>
        <v>2065</v>
      </c>
      <c r="Y75" s="42"/>
      <c r="AA75" s="1"/>
      <c r="AB75" s="4">
        <f>AB74+45</f>
        <v>45</v>
      </c>
      <c r="AC75" s="4">
        <f>AC74</f>
        <v>0</v>
      </c>
      <c r="AK75" s="42"/>
      <c r="AM75" s="1"/>
      <c r="AN75" s="4">
        <f>AN74+45</f>
        <v>45</v>
      </c>
      <c r="AO75" s="4">
        <f>AO74</f>
        <v>2065</v>
      </c>
      <c r="AW75" s="42"/>
    </row>
    <row r="76" spans="1:49" x14ac:dyDescent="0.25">
      <c r="A76" s="42"/>
      <c r="C76" s="1"/>
      <c r="D76" s="4">
        <f>D75</f>
        <v>45</v>
      </c>
      <c r="E76" s="4">
        <f>H$19</f>
        <v>235</v>
      </c>
      <c r="M76" s="42"/>
      <c r="O76" s="1"/>
      <c r="P76" s="4">
        <f>P75</f>
        <v>45</v>
      </c>
      <c r="Q76" s="4">
        <f>T$19+Q75</f>
        <v>2385</v>
      </c>
      <c r="Y76" s="42"/>
      <c r="AA76" s="1"/>
      <c r="AB76" s="4">
        <f>AB75</f>
        <v>45</v>
      </c>
      <c r="AC76" s="4">
        <f>AF$19</f>
        <v>435</v>
      </c>
      <c r="AK76" s="42"/>
      <c r="AM76" s="1"/>
      <c r="AN76" s="4">
        <f>AN75</f>
        <v>45</v>
      </c>
      <c r="AO76" s="4">
        <f>AR$19+AO74</f>
        <v>2585</v>
      </c>
      <c r="AW76" s="42"/>
    </row>
    <row r="77" spans="1:49" x14ac:dyDescent="0.25">
      <c r="A77" s="42"/>
      <c r="C77" s="1"/>
      <c r="D77" s="4">
        <f>D74</f>
        <v>0</v>
      </c>
      <c r="E77" s="4">
        <f>E76</f>
        <v>235</v>
      </c>
      <c r="M77" s="42"/>
      <c r="O77" s="1"/>
      <c r="P77" s="4">
        <f>P74</f>
        <v>0</v>
      </c>
      <c r="Q77" s="4">
        <f>Q76</f>
        <v>2385</v>
      </c>
      <c r="Y77" s="42"/>
      <c r="AA77" s="1"/>
      <c r="AB77" s="4">
        <f>AB74</f>
        <v>0</v>
      </c>
      <c r="AC77" s="4">
        <f>AC76</f>
        <v>435</v>
      </c>
      <c r="AK77" s="42"/>
      <c r="AM77" s="1"/>
      <c r="AN77" s="4">
        <f>AN74</f>
        <v>0</v>
      </c>
      <c r="AO77" s="4">
        <f>AO76</f>
        <v>2585</v>
      </c>
      <c r="AW77" s="42"/>
    </row>
    <row r="78" spans="1:49" x14ac:dyDescent="0.25">
      <c r="A78" s="42"/>
      <c r="C78" s="1"/>
      <c r="D78" s="4">
        <f>D74</f>
        <v>0</v>
      </c>
      <c r="E78" s="4">
        <f>E74</f>
        <v>0</v>
      </c>
      <c r="M78" s="42"/>
      <c r="O78" s="1"/>
      <c r="P78" s="4">
        <f>P74</f>
        <v>0</v>
      </c>
      <c r="Q78" s="4">
        <f>Q74</f>
        <v>2065</v>
      </c>
      <c r="Y78" s="42"/>
      <c r="AA78" s="1"/>
      <c r="AB78" s="4">
        <f>AB74</f>
        <v>0</v>
      </c>
      <c r="AC78" s="4">
        <f>AC74</f>
        <v>0</v>
      </c>
      <c r="AK78" s="42"/>
      <c r="AM78" s="1"/>
      <c r="AN78" s="4">
        <f>AN74</f>
        <v>0</v>
      </c>
      <c r="AO78" s="4">
        <f>AO74</f>
        <v>2065</v>
      </c>
      <c r="AW78" s="42"/>
    </row>
    <row r="79" spans="1:49" x14ac:dyDescent="0.25">
      <c r="A79" s="42"/>
      <c r="C79" s="92"/>
      <c r="D79" s="93"/>
      <c r="E79" s="93"/>
      <c r="M79" s="42"/>
      <c r="O79" s="92"/>
      <c r="P79" s="93"/>
      <c r="Q79" s="93"/>
      <c r="Y79" s="42"/>
      <c r="AA79" s="92"/>
      <c r="AB79" s="93"/>
      <c r="AC79" s="93"/>
      <c r="AK79" s="42"/>
      <c r="AM79" s="92"/>
      <c r="AN79" s="93"/>
      <c r="AO79" s="93"/>
      <c r="AW79" s="42"/>
    </row>
    <row r="80" spans="1:49" x14ac:dyDescent="0.25">
      <c r="A80" s="42"/>
      <c r="C80" s="1" t="s">
        <v>74</v>
      </c>
      <c r="D80" s="4">
        <f>(J$10-45)+D74</f>
        <v>75</v>
      </c>
      <c r="E80" s="4">
        <f>E74</f>
        <v>0</v>
      </c>
      <c r="M80" s="42"/>
      <c r="O80" s="1" t="s">
        <v>74</v>
      </c>
      <c r="P80" s="4">
        <f>(V$10-45)+P74</f>
        <v>75</v>
      </c>
      <c r="Q80" s="4">
        <f>Q74</f>
        <v>2065</v>
      </c>
      <c r="Y80" s="42"/>
      <c r="AA80" s="1" t="s">
        <v>74</v>
      </c>
      <c r="AB80" s="4">
        <f>(AH$10-45)+AB74</f>
        <v>75</v>
      </c>
      <c r="AC80" s="4">
        <f>AC74</f>
        <v>0</v>
      </c>
      <c r="AK80" s="42"/>
      <c r="AM80" s="1" t="s">
        <v>74</v>
      </c>
      <c r="AN80" s="4">
        <f>(AT$10-45)+AN74</f>
        <v>75</v>
      </c>
      <c r="AO80" s="4">
        <f>AO74</f>
        <v>2065</v>
      </c>
      <c r="AW80" s="42"/>
    </row>
    <row r="81" spans="1:49" x14ac:dyDescent="0.25">
      <c r="A81" s="42"/>
      <c r="C81" s="1"/>
      <c r="D81" s="4">
        <f>(J$10-45)+D75</f>
        <v>120</v>
      </c>
      <c r="E81" s="4">
        <f t="shared" ref="E81:E84" si="0">E75</f>
        <v>0</v>
      </c>
      <c r="M81" s="42"/>
      <c r="O81" s="1"/>
      <c r="P81" s="4">
        <f>(V$10-45)+P75</f>
        <v>120</v>
      </c>
      <c r="Q81" s="4">
        <f t="shared" ref="Q81:Q84" si="1">Q75</f>
        <v>2065</v>
      </c>
      <c r="Y81" s="42"/>
      <c r="AA81" s="1"/>
      <c r="AB81" s="4">
        <f>(AH$10-45)+AB75</f>
        <v>120</v>
      </c>
      <c r="AC81" s="4">
        <f t="shared" ref="AC81:AC84" si="2">AC75</f>
        <v>0</v>
      </c>
      <c r="AK81" s="42"/>
      <c r="AM81" s="1"/>
      <c r="AN81" s="4">
        <f>(AT$10-45)+AN75</f>
        <v>120</v>
      </c>
      <c r="AO81" s="4">
        <f>AO75</f>
        <v>2065</v>
      </c>
      <c r="AW81" s="42"/>
    </row>
    <row r="82" spans="1:49" x14ac:dyDescent="0.25">
      <c r="A82" s="42"/>
      <c r="C82" s="1"/>
      <c r="D82" s="4">
        <f>(J$10-45)+D76</f>
        <v>120</v>
      </c>
      <c r="E82" s="4">
        <f t="shared" si="0"/>
        <v>235</v>
      </c>
      <c r="M82" s="42"/>
      <c r="O82" s="1"/>
      <c r="P82" s="4">
        <f>(V$10-45)+P76</f>
        <v>120</v>
      </c>
      <c r="Q82" s="4">
        <f t="shared" si="1"/>
        <v>2385</v>
      </c>
      <c r="Y82" s="42"/>
      <c r="AA82" s="1"/>
      <c r="AB82" s="4">
        <f>(AH$10-45)+AB76</f>
        <v>120</v>
      </c>
      <c r="AC82" s="4">
        <f t="shared" si="2"/>
        <v>435</v>
      </c>
      <c r="AK82" s="42"/>
      <c r="AM82" s="1"/>
      <c r="AN82" s="4">
        <f>(AT$10-45)+AN76</f>
        <v>120</v>
      </c>
      <c r="AO82" s="4">
        <f>AO76</f>
        <v>2585</v>
      </c>
      <c r="AW82" s="42"/>
    </row>
    <row r="83" spans="1:49" x14ac:dyDescent="0.25">
      <c r="A83" s="42"/>
      <c r="C83" s="1"/>
      <c r="D83" s="4">
        <f>(J$10-45)+D77</f>
        <v>75</v>
      </c>
      <c r="E83" s="4">
        <f t="shared" si="0"/>
        <v>235</v>
      </c>
      <c r="M83" s="42"/>
      <c r="O83" s="1"/>
      <c r="P83" s="4">
        <f>(V$10-45)+P77</f>
        <v>75</v>
      </c>
      <c r="Q83" s="4">
        <f t="shared" si="1"/>
        <v>2385</v>
      </c>
      <c r="Y83" s="42"/>
      <c r="AA83" s="1"/>
      <c r="AB83" s="4">
        <f>(AH$10-45)+AB77</f>
        <v>75</v>
      </c>
      <c r="AC83" s="4">
        <f t="shared" si="2"/>
        <v>435</v>
      </c>
      <c r="AK83" s="42"/>
      <c r="AM83" s="1"/>
      <c r="AN83" s="4">
        <f>(AT$10-45)+AN77</f>
        <v>75</v>
      </c>
      <c r="AO83" s="4">
        <f t="shared" ref="AO83:AO84" si="3">AO77</f>
        <v>2585</v>
      </c>
      <c r="AW83" s="42"/>
    </row>
    <row r="84" spans="1:49" x14ac:dyDescent="0.25">
      <c r="A84" s="42"/>
      <c r="C84" s="1"/>
      <c r="D84" s="4">
        <f>(J$10-45)+D78</f>
        <v>75</v>
      </c>
      <c r="E84" s="4">
        <f t="shared" si="0"/>
        <v>0</v>
      </c>
      <c r="M84" s="42"/>
      <c r="O84" s="1"/>
      <c r="P84" s="4">
        <f>(V$10-45)+P78</f>
        <v>75</v>
      </c>
      <c r="Q84" s="4">
        <f t="shared" si="1"/>
        <v>2065</v>
      </c>
      <c r="Y84" s="42"/>
      <c r="AA84" s="1"/>
      <c r="AB84" s="4">
        <f>(AH$10-45)+AB78</f>
        <v>75</v>
      </c>
      <c r="AC84" s="4">
        <f t="shared" si="2"/>
        <v>0</v>
      </c>
      <c r="AK84" s="42"/>
      <c r="AM84" s="1"/>
      <c r="AN84" s="4">
        <f>(AT$10-45)+AN78</f>
        <v>75</v>
      </c>
      <c r="AO84" s="4">
        <f t="shared" si="3"/>
        <v>2065</v>
      </c>
      <c r="AW84" s="42"/>
    </row>
    <row r="85" spans="1:49" x14ac:dyDescent="0.25">
      <c r="A85" s="42"/>
      <c r="C85" s="92"/>
      <c r="D85" s="93"/>
      <c r="E85" s="93"/>
      <c r="M85" s="42"/>
      <c r="O85" s="92"/>
      <c r="P85" s="93"/>
      <c r="Q85" s="93"/>
      <c r="Y85" s="42"/>
      <c r="AA85" s="92"/>
      <c r="AB85" s="93"/>
      <c r="AC85" s="93"/>
      <c r="AK85" s="42"/>
      <c r="AM85" s="92"/>
      <c r="AN85" s="93"/>
      <c r="AO85" s="93"/>
      <c r="AW85" s="42"/>
    </row>
    <row r="86" spans="1:49" x14ac:dyDescent="0.25">
      <c r="A86" s="42"/>
      <c r="C86" s="1" t="s">
        <v>75</v>
      </c>
      <c r="D86" s="4">
        <f>IF(D14="oui",45+D74,D74)</f>
        <v>0</v>
      </c>
      <c r="E86" s="4">
        <f>D$12+15</f>
        <v>2165</v>
      </c>
      <c r="M86" s="42"/>
      <c r="O86" s="1" t="s">
        <v>75</v>
      </c>
      <c r="P86" s="4">
        <f>P74</f>
        <v>0</v>
      </c>
      <c r="Q86" s="4">
        <f>P$12+15</f>
        <v>2165</v>
      </c>
      <c r="Y86" s="42"/>
      <c r="AA86" s="1" t="s">
        <v>75</v>
      </c>
      <c r="AB86" s="4">
        <f>IF(AB14="oui",45+AB74,AB74)</f>
        <v>0</v>
      </c>
      <c r="AC86" s="4">
        <f>AB$12+215</f>
        <v>2365</v>
      </c>
      <c r="AK86" s="42"/>
      <c r="AM86" s="1" t="s">
        <v>75</v>
      </c>
      <c r="AN86" s="4">
        <f>AN74</f>
        <v>0</v>
      </c>
      <c r="AO86" s="4">
        <f>AN$12+215</f>
        <v>2365</v>
      </c>
      <c r="AW86" s="42"/>
    </row>
    <row r="87" spans="1:49" x14ac:dyDescent="0.25">
      <c r="A87" s="42"/>
      <c r="C87" s="1"/>
      <c r="D87" s="4">
        <f>D86+H22</f>
        <v>120</v>
      </c>
      <c r="E87" s="4">
        <f>E86</f>
        <v>2165</v>
      </c>
      <c r="M87" s="42"/>
      <c r="O87" s="1"/>
      <c r="P87" s="4">
        <f>V$10</f>
        <v>120</v>
      </c>
      <c r="Q87" s="4">
        <f>Q86</f>
        <v>2165</v>
      </c>
      <c r="Y87" s="42"/>
      <c r="AA87" s="1"/>
      <c r="AB87" s="4">
        <f>AF$22+AB86</f>
        <v>120</v>
      </c>
      <c r="AC87" s="4">
        <f>AC86</f>
        <v>2365</v>
      </c>
      <c r="AK87" s="42"/>
      <c r="AM87" s="1"/>
      <c r="AN87" s="4">
        <f>AT$10</f>
        <v>120</v>
      </c>
      <c r="AO87" s="4">
        <f>AO86</f>
        <v>2365</v>
      </c>
      <c r="AW87" s="42"/>
    </row>
    <row r="88" spans="1:49" x14ac:dyDescent="0.25">
      <c r="A88" s="42"/>
      <c r="C88" s="1"/>
      <c r="D88" s="4">
        <f>D87</f>
        <v>120</v>
      </c>
      <c r="E88" s="4">
        <f>E87+F22</f>
        <v>2385</v>
      </c>
      <c r="M88" s="42"/>
      <c r="O88" s="1"/>
      <c r="P88" s="4">
        <f>P87</f>
        <v>120</v>
      </c>
      <c r="Q88" s="4">
        <f>Q87+220</f>
        <v>2385</v>
      </c>
      <c r="Y88" s="42"/>
      <c r="AA88" s="1"/>
      <c r="AB88" s="4">
        <f>AB87</f>
        <v>120</v>
      </c>
      <c r="AC88" s="4">
        <f>AC87+AD22</f>
        <v>2585</v>
      </c>
      <c r="AK88" s="42"/>
      <c r="AM88" s="1"/>
      <c r="AN88" s="4">
        <f>AN87</f>
        <v>120</v>
      </c>
      <c r="AO88" s="4">
        <f>AO87+220</f>
        <v>2585</v>
      </c>
      <c r="AW88" s="42"/>
    </row>
    <row r="89" spans="1:49" x14ac:dyDescent="0.25">
      <c r="A89" s="42"/>
      <c r="C89" s="1"/>
      <c r="D89" s="4">
        <f>D86</f>
        <v>0</v>
      </c>
      <c r="E89" s="4">
        <f>E88</f>
        <v>2385</v>
      </c>
      <c r="M89" s="42"/>
      <c r="O89" s="1"/>
      <c r="P89" s="4">
        <f>P86</f>
        <v>0</v>
      </c>
      <c r="Q89" s="4">
        <f>Q88</f>
        <v>2385</v>
      </c>
      <c r="Y89" s="42"/>
      <c r="AA89" s="1"/>
      <c r="AB89" s="4">
        <f>AB86</f>
        <v>0</v>
      </c>
      <c r="AC89" s="4">
        <f>AC88</f>
        <v>2585</v>
      </c>
      <c r="AK89" s="42"/>
      <c r="AM89" s="1"/>
      <c r="AN89" s="4">
        <f>AN86</f>
        <v>0</v>
      </c>
      <c r="AO89" s="4">
        <f>AO88</f>
        <v>2585</v>
      </c>
      <c r="AW89" s="42"/>
    </row>
    <row r="90" spans="1:49" x14ac:dyDescent="0.25">
      <c r="A90" s="42"/>
      <c r="C90" s="1"/>
      <c r="D90" s="4">
        <f>D86</f>
        <v>0</v>
      </c>
      <c r="E90" s="4">
        <f>E86</f>
        <v>2165</v>
      </c>
      <c r="M90" s="42"/>
      <c r="O90" s="1"/>
      <c r="P90" s="4">
        <f>P86</f>
        <v>0</v>
      </c>
      <c r="Q90" s="4">
        <f>Q86</f>
        <v>2165</v>
      </c>
      <c r="Y90" s="42"/>
      <c r="AA90" s="1"/>
      <c r="AB90" s="4">
        <f>AB86</f>
        <v>0</v>
      </c>
      <c r="AC90" s="4">
        <f>AC86</f>
        <v>2365</v>
      </c>
      <c r="AK90" s="42"/>
      <c r="AM90" s="1"/>
      <c r="AN90" s="4">
        <f>AN86</f>
        <v>0</v>
      </c>
      <c r="AO90" s="4">
        <f>AO86</f>
        <v>2365</v>
      </c>
      <c r="AW90" s="42"/>
    </row>
    <row r="91" spans="1:49" x14ac:dyDescent="0.25">
      <c r="A91" s="42"/>
      <c r="C91" s="92"/>
      <c r="D91" s="93"/>
      <c r="E91" s="93"/>
      <c r="M91" s="42"/>
      <c r="O91" s="92"/>
      <c r="P91" s="93"/>
      <c r="Q91" s="93"/>
      <c r="Y91" s="42"/>
      <c r="AA91" s="92"/>
      <c r="AB91" s="93"/>
      <c r="AC91" s="93"/>
      <c r="AK91" s="42"/>
      <c r="AM91" s="92"/>
      <c r="AN91" s="93"/>
      <c r="AO91" s="93"/>
      <c r="AW91" s="42"/>
    </row>
    <row r="92" spans="1:49" x14ac:dyDescent="0.25">
      <c r="A92" s="42"/>
      <c r="C92" s="1" t="s">
        <v>76</v>
      </c>
      <c r="D92" s="4">
        <f>IF(D14="oui","",D74)</f>
        <v>0</v>
      </c>
      <c r="E92" s="4">
        <f>IF(D14="oui","",E86+220)</f>
        <v>2385</v>
      </c>
      <c r="M92" s="42"/>
      <c r="O92" s="1" t="s">
        <v>76</v>
      </c>
      <c r="P92" s="4">
        <f>P74</f>
        <v>0</v>
      </c>
      <c r="Q92" s="4">
        <f>Q86+220</f>
        <v>2385</v>
      </c>
      <c r="Y92" s="42"/>
      <c r="AA92" s="1" t="s">
        <v>76</v>
      </c>
      <c r="AB92" s="4">
        <f>AB74</f>
        <v>0</v>
      </c>
      <c r="AC92" s="4">
        <f>AC86+AD22</f>
        <v>2585</v>
      </c>
      <c r="AK92" s="42"/>
      <c r="AM92" s="1" t="s">
        <v>76</v>
      </c>
      <c r="AN92" s="4">
        <f>AN74</f>
        <v>0</v>
      </c>
      <c r="AO92" s="4">
        <f>AO86+220</f>
        <v>2585</v>
      </c>
      <c r="AW92" s="42"/>
    </row>
    <row r="93" spans="1:49" x14ac:dyDescent="0.25">
      <c r="A93" s="42"/>
      <c r="C93" s="1"/>
      <c r="D93" s="4">
        <f>IF(D14="oui","",J$10)</f>
        <v>120</v>
      </c>
      <c r="E93" s="4">
        <f>E92</f>
        <v>2385</v>
      </c>
      <c r="M93" s="42"/>
      <c r="O93" s="1"/>
      <c r="P93" s="4">
        <f>V$10</f>
        <v>120</v>
      </c>
      <c r="Q93" s="4">
        <f>Q92</f>
        <v>2385</v>
      </c>
      <c r="Y93" s="42"/>
      <c r="AA93" s="1"/>
      <c r="AB93" s="4">
        <f>AH$10</f>
        <v>120</v>
      </c>
      <c r="AC93" s="4">
        <f>AC92</f>
        <v>2585</v>
      </c>
      <c r="AK93" s="42"/>
      <c r="AM93" s="1"/>
      <c r="AN93" s="4">
        <f>AT$10</f>
        <v>120</v>
      </c>
      <c r="AO93" s="4">
        <f>AO92</f>
        <v>2585</v>
      </c>
      <c r="AW93" s="42"/>
    </row>
    <row r="94" spans="1:49" x14ac:dyDescent="0.25">
      <c r="A94" s="42"/>
      <c r="C94" s="1"/>
      <c r="D94" s="4">
        <f>D93</f>
        <v>120</v>
      </c>
      <c r="E94" s="4">
        <f>IF(D14="oui","",E93+45)</f>
        <v>2430</v>
      </c>
      <c r="M94" s="42"/>
      <c r="O94" s="1"/>
      <c r="P94" s="4">
        <f>P93</f>
        <v>120</v>
      </c>
      <c r="Q94" s="4">
        <f>Q93+45</f>
        <v>2430</v>
      </c>
      <c r="Y94" s="42"/>
      <c r="AA94" s="1"/>
      <c r="AB94" s="4">
        <f>AB93</f>
        <v>120</v>
      </c>
      <c r="AC94" s="4">
        <f>AC93+AB18</f>
        <v>2630</v>
      </c>
      <c r="AK94" s="42"/>
      <c r="AM94" s="1"/>
      <c r="AN94" s="4">
        <f>AN93</f>
        <v>120</v>
      </c>
      <c r="AO94" s="4">
        <f>AO93+45</f>
        <v>2630</v>
      </c>
      <c r="AW94" s="42"/>
    </row>
    <row r="95" spans="1:49" x14ac:dyDescent="0.25">
      <c r="A95" s="42"/>
      <c r="C95" s="1"/>
      <c r="D95" s="4">
        <f>D92</f>
        <v>0</v>
      </c>
      <c r="E95" s="4">
        <f>E94</f>
        <v>2430</v>
      </c>
      <c r="M95" s="42"/>
      <c r="O95" s="1"/>
      <c r="P95" s="4">
        <f>P92</f>
        <v>0</v>
      </c>
      <c r="Q95" s="4">
        <f>Q94</f>
        <v>2430</v>
      </c>
      <c r="Y95" s="42"/>
      <c r="AA95" s="1"/>
      <c r="AB95" s="4">
        <f>AB92</f>
        <v>0</v>
      </c>
      <c r="AC95" s="4">
        <f>AC94</f>
        <v>2630</v>
      </c>
      <c r="AK95" s="42"/>
      <c r="AM95" s="1"/>
      <c r="AN95" s="4">
        <f>AN92</f>
        <v>0</v>
      </c>
      <c r="AO95" s="4">
        <f>AO94</f>
        <v>2630</v>
      </c>
      <c r="AW95" s="42"/>
    </row>
    <row r="96" spans="1:49" x14ac:dyDescent="0.25">
      <c r="A96" s="42"/>
      <c r="C96" s="1"/>
      <c r="D96" s="4">
        <f>D92</f>
        <v>0</v>
      </c>
      <c r="E96" s="4">
        <f>E92</f>
        <v>2385</v>
      </c>
      <c r="M96" s="42"/>
      <c r="O96" s="1"/>
      <c r="P96" s="4">
        <f>P92</f>
        <v>0</v>
      </c>
      <c r="Q96" s="4">
        <f>Q92</f>
        <v>2385</v>
      </c>
      <c r="Y96" s="42"/>
      <c r="AA96" s="1"/>
      <c r="AB96" s="4">
        <f>AB92</f>
        <v>0</v>
      </c>
      <c r="AC96" s="4">
        <f>AC92</f>
        <v>2585</v>
      </c>
      <c r="AK96" s="42"/>
      <c r="AM96" s="1"/>
      <c r="AN96" s="4">
        <f>AN92</f>
        <v>0</v>
      </c>
      <c r="AO96" s="4">
        <f>AO92</f>
        <v>2585</v>
      </c>
      <c r="AW96" s="42"/>
    </row>
    <row r="97" spans="1:49" x14ac:dyDescent="0.25">
      <c r="A97" s="42"/>
      <c r="C97" s="92"/>
      <c r="D97" s="93"/>
      <c r="E97" s="93"/>
      <c r="M97" s="42"/>
      <c r="O97" s="92"/>
      <c r="P97" s="93"/>
      <c r="Q97" s="93"/>
      <c r="Y97" s="42"/>
      <c r="AA97" s="92"/>
      <c r="AB97" s="93"/>
      <c r="AC97" s="93"/>
      <c r="AK97" s="42"/>
      <c r="AM97" s="92"/>
      <c r="AN97" s="93"/>
      <c r="AO97" s="93"/>
      <c r="AW97" s="42"/>
    </row>
    <row r="98" spans="1:49" x14ac:dyDescent="0.25">
      <c r="A98" s="42"/>
      <c r="C98" s="1" t="s">
        <v>77</v>
      </c>
      <c r="D98" s="4" t="str">
        <f>IF(D14="non","",D74+45)</f>
        <v/>
      </c>
      <c r="E98" s="4" t="str">
        <f>IF(D14="non","",E74)</f>
        <v/>
      </c>
      <c r="M98" s="42"/>
      <c r="O98" s="1" t="s">
        <v>81</v>
      </c>
      <c r="P98" s="4">
        <v>0</v>
      </c>
      <c r="Q98" s="4">
        <f>P319</f>
        <v>2020</v>
      </c>
      <c r="Y98" s="42"/>
      <c r="AA98" s="1" t="s">
        <v>86</v>
      </c>
      <c r="AB98" s="4">
        <f>IF(AB14="oui","",AB92)</f>
        <v>0</v>
      </c>
      <c r="AC98" s="4">
        <f>IF(AB14="oui","",AC92+45)</f>
        <v>2630</v>
      </c>
      <c r="AK98" s="42"/>
      <c r="AM98" s="1" t="s">
        <v>86</v>
      </c>
      <c r="AN98" s="4">
        <f>AN86</f>
        <v>0</v>
      </c>
      <c r="AO98" s="4">
        <f>AO92+45</f>
        <v>2630</v>
      </c>
      <c r="AW98" s="42"/>
    </row>
    <row r="99" spans="1:49" x14ac:dyDescent="0.25">
      <c r="A99" s="42"/>
      <c r="C99" s="1"/>
      <c r="D99" s="4" t="str">
        <f>IF(D14="non","",D98+45)</f>
        <v/>
      </c>
      <c r="E99" s="4" t="str">
        <f>E98</f>
        <v/>
      </c>
      <c r="M99" s="42"/>
      <c r="O99" s="1"/>
      <c r="P99" s="4">
        <f>V$10</f>
        <v>120</v>
      </c>
      <c r="Q99" s="4">
        <f>Q98</f>
        <v>2020</v>
      </c>
      <c r="Y99" s="42"/>
      <c r="AA99" s="1"/>
      <c r="AB99" s="4">
        <f>IF(AB14="oui","",AH$10)</f>
        <v>120</v>
      </c>
      <c r="AC99" s="4">
        <f>AC98</f>
        <v>2630</v>
      </c>
      <c r="AK99" s="42"/>
      <c r="AM99" s="1"/>
      <c r="AN99" s="4">
        <f>AT$10</f>
        <v>120</v>
      </c>
      <c r="AO99" s="4">
        <f>AO98</f>
        <v>2630</v>
      </c>
      <c r="AW99" s="42"/>
    </row>
    <row r="100" spans="1:49" x14ac:dyDescent="0.25">
      <c r="A100" s="42"/>
      <c r="C100" s="1"/>
      <c r="D100" s="4" t="str">
        <f>D99</f>
        <v/>
      </c>
      <c r="E100" s="4" t="str">
        <f>H$20</f>
        <v/>
      </c>
      <c r="M100" s="42"/>
      <c r="O100" s="1"/>
      <c r="P100" s="4">
        <f>P99</f>
        <v>120</v>
      </c>
      <c r="Q100" s="4">
        <f>Q99+45</f>
        <v>2065</v>
      </c>
      <c r="Y100" s="42"/>
      <c r="AA100" s="1"/>
      <c r="AB100" s="4">
        <f>AB99</f>
        <v>120</v>
      </c>
      <c r="AC100" s="4">
        <f>IF(AB14="oui","",AC99+45)</f>
        <v>2675</v>
      </c>
      <c r="AK100" s="42"/>
      <c r="AM100" s="1"/>
      <c r="AN100" s="4">
        <f>AN99</f>
        <v>120</v>
      </c>
      <c r="AO100" s="4">
        <f>AO99+45</f>
        <v>2675</v>
      </c>
      <c r="AW100" s="42"/>
    </row>
    <row r="101" spans="1:49" x14ac:dyDescent="0.25">
      <c r="A101" s="42"/>
      <c r="C101" s="1"/>
      <c r="D101" s="4" t="str">
        <f>D98</f>
        <v/>
      </c>
      <c r="E101" s="4" t="str">
        <f>E100</f>
        <v/>
      </c>
      <c r="M101" s="42"/>
      <c r="O101" s="1"/>
      <c r="P101" s="4">
        <f>P98</f>
        <v>0</v>
      </c>
      <c r="Q101" s="4">
        <f>Q100</f>
        <v>2065</v>
      </c>
      <c r="Y101" s="42"/>
      <c r="AA101" s="1"/>
      <c r="AB101" s="4">
        <f>AB98</f>
        <v>0</v>
      </c>
      <c r="AC101" s="4">
        <f>AC100</f>
        <v>2675</v>
      </c>
      <c r="AK101" s="42"/>
      <c r="AM101" s="1"/>
      <c r="AN101" s="4">
        <f>AN98</f>
        <v>0</v>
      </c>
      <c r="AO101" s="4">
        <f>AO100</f>
        <v>2675</v>
      </c>
      <c r="AW101" s="42"/>
    </row>
    <row r="102" spans="1:49" x14ac:dyDescent="0.25">
      <c r="A102" s="42"/>
      <c r="C102" s="1"/>
      <c r="D102" s="4" t="str">
        <f>D98</f>
        <v/>
      </c>
      <c r="E102" s="4" t="str">
        <f>E98</f>
        <v/>
      </c>
      <c r="M102" s="42"/>
      <c r="O102" s="1"/>
      <c r="P102" s="4">
        <f>P98</f>
        <v>0</v>
      </c>
      <c r="Q102" s="4">
        <f>Q98</f>
        <v>2020</v>
      </c>
      <c r="Y102" s="42"/>
      <c r="AA102" s="1"/>
      <c r="AB102" s="4">
        <f>AB98</f>
        <v>0</v>
      </c>
      <c r="AC102" s="4">
        <f>AC98</f>
        <v>2630</v>
      </c>
      <c r="AK102" s="42"/>
      <c r="AM102" s="1"/>
      <c r="AN102" s="4">
        <f>AN98</f>
        <v>0</v>
      </c>
      <c r="AO102" s="4">
        <f>AO98</f>
        <v>2630</v>
      </c>
      <c r="AW102" s="42"/>
    </row>
    <row r="103" spans="1:49" x14ac:dyDescent="0.25">
      <c r="A103" s="42"/>
      <c r="C103" s="92"/>
      <c r="D103" s="93"/>
      <c r="E103" s="93"/>
      <c r="M103" s="42"/>
      <c r="Y103" s="42"/>
      <c r="AA103" s="92"/>
      <c r="AB103" s="93"/>
      <c r="AC103" s="93"/>
      <c r="AK103" s="42"/>
      <c r="AM103" s="92"/>
      <c r="AN103" s="93"/>
      <c r="AO103" s="93"/>
      <c r="AW103" s="42"/>
    </row>
    <row r="104" spans="1:49" x14ac:dyDescent="0.25">
      <c r="A104" s="42"/>
      <c r="C104" s="1" t="s">
        <v>78</v>
      </c>
      <c r="D104" s="4" t="str">
        <f>IF(D14="non","",D98+45)</f>
        <v/>
      </c>
      <c r="E104" s="4" t="str">
        <f>IF(D14="non","",E80)</f>
        <v/>
      </c>
      <c r="M104" s="42"/>
      <c r="Y104" s="42"/>
      <c r="AA104" s="1" t="s">
        <v>87</v>
      </c>
      <c r="AB104" s="4">
        <f>IF(AB14="oui","",AB86)</f>
        <v>0</v>
      </c>
      <c r="AC104" s="4">
        <f>IF(AB14="oui","",AC98+45)</f>
        <v>2675</v>
      </c>
      <c r="AK104" s="42"/>
      <c r="AM104" s="1" t="s">
        <v>87</v>
      </c>
      <c r="AN104" s="4">
        <f>AN92</f>
        <v>0</v>
      </c>
      <c r="AO104" s="4">
        <f>AO98+45</f>
        <v>2675</v>
      </c>
      <c r="AW104" s="42"/>
    </row>
    <row r="105" spans="1:49" x14ac:dyDescent="0.25">
      <c r="A105" s="42"/>
      <c r="C105" s="1"/>
      <c r="D105" s="4" t="str">
        <f>IF(D14="non","",D104+45)</f>
        <v/>
      </c>
      <c r="E105" s="4" t="str">
        <f>E104</f>
        <v/>
      </c>
      <c r="M105" s="42"/>
      <c r="Y105" s="42"/>
      <c r="AA105" s="1"/>
      <c r="AB105" s="4">
        <f>IF(AB14="oui","",AH$10)</f>
        <v>120</v>
      </c>
      <c r="AC105" s="4">
        <f>AC104</f>
        <v>2675</v>
      </c>
      <c r="AK105" s="42"/>
      <c r="AM105" s="1"/>
      <c r="AN105" s="4">
        <f>AT$10</f>
        <v>120</v>
      </c>
      <c r="AO105" s="4">
        <f>AO104</f>
        <v>2675</v>
      </c>
      <c r="AW105" s="42"/>
    </row>
    <row r="106" spans="1:49" x14ac:dyDescent="0.25">
      <c r="A106" s="42"/>
      <c r="C106" s="1"/>
      <c r="D106" s="4" t="str">
        <f>D105</f>
        <v/>
      </c>
      <c r="E106" s="4" t="str">
        <f>H$20</f>
        <v/>
      </c>
      <c r="M106" s="42"/>
      <c r="Y106" s="42"/>
      <c r="AA106" s="1"/>
      <c r="AB106" s="4">
        <f>AB105</f>
        <v>120</v>
      </c>
      <c r="AC106" s="4">
        <f>IF(AB14="oui","",AC105+45)</f>
        <v>2720</v>
      </c>
      <c r="AK106" s="42"/>
      <c r="AM106" s="1"/>
      <c r="AN106" s="4">
        <f>AN105</f>
        <v>120</v>
      </c>
      <c r="AO106" s="4">
        <f>AO105+45</f>
        <v>2720</v>
      </c>
      <c r="AW106" s="42"/>
    </row>
    <row r="107" spans="1:49" x14ac:dyDescent="0.25">
      <c r="A107" s="42"/>
      <c r="C107" s="1"/>
      <c r="D107" s="4" t="str">
        <f>D104</f>
        <v/>
      </c>
      <c r="E107" s="4" t="str">
        <f>E106</f>
        <v/>
      </c>
      <c r="M107" s="42"/>
      <c r="Y107" s="42"/>
      <c r="AA107" s="1"/>
      <c r="AB107" s="4">
        <f>AB104</f>
        <v>0</v>
      </c>
      <c r="AC107" s="4">
        <f>AC106</f>
        <v>2720</v>
      </c>
      <c r="AK107" s="42"/>
      <c r="AM107" s="1"/>
      <c r="AN107" s="4">
        <f>AN104</f>
        <v>0</v>
      </c>
      <c r="AO107" s="4">
        <f>AO106</f>
        <v>2720</v>
      </c>
      <c r="AW107" s="42"/>
    </row>
    <row r="108" spans="1:49" x14ac:dyDescent="0.25">
      <c r="A108" s="42"/>
      <c r="C108" s="1"/>
      <c r="D108" s="4" t="str">
        <f>D104</f>
        <v/>
      </c>
      <c r="E108" s="4" t="str">
        <f>E104</f>
        <v/>
      </c>
      <c r="M108" s="42"/>
      <c r="Y108" s="42"/>
      <c r="AA108" s="1"/>
      <c r="AB108" s="4">
        <f>AB104</f>
        <v>0</v>
      </c>
      <c r="AC108" s="4">
        <f>AC104</f>
        <v>2675</v>
      </c>
      <c r="AK108" s="42"/>
      <c r="AM108" s="1"/>
      <c r="AN108" s="4">
        <f>AN104</f>
        <v>0</v>
      </c>
      <c r="AO108" s="4">
        <f>AO104</f>
        <v>2675</v>
      </c>
      <c r="AW108" s="42"/>
    </row>
    <row r="109" spans="1:49" x14ac:dyDescent="0.25">
      <c r="A109" s="42"/>
      <c r="C109" s="92"/>
      <c r="D109" s="93"/>
      <c r="E109" s="93"/>
      <c r="M109" s="42"/>
      <c r="Y109" s="42"/>
      <c r="AA109" s="92"/>
      <c r="AB109" s="93"/>
      <c r="AC109" s="93"/>
      <c r="AK109" s="42"/>
      <c r="AM109" s="92"/>
      <c r="AN109" s="93"/>
      <c r="AO109" s="93"/>
      <c r="AW109" s="42"/>
    </row>
    <row r="110" spans="1:49" x14ac:dyDescent="0.25">
      <c r="A110" s="42"/>
      <c r="C110" s="1" t="s">
        <v>79</v>
      </c>
      <c r="D110" s="4" t="str">
        <f>IF(D14="non","",D80-90)</f>
        <v/>
      </c>
      <c r="E110" s="4" t="str">
        <f>IF(D14="non","",E74)</f>
        <v/>
      </c>
      <c r="M110" s="42"/>
      <c r="Y110" s="42"/>
      <c r="AA110" s="1" t="s">
        <v>77</v>
      </c>
      <c r="AB110" s="4" t="str">
        <f>IF(AB14="non","",AB74+45)</f>
        <v/>
      </c>
      <c r="AC110" s="4" t="str">
        <f>IF(AB14="non","",AC74)</f>
        <v/>
      </c>
      <c r="AK110" s="42"/>
      <c r="AM110" s="1" t="s">
        <v>81</v>
      </c>
      <c r="AN110" s="4">
        <v>0</v>
      </c>
      <c r="AO110" s="4">
        <f>AN319</f>
        <v>2020</v>
      </c>
      <c r="AW110" s="42"/>
    </row>
    <row r="111" spans="1:49" x14ac:dyDescent="0.25">
      <c r="A111" s="42"/>
      <c r="C111" s="1"/>
      <c r="D111" s="4" t="str">
        <f>IF(D14="non","",D110+45)</f>
        <v/>
      </c>
      <c r="E111" s="4" t="str">
        <f>E110</f>
        <v/>
      </c>
      <c r="M111" s="42"/>
      <c r="Y111" s="42"/>
      <c r="AA111" s="1"/>
      <c r="AB111" s="4" t="str">
        <f>IF(AB14="non","",AB110+45)</f>
        <v/>
      </c>
      <c r="AC111" s="4" t="str">
        <f>AC110</f>
        <v/>
      </c>
      <c r="AK111" s="42"/>
      <c r="AM111" s="1"/>
      <c r="AN111" s="4">
        <f>AT$10</f>
        <v>120</v>
      </c>
      <c r="AO111" s="4">
        <f>AO110</f>
        <v>2020</v>
      </c>
      <c r="AW111" s="42"/>
    </row>
    <row r="112" spans="1:49" x14ac:dyDescent="0.25">
      <c r="A112" s="42"/>
      <c r="C112" s="1"/>
      <c r="D112" s="4" t="str">
        <f>D111</f>
        <v/>
      </c>
      <c r="E112" s="4" t="str">
        <f>H$20</f>
        <v/>
      </c>
      <c r="M112" s="42"/>
      <c r="Y112" s="42"/>
      <c r="AA112" s="1"/>
      <c r="AB112" s="4" t="str">
        <f>AB111</f>
        <v/>
      </c>
      <c r="AC112" s="4" t="str">
        <f>AF$20</f>
        <v/>
      </c>
      <c r="AK112" s="42"/>
      <c r="AM112" s="1"/>
      <c r="AN112" s="4">
        <f>AN111</f>
        <v>120</v>
      </c>
      <c r="AO112" s="4">
        <f>AO111+45</f>
        <v>2065</v>
      </c>
      <c r="AW112" s="42"/>
    </row>
    <row r="113" spans="1:49" x14ac:dyDescent="0.25">
      <c r="A113" s="42"/>
      <c r="C113" s="1"/>
      <c r="D113" s="4" t="str">
        <f>D110</f>
        <v/>
      </c>
      <c r="E113" s="4" t="str">
        <f>E112</f>
        <v/>
      </c>
      <c r="M113" s="42"/>
      <c r="Y113" s="42"/>
      <c r="AA113" s="1"/>
      <c r="AB113" s="4" t="str">
        <f>AB110</f>
        <v/>
      </c>
      <c r="AC113" s="4" t="str">
        <f>AC112</f>
        <v/>
      </c>
      <c r="AK113" s="42"/>
      <c r="AM113" s="1"/>
      <c r="AN113" s="4">
        <f>AN110</f>
        <v>0</v>
      </c>
      <c r="AO113" s="4">
        <f>AO112</f>
        <v>2065</v>
      </c>
      <c r="AW113" s="42"/>
    </row>
    <row r="114" spans="1:49" x14ac:dyDescent="0.25">
      <c r="A114" s="42"/>
      <c r="C114" s="1"/>
      <c r="D114" s="4" t="str">
        <f>D110</f>
        <v/>
      </c>
      <c r="E114" s="4" t="str">
        <f>E110</f>
        <v/>
      </c>
      <c r="M114" s="42"/>
      <c r="Y114" s="42"/>
      <c r="AA114" s="1"/>
      <c r="AB114" s="4" t="str">
        <f>AB110</f>
        <v/>
      </c>
      <c r="AC114" s="4" t="str">
        <f>AC110</f>
        <v/>
      </c>
      <c r="AK114" s="42"/>
      <c r="AM114" s="1"/>
      <c r="AN114" s="4">
        <f>AN110</f>
        <v>0</v>
      </c>
      <c r="AO114" s="4">
        <f>AO110</f>
        <v>2020</v>
      </c>
      <c r="AW114" s="42"/>
    </row>
    <row r="115" spans="1:49" x14ac:dyDescent="0.25">
      <c r="A115" s="42"/>
      <c r="C115" s="92"/>
      <c r="D115" s="93"/>
      <c r="E115" s="93"/>
      <c r="M115" s="42"/>
      <c r="Y115" s="42"/>
      <c r="AA115" s="92"/>
      <c r="AB115" s="93"/>
      <c r="AC115" s="93"/>
      <c r="AK115" s="42"/>
      <c r="AM115" s="92"/>
      <c r="AN115" s="93"/>
      <c r="AO115" s="93"/>
      <c r="AW115" s="42"/>
    </row>
    <row r="116" spans="1:49" x14ac:dyDescent="0.25">
      <c r="A116" s="42"/>
      <c r="C116" s="1" t="s">
        <v>80</v>
      </c>
      <c r="D116" s="4" t="str">
        <f>IF(D14="non","",D110+45)</f>
        <v/>
      </c>
      <c r="E116" s="4" t="str">
        <f>IF(D14="non","",E80)</f>
        <v/>
      </c>
      <c r="M116" s="42"/>
      <c r="Y116" s="42"/>
      <c r="AA116" s="1" t="s">
        <v>78</v>
      </c>
      <c r="AB116" s="4" t="str">
        <f>IF(AB14="non","",AB110+45)</f>
        <v/>
      </c>
      <c r="AC116" s="4" t="str">
        <f>IF(AB14="non","",AC80)</f>
        <v/>
      </c>
      <c r="AK116" s="42"/>
      <c r="AM116" s="1" t="s">
        <v>88</v>
      </c>
      <c r="AN116" s="4">
        <v>45</v>
      </c>
      <c r="AO116" s="4">
        <f>AN12</f>
        <v>2150</v>
      </c>
      <c r="AW116" s="42"/>
    </row>
    <row r="117" spans="1:49" x14ac:dyDescent="0.25">
      <c r="A117" s="42"/>
      <c r="C117" s="1"/>
      <c r="D117" s="4" t="str">
        <f>IF(D14="non","",D116+45)</f>
        <v/>
      </c>
      <c r="E117" s="4" t="str">
        <f>E116</f>
        <v/>
      </c>
      <c r="M117" s="42"/>
      <c r="Y117" s="42"/>
      <c r="AA117" s="1"/>
      <c r="AB117" s="4" t="str">
        <f>IF(AB14="non","",AB116+45)</f>
        <v/>
      </c>
      <c r="AC117" s="4" t="str">
        <f>AC116</f>
        <v/>
      </c>
      <c r="AK117" s="42"/>
      <c r="AM117" s="1"/>
      <c r="AN117" s="4">
        <f>AR37+AN116</f>
        <v>75</v>
      </c>
      <c r="AO117" s="4">
        <f>AO116</f>
        <v>2150</v>
      </c>
      <c r="AW117" s="42"/>
    </row>
    <row r="118" spans="1:49" x14ac:dyDescent="0.25">
      <c r="A118" s="42"/>
      <c r="C118" s="1"/>
      <c r="D118" s="4" t="str">
        <f>D117</f>
        <v/>
      </c>
      <c r="E118" s="4" t="str">
        <f>H$20</f>
        <v/>
      </c>
      <c r="M118" s="42"/>
      <c r="Y118" s="42"/>
      <c r="AA118" s="1"/>
      <c r="AB118" s="4" t="str">
        <f>AB117</f>
        <v/>
      </c>
      <c r="AC118" s="4" t="str">
        <f>AF$20</f>
        <v/>
      </c>
      <c r="AK118" s="42"/>
      <c r="AM118" s="1"/>
      <c r="AN118" s="4">
        <f>AN117</f>
        <v>75</v>
      </c>
      <c r="AO118" s="4">
        <f>AO117+AP37</f>
        <v>2745</v>
      </c>
      <c r="AW118" s="42"/>
    </row>
    <row r="119" spans="1:49" x14ac:dyDescent="0.25">
      <c r="A119" s="42"/>
      <c r="C119" s="1"/>
      <c r="D119" s="4" t="str">
        <f>D116</f>
        <v/>
      </c>
      <c r="E119" s="4" t="str">
        <f>E118</f>
        <v/>
      </c>
      <c r="M119" s="42"/>
      <c r="Y119" s="42"/>
      <c r="AA119" s="1"/>
      <c r="AB119" s="4" t="str">
        <f>AB116</f>
        <v/>
      </c>
      <c r="AC119" s="4" t="str">
        <f>AC118</f>
        <v/>
      </c>
      <c r="AK119" s="42"/>
      <c r="AM119" s="1"/>
      <c r="AN119" s="4">
        <f>AN116</f>
        <v>45</v>
      </c>
      <c r="AO119" s="4">
        <f>AO118</f>
        <v>2745</v>
      </c>
      <c r="AW119" s="42"/>
    </row>
    <row r="120" spans="1:49" x14ac:dyDescent="0.25">
      <c r="A120" s="42"/>
      <c r="C120" s="1"/>
      <c r="D120" s="4" t="str">
        <f>D116</f>
        <v/>
      </c>
      <c r="E120" s="4" t="str">
        <f>E116</f>
        <v/>
      </c>
      <c r="M120" s="42"/>
      <c r="Y120" s="42"/>
      <c r="AA120" s="1"/>
      <c r="AB120" s="4" t="str">
        <f>AB116</f>
        <v/>
      </c>
      <c r="AC120" s="4" t="str">
        <f>AC116</f>
        <v/>
      </c>
      <c r="AK120" s="42"/>
      <c r="AM120" s="1"/>
      <c r="AN120" s="4">
        <f>AN116</f>
        <v>45</v>
      </c>
      <c r="AO120" s="4">
        <f>AO116</f>
        <v>2150</v>
      </c>
      <c r="AW120" s="42"/>
    </row>
    <row r="121" spans="1:49" x14ac:dyDescent="0.25">
      <c r="A121" s="42"/>
      <c r="M121" s="42"/>
      <c r="Y121" s="42"/>
      <c r="AA121" s="92"/>
      <c r="AB121" s="93"/>
      <c r="AC121" s="93"/>
      <c r="AK121" s="42"/>
      <c r="AW121" s="42"/>
    </row>
    <row r="122" spans="1:49" x14ac:dyDescent="0.25">
      <c r="A122" s="42"/>
      <c r="M122" s="42"/>
      <c r="Y122" s="42"/>
      <c r="AA122" s="1" t="s">
        <v>79</v>
      </c>
      <c r="AB122" s="4" t="str">
        <f>IF(AB14="non","",AB80-90)</f>
        <v/>
      </c>
      <c r="AC122" s="4" t="str">
        <f>IF(AB14="non","",AC74)</f>
        <v/>
      </c>
      <c r="AK122" s="42"/>
      <c r="AW122" s="42"/>
    </row>
    <row r="123" spans="1:49" x14ac:dyDescent="0.25">
      <c r="A123" s="42"/>
      <c r="M123" s="42"/>
      <c r="Y123" s="42"/>
      <c r="AA123" s="1"/>
      <c r="AB123" s="4" t="str">
        <f>IF(AB14="non","",AB122+45)</f>
        <v/>
      </c>
      <c r="AC123" s="4" t="str">
        <f>AC122</f>
        <v/>
      </c>
      <c r="AK123" s="42"/>
      <c r="AW123" s="42"/>
    </row>
    <row r="124" spans="1:49" x14ac:dyDescent="0.25">
      <c r="A124" s="42"/>
      <c r="M124" s="42"/>
      <c r="Y124" s="42"/>
      <c r="AA124" s="1"/>
      <c r="AB124" s="4" t="str">
        <f>AB123</f>
        <v/>
      </c>
      <c r="AC124" s="4" t="str">
        <f>AF$20</f>
        <v/>
      </c>
      <c r="AK124" s="42"/>
      <c r="AW124" s="42"/>
    </row>
    <row r="125" spans="1:49" x14ac:dyDescent="0.25">
      <c r="A125" s="42"/>
      <c r="M125" s="42"/>
      <c r="Y125" s="42"/>
      <c r="AA125" s="1"/>
      <c r="AB125" s="4" t="str">
        <f>AB122</f>
        <v/>
      </c>
      <c r="AC125" s="4" t="str">
        <f>AC124</f>
        <v/>
      </c>
      <c r="AK125" s="42"/>
      <c r="AW125" s="42"/>
    </row>
    <row r="126" spans="1:49" x14ac:dyDescent="0.25">
      <c r="A126" s="42"/>
      <c r="M126" s="42"/>
      <c r="Y126" s="42"/>
      <c r="AA126" s="1"/>
      <c r="AB126" s="4" t="str">
        <f>AB122</f>
        <v/>
      </c>
      <c r="AC126" s="4" t="str">
        <f>AC122</f>
        <v/>
      </c>
      <c r="AK126" s="42"/>
      <c r="AW126" s="42"/>
    </row>
    <row r="127" spans="1:49" x14ac:dyDescent="0.25">
      <c r="A127" s="42"/>
      <c r="M127" s="42"/>
      <c r="Y127" s="42"/>
      <c r="AA127" s="92"/>
      <c r="AB127" s="93"/>
      <c r="AC127" s="93"/>
      <c r="AK127" s="42"/>
      <c r="AW127" s="42"/>
    </row>
    <row r="128" spans="1:49" x14ac:dyDescent="0.25">
      <c r="A128" s="42"/>
      <c r="M128" s="42"/>
      <c r="Y128" s="42"/>
      <c r="AA128" s="1" t="s">
        <v>80</v>
      </c>
      <c r="AB128" s="4" t="str">
        <f>IF(AB14="non","",AB122+45)</f>
        <v/>
      </c>
      <c r="AC128" s="4" t="str">
        <f>IF(AB14="non","",AC80)</f>
        <v/>
      </c>
      <c r="AK128" s="42"/>
      <c r="AW128" s="42"/>
    </row>
    <row r="129" spans="1:49" x14ac:dyDescent="0.25">
      <c r="A129" s="42"/>
      <c r="M129" s="42"/>
      <c r="Y129" s="42"/>
      <c r="AA129" s="1"/>
      <c r="AB129" s="4" t="str">
        <f>IF(AB14="non","",AB128+45)</f>
        <v/>
      </c>
      <c r="AC129" s="4" t="str">
        <f>AC128</f>
        <v/>
      </c>
      <c r="AK129" s="42"/>
      <c r="AW129" s="42"/>
    </row>
    <row r="130" spans="1:49" x14ac:dyDescent="0.25">
      <c r="A130" s="42"/>
      <c r="M130" s="42"/>
      <c r="Y130" s="42"/>
      <c r="AA130" s="1"/>
      <c r="AB130" s="4" t="str">
        <f>AB129</f>
        <v/>
      </c>
      <c r="AC130" s="4" t="str">
        <f>AF$20</f>
        <v/>
      </c>
      <c r="AK130" s="42"/>
      <c r="AW130" s="42"/>
    </row>
    <row r="131" spans="1:49" x14ac:dyDescent="0.25">
      <c r="A131" s="42"/>
      <c r="M131" s="42"/>
      <c r="Y131" s="42"/>
      <c r="AA131" s="1"/>
      <c r="AB131" s="4" t="str">
        <f>AB128</f>
        <v/>
      </c>
      <c r="AC131" s="4" t="str">
        <f>AC130</f>
        <v/>
      </c>
      <c r="AK131" s="42"/>
      <c r="AW131" s="42"/>
    </row>
    <row r="132" spans="1:49" x14ac:dyDescent="0.25">
      <c r="A132" s="42"/>
      <c r="M132" s="42"/>
      <c r="Y132" s="42"/>
      <c r="AA132" s="1"/>
      <c r="AB132" s="4" t="str">
        <f>AB128</f>
        <v/>
      </c>
      <c r="AC132" s="4" t="str">
        <f>AC128</f>
        <v/>
      </c>
      <c r="AK132" s="42"/>
      <c r="AW132" s="42"/>
    </row>
    <row r="133" spans="1:49" x14ac:dyDescent="0.25">
      <c r="A133" s="42"/>
      <c r="M133" s="42"/>
      <c r="Y133" s="42"/>
      <c r="AA133" s="6"/>
      <c r="AB133" s="42"/>
      <c r="AC133" s="42"/>
      <c r="AK133" s="42"/>
      <c r="AW133" s="42"/>
    </row>
    <row r="134" spans="1:49" x14ac:dyDescent="0.25">
      <c r="A134" s="42"/>
      <c r="M134" s="42"/>
      <c r="Y134" s="42"/>
      <c r="AA134" s="1" t="s">
        <v>88</v>
      </c>
      <c r="AB134" s="4">
        <v>45</v>
      </c>
      <c r="AC134" s="4">
        <f>AB12</f>
        <v>2150</v>
      </c>
      <c r="AK134" s="42"/>
      <c r="AW134" s="42"/>
    </row>
    <row r="135" spans="1:49" x14ac:dyDescent="0.25">
      <c r="A135" s="42"/>
      <c r="M135" s="42"/>
      <c r="Y135" s="42"/>
      <c r="AA135" s="1"/>
      <c r="AB135" s="4">
        <f>AF37+AB134</f>
        <v>75</v>
      </c>
      <c r="AC135" s="4">
        <f>AC134</f>
        <v>2150</v>
      </c>
      <c r="AK135" s="42"/>
      <c r="AW135" s="42"/>
    </row>
    <row r="136" spans="1:49" x14ac:dyDescent="0.25">
      <c r="A136" s="42"/>
      <c r="M136" s="42"/>
      <c r="Y136" s="42"/>
      <c r="AA136" s="1"/>
      <c r="AB136" s="4">
        <f>AB135</f>
        <v>75</v>
      </c>
      <c r="AC136" s="4">
        <f>AC135+AD37</f>
        <v>2745</v>
      </c>
      <c r="AK136" s="42"/>
      <c r="AW136" s="42"/>
    </row>
    <row r="137" spans="1:49" x14ac:dyDescent="0.25">
      <c r="A137" s="42"/>
      <c r="M137" s="42"/>
      <c r="Y137" s="42"/>
      <c r="AA137" s="1"/>
      <c r="AB137" s="4">
        <f>AB134</f>
        <v>45</v>
      </c>
      <c r="AC137" s="4">
        <f>AC136</f>
        <v>2745</v>
      </c>
      <c r="AK137" s="42"/>
      <c r="AW137" s="42"/>
    </row>
    <row r="138" spans="1:49" x14ac:dyDescent="0.25">
      <c r="A138" s="42"/>
      <c r="M138" s="42"/>
      <c r="Y138" s="42"/>
      <c r="AA138" s="1"/>
      <c r="AB138" s="4">
        <f>AB134</f>
        <v>45</v>
      </c>
      <c r="AC138" s="4">
        <f>AC134</f>
        <v>2150</v>
      </c>
      <c r="AK138" s="42"/>
      <c r="AW138" s="42"/>
    </row>
    <row r="139" spans="1:49" x14ac:dyDescent="0.25">
      <c r="A139" s="42"/>
      <c r="M139" s="42"/>
      <c r="Y139" s="42"/>
      <c r="AK139" s="42"/>
      <c r="AW139" s="42"/>
    </row>
    <row r="140" spans="1:49" x14ac:dyDescent="0.25">
      <c r="A140" s="42"/>
      <c r="M140" s="42"/>
      <c r="Y140" s="42"/>
      <c r="AK140" s="42"/>
      <c r="AW140" s="42"/>
    </row>
    <row r="141" spans="1:49" x14ac:dyDescent="0.25">
      <c r="A141" s="42"/>
      <c r="M141" s="42"/>
      <c r="Y141" s="42"/>
      <c r="AK141" s="42"/>
      <c r="AW141" s="42"/>
    </row>
    <row r="142" spans="1:49" x14ac:dyDescent="0.25">
      <c r="A142" s="42"/>
      <c r="M142" s="42"/>
      <c r="Y142" s="42"/>
      <c r="AK142" s="42"/>
      <c r="AW142" s="42"/>
    </row>
    <row r="143" spans="1:49" x14ac:dyDescent="0.25">
      <c r="A143" s="42"/>
      <c r="M143" s="42"/>
      <c r="Y143" s="42"/>
      <c r="AK143" s="42"/>
      <c r="AW143" s="42"/>
    </row>
    <row r="144" spans="1:49" x14ac:dyDescent="0.25">
      <c r="A144" s="42"/>
      <c r="C144" s="1" t="s">
        <v>84</v>
      </c>
      <c r="D144" s="4">
        <v>-200</v>
      </c>
      <c r="E144" s="4">
        <f>D12</f>
        <v>2150</v>
      </c>
      <c r="M144" s="42"/>
      <c r="O144" s="1" t="s">
        <v>84</v>
      </c>
      <c r="P144" s="4">
        <v>-200</v>
      </c>
      <c r="Q144" s="4">
        <f>P12</f>
        <v>2150</v>
      </c>
      <c r="Y144" s="42"/>
      <c r="AA144" s="1" t="s">
        <v>84</v>
      </c>
      <c r="AB144" s="4">
        <v>-200</v>
      </c>
      <c r="AC144" s="4">
        <f>AB12</f>
        <v>2150</v>
      </c>
      <c r="AK144" s="42"/>
      <c r="AM144" s="1" t="s">
        <v>84</v>
      </c>
      <c r="AN144" s="4">
        <v>-300</v>
      </c>
      <c r="AO144" s="4">
        <f>AN12</f>
        <v>2150</v>
      </c>
      <c r="AW144" s="42"/>
    </row>
    <row r="145" spans="1:49" x14ac:dyDescent="0.25">
      <c r="A145" s="42"/>
      <c r="C145" s="1"/>
      <c r="D145" s="4">
        <f>J10+500</f>
        <v>620</v>
      </c>
      <c r="E145" s="4">
        <f>E144</f>
        <v>2150</v>
      </c>
      <c r="M145" s="42"/>
      <c r="O145" s="1"/>
      <c r="P145" s="4">
        <f>V10+500</f>
        <v>620</v>
      </c>
      <c r="Q145" s="4">
        <f>Q144</f>
        <v>2150</v>
      </c>
      <c r="Y145" s="42"/>
      <c r="AA145" s="1"/>
      <c r="AB145" s="4">
        <f>AH10+500</f>
        <v>620</v>
      </c>
      <c r="AC145" s="4">
        <f>AC144</f>
        <v>2150</v>
      </c>
      <c r="AK145" s="42"/>
      <c r="AM145" s="1"/>
      <c r="AN145" s="4">
        <f>AT10+500</f>
        <v>620</v>
      </c>
      <c r="AO145" s="4">
        <f>AO144</f>
        <v>2150</v>
      </c>
      <c r="AW145" s="42"/>
    </row>
    <row r="146" spans="1:49" x14ac:dyDescent="0.25">
      <c r="A146" s="42"/>
      <c r="C146" s="1"/>
      <c r="D146" s="4"/>
      <c r="E146" s="4"/>
      <c r="M146" s="42"/>
      <c r="O146" s="1"/>
      <c r="P146" s="4"/>
      <c r="Q146" s="4"/>
      <c r="Y146" s="42"/>
      <c r="AA146" s="1"/>
      <c r="AB146" s="4"/>
      <c r="AC146" s="4"/>
      <c r="AK146" s="42"/>
      <c r="AM146" s="1"/>
      <c r="AN146" s="4"/>
      <c r="AO146" s="4"/>
      <c r="AW146" s="42"/>
    </row>
    <row r="147" spans="1:49" x14ac:dyDescent="0.25">
      <c r="A147" s="42"/>
      <c r="C147" s="1" t="s">
        <v>83</v>
      </c>
      <c r="D147" s="4">
        <v>-200</v>
      </c>
      <c r="E147" s="4">
        <f>D13</f>
        <v>2720</v>
      </c>
      <c r="M147" s="42"/>
      <c r="O147" s="1" t="s">
        <v>83</v>
      </c>
      <c r="P147" s="4">
        <f>P144</f>
        <v>-200</v>
      </c>
      <c r="Q147" s="4">
        <f>P13</f>
        <v>2720</v>
      </c>
      <c r="Y147" s="42"/>
      <c r="AA147" s="1" t="s">
        <v>83</v>
      </c>
      <c r="AB147" s="4">
        <v>-200</v>
      </c>
      <c r="AC147" s="4">
        <f>AB13</f>
        <v>2720</v>
      </c>
      <c r="AK147" s="42"/>
      <c r="AM147" s="1" t="s">
        <v>83</v>
      </c>
      <c r="AN147" s="4">
        <f>AN144</f>
        <v>-300</v>
      </c>
      <c r="AO147" s="4">
        <f>AN13</f>
        <v>2720</v>
      </c>
      <c r="AW147" s="42"/>
    </row>
    <row r="148" spans="1:49" x14ac:dyDescent="0.25">
      <c r="A148" s="42"/>
      <c r="C148" s="1"/>
      <c r="D148" s="4">
        <f>D145</f>
        <v>620</v>
      </c>
      <c r="E148" s="4">
        <f>E147</f>
        <v>2720</v>
      </c>
      <c r="M148" s="42"/>
      <c r="O148" s="1"/>
      <c r="P148" s="4">
        <f>P145</f>
        <v>620</v>
      </c>
      <c r="Q148" s="4">
        <f>Q147</f>
        <v>2720</v>
      </c>
      <c r="Y148" s="42"/>
      <c r="AA148" s="1"/>
      <c r="AB148" s="4">
        <f>AB145</f>
        <v>620</v>
      </c>
      <c r="AC148" s="4">
        <f>AC147</f>
        <v>2720</v>
      </c>
      <c r="AK148" s="42"/>
      <c r="AM148" s="1"/>
      <c r="AN148" s="4">
        <f>AN145</f>
        <v>620</v>
      </c>
      <c r="AO148" s="4">
        <f>AO147</f>
        <v>2720</v>
      </c>
      <c r="AW148" s="42"/>
    </row>
    <row r="149" spans="1:49" x14ac:dyDescent="0.25">
      <c r="A149" s="42"/>
      <c r="C149" s="1"/>
      <c r="D149" s="4"/>
      <c r="E149" s="4"/>
      <c r="M149" s="42"/>
      <c r="O149" s="1"/>
      <c r="P149" s="4"/>
      <c r="Q149" s="4"/>
      <c r="Y149" s="42"/>
      <c r="AA149" s="1"/>
      <c r="AB149" s="4"/>
      <c r="AC149" s="4"/>
      <c r="AK149" s="42"/>
      <c r="AM149" s="1"/>
      <c r="AN149" s="4"/>
      <c r="AO149" s="4"/>
      <c r="AW149" s="42"/>
    </row>
    <row r="150" spans="1:49" x14ac:dyDescent="0.25">
      <c r="A150" s="42"/>
      <c r="C150" s="1" t="s">
        <v>82</v>
      </c>
      <c r="D150" s="4">
        <v>-200</v>
      </c>
      <c r="E150" s="4">
        <v>0</v>
      </c>
      <c r="M150" s="42"/>
      <c r="O150" s="1" t="s">
        <v>82</v>
      </c>
      <c r="P150" s="4">
        <f>P144</f>
        <v>-200</v>
      </c>
      <c r="Q150" s="4">
        <v>0</v>
      </c>
      <c r="Y150" s="42"/>
      <c r="AA150" s="1" t="s">
        <v>82</v>
      </c>
      <c r="AB150" s="4">
        <v>-200</v>
      </c>
      <c r="AC150" s="4">
        <v>0</v>
      </c>
      <c r="AK150" s="42"/>
      <c r="AM150" s="1" t="s">
        <v>82</v>
      </c>
      <c r="AN150" s="4">
        <f>AN144</f>
        <v>-300</v>
      </c>
      <c r="AO150" s="4">
        <v>0</v>
      </c>
      <c r="AW150" s="42"/>
    </row>
    <row r="151" spans="1:49" x14ac:dyDescent="0.25">
      <c r="A151" s="42"/>
      <c r="C151" s="1"/>
      <c r="D151" s="4">
        <f>D145</f>
        <v>620</v>
      </c>
      <c r="E151" s="4">
        <v>0</v>
      </c>
      <c r="M151" s="42"/>
      <c r="O151" s="1"/>
      <c r="P151" s="4">
        <f>P145</f>
        <v>620</v>
      </c>
      <c r="Q151" s="4">
        <v>0</v>
      </c>
      <c r="Y151" s="42"/>
      <c r="AA151" s="1"/>
      <c r="AB151" s="4">
        <f>AB145</f>
        <v>620</v>
      </c>
      <c r="AC151" s="4">
        <v>0</v>
      </c>
      <c r="AK151" s="42"/>
      <c r="AM151" s="1"/>
      <c r="AN151" s="4">
        <f>AN145</f>
        <v>620</v>
      </c>
      <c r="AO151" s="4">
        <v>0</v>
      </c>
      <c r="AW151" s="42"/>
    </row>
    <row r="152" spans="1:49" x14ac:dyDescent="0.25">
      <c r="A152" s="42"/>
      <c r="C152" s="1"/>
      <c r="D152" s="4"/>
      <c r="E152" s="4"/>
      <c r="M152" s="42"/>
      <c r="O152" s="1"/>
      <c r="P152" s="4"/>
      <c r="Q152" s="4"/>
      <c r="Y152" s="42"/>
      <c r="AA152" s="1"/>
      <c r="AB152" s="4"/>
      <c r="AC152" s="4"/>
      <c r="AK152" s="42"/>
      <c r="AM152" s="1"/>
      <c r="AN152" s="4"/>
      <c r="AO152" s="4"/>
      <c r="AW152" s="42"/>
    </row>
    <row r="153" spans="1:49" x14ac:dyDescent="0.25">
      <c r="A153" s="42"/>
      <c r="C153" s="1" t="s">
        <v>85</v>
      </c>
      <c r="D153" s="4">
        <v>-200</v>
      </c>
      <c r="E153" s="4">
        <v>-45</v>
      </c>
      <c r="M153" s="42"/>
      <c r="O153" s="1" t="s">
        <v>85</v>
      </c>
      <c r="P153" s="4">
        <f>P144</f>
        <v>-200</v>
      </c>
      <c r="Q153" s="4">
        <v>-45</v>
      </c>
      <c r="Y153" s="42"/>
      <c r="AA153" s="1" t="s">
        <v>85</v>
      </c>
      <c r="AB153" s="4">
        <v>-200</v>
      </c>
      <c r="AC153" s="4">
        <v>-45</v>
      </c>
      <c r="AK153" s="42"/>
      <c r="AM153" s="1" t="s">
        <v>85</v>
      </c>
      <c r="AN153" s="4">
        <f>AN144</f>
        <v>-300</v>
      </c>
      <c r="AO153" s="4">
        <v>-45</v>
      </c>
      <c r="AW153" s="42"/>
    </row>
    <row r="154" spans="1:49" x14ac:dyDescent="0.25">
      <c r="A154" s="42"/>
      <c r="C154" s="1"/>
      <c r="D154" s="4">
        <f>D148</f>
        <v>620</v>
      </c>
      <c r="E154" s="4">
        <v>-45</v>
      </c>
      <c r="M154" s="42"/>
      <c r="O154" s="1"/>
      <c r="P154" s="4">
        <f>P148</f>
        <v>620</v>
      </c>
      <c r="Q154" s="4">
        <v>-45</v>
      </c>
      <c r="Y154" s="42"/>
      <c r="AA154" s="1"/>
      <c r="AB154" s="4">
        <f>AB148</f>
        <v>620</v>
      </c>
      <c r="AC154" s="4">
        <v>-45</v>
      </c>
      <c r="AK154" s="42"/>
      <c r="AM154" s="1"/>
      <c r="AN154" s="4">
        <f>AN148</f>
        <v>620</v>
      </c>
      <c r="AO154" s="4">
        <v>-45</v>
      </c>
      <c r="AW154" s="42"/>
    </row>
    <row r="155" spans="1:49" s="16" customFormat="1" ht="15" customHeight="1" x14ac:dyDescent="0.25">
      <c r="A155" s="49"/>
      <c r="D155" s="20"/>
      <c r="E155" s="20"/>
      <c r="F155" s="20"/>
      <c r="G155" s="20"/>
      <c r="H155" s="20"/>
      <c r="I155" s="20"/>
      <c r="J155" s="23"/>
      <c r="K155" s="23"/>
      <c r="L155" s="23"/>
      <c r="M155" s="49"/>
      <c r="N155" s="23"/>
      <c r="O155" s="21"/>
      <c r="P155" s="23"/>
      <c r="Q155" s="23"/>
      <c r="R155" s="23"/>
      <c r="S155" s="23"/>
      <c r="T155" s="23"/>
      <c r="U155" s="23"/>
      <c r="V155" s="23"/>
      <c r="W155" s="23"/>
      <c r="X155" s="23"/>
      <c r="Y155" s="49"/>
      <c r="AB155" s="20"/>
      <c r="AC155" s="20"/>
      <c r="AD155" s="20"/>
      <c r="AE155" s="20"/>
      <c r="AF155" s="20"/>
      <c r="AG155" s="20"/>
      <c r="AH155" s="20"/>
      <c r="AI155" s="20"/>
      <c r="AJ155" s="20"/>
      <c r="AK155" s="49"/>
      <c r="AN155" s="20"/>
      <c r="AO155" s="20"/>
      <c r="AP155" s="20"/>
      <c r="AQ155" s="20"/>
      <c r="AR155" s="20"/>
      <c r="AS155" s="20"/>
      <c r="AT155" s="20"/>
      <c r="AU155" s="20"/>
      <c r="AV155" s="20"/>
      <c r="AW155" s="49"/>
    </row>
    <row r="156" spans="1:49" ht="18.75" x14ac:dyDescent="0.3">
      <c r="A156" s="51"/>
      <c r="B156" s="6"/>
      <c r="C156" s="6"/>
      <c r="D156" s="42"/>
      <c r="E156" s="50"/>
      <c r="F156" s="42"/>
      <c r="G156" s="42"/>
      <c r="H156" s="42"/>
      <c r="I156" s="42"/>
      <c r="J156" s="51"/>
      <c r="K156" s="51"/>
      <c r="L156" s="51"/>
      <c r="M156" s="51"/>
      <c r="N156" s="51"/>
      <c r="O156" s="7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6"/>
      <c r="AA156" s="6"/>
      <c r="AB156" s="42"/>
      <c r="AC156" s="42"/>
      <c r="AD156" s="42"/>
      <c r="AE156" s="42"/>
      <c r="AF156" s="42"/>
      <c r="AG156" s="42"/>
      <c r="AH156" s="42"/>
      <c r="AI156" s="42"/>
      <c r="AJ156" s="42"/>
      <c r="AK156" s="51"/>
      <c r="AL156" s="6"/>
      <c r="AM156" s="6"/>
      <c r="AN156" s="42"/>
      <c r="AO156" s="42"/>
      <c r="AP156" s="42"/>
      <c r="AQ156" s="42"/>
      <c r="AR156" s="42"/>
      <c r="AS156" s="42"/>
      <c r="AT156" s="42"/>
      <c r="AU156" s="42"/>
      <c r="AV156" s="42"/>
      <c r="AW156" s="51"/>
    </row>
    <row r="157" spans="1:49" ht="18.75" x14ac:dyDescent="0.3">
      <c r="A157" s="51"/>
      <c r="C157" t="str">
        <f>"Chantier: "&amp;Acceuil!B1&amp;" - "&amp;Acceuil!$B$2</f>
        <v xml:space="preserve">Chantier:  - </v>
      </c>
      <c r="E157" s="53"/>
      <c r="J157" s="52"/>
      <c r="K157" s="52"/>
      <c r="L157" s="52"/>
      <c r="M157" s="51"/>
      <c r="N157" s="52"/>
      <c r="O157" t="str">
        <f>"Chantier: "&amp;Acceuil!B1&amp;" - "&amp;Acceuil!$B$2</f>
        <v xml:space="preserve">Chantier:  - </v>
      </c>
      <c r="P157" s="52"/>
      <c r="Q157" s="52"/>
      <c r="R157" s="52"/>
      <c r="S157" s="52"/>
      <c r="T157" s="52"/>
      <c r="U157" s="52"/>
      <c r="V157" s="52"/>
      <c r="W157" s="52"/>
      <c r="X157" s="52"/>
      <c r="Y157" s="51"/>
      <c r="AA157" s="9" t="str">
        <f>"Chantier: "&amp;Acceuil!B1&amp;" - "&amp;Acceuil!$B$2</f>
        <v xml:space="preserve">Chantier:  - </v>
      </c>
      <c r="AB157" s="55"/>
      <c r="AC157" s="55"/>
      <c r="AD157" s="55"/>
      <c r="AE157" s="55"/>
      <c r="AF157" s="55"/>
      <c r="AG157" s="55"/>
      <c r="AH157" s="55"/>
      <c r="AI157" s="55"/>
      <c r="AJ157" s="10"/>
      <c r="AK157" s="51"/>
      <c r="AM157" s="9" t="str">
        <f>"Chantier: "&amp;Acceuil!B1&amp;" - "&amp;Acceuil!$B$2</f>
        <v xml:space="preserve">Chantier:  - </v>
      </c>
      <c r="AN157" s="55"/>
      <c r="AO157" s="55"/>
      <c r="AP157" s="55"/>
      <c r="AQ157" s="55"/>
      <c r="AR157" s="55"/>
      <c r="AS157" s="55"/>
      <c r="AT157" s="55"/>
      <c r="AU157" s="55"/>
      <c r="AW157" s="51"/>
    </row>
    <row r="158" spans="1:49" ht="19.5" thickBot="1" x14ac:dyDescent="0.35">
      <c r="A158" s="51"/>
      <c r="E158" s="53"/>
      <c r="J158" s="52"/>
      <c r="K158" s="52"/>
      <c r="L158" s="52"/>
      <c r="M158" s="51"/>
      <c r="N158" s="52"/>
      <c r="P158" s="52"/>
      <c r="Q158" s="52"/>
      <c r="R158" s="52"/>
      <c r="S158" s="52"/>
      <c r="T158" s="52"/>
      <c r="U158" s="52"/>
      <c r="V158" s="52"/>
      <c r="W158" s="52"/>
      <c r="X158" s="52"/>
      <c r="Y158" s="51"/>
      <c r="AA158" s="9"/>
      <c r="AB158" s="55"/>
      <c r="AC158" s="55"/>
      <c r="AD158" s="55"/>
      <c r="AE158" s="55"/>
      <c r="AF158" s="55"/>
      <c r="AG158" s="55"/>
      <c r="AH158" s="55"/>
      <c r="AI158" s="55"/>
      <c r="AJ158" s="10"/>
      <c r="AK158" s="51"/>
      <c r="AM158" s="9"/>
      <c r="AN158" s="55"/>
      <c r="AO158" s="55"/>
      <c r="AP158" s="55"/>
      <c r="AQ158" s="55"/>
      <c r="AR158" s="55"/>
      <c r="AS158" s="55"/>
      <c r="AT158" s="55"/>
      <c r="AU158" s="55"/>
      <c r="AW158" s="51"/>
    </row>
    <row r="159" spans="1:49" s="83" customFormat="1" ht="15" customHeight="1" thickBot="1" x14ac:dyDescent="0.3">
      <c r="A159" s="111"/>
      <c r="C159" s="232" t="str">
        <f>IF(C6="","Blocs sur "&amp;C4&amp;C161,"Blocs sur "&amp;C4&amp;"; "&amp;C161)</f>
        <v xml:space="preserve">Blocs sur Porte 0 / 0; sans VR; </v>
      </c>
      <c r="D159" s="233"/>
      <c r="E159" s="233"/>
      <c r="F159" s="233"/>
      <c r="G159" s="233"/>
      <c r="H159" s="233"/>
      <c r="I159" s="233"/>
      <c r="J159" s="233"/>
      <c r="K159" s="234"/>
      <c r="L159" s="110"/>
      <c r="M159" s="111"/>
      <c r="N159" s="110"/>
      <c r="O159" s="232" t="str">
        <f>IF(O6="","Blocs sur "&amp;O4&amp;O161,"Blocs sur "&amp;O4&amp;"; "&amp;O161)</f>
        <v xml:space="preserve">Blocs sur Fenêtre 0 / 0; sans VR; </v>
      </c>
      <c r="P159" s="233"/>
      <c r="Q159" s="233"/>
      <c r="R159" s="233"/>
      <c r="S159" s="233"/>
      <c r="T159" s="233"/>
      <c r="U159" s="233"/>
      <c r="V159" s="233"/>
      <c r="W159" s="234"/>
      <c r="X159" s="110"/>
      <c r="Y159" s="111"/>
      <c r="AA159" s="235" t="str">
        <f>IF(AA6="","Blocs sur "&amp;AA4&amp;AA161,"Blocs sur "&amp;AA4&amp;"; "&amp;AA161)</f>
        <v xml:space="preserve">Blocs sur Porte 0 / 0; avec VR; </v>
      </c>
      <c r="AB159" s="236"/>
      <c r="AC159" s="236"/>
      <c r="AD159" s="236"/>
      <c r="AE159" s="236"/>
      <c r="AF159" s="236"/>
      <c r="AG159" s="236"/>
      <c r="AH159" s="236"/>
      <c r="AI159" s="237"/>
      <c r="AJ159" s="112"/>
      <c r="AK159" s="111"/>
      <c r="AM159" s="235" t="str">
        <f>IF(AM6="","Blocs sur "&amp;AM4&amp;AM161,"Blocs sur "&amp;AM4&amp;"; "&amp;AM161)</f>
        <v xml:space="preserve">Blocs sur Fenêtre 0 / 0; avec VR; </v>
      </c>
      <c r="AN159" s="236"/>
      <c r="AO159" s="236"/>
      <c r="AP159" s="236"/>
      <c r="AQ159" s="236"/>
      <c r="AR159" s="236"/>
      <c r="AS159" s="236"/>
      <c r="AT159" s="236"/>
      <c r="AU159" s="237"/>
      <c r="AV159" s="113"/>
      <c r="AW159" s="111"/>
    </row>
    <row r="160" spans="1:49" s="96" customFormat="1" ht="15" customHeight="1" x14ac:dyDescent="0.35">
      <c r="A160" s="89"/>
      <c r="C160" s="109"/>
      <c r="D160" s="109"/>
      <c r="E160" s="109"/>
      <c r="F160" s="109"/>
      <c r="G160" s="109"/>
      <c r="H160" s="109"/>
      <c r="I160" s="109"/>
      <c r="J160" s="109"/>
      <c r="K160" s="109"/>
      <c r="L160" s="88"/>
      <c r="M160" s="89"/>
      <c r="N160" s="88"/>
      <c r="O160" s="97"/>
      <c r="P160" s="87"/>
      <c r="Q160" s="87"/>
      <c r="R160" s="88"/>
      <c r="S160" s="88"/>
      <c r="T160" s="88"/>
      <c r="U160" s="88"/>
      <c r="V160" s="88"/>
      <c r="W160" s="88"/>
      <c r="X160" s="88"/>
      <c r="Y160" s="89"/>
      <c r="AA160" s="125"/>
      <c r="AB160" s="90"/>
      <c r="AC160" s="90"/>
      <c r="AD160" s="91"/>
      <c r="AE160" s="91"/>
      <c r="AF160" s="91"/>
      <c r="AG160" s="91"/>
      <c r="AH160" s="91"/>
      <c r="AI160" s="91"/>
      <c r="AJ160" s="90"/>
      <c r="AK160" s="89"/>
      <c r="AM160" s="125"/>
      <c r="AN160" s="90"/>
      <c r="AO160" s="90"/>
      <c r="AP160" s="91"/>
      <c r="AQ160" s="91"/>
      <c r="AR160" s="91"/>
      <c r="AS160" s="91"/>
      <c r="AT160" s="91"/>
      <c r="AU160" s="91"/>
      <c r="AV160" s="91"/>
      <c r="AW160" s="89"/>
    </row>
    <row r="161" spans="1:49" ht="15" customHeight="1" x14ac:dyDescent="0.3">
      <c r="A161" s="51"/>
      <c r="C161" s="222"/>
      <c r="F161" s="52"/>
      <c r="G161" s="52"/>
      <c r="H161" s="52"/>
      <c r="I161" s="52"/>
      <c r="J161" s="52"/>
      <c r="K161" s="52"/>
      <c r="L161" s="52"/>
      <c r="M161" s="51"/>
      <c r="N161" s="52"/>
      <c r="O161" s="222"/>
      <c r="R161" s="52"/>
      <c r="S161" s="52"/>
      <c r="T161" s="52"/>
      <c r="U161" s="52"/>
      <c r="V161" s="52"/>
      <c r="W161" s="52"/>
      <c r="X161" s="52"/>
      <c r="Y161" s="51"/>
      <c r="AA161" s="229"/>
      <c r="AB161" s="10"/>
      <c r="AC161" s="10"/>
      <c r="AD161" s="55"/>
      <c r="AE161" s="55"/>
      <c r="AF161" s="55"/>
      <c r="AG161" s="55"/>
      <c r="AH161" s="55"/>
      <c r="AI161" s="55"/>
      <c r="AJ161" s="10"/>
      <c r="AK161" s="51"/>
      <c r="AM161" s="229"/>
      <c r="AN161" s="10"/>
      <c r="AO161" s="10"/>
      <c r="AP161" s="55"/>
      <c r="AQ161" s="55"/>
      <c r="AR161" s="55"/>
      <c r="AS161" s="55"/>
      <c r="AT161" s="55"/>
      <c r="AU161" s="55"/>
      <c r="AV161" s="55"/>
      <c r="AW161" s="51"/>
    </row>
    <row r="162" spans="1:49" ht="15" customHeight="1" thickBot="1" x14ac:dyDescent="0.3">
      <c r="A162" s="42"/>
      <c r="M162" s="42"/>
      <c r="Y162" s="42"/>
      <c r="AC162" s="10"/>
      <c r="AD162" s="10"/>
      <c r="AE162" s="10"/>
      <c r="AF162" s="10"/>
      <c r="AG162" s="10"/>
      <c r="AH162" s="10"/>
      <c r="AI162" s="10"/>
      <c r="AJ162" s="10"/>
      <c r="AK162" s="42"/>
      <c r="AO162" s="10"/>
      <c r="AP162" s="10"/>
      <c r="AQ162" s="10"/>
      <c r="AR162" s="10"/>
      <c r="AS162" s="10"/>
      <c r="AT162" s="10"/>
      <c r="AU162" s="10"/>
      <c r="AV162" s="10"/>
      <c r="AW162" s="42"/>
    </row>
    <row r="163" spans="1:49" ht="15" customHeight="1" x14ac:dyDescent="0.3">
      <c r="A163" s="42"/>
      <c r="C163" s="214" t="s">
        <v>72</v>
      </c>
      <c r="D163" s="215">
        <f>D164*D9</f>
        <v>0</v>
      </c>
      <c r="E163" s="52"/>
      <c r="F163" s="52"/>
      <c r="G163" s="52"/>
      <c r="H163" s="52"/>
      <c r="I163" s="52"/>
      <c r="J163" s="201" t="str">
        <f>"Poids unitaire: " &amp;ROUNDUP(((F179*H179*(10+9))+(D167*D168*18))/1000000,0)&amp;" Kg"</f>
        <v>Poids unitaire: 1 Kg</v>
      </c>
      <c r="M163" s="42"/>
      <c r="O163" s="214" t="s">
        <v>72</v>
      </c>
      <c r="P163" s="215">
        <f>P164*P9</f>
        <v>0</v>
      </c>
      <c r="Q163" s="52"/>
      <c r="V163" s="201" t="str">
        <f>"Poids unitaire: " &amp;ROUNDUP(((R179*T179*(10+9))+(P167*P168*18))/1000000,0)&amp;" Kg"</f>
        <v>Poids unitaire: 1 Kg</v>
      </c>
      <c r="Y163" s="42"/>
      <c r="AA163" s="218" t="s">
        <v>32</v>
      </c>
      <c r="AB163" s="219">
        <f>AB164*AB9</f>
        <v>0</v>
      </c>
      <c r="AC163" s="55"/>
      <c r="AD163" s="10"/>
      <c r="AE163" s="10"/>
      <c r="AF163" s="10"/>
      <c r="AG163" s="10"/>
      <c r="AH163" s="10"/>
      <c r="AI163" s="10"/>
      <c r="AJ163" s="10"/>
      <c r="AK163" s="42"/>
      <c r="AM163" s="218" t="s">
        <v>32</v>
      </c>
      <c r="AN163" s="219">
        <f>AN164*AN9</f>
        <v>0</v>
      </c>
      <c r="AO163" s="55"/>
      <c r="AP163" s="10"/>
      <c r="AQ163" s="10"/>
      <c r="AR163" s="10"/>
      <c r="AS163" s="10"/>
      <c r="AT163" s="10"/>
      <c r="AU163" s="10"/>
      <c r="AV163" s="10"/>
      <c r="AW163" s="42"/>
    </row>
    <row r="164" spans="1:49" ht="15" customHeight="1" thickBot="1" x14ac:dyDescent="0.35">
      <c r="A164" s="42"/>
      <c r="C164" s="213" t="s">
        <v>33</v>
      </c>
      <c r="D164" s="227">
        <v>1</v>
      </c>
      <c r="I164" s="52"/>
      <c r="M164" s="42"/>
      <c r="O164" s="213" t="s">
        <v>33</v>
      </c>
      <c r="P164" s="227">
        <v>1</v>
      </c>
      <c r="Y164" s="42"/>
      <c r="AA164" s="220" t="s">
        <v>33</v>
      </c>
      <c r="AB164" s="230">
        <v>1</v>
      </c>
      <c r="AC164" s="10"/>
      <c r="AD164" s="10"/>
      <c r="AE164" s="10"/>
      <c r="AF164" s="10"/>
      <c r="AG164" s="10"/>
      <c r="AH164" s="10"/>
      <c r="AI164" s="10"/>
      <c r="AJ164" s="10"/>
      <c r="AK164" s="42"/>
      <c r="AM164" s="220" t="s">
        <v>33</v>
      </c>
      <c r="AN164" s="230">
        <v>1</v>
      </c>
      <c r="AO164" s="10"/>
      <c r="AP164" s="10"/>
      <c r="AQ164" s="10"/>
      <c r="AR164" s="10"/>
      <c r="AS164" s="10"/>
      <c r="AT164" s="10"/>
      <c r="AU164" s="10"/>
      <c r="AV164" s="10"/>
      <c r="AW164" s="42"/>
    </row>
    <row r="165" spans="1:49" ht="15" customHeight="1" thickBot="1" x14ac:dyDescent="0.3">
      <c r="A165" s="42"/>
      <c r="M165" s="42"/>
      <c r="Y165" s="42"/>
      <c r="AA165" s="9"/>
      <c r="AB165" s="10"/>
      <c r="AC165" s="10"/>
      <c r="AD165" s="10"/>
      <c r="AE165" s="10"/>
      <c r="AF165" s="10"/>
      <c r="AG165" s="10"/>
      <c r="AH165" s="10"/>
      <c r="AI165" s="10"/>
      <c r="AJ165" s="10"/>
      <c r="AK165" s="42"/>
      <c r="AM165" s="9"/>
      <c r="AN165" s="10"/>
      <c r="AO165" s="10"/>
      <c r="AP165" s="10"/>
      <c r="AQ165" s="10"/>
      <c r="AR165" s="10"/>
      <c r="AS165" s="10"/>
      <c r="AT165" s="10"/>
      <c r="AU165" s="10"/>
      <c r="AV165" s="10"/>
      <c r="AW165" s="42"/>
    </row>
    <row r="166" spans="1:49" ht="15" customHeight="1" x14ac:dyDescent="0.25">
      <c r="A166" s="42"/>
      <c r="C166" s="80"/>
      <c r="D166" s="79"/>
      <c r="E166" s="79"/>
      <c r="F166" s="82"/>
      <c r="M166" s="42"/>
      <c r="O166" s="80"/>
      <c r="P166" s="79" t="s">
        <v>9</v>
      </c>
      <c r="Q166" s="79"/>
      <c r="R166" s="82"/>
      <c r="Y166" s="42"/>
      <c r="AA166" s="126"/>
      <c r="AB166" s="127" t="s">
        <v>9</v>
      </c>
      <c r="AC166" s="127"/>
      <c r="AD166" s="128"/>
      <c r="AE166" s="10"/>
      <c r="AF166" s="10"/>
      <c r="AG166" s="10"/>
      <c r="AH166" s="10"/>
      <c r="AI166" s="10"/>
      <c r="AJ166" s="10"/>
      <c r="AK166" s="42"/>
      <c r="AM166" s="126"/>
      <c r="AN166" s="127" t="s">
        <v>9</v>
      </c>
      <c r="AO166" s="127"/>
      <c r="AP166" s="128"/>
      <c r="AQ166" s="10"/>
      <c r="AR166" s="10"/>
      <c r="AS166" s="10"/>
      <c r="AT166" s="10"/>
      <c r="AU166" s="10"/>
      <c r="AV166" s="10"/>
      <c r="AW166" s="42"/>
    </row>
    <row r="167" spans="1:49" ht="15" customHeight="1" x14ac:dyDescent="0.25">
      <c r="A167" s="42"/>
      <c r="C167" s="75" t="s">
        <v>57</v>
      </c>
      <c r="D167" s="60">
        <f>IF(D14="non",(J10-((D164+1)*60))/D164,(J10-90-((D164+1)*60))/D164)</f>
        <v>0</v>
      </c>
      <c r="E167" s="76" t="s">
        <v>1</v>
      </c>
      <c r="M167" s="42"/>
      <c r="O167" s="75" t="s">
        <v>57</v>
      </c>
      <c r="P167" s="60">
        <f>(V10-((P164+1)*60))/P164</f>
        <v>0</v>
      </c>
      <c r="Q167" s="76" t="s">
        <v>1</v>
      </c>
      <c r="Y167" s="42"/>
      <c r="AA167" s="129" t="s">
        <v>24</v>
      </c>
      <c r="AB167" s="130">
        <f>(AH10-((AB164+1)*60))/AB164</f>
        <v>0</v>
      </c>
      <c r="AC167" s="131" t="s">
        <v>1</v>
      </c>
      <c r="AD167" s="10"/>
      <c r="AE167" s="10"/>
      <c r="AF167" s="10"/>
      <c r="AG167" s="10"/>
      <c r="AH167" s="10"/>
      <c r="AI167" s="10"/>
      <c r="AJ167" s="10"/>
      <c r="AK167" s="42"/>
      <c r="AM167" s="129" t="s">
        <v>24</v>
      </c>
      <c r="AN167" s="130">
        <f>(AT10-((AN164+1)*60))/AN164</f>
        <v>0</v>
      </c>
      <c r="AO167" s="131" t="s">
        <v>1</v>
      </c>
      <c r="AP167" s="10"/>
      <c r="AQ167" s="10"/>
      <c r="AR167" s="10"/>
      <c r="AS167" s="10"/>
      <c r="AT167" s="10"/>
      <c r="AU167" s="10"/>
      <c r="AV167" s="10"/>
      <c r="AW167" s="42"/>
    </row>
    <row r="168" spans="1:49" ht="15" customHeight="1" x14ac:dyDescent="0.25">
      <c r="A168" s="42"/>
      <c r="C168" s="75" t="s">
        <v>58</v>
      </c>
      <c r="D168" s="60">
        <f>D13-J11</f>
        <v>290</v>
      </c>
      <c r="E168" s="76" t="s">
        <v>1</v>
      </c>
      <c r="M168" s="42"/>
      <c r="O168" s="75" t="s">
        <v>58</v>
      </c>
      <c r="P168" s="60">
        <f>P13-V11-P319</f>
        <v>290</v>
      </c>
      <c r="Q168" s="76" t="s">
        <v>1</v>
      </c>
      <c r="Y168" s="42"/>
      <c r="AA168" s="129" t="s">
        <v>25</v>
      </c>
      <c r="AB168" s="130">
        <f>2150-AB12+AB13-2720</f>
        <v>0</v>
      </c>
      <c r="AC168" s="131" t="s">
        <v>1</v>
      </c>
      <c r="AD168" s="10"/>
      <c r="AE168" s="10"/>
      <c r="AF168" s="10"/>
      <c r="AG168" s="10"/>
      <c r="AH168" s="10"/>
      <c r="AI168" s="10"/>
      <c r="AJ168" s="10"/>
      <c r="AK168" s="42"/>
      <c r="AM168" s="129" t="s">
        <v>25</v>
      </c>
      <c r="AN168" s="130">
        <f>2150-AN12+AN13-2720</f>
        <v>0</v>
      </c>
      <c r="AO168" s="131" t="s">
        <v>1</v>
      </c>
      <c r="AP168" s="10"/>
      <c r="AQ168" s="10"/>
      <c r="AR168" s="10"/>
      <c r="AS168" s="10"/>
      <c r="AT168" s="10"/>
      <c r="AU168" s="10"/>
      <c r="AV168" s="10"/>
      <c r="AW168" s="42"/>
    </row>
    <row r="169" spans="1:49" ht="15" customHeight="1" x14ac:dyDescent="0.25">
      <c r="A169" s="42"/>
      <c r="C169" s="30" t="s">
        <v>59</v>
      </c>
      <c r="D169" s="60">
        <v>27</v>
      </c>
      <c r="E169" s="76" t="s">
        <v>1</v>
      </c>
      <c r="M169" s="42"/>
      <c r="O169" s="30" t="s">
        <v>59</v>
      </c>
      <c r="P169" s="60">
        <v>27</v>
      </c>
      <c r="Q169" s="76" t="s">
        <v>1</v>
      </c>
      <c r="Y169" s="42"/>
      <c r="AA169" s="132" t="s">
        <v>27</v>
      </c>
      <c r="AB169" s="130">
        <v>27</v>
      </c>
      <c r="AC169" s="131" t="s">
        <v>1</v>
      </c>
      <c r="AD169" s="10"/>
      <c r="AE169" s="10"/>
      <c r="AF169" s="10"/>
      <c r="AG169" s="10"/>
      <c r="AH169" s="10"/>
      <c r="AI169" s="10"/>
      <c r="AJ169" s="10"/>
      <c r="AK169" s="42"/>
      <c r="AM169" s="132" t="s">
        <v>27</v>
      </c>
      <c r="AN169" s="130">
        <v>27</v>
      </c>
      <c r="AO169" s="131" t="s">
        <v>1</v>
      </c>
      <c r="AP169" s="10"/>
      <c r="AQ169" s="10"/>
      <c r="AR169" s="10"/>
      <c r="AS169" s="10"/>
      <c r="AT169" s="10"/>
      <c r="AU169" s="10"/>
      <c r="AV169" s="10"/>
      <c r="AW169" s="42"/>
    </row>
    <row r="170" spans="1:49" ht="15" customHeight="1" x14ac:dyDescent="0.3">
      <c r="A170" s="42"/>
      <c r="C170" s="30" t="s">
        <v>60</v>
      </c>
      <c r="D170" s="60">
        <v>27</v>
      </c>
      <c r="E170" s="76" t="s">
        <v>1</v>
      </c>
      <c r="H170" s="52"/>
      <c r="I170" s="52"/>
      <c r="M170" s="42"/>
      <c r="O170" s="30" t="s">
        <v>60</v>
      </c>
      <c r="P170" s="60">
        <v>27</v>
      </c>
      <c r="Q170" s="76" t="s">
        <v>1</v>
      </c>
      <c r="Y170" s="42"/>
      <c r="AA170" s="132" t="s">
        <v>26</v>
      </c>
      <c r="AB170" s="130">
        <v>27</v>
      </c>
      <c r="AC170" s="131" t="s">
        <v>1</v>
      </c>
      <c r="AD170" s="10"/>
      <c r="AE170" s="10"/>
      <c r="AF170" s="10"/>
      <c r="AG170" s="10"/>
      <c r="AH170" s="10"/>
      <c r="AI170" s="10"/>
      <c r="AJ170" s="10"/>
      <c r="AK170" s="42"/>
      <c r="AM170" s="132" t="s">
        <v>26</v>
      </c>
      <c r="AN170" s="130">
        <v>27</v>
      </c>
      <c r="AO170" s="131" t="s">
        <v>1</v>
      </c>
      <c r="AP170" s="10"/>
      <c r="AQ170" s="10"/>
      <c r="AR170" s="10"/>
      <c r="AS170" s="10"/>
      <c r="AT170" s="10"/>
      <c r="AU170" s="10"/>
      <c r="AV170" s="10"/>
      <c r="AW170" s="42"/>
    </row>
    <row r="171" spans="1:49" ht="15" customHeight="1" x14ac:dyDescent="0.25">
      <c r="A171" s="42"/>
      <c r="C171" s="30" t="s">
        <v>61</v>
      </c>
      <c r="D171" s="60">
        <v>40</v>
      </c>
      <c r="E171" s="76" t="s">
        <v>1</v>
      </c>
      <c r="M171" s="42"/>
      <c r="O171" s="30" t="s">
        <v>61</v>
      </c>
      <c r="P171" s="60">
        <v>40</v>
      </c>
      <c r="Q171" s="76" t="s">
        <v>1</v>
      </c>
      <c r="Y171" s="42"/>
      <c r="AA171" s="132" t="s">
        <v>28</v>
      </c>
      <c r="AB171" s="130">
        <v>40</v>
      </c>
      <c r="AC171" s="131" t="s">
        <v>1</v>
      </c>
      <c r="AD171" s="10"/>
      <c r="AE171" s="10"/>
      <c r="AF171" s="10"/>
      <c r="AG171" s="10"/>
      <c r="AH171" s="10"/>
      <c r="AI171" s="10"/>
      <c r="AJ171" s="10"/>
      <c r="AK171" s="42"/>
      <c r="AM171" s="132" t="s">
        <v>28</v>
      </c>
      <c r="AN171" s="130">
        <v>40</v>
      </c>
      <c r="AO171" s="131" t="s">
        <v>1</v>
      </c>
      <c r="AP171" s="10"/>
      <c r="AQ171" s="10"/>
      <c r="AR171" s="10"/>
      <c r="AS171" s="10"/>
      <c r="AT171" s="10"/>
      <c r="AU171" s="10"/>
      <c r="AV171" s="10"/>
      <c r="AW171" s="42"/>
    </row>
    <row r="172" spans="1:49" ht="15" customHeight="1" thickBot="1" x14ac:dyDescent="0.3">
      <c r="A172" s="42"/>
      <c r="C172" s="32" t="s">
        <v>62</v>
      </c>
      <c r="D172" s="77">
        <f>IF(D14="oui",315,265)</f>
        <v>265</v>
      </c>
      <c r="E172" s="78" t="s">
        <v>1</v>
      </c>
      <c r="M172" s="42"/>
      <c r="O172" s="32" t="s">
        <v>62</v>
      </c>
      <c r="P172" s="77">
        <v>265</v>
      </c>
      <c r="Q172" s="78" t="s">
        <v>1</v>
      </c>
      <c r="Y172" s="42"/>
      <c r="AA172" s="133" t="s">
        <v>29</v>
      </c>
      <c r="AB172" s="134">
        <v>-40</v>
      </c>
      <c r="AC172" s="135" t="s">
        <v>1</v>
      </c>
      <c r="AD172" s="10"/>
      <c r="AE172" s="10"/>
      <c r="AF172" s="10"/>
      <c r="AG172" s="10"/>
      <c r="AH172" s="10"/>
      <c r="AI172" s="10"/>
      <c r="AJ172" s="10"/>
      <c r="AK172" s="42"/>
      <c r="AM172" s="133" t="s">
        <v>29</v>
      </c>
      <c r="AN172" s="134">
        <v>265</v>
      </c>
      <c r="AO172" s="135" t="s">
        <v>1</v>
      </c>
      <c r="AP172" s="10"/>
      <c r="AQ172" s="10"/>
      <c r="AR172" s="10"/>
      <c r="AS172" s="10"/>
      <c r="AT172" s="10"/>
      <c r="AU172" s="10"/>
      <c r="AV172" s="10"/>
      <c r="AW172" s="42"/>
    </row>
    <row r="173" spans="1:49" ht="15" customHeight="1" thickBot="1" x14ac:dyDescent="0.3">
      <c r="A173" s="42"/>
      <c r="M173" s="42"/>
      <c r="Y173" s="42"/>
      <c r="AA173" s="9"/>
      <c r="AB173" s="10"/>
      <c r="AC173" s="10"/>
      <c r="AD173" s="10"/>
      <c r="AE173" s="10"/>
      <c r="AF173" s="10"/>
      <c r="AG173" s="10"/>
      <c r="AH173" s="10"/>
      <c r="AI173" s="10"/>
      <c r="AJ173" s="10"/>
      <c r="AK173" s="42"/>
      <c r="AM173" s="9"/>
      <c r="AN173" s="10"/>
      <c r="AO173" s="10"/>
      <c r="AP173" s="10"/>
      <c r="AQ173" s="10"/>
      <c r="AR173" s="10"/>
      <c r="AS173" s="10"/>
      <c r="AT173" s="10"/>
      <c r="AU173" s="10"/>
      <c r="AV173" s="10"/>
      <c r="AW173" s="42"/>
    </row>
    <row r="174" spans="1:49" ht="15" customHeight="1" x14ac:dyDescent="0.25">
      <c r="A174" s="42"/>
      <c r="C174" s="61" t="s">
        <v>45</v>
      </c>
      <c r="D174" s="69"/>
      <c r="E174" s="79" t="s">
        <v>47</v>
      </c>
      <c r="F174" s="70"/>
      <c r="G174" s="69"/>
      <c r="H174" s="79" t="s">
        <v>46</v>
      </c>
      <c r="I174" s="70"/>
      <c r="J174" s="62" t="s">
        <v>2</v>
      </c>
      <c r="K174" s="63" t="s">
        <v>3</v>
      </c>
      <c r="M174" s="42"/>
      <c r="O174" s="61" t="s">
        <v>45</v>
      </c>
      <c r="P174" s="69"/>
      <c r="Q174" s="79" t="s">
        <v>47</v>
      </c>
      <c r="R174" s="70"/>
      <c r="S174" s="69"/>
      <c r="T174" s="79" t="s">
        <v>46</v>
      </c>
      <c r="U174" s="70"/>
      <c r="V174" s="62" t="s">
        <v>2</v>
      </c>
      <c r="W174" s="63" t="s">
        <v>3</v>
      </c>
      <c r="Y174" s="42"/>
      <c r="AA174" s="136" t="s">
        <v>45</v>
      </c>
      <c r="AB174" s="137"/>
      <c r="AC174" s="127" t="s">
        <v>47</v>
      </c>
      <c r="AD174" s="138"/>
      <c r="AE174" s="139"/>
      <c r="AF174" s="139" t="s">
        <v>46</v>
      </c>
      <c r="AG174" s="139"/>
      <c r="AH174" s="139" t="s">
        <v>2</v>
      </c>
      <c r="AI174" s="140" t="s">
        <v>3</v>
      </c>
      <c r="AJ174" s="10"/>
      <c r="AK174" s="42"/>
      <c r="AM174" s="136" t="s">
        <v>45</v>
      </c>
      <c r="AN174" s="137"/>
      <c r="AO174" s="127" t="s">
        <v>47</v>
      </c>
      <c r="AP174" s="138"/>
      <c r="AQ174" s="139"/>
      <c r="AR174" s="139" t="s">
        <v>46</v>
      </c>
      <c r="AS174" s="139"/>
      <c r="AT174" s="139" t="s">
        <v>2</v>
      </c>
      <c r="AU174" s="140" t="s">
        <v>3</v>
      </c>
      <c r="AV174" s="10"/>
      <c r="AW174" s="42"/>
    </row>
    <row r="175" spans="1:49" ht="15" customHeight="1" x14ac:dyDescent="0.25">
      <c r="A175" s="42"/>
      <c r="C175" s="64" t="s">
        <v>34</v>
      </c>
      <c r="D175" s="196">
        <v>45</v>
      </c>
      <c r="E175" s="101" t="s">
        <v>5</v>
      </c>
      <c r="F175" s="199">
        <v>145</v>
      </c>
      <c r="G175" s="14"/>
      <c r="H175" s="101">
        <f>D168-90</f>
        <v>200</v>
      </c>
      <c r="I175" s="15" t="s">
        <v>1</v>
      </c>
      <c r="J175" s="4">
        <f>K175*D163</f>
        <v>0</v>
      </c>
      <c r="K175" s="65">
        <f>ROUNDUP((D167-45)/600,0)+1</f>
        <v>0</v>
      </c>
      <c r="M175" s="42"/>
      <c r="O175" s="64" t="s">
        <v>34</v>
      </c>
      <c r="P175" s="196">
        <v>45</v>
      </c>
      <c r="Q175" s="101" t="s">
        <v>5</v>
      </c>
      <c r="R175" s="199">
        <v>145</v>
      </c>
      <c r="S175" s="14" t="s">
        <v>5</v>
      </c>
      <c r="T175" s="101">
        <f>P168-90</f>
        <v>200</v>
      </c>
      <c r="U175" s="15" t="s">
        <v>1</v>
      </c>
      <c r="V175" s="4">
        <f>W175*P163</f>
        <v>0</v>
      </c>
      <c r="W175" s="65">
        <f>ROUNDUP((P167-45)/600,0)+1</f>
        <v>0</v>
      </c>
      <c r="Y175" s="42"/>
      <c r="AA175" s="141" t="s">
        <v>34</v>
      </c>
      <c r="AB175" s="142">
        <v>45</v>
      </c>
      <c r="AC175" s="143" t="s">
        <v>5</v>
      </c>
      <c r="AD175" s="144">
        <v>145</v>
      </c>
      <c r="AE175" s="11" t="s">
        <v>5</v>
      </c>
      <c r="AF175" s="11">
        <f>AB168-90</f>
        <v>-90</v>
      </c>
      <c r="AG175" s="11" t="s">
        <v>1</v>
      </c>
      <c r="AH175" s="11">
        <f>AI175*AB163</f>
        <v>0</v>
      </c>
      <c r="AI175" s="145">
        <f>ROUNDUP((AB167-45)/600,0)+1</f>
        <v>0</v>
      </c>
      <c r="AJ175" s="10"/>
      <c r="AK175" s="42"/>
      <c r="AM175" s="141" t="s">
        <v>34</v>
      </c>
      <c r="AN175" s="14">
        <v>45</v>
      </c>
      <c r="AO175" s="101" t="s">
        <v>5</v>
      </c>
      <c r="AP175" s="15">
        <v>145</v>
      </c>
      <c r="AQ175" s="4" t="s">
        <v>5</v>
      </c>
      <c r="AR175" s="11">
        <f>AN168-90</f>
        <v>-90</v>
      </c>
      <c r="AS175" s="11" t="s">
        <v>1</v>
      </c>
      <c r="AT175" s="11">
        <f>AU175*AN163</f>
        <v>0</v>
      </c>
      <c r="AU175" s="145">
        <f>ROUNDUP((AN167-45)/600,0)+1</f>
        <v>0</v>
      </c>
      <c r="AV175" s="10"/>
      <c r="AW175" s="42"/>
    </row>
    <row r="176" spans="1:49" ht="15" customHeight="1" thickBot="1" x14ac:dyDescent="0.3">
      <c r="A176" s="42"/>
      <c r="C176" s="66" t="s">
        <v>6</v>
      </c>
      <c r="D176" s="197">
        <v>45</v>
      </c>
      <c r="E176" s="102" t="s">
        <v>5</v>
      </c>
      <c r="F176" s="200">
        <v>145</v>
      </c>
      <c r="G176" s="73"/>
      <c r="H176" s="102">
        <f>D167</f>
        <v>0</v>
      </c>
      <c r="I176" s="74" t="s">
        <v>1</v>
      </c>
      <c r="J176" s="67">
        <f>K176*D163</f>
        <v>0</v>
      </c>
      <c r="K176" s="68">
        <f>2</f>
        <v>2</v>
      </c>
      <c r="M176" s="42"/>
      <c r="O176" s="66" t="s">
        <v>6</v>
      </c>
      <c r="P176" s="197">
        <v>45</v>
      </c>
      <c r="Q176" s="102" t="s">
        <v>5</v>
      </c>
      <c r="R176" s="200">
        <v>145</v>
      </c>
      <c r="S176" s="73" t="s">
        <v>5</v>
      </c>
      <c r="T176" s="102">
        <f>P167</f>
        <v>0</v>
      </c>
      <c r="U176" s="74" t="s">
        <v>1</v>
      </c>
      <c r="V176" s="67">
        <f>W176*P163</f>
        <v>0</v>
      </c>
      <c r="W176" s="68">
        <f>2</f>
        <v>2</v>
      </c>
      <c r="Y176" s="42"/>
      <c r="AA176" s="146" t="s">
        <v>6</v>
      </c>
      <c r="AB176" s="147">
        <v>45</v>
      </c>
      <c r="AC176" s="148" t="s">
        <v>5</v>
      </c>
      <c r="AD176" s="149">
        <v>145</v>
      </c>
      <c r="AE176" s="150" t="s">
        <v>5</v>
      </c>
      <c r="AF176" s="150">
        <f>AB167</f>
        <v>0</v>
      </c>
      <c r="AG176" s="150" t="s">
        <v>1</v>
      </c>
      <c r="AH176" s="150">
        <f>AI176*AB163</f>
        <v>0</v>
      </c>
      <c r="AI176" s="151">
        <f>2</f>
        <v>2</v>
      </c>
      <c r="AJ176" s="10"/>
      <c r="AK176" s="42"/>
      <c r="AM176" s="146" t="s">
        <v>6</v>
      </c>
      <c r="AN176" s="73">
        <v>45</v>
      </c>
      <c r="AO176" s="102" t="s">
        <v>5</v>
      </c>
      <c r="AP176" s="74">
        <v>145</v>
      </c>
      <c r="AQ176" s="67" t="s">
        <v>5</v>
      </c>
      <c r="AR176" s="150">
        <f>AN167</f>
        <v>0</v>
      </c>
      <c r="AS176" s="150" t="s">
        <v>1</v>
      </c>
      <c r="AT176" s="150">
        <f>AU176*AN163</f>
        <v>0</v>
      </c>
      <c r="AU176" s="151">
        <f>2</f>
        <v>2</v>
      </c>
      <c r="AV176" s="10"/>
      <c r="AW176" s="42"/>
    </row>
    <row r="177" spans="1:49" ht="15" customHeight="1" thickBot="1" x14ac:dyDescent="0.3">
      <c r="A177" s="42"/>
      <c r="D177" s="198"/>
      <c r="F177" s="201"/>
      <c r="M177" s="42"/>
      <c r="Y177" s="42"/>
      <c r="AA177" s="9"/>
      <c r="AB177" s="10"/>
      <c r="AC177" s="10"/>
      <c r="AD177" s="10"/>
      <c r="AE177" s="10"/>
      <c r="AF177" s="10"/>
      <c r="AG177" s="10"/>
      <c r="AH177" s="10"/>
      <c r="AI177" s="10"/>
      <c r="AJ177" s="10"/>
      <c r="AK177" s="42"/>
      <c r="AM177" s="9"/>
      <c r="AN177" s="10"/>
      <c r="AO177" s="10"/>
      <c r="AP177" s="10"/>
      <c r="AQ177" s="10"/>
      <c r="AR177" s="10"/>
      <c r="AS177" s="10"/>
      <c r="AT177" s="10"/>
      <c r="AU177" s="10"/>
      <c r="AV177" s="10"/>
      <c r="AW177" s="42"/>
    </row>
    <row r="178" spans="1:49" ht="15" customHeight="1" x14ac:dyDescent="0.25">
      <c r="A178" s="42"/>
      <c r="C178" s="61" t="s">
        <v>45</v>
      </c>
      <c r="D178" s="25" t="s">
        <v>44</v>
      </c>
      <c r="E178" s="175"/>
      <c r="F178" s="176"/>
      <c r="G178" s="176" t="s">
        <v>66</v>
      </c>
      <c r="H178" s="176"/>
      <c r="I178" s="177"/>
      <c r="J178" s="62" t="s">
        <v>2</v>
      </c>
      <c r="K178" s="63" t="s">
        <v>3</v>
      </c>
      <c r="M178" s="42"/>
      <c r="O178" s="61" t="s">
        <v>45</v>
      </c>
      <c r="P178" s="25" t="s">
        <v>44</v>
      </c>
      <c r="Q178" s="175"/>
      <c r="R178" s="176"/>
      <c r="S178" s="176" t="s">
        <v>66</v>
      </c>
      <c r="T178" s="176"/>
      <c r="U178" s="177"/>
      <c r="V178" s="62" t="s">
        <v>2</v>
      </c>
      <c r="W178" s="63" t="s">
        <v>3</v>
      </c>
      <c r="Y178" s="42"/>
      <c r="AA178" s="136" t="s">
        <v>45</v>
      </c>
      <c r="AB178" s="207" t="s">
        <v>44</v>
      </c>
      <c r="AC178" s="208"/>
      <c r="AD178" s="209"/>
      <c r="AE178" s="209" t="s">
        <v>66</v>
      </c>
      <c r="AF178" s="209"/>
      <c r="AG178" s="210"/>
      <c r="AH178" s="139" t="s">
        <v>2</v>
      </c>
      <c r="AI178" s="140" t="s">
        <v>3</v>
      </c>
      <c r="AJ178" s="10"/>
      <c r="AK178" s="42"/>
      <c r="AM178" s="136" t="s">
        <v>45</v>
      </c>
      <c r="AN178" s="207" t="s">
        <v>44</v>
      </c>
      <c r="AO178" s="208"/>
      <c r="AP178" s="209"/>
      <c r="AQ178" s="209" t="s">
        <v>66</v>
      </c>
      <c r="AR178" s="209"/>
      <c r="AS178" s="210"/>
      <c r="AT178" s="139" t="s">
        <v>2</v>
      </c>
      <c r="AU178" s="140" t="s">
        <v>3</v>
      </c>
      <c r="AV178" s="10"/>
      <c r="AW178" s="42"/>
    </row>
    <row r="179" spans="1:49" ht="15" customHeight="1" x14ac:dyDescent="0.25">
      <c r="A179" s="42"/>
      <c r="C179" s="71" t="s">
        <v>64</v>
      </c>
      <c r="D179" s="2">
        <v>12</v>
      </c>
      <c r="E179" s="14"/>
      <c r="F179" s="205">
        <f>D169+D170+D167</f>
        <v>54</v>
      </c>
      <c r="G179" s="101" t="s">
        <v>5</v>
      </c>
      <c r="H179" s="202">
        <f>D172+D171+D168</f>
        <v>595</v>
      </c>
      <c r="I179" s="101" t="s">
        <v>1</v>
      </c>
      <c r="J179" s="4">
        <f>K179*D163</f>
        <v>0</v>
      </c>
      <c r="K179" s="65">
        <v>1</v>
      </c>
      <c r="M179" s="42"/>
      <c r="O179" s="71" t="s">
        <v>64</v>
      </c>
      <c r="P179" s="2">
        <v>12</v>
      </c>
      <c r="Q179" s="14"/>
      <c r="R179" s="205">
        <f>P169+P170+P167</f>
        <v>54</v>
      </c>
      <c r="S179" s="101" t="s">
        <v>5</v>
      </c>
      <c r="T179" s="202">
        <f>P172+P171+P168</f>
        <v>595</v>
      </c>
      <c r="U179" s="101" t="s">
        <v>1</v>
      </c>
      <c r="V179" s="4">
        <f>W179*P163</f>
        <v>0</v>
      </c>
      <c r="W179" s="65">
        <v>1</v>
      </c>
      <c r="Y179" s="42"/>
      <c r="AA179" s="152" t="s">
        <v>64</v>
      </c>
      <c r="AB179" s="10"/>
      <c r="AC179" s="10"/>
      <c r="AD179" s="11">
        <f>AB169+AB170+AB167</f>
        <v>54</v>
      </c>
      <c r="AE179" s="11" t="s">
        <v>5</v>
      </c>
      <c r="AF179" s="11">
        <f>AB172+AB171+AB168</f>
        <v>0</v>
      </c>
      <c r="AG179" s="11" t="s">
        <v>1</v>
      </c>
      <c r="AH179" s="11">
        <f>AI179*AB163</f>
        <v>0</v>
      </c>
      <c r="AI179" s="145">
        <v>1</v>
      </c>
      <c r="AJ179" s="10"/>
      <c r="AK179" s="42"/>
      <c r="AM179" s="152" t="s">
        <v>35</v>
      </c>
      <c r="AP179" s="11">
        <f>AN169+AN170+AN167</f>
        <v>54</v>
      </c>
      <c r="AQ179" s="11" t="s">
        <v>5</v>
      </c>
      <c r="AR179" s="11">
        <f>AN172+AN171+AN168</f>
        <v>305</v>
      </c>
      <c r="AS179" s="11" t="s">
        <v>1</v>
      </c>
      <c r="AT179" s="11">
        <f>AU179*AN163</f>
        <v>0</v>
      </c>
      <c r="AU179" s="145">
        <v>1</v>
      </c>
      <c r="AV179" s="10"/>
      <c r="AW179" s="42"/>
    </row>
    <row r="180" spans="1:49" ht="15" customHeight="1" thickBot="1" x14ac:dyDescent="0.3">
      <c r="A180" s="42"/>
      <c r="C180" s="72" t="s">
        <v>63</v>
      </c>
      <c r="D180" s="67" t="s">
        <v>71</v>
      </c>
      <c r="E180" s="73"/>
      <c r="F180" s="206">
        <f>D169+D170+D167</f>
        <v>54</v>
      </c>
      <c r="G180" s="102" t="s">
        <v>5</v>
      </c>
      <c r="H180" s="203">
        <f>D172+D171+D168</f>
        <v>595</v>
      </c>
      <c r="I180" s="102" t="s">
        <v>1</v>
      </c>
      <c r="J180" s="67">
        <f>K180*D163</f>
        <v>0</v>
      </c>
      <c r="K180" s="68">
        <v>1</v>
      </c>
      <c r="M180" s="42"/>
      <c r="O180" s="72" t="s">
        <v>63</v>
      </c>
      <c r="P180" s="67" t="s">
        <v>71</v>
      </c>
      <c r="Q180" s="73"/>
      <c r="R180" s="206">
        <f>P169+P170+P167</f>
        <v>54</v>
      </c>
      <c r="S180" s="102" t="s">
        <v>5</v>
      </c>
      <c r="T180" s="203">
        <f>P172+P171+P168</f>
        <v>595</v>
      </c>
      <c r="U180" s="102" t="s">
        <v>1</v>
      </c>
      <c r="V180" s="67">
        <f>W180*P163</f>
        <v>0</v>
      </c>
      <c r="W180" s="68">
        <v>1</v>
      </c>
      <c r="Y180" s="42"/>
      <c r="AA180" s="153" t="s">
        <v>65</v>
      </c>
      <c r="AB180" s="10"/>
      <c r="AC180" s="10"/>
      <c r="AD180" s="150">
        <f>AB169+AB170+AB167</f>
        <v>54</v>
      </c>
      <c r="AE180" s="150" t="s">
        <v>5</v>
      </c>
      <c r="AF180" s="150">
        <f>AB172+AB171+AB168</f>
        <v>0</v>
      </c>
      <c r="AG180" s="150" t="s">
        <v>1</v>
      </c>
      <c r="AH180" s="150">
        <f>AI180*AB163</f>
        <v>0</v>
      </c>
      <c r="AI180" s="151">
        <v>1</v>
      </c>
      <c r="AJ180" s="10"/>
      <c r="AK180" s="42"/>
      <c r="AM180" s="153" t="s">
        <v>36</v>
      </c>
      <c r="AP180" s="150">
        <f>AN169+AN170+AN167</f>
        <v>54</v>
      </c>
      <c r="AQ180" s="150" t="s">
        <v>5</v>
      </c>
      <c r="AR180" s="150">
        <f>AN172+AN171+AN168</f>
        <v>305</v>
      </c>
      <c r="AS180" s="150" t="s">
        <v>1</v>
      </c>
      <c r="AT180" s="150">
        <f>AU180*AN163</f>
        <v>0</v>
      </c>
      <c r="AU180" s="151">
        <v>1</v>
      </c>
      <c r="AV180" s="10"/>
      <c r="AW180" s="42"/>
    </row>
    <row r="181" spans="1:49" ht="15" customHeight="1" x14ac:dyDescent="0.25">
      <c r="A181" s="42"/>
      <c r="D181" s="204"/>
      <c r="M181" s="42"/>
      <c r="P181" s="204"/>
      <c r="Y181" s="42"/>
      <c r="AA181" s="13"/>
      <c r="AB181" s="10"/>
      <c r="AC181" s="10"/>
      <c r="AD181" s="10"/>
      <c r="AE181" s="10"/>
      <c r="AF181" s="10"/>
      <c r="AG181" s="10"/>
      <c r="AH181" s="10"/>
      <c r="AI181" s="10"/>
      <c r="AJ181" s="10"/>
      <c r="AK181" s="42"/>
      <c r="AM181" s="13"/>
      <c r="AN181" s="10"/>
      <c r="AO181" s="10"/>
      <c r="AP181" s="10"/>
      <c r="AQ181" s="10"/>
      <c r="AR181" s="10"/>
      <c r="AS181" s="10"/>
      <c r="AT181" s="10"/>
      <c r="AU181" s="10"/>
      <c r="AV181" s="10"/>
      <c r="AW181" s="42"/>
    </row>
    <row r="182" spans="1:49" ht="15" customHeight="1" x14ac:dyDescent="0.25">
      <c r="A182" s="42"/>
      <c r="M182" s="42"/>
      <c r="Y182" s="42"/>
      <c r="AA182" s="9"/>
      <c r="AB182" s="10"/>
      <c r="AC182" s="10"/>
      <c r="AD182" s="10"/>
      <c r="AE182" s="10"/>
      <c r="AF182" s="10"/>
      <c r="AG182" s="10"/>
      <c r="AH182" s="10"/>
      <c r="AI182" s="10"/>
      <c r="AJ182" s="10"/>
      <c r="AK182" s="42"/>
      <c r="AM182" s="13"/>
      <c r="AN182" s="10"/>
      <c r="AO182" s="10"/>
      <c r="AP182" s="10"/>
      <c r="AQ182" s="10"/>
      <c r="AR182" s="10"/>
      <c r="AS182" s="10"/>
      <c r="AT182" s="10"/>
      <c r="AU182" s="10"/>
      <c r="AV182" s="10"/>
      <c r="AW182" s="42"/>
    </row>
    <row r="183" spans="1:49" ht="15" customHeight="1" x14ac:dyDescent="0.25">
      <c r="A183" s="42"/>
      <c r="M183" s="42"/>
      <c r="Y183" s="42"/>
      <c r="AA183" s="9"/>
      <c r="AB183" s="10"/>
      <c r="AC183" s="10"/>
      <c r="AD183" s="10"/>
      <c r="AE183" s="10"/>
      <c r="AF183" s="10"/>
      <c r="AG183" s="10"/>
      <c r="AH183" s="10"/>
      <c r="AI183" s="10"/>
      <c r="AJ183" s="10"/>
      <c r="AK183" s="42"/>
      <c r="AM183" s="13"/>
      <c r="AN183" s="10"/>
      <c r="AO183" s="10"/>
      <c r="AP183" s="10"/>
      <c r="AQ183" s="10"/>
      <c r="AR183" s="10"/>
      <c r="AS183" s="10"/>
      <c r="AT183" s="10"/>
      <c r="AU183" s="10"/>
      <c r="AV183" s="10"/>
      <c r="AW183" s="42"/>
    </row>
    <row r="184" spans="1:49" ht="15" customHeight="1" x14ac:dyDescent="0.25">
      <c r="A184" s="42"/>
      <c r="M184" s="42"/>
      <c r="Y184" s="42"/>
      <c r="AA184" s="13"/>
      <c r="AB184" s="10"/>
      <c r="AC184" s="10"/>
      <c r="AD184" s="10"/>
      <c r="AE184" s="10"/>
      <c r="AF184" s="10"/>
      <c r="AG184" s="10"/>
      <c r="AH184" s="10"/>
      <c r="AI184" s="10"/>
      <c r="AJ184" s="10"/>
      <c r="AK184" s="42"/>
      <c r="AM184" s="13"/>
      <c r="AN184" s="10"/>
      <c r="AO184" s="10"/>
      <c r="AP184" s="10"/>
      <c r="AQ184" s="10"/>
      <c r="AR184" s="10"/>
      <c r="AS184" s="10"/>
      <c r="AT184" s="10"/>
      <c r="AU184" s="10"/>
      <c r="AV184" s="10"/>
      <c r="AW184" s="42"/>
    </row>
    <row r="185" spans="1:49" ht="15" customHeight="1" x14ac:dyDescent="0.25">
      <c r="A185" s="42"/>
      <c r="M185" s="42"/>
      <c r="Y185" s="42"/>
      <c r="AA185" s="13"/>
      <c r="AB185" s="10"/>
      <c r="AC185" s="10"/>
      <c r="AD185" s="10"/>
      <c r="AE185" s="10"/>
      <c r="AF185" s="10"/>
      <c r="AG185" s="10"/>
      <c r="AH185" s="10"/>
      <c r="AI185" s="10"/>
      <c r="AJ185" s="10"/>
      <c r="AK185" s="42"/>
      <c r="AM185" s="13"/>
      <c r="AN185" s="10"/>
      <c r="AO185" s="10"/>
      <c r="AP185" s="10"/>
      <c r="AQ185" s="10"/>
      <c r="AR185" s="10"/>
      <c r="AS185" s="10"/>
      <c r="AT185" s="10"/>
      <c r="AU185" s="10"/>
      <c r="AV185" s="10"/>
      <c r="AW185" s="42"/>
    </row>
    <row r="186" spans="1:49" ht="15" customHeight="1" x14ac:dyDescent="0.25">
      <c r="A186" s="42"/>
      <c r="M186" s="42"/>
      <c r="Y186" s="42"/>
      <c r="AA186" s="13"/>
      <c r="AB186" s="10"/>
      <c r="AC186" s="10"/>
      <c r="AD186" s="10"/>
      <c r="AE186" s="10"/>
      <c r="AF186" s="10"/>
      <c r="AG186" s="10"/>
      <c r="AH186" s="10"/>
      <c r="AI186" s="10"/>
      <c r="AJ186" s="10"/>
      <c r="AK186" s="42"/>
      <c r="AM186" s="13"/>
      <c r="AN186" s="10"/>
      <c r="AO186" s="10"/>
      <c r="AP186" s="10"/>
      <c r="AQ186" s="10"/>
      <c r="AR186" s="10"/>
      <c r="AS186" s="10"/>
      <c r="AT186" s="10"/>
      <c r="AU186" s="10"/>
      <c r="AV186" s="10"/>
      <c r="AW186" s="42"/>
    </row>
    <row r="187" spans="1:49" ht="15" customHeight="1" x14ac:dyDescent="0.25">
      <c r="A187" s="42"/>
      <c r="M187" s="42"/>
      <c r="Y187" s="42"/>
      <c r="AA187" s="13"/>
      <c r="AB187" s="10"/>
      <c r="AC187" s="10"/>
      <c r="AD187" s="10"/>
      <c r="AE187" s="10"/>
      <c r="AF187" s="10"/>
      <c r="AG187" s="10"/>
      <c r="AK187" s="42"/>
      <c r="AM187" s="13"/>
      <c r="AN187" s="10"/>
      <c r="AO187" s="10"/>
      <c r="AP187" s="10"/>
      <c r="AQ187" s="10"/>
      <c r="AR187" s="10"/>
      <c r="AS187" s="10"/>
      <c r="AT187" s="10"/>
      <c r="AU187" s="10"/>
      <c r="AV187" s="10"/>
      <c r="AW187" s="42"/>
    </row>
    <row r="188" spans="1:49" ht="15" customHeight="1" x14ac:dyDescent="0.25">
      <c r="A188" s="42"/>
      <c r="M188" s="42"/>
      <c r="Y188" s="42"/>
      <c r="AA188" s="13"/>
      <c r="AB188" s="10"/>
      <c r="AC188" s="10"/>
      <c r="AD188" s="10"/>
      <c r="AE188" s="10"/>
      <c r="AF188" s="10"/>
      <c r="AG188" s="10"/>
      <c r="AK188" s="42"/>
      <c r="AM188" s="13"/>
      <c r="AN188" s="10"/>
      <c r="AO188" s="10"/>
      <c r="AP188" s="10"/>
      <c r="AQ188" s="10"/>
      <c r="AR188" s="10"/>
      <c r="AS188" s="10"/>
      <c r="AT188" s="10"/>
      <c r="AU188" s="10"/>
      <c r="AV188" s="10"/>
      <c r="AW188" s="42"/>
    </row>
    <row r="189" spans="1:49" ht="15" customHeight="1" x14ac:dyDescent="0.25">
      <c r="A189" s="42"/>
      <c r="M189" s="42"/>
      <c r="Y189" s="42"/>
      <c r="AA189" s="13"/>
      <c r="AB189" s="10"/>
      <c r="AC189" s="10"/>
      <c r="AD189" s="10"/>
      <c r="AE189" s="10"/>
      <c r="AF189" s="10"/>
      <c r="AG189" s="10"/>
      <c r="AK189" s="42"/>
      <c r="AM189" s="13"/>
      <c r="AN189" s="10"/>
      <c r="AO189" s="10"/>
      <c r="AP189" s="10"/>
      <c r="AQ189" s="10"/>
      <c r="AR189" s="10"/>
      <c r="AS189" s="10"/>
      <c r="AT189" s="10"/>
      <c r="AU189" s="10"/>
      <c r="AV189" s="10"/>
      <c r="AW189" s="42"/>
    </row>
    <row r="190" spans="1:49" ht="15" customHeight="1" x14ac:dyDescent="0.25">
      <c r="A190" s="42"/>
      <c r="M190" s="42"/>
      <c r="Y190" s="42"/>
      <c r="AA190" s="13"/>
      <c r="AB190" s="10"/>
      <c r="AC190" s="10"/>
      <c r="AD190" s="10"/>
      <c r="AE190" s="10"/>
      <c r="AF190" s="10"/>
      <c r="AG190" s="10"/>
      <c r="AK190" s="42"/>
      <c r="AM190" s="13"/>
      <c r="AN190" s="10"/>
      <c r="AO190" s="10"/>
      <c r="AP190" s="10"/>
      <c r="AQ190" s="10"/>
      <c r="AR190" s="10"/>
      <c r="AS190" s="10"/>
      <c r="AT190" s="10"/>
      <c r="AU190" s="10"/>
      <c r="AV190" s="10"/>
      <c r="AW190" s="42"/>
    </row>
    <row r="191" spans="1:49" ht="15" customHeight="1" x14ac:dyDescent="0.25">
      <c r="A191" s="42"/>
      <c r="M191" s="42"/>
      <c r="Y191" s="42"/>
      <c r="AA191" s="13"/>
      <c r="AB191" s="10"/>
      <c r="AC191" s="10"/>
      <c r="AD191" s="10"/>
      <c r="AE191" s="10"/>
      <c r="AF191" s="10"/>
      <c r="AG191" s="10"/>
      <c r="AK191" s="42"/>
      <c r="AM191" s="13"/>
      <c r="AN191" s="10"/>
      <c r="AO191" s="10"/>
      <c r="AP191" s="10"/>
      <c r="AQ191" s="10"/>
      <c r="AR191" s="10"/>
      <c r="AS191" s="10"/>
      <c r="AT191" s="10"/>
      <c r="AU191" s="10"/>
      <c r="AV191" s="10"/>
      <c r="AW191" s="42"/>
    </row>
    <row r="192" spans="1:49" ht="15" customHeight="1" x14ac:dyDescent="0.25">
      <c r="A192" s="42"/>
      <c r="M192" s="42"/>
      <c r="Y192" s="42"/>
      <c r="AA192" s="13"/>
      <c r="AB192" s="10"/>
      <c r="AC192" s="10"/>
      <c r="AD192" s="10"/>
      <c r="AE192" s="10"/>
      <c r="AF192" s="10"/>
      <c r="AG192" s="10"/>
      <c r="AK192" s="42"/>
      <c r="AM192" s="13"/>
      <c r="AN192" s="10"/>
      <c r="AO192" s="10"/>
      <c r="AP192" s="10"/>
      <c r="AQ192" s="10"/>
      <c r="AR192" s="10"/>
      <c r="AS192" s="10"/>
      <c r="AT192" s="10"/>
      <c r="AU192" s="10"/>
      <c r="AV192" s="10"/>
      <c r="AW192" s="42"/>
    </row>
    <row r="193" spans="1:49" ht="15" customHeight="1" x14ac:dyDescent="0.25">
      <c r="A193" s="42"/>
      <c r="M193" s="42"/>
      <c r="Y193" s="42"/>
      <c r="AA193" s="13"/>
      <c r="AB193" s="10"/>
      <c r="AC193" s="10"/>
      <c r="AD193" s="10"/>
      <c r="AE193" s="10"/>
      <c r="AF193" s="10"/>
      <c r="AG193" s="10"/>
      <c r="AK193" s="42"/>
      <c r="AM193" s="13"/>
      <c r="AN193" s="10"/>
      <c r="AO193" s="10"/>
      <c r="AP193" s="10"/>
      <c r="AQ193" s="10"/>
      <c r="AR193" s="10"/>
      <c r="AS193" s="10"/>
      <c r="AT193" s="10"/>
      <c r="AU193" s="10"/>
      <c r="AV193" s="10"/>
      <c r="AW193" s="42"/>
    </row>
    <row r="194" spans="1:49" ht="15" customHeight="1" x14ac:dyDescent="0.25">
      <c r="A194" s="42"/>
      <c r="M194" s="42"/>
      <c r="Y194" s="42"/>
      <c r="AA194" s="13"/>
      <c r="AB194" s="10"/>
      <c r="AC194" s="10"/>
      <c r="AD194" s="10"/>
      <c r="AE194" s="10"/>
      <c r="AF194" s="10"/>
      <c r="AG194" s="10"/>
      <c r="AK194" s="42"/>
      <c r="AM194" s="13"/>
      <c r="AN194" s="10"/>
      <c r="AO194" s="10"/>
      <c r="AP194" s="10"/>
      <c r="AQ194" s="10"/>
      <c r="AR194" s="10"/>
      <c r="AS194" s="10"/>
      <c r="AT194" s="10"/>
      <c r="AU194" s="10"/>
      <c r="AV194" s="10"/>
      <c r="AW194" s="42"/>
    </row>
    <row r="195" spans="1:49" ht="15" customHeight="1" x14ac:dyDescent="0.25">
      <c r="A195" s="42"/>
      <c r="M195" s="42"/>
      <c r="Y195" s="42"/>
      <c r="AA195" s="13"/>
      <c r="AB195" s="10"/>
      <c r="AC195" s="10"/>
      <c r="AD195" s="10"/>
      <c r="AE195" s="10"/>
      <c r="AF195" s="10"/>
      <c r="AG195" s="10"/>
      <c r="AK195" s="42"/>
      <c r="AM195" s="13"/>
      <c r="AN195" s="10"/>
      <c r="AO195" s="10"/>
      <c r="AP195" s="10"/>
      <c r="AQ195" s="10"/>
      <c r="AR195" s="10"/>
      <c r="AS195" s="10"/>
      <c r="AT195" s="10"/>
      <c r="AU195" s="10"/>
      <c r="AV195" s="10"/>
      <c r="AW195" s="42"/>
    </row>
    <row r="196" spans="1:49" ht="15" customHeight="1" x14ac:dyDescent="0.25">
      <c r="A196" s="42"/>
      <c r="M196" s="42"/>
      <c r="Y196" s="42"/>
      <c r="AA196" s="13"/>
      <c r="AB196" s="10"/>
      <c r="AC196" s="10"/>
      <c r="AD196" s="10"/>
      <c r="AE196" s="10"/>
      <c r="AF196" s="10"/>
      <c r="AG196" s="10"/>
      <c r="AK196" s="42"/>
      <c r="AM196" s="13"/>
      <c r="AN196" s="10"/>
      <c r="AO196" s="10"/>
      <c r="AP196" s="10"/>
      <c r="AQ196" s="10"/>
      <c r="AR196" s="10"/>
      <c r="AS196" s="10"/>
      <c r="AT196" s="10"/>
      <c r="AU196" s="10"/>
      <c r="AV196" s="10"/>
      <c r="AW196" s="42"/>
    </row>
    <row r="197" spans="1:49" ht="15" customHeight="1" x14ac:dyDescent="0.25">
      <c r="A197" s="42"/>
      <c r="M197" s="42"/>
      <c r="Y197" s="42"/>
      <c r="AA197" s="13"/>
      <c r="AB197" s="10"/>
      <c r="AC197" s="10"/>
      <c r="AD197" s="10"/>
      <c r="AE197" s="10"/>
      <c r="AF197" s="10"/>
      <c r="AG197" s="10"/>
      <c r="AK197" s="42"/>
      <c r="AM197" s="13"/>
      <c r="AN197" s="10"/>
      <c r="AO197" s="10"/>
      <c r="AP197" s="10"/>
      <c r="AQ197" s="10"/>
      <c r="AR197" s="10"/>
      <c r="AS197" s="10"/>
      <c r="AT197" s="10"/>
      <c r="AU197" s="10"/>
      <c r="AV197" s="10"/>
      <c r="AW197" s="42"/>
    </row>
    <row r="198" spans="1:49" ht="15" customHeight="1" x14ac:dyDescent="0.25">
      <c r="A198" s="42"/>
      <c r="M198" s="42"/>
      <c r="Y198" s="42"/>
      <c r="AA198" s="13"/>
      <c r="AB198" s="10"/>
      <c r="AC198" s="10"/>
      <c r="AD198" s="10"/>
      <c r="AE198" s="10"/>
      <c r="AF198" s="10"/>
      <c r="AG198" s="10"/>
      <c r="AK198" s="42"/>
      <c r="AM198" s="13"/>
      <c r="AN198" s="10"/>
      <c r="AO198" s="10"/>
      <c r="AP198" s="10"/>
      <c r="AQ198" s="10"/>
      <c r="AR198" s="10"/>
      <c r="AS198" s="10"/>
      <c r="AT198" s="10"/>
      <c r="AU198" s="10"/>
      <c r="AV198" s="10"/>
      <c r="AW198" s="42"/>
    </row>
    <row r="199" spans="1:49" ht="15" customHeight="1" x14ac:dyDescent="0.25">
      <c r="A199" s="42"/>
      <c r="M199" s="42"/>
      <c r="Y199" s="42"/>
      <c r="AA199" s="13"/>
      <c r="AB199" s="10"/>
      <c r="AC199" s="10"/>
      <c r="AD199" s="10"/>
      <c r="AE199" s="10"/>
      <c r="AF199" s="10"/>
      <c r="AG199" s="10"/>
      <c r="AK199" s="42"/>
      <c r="AM199" s="13"/>
      <c r="AN199" s="10"/>
      <c r="AO199" s="10"/>
      <c r="AP199" s="10"/>
      <c r="AQ199" s="10"/>
      <c r="AR199" s="10"/>
      <c r="AS199" s="10"/>
      <c r="AT199" s="10"/>
      <c r="AU199" s="10"/>
      <c r="AV199" s="10"/>
      <c r="AW199" s="42"/>
    </row>
    <row r="200" spans="1:49" ht="15" customHeight="1" x14ac:dyDescent="0.25">
      <c r="A200" s="42"/>
      <c r="M200" s="42"/>
      <c r="Y200" s="42"/>
      <c r="AA200" s="13"/>
      <c r="AB200" s="10"/>
      <c r="AC200" s="10"/>
      <c r="AD200" s="10"/>
      <c r="AE200" s="10"/>
      <c r="AF200" s="10"/>
      <c r="AG200" s="10"/>
      <c r="AK200" s="42"/>
      <c r="AM200" s="13"/>
      <c r="AN200" s="10"/>
      <c r="AO200" s="10"/>
      <c r="AP200" s="10"/>
      <c r="AQ200" s="10"/>
      <c r="AR200" s="10"/>
      <c r="AS200" s="10"/>
      <c r="AT200" s="10"/>
      <c r="AU200" s="10"/>
      <c r="AV200" s="10"/>
      <c r="AW200" s="42"/>
    </row>
    <row r="201" spans="1:49" ht="15" customHeight="1" x14ac:dyDescent="0.25">
      <c r="A201" s="42"/>
      <c r="M201" s="42"/>
      <c r="Y201" s="42"/>
      <c r="AA201" s="13"/>
      <c r="AB201" s="10"/>
      <c r="AC201" s="10"/>
      <c r="AD201" s="10"/>
      <c r="AE201" s="10"/>
      <c r="AF201" s="10"/>
      <c r="AG201" s="10"/>
      <c r="AK201" s="42"/>
      <c r="AM201" s="13"/>
      <c r="AN201" s="10"/>
      <c r="AO201" s="10"/>
      <c r="AP201" s="10"/>
      <c r="AQ201" s="10"/>
      <c r="AR201" s="10"/>
      <c r="AS201" s="10"/>
      <c r="AT201" s="10"/>
      <c r="AU201" s="10"/>
      <c r="AV201" s="10"/>
      <c r="AW201" s="42"/>
    </row>
    <row r="202" spans="1:49" ht="15" customHeight="1" x14ac:dyDescent="0.25">
      <c r="A202" s="42"/>
      <c r="M202" s="42"/>
      <c r="Y202" s="42"/>
      <c r="AA202" s="13"/>
      <c r="AB202" s="10"/>
      <c r="AC202" s="10"/>
      <c r="AD202" s="10"/>
      <c r="AE202" s="10"/>
      <c r="AF202" s="10"/>
      <c r="AG202" s="10"/>
      <c r="AK202" s="42"/>
      <c r="AM202" s="13"/>
      <c r="AN202" s="10"/>
      <c r="AO202" s="10"/>
      <c r="AP202" s="10"/>
      <c r="AQ202" s="10"/>
      <c r="AR202" s="10"/>
      <c r="AS202" s="10"/>
      <c r="AT202" s="10"/>
      <c r="AU202" s="10"/>
      <c r="AV202" s="10"/>
      <c r="AW202" s="42"/>
    </row>
    <row r="203" spans="1:49" ht="15" customHeight="1" x14ac:dyDescent="0.25">
      <c r="A203" s="42"/>
      <c r="M203" s="42"/>
      <c r="Y203" s="42"/>
      <c r="AA203" s="13"/>
      <c r="AB203" s="10"/>
      <c r="AC203" s="10"/>
      <c r="AD203" s="10"/>
      <c r="AE203" s="10"/>
      <c r="AF203" s="10"/>
      <c r="AG203" s="10"/>
      <c r="AK203" s="42"/>
      <c r="AM203" s="13"/>
      <c r="AN203" s="10"/>
      <c r="AO203" s="10"/>
      <c r="AP203" s="10"/>
      <c r="AQ203" s="10"/>
      <c r="AR203" s="10"/>
      <c r="AS203" s="10"/>
      <c r="AT203" s="10"/>
      <c r="AU203" s="10"/>
      <c r="AV203" s="10"/>
      <c r="AW203" s="42"/>
    </row>
    <row r="204" spans="1:49" ht="15" customHeight="1" x14ac:dyDescent="0.25">
      <c r="A204" s="42"/>
      <c r="M204" s="42"/>
      <c r="Y204" s="42"/>
      <c r="AA204" s="13"/>
      <c r="AB204" s="10"/>
      <c r="AC204" s="10"/>
      <c r="AD204" s="10"/>
      <c r="AE204" s="10"/>
      <c r="AF204" s="10"/>
      <c r="AG204" s="10"/>
      <c r="AK204" s="42"/>
      <c r="AM204" s="13"/>
      <c r="AN204" s="10"/>
      <c r="AO204" s="10"/>
      <c r="AP204" s="10"/>
      <c r="AQ204" s="10"/>
      <c r="AR204" s="10"/>
      <c r="AS204" s="10"/>
      <c r="AT204" s="10"/>
      <c r="AU204" s="10"/>
      <c r="AV204" s="10"/>
      <c r="AW204" s="42"/>
    </row>
    <row r="205" spans="1:49" ht="15" customHeight="1" x14ac:dyDescent="0.25">
      <c r="A205" s="42"/>
      <c r="M205" s="42"/>
      <c r="Y205" s="42"/>
      <c r="AA205" s="13"/>
      <c r="AB205" s="10"/>
      <c r="AC205" s="10"/>
      <c r="AD205" s="10"/>
      <c r="AE205" s="10"/>
      <c r="AF205" s="10"/>
      <c r="AG205" s="10"/>
      <c r="AK205" s="42"/>
      <c r="AM205" s="13"/>
      <c r="AN205" s="10"/>
      <c r="AO205" s="10"/>
      <c r="AP205" s="10"/>
      <c r="AQ205" s="10"/>
      <c r="AR205" s="10"/>
      <c r="AS205" s="10"/>
      <c r="AT205" s="10"/>
      <c r="AU205" s="10"/>
      <c r="AV205" s="10"/>
      <c r="AW205" s="42"/>
    </row>
    <row r="206" spans="1:49" ht="15" customHeight="1" x14ac:dyDescent="0.25">
      <c r="A206" s="42"/>
      <c r="M206" s="42"/>
      <c r="Y206" s="42"/>
      <c r="AA206" s="13"/>
      <c r="AB206" s="10"/>
      <c r="AC206" s="10"/>
      <c r="AD206" s="10"/>
      <c r="AE206" s="10"/>
      <c r="AF206" s="10"/>
      <c r="AG206" s="10"/>
      <c r="AK206" s="42"/>
      <c r="AM206" s="13"/>
      <c r="AN206" s="10"/>
      <c r="AO206" s="10"/>
      <c r="AP206" s="10"/>
      <c r="AQ206" s="10"/>
      <c r="AR206" s="10"/>
      <c r="AS206" s="10"/>
      <c r="AT206" s="10"/>
      <c r="AU206" s="10"/>
      <c r="AV206" s="10"/>
      <c r="AW206" s="42"/>
    </row>
    <row r="207" spans="1:49" ht="15" customHeight="1" x14ac:dyDescent="0.25">
      <c r="A207" s="42"/>
      <c r="M207" s="42"/>
      <c r="Y207" s="42"/>
      <c r="AA207" s="13"/>
      <c r="AB207" s="10"/>
      <c r="AC207" s="10"/>
      <c r="AD207" s="10"/>
      <c r="AE207" s="10"/>
      <c r="AF207" s="10"/>
      <c r="AG207" s="10"/>
      <c r="AK207" s="42"/>
      <c r="AM207" s="13"/>
      <c r="AN207" s="10"/>
      <c r="AO207" s="10"/>
      <c r="AP207" s="10"/>
      <c r="AQ207" s="10"/>
      <c r="AR207" s="10"/>
      <c r="AS207" s="10"/>
      <c r="AT207" s="10"/>
      <c r="AU207" s="10"/>
      <c r="AV207" s="10"/>
      <c r="AW207" s="42"/>
    </row>
    <row r="208" spans="1:49" ht="15" customHeight="1" x14ac:dyDescent="0.25">
      <c r="A208" s="42"/>
      <c r="M208" s="42"/>
      <c r="Y208" s="42"/>
      <c r="AA208" s="13"/>
      <c r="AB208" s="10"/>
      <c r="AC208" s="10"/>
      <c r="AD208" s="10"/>
      <c r="AE208" s="10"/>
      <c r="AF208" s="10"/>
      <c r="AG208" s="10"/>
      <c r="AK208" s="42"/>
      <c r="AM208" s="13"/>
      <c r="AN208" s="10"/>
      <c r="AO208" s="10"/>
      <c r="AP208" s="10"/>
      <c r="AQ208" s="10"/>
      <c r="AR208" s="10"/>
      <c r="AS208" s="10"/>
      <c r="AT208" s="10"/>
      <c r="AU208" s="10"/>
      <c r="AV208" s="10"/>
      <c r="AW208" s="42"/>
    </row>
    <row r="209" spans="1:49" ht="15" customHeight="1" x14ac:dyDescent="0.25">
      <c r="A209" s="42"/>
      <c r="M209" s="42"/>
      <c r="Y209" s="42"/>
      <c r="AA209" s="13"/>
      <c r="AB209" s="10"/>
      <c r="AC209" s="10"/>
      <c r="AD209" s="10"/>
      <c r="AE209" s="10"/>
      <c r="AF209" s="10"/>
      <c r="AG209" s="10"/>
      <c r="AK209" s="42"/>
      <c r="AM209" s="13"/>
      <c r="AN209" s="10"/>
      <c r="AO209" s="10"/>
      <c r="AP209" s="10"/>
      <c r="AQ209" s="10"/>
      <c r="AR209" s="10"/>
      <c r="AS209" s="10"/>
      <c r="AT209" s="10"/>
      <c r="AU209" s="10"/>
      <c r="AV209" s="10"/>
      <c r="AW209" s="42"/>
    </row>
    <row r="210" spans="1:49" ht="15" customHeight="1" x14ac:dyDescent="0.25">
      <c r="A210" s="42"/>
      <c r="M210" s="42"/>
      <c r="Y210" s="42"/>
      <c r="AA210" s="13"/>
      <c r="AB210" s="10"/>
      <c r="AC210" s="10"/>
      <c r="AD210" s="10"/>
      <c r="AE210" s="10"/>
      <c r="AF210" s="10"/>
      <c r="AG210" s="10"/>
      <c r="AK210" s="42"/>
      <c r="AM210" s="13"/>
      <c r="AN210" s="10"/>
      <c r="AO210" s="10"/>
      <c r="AP210" s="10"/>
      <c r="AQ210" s="10"/>
      <c r="AR210" s="10"/>
      <c r="AS210" s="10"/>
      <c r="AT210" s="10"/>
      <c r="AU210" s="10"/>
      <c r="AV210" s="10"/>
      <c r="AW210" s="42"/>
    </row>
    <row r="211" spans="1:49" ht="15" customHeight="1" x14ac:dyDescent="0.25">
      <c r="A211" s="42"/>
      <c r="C211" s="12"/>
      <c r="M211" s="42"/>
      <c r="Y211" s="42"/>
      <c r="AA211" s="13"/>
      <c r="AB211" s="10"/>
      <c r="AC211" s="10"/>
      <c r="AD211" s="10"/>
      <c r="AE211" s="10"/>
      <c r="AF211" s="10"/>
      <c r="AG211" s="10"/>
      <c r="AK211" s="42"/>
      <c r="AM211" s="13"/>
      <c r="AN211" s="10"/>
      <c r="AO211" s="10"/>
      <c r="AP211" s="10"/>
      <c r="AQ211" s="10"/>
      <c r="AR211" s="10"/>
      <c r="AS211" s="10"/>
      <c r="AT211" s="10"/>
      <c r="AU211" s="10"/>
      <c r="AV211" s="10"/>
      <c r="AW211" s="42"/>
    </row>
    <row r="212" spans="1:49" x14ac:dyDescent="0.25">
      <c r="A212" s="42"/>
      <c r="C212" s="6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6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6"/>
      <c r="AA212" s="6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6"/>
      <c r="AM212" s="6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</row>
    <row r="213" spans="1:49" x14ac:dyDescent="0.25">
      <c r="A213" s="42"/>
      <c r="C213" s="1"/>
      <c r="D213" s="4" t="s">
        <v>37</v>
      </c>
      <c r="E213" s="4" t="s">
        <v>38</v>
      </c>
      <c r="M213" s="42"/>
      <c r="O213" s="1"/>
      <c r="P213" s="4" t="s">
        <v>37</v>
      </c>
      <c r="Q213" s="4" t="s">
        <v>38</v>
      </c>
      <c r="Y213" s="42"/>
      <c r="AK213" s="42"/>
      <c r="AW213" s="42"/>
    </row>
    <row r="214" spans="1:49" x14ac:dyDescent="0.25">
      <c r="A214" s="42"/>
      <c r="C214" s="3" t="s">
        <v>103</v>
      </c>
      <c r="D214" s="4">
        <f>IF(D14="oui",60+45,60)</f>
        <v>60</v>
      </c>
      <c r="E214" s="4">
        <f>D13-D168</f>
        <v>2430</v>
      </c>
      <c r="M214" s="42"/>
      <c r="O214" s="3" t="s">
        <v>103</v>
      </c>
      <c r="P214" s="4">
        <v>60</v>
      </c>
      <c r="Q214" s="4">
        <f>P13-P168</f>
        <v>2430</v>
      </c>
      <c r="Y214" s="42"/>
      <c r="AK214" s="42"/>
      <c r="AW214" s="42"/>
    </row>
    <row r="215" spans="1:49" x14ac:dyDescent="0.25">
      <c r="A215" s="42"/>
      <c r="C215" s="3" t="s">
        <v>102</v>
      </c>
      <c r="D215" s="95"/>
      <c r="E215" s="4">
        <v>400</v>
      </c>
      <c r="M215" s="42"/>
      <c r="O215" s="3" t="s">
        <v>102</v>
      </c>
      <c r="P215" s="95"/>
      <c r="Q215" s="4">
        <v>400</v>
      </c>
      <c r="Y215" s="42"/>
      <c r="AK215" s="42"/>
      <c r="AW215" s="42"/>
    </row>
    <row r="216" spans="1:49" x14ac:dyDescent="0.25">
      <c r="A216" s="42"/>
      <c r="C216" s="3" t="s">
        <v>104</v>
      </c>
      <c r="D216" s="4">
        <v>200</v>
      </c>
      <c r="E216" s="95"/>
      <c r="J216" s="94"/>
      <c r="M216" s="42"/>
      <c r="O216" s="3" t="s">
        <v>104</v>
      </c>
      <c r="P216" s="4">
        <v>150</v>
      </c>
      <c r="Q216" s="95"/>
      <c r="Y216" s="42"/>
      <c r="AK216" s="42"/>
      <c r="AW216" s="42"/>
    </row>
    <row r="217" spans="1:49" x14ac:dyDescent="0.25">
      <c r="A217" s="42"/>
      <c r="C217" s="3" t="s">
        <v>105</v>
      </c>
      <c r="D217" s="4">
        <v>0</v>
      </c>
      <c r="E217" s="95"/>
      <c r="M217" s="42"/>
      <c r="O217" s="3" t="s">
        <v>105</v>
      </c>
      <c r="P217" s="4">
        <v>0</v>
      </c>
      <c r="Q217" s="95"/>
      <c r="Y217" s="42"/>
      <c r="AK217" s="42"/>
      <c r="AW217" s="42"/>
    </row>
    <row r="218" spans="1:49" x14ac:dyDescent="0.25">
      <c r="A218" s="42"/>
      <c r="C218" s="3" t="s">
        <v>106</v>
      </c>
      <c r="D218" s="4">
        <v>0</v>
      </c>
      <c r="E218" s="95"/>
      <c r="M218" s="42"/>
      <c r="O218" s="3" t="s">
        <v>106</v>
      </c>
      <c r="P218" s="4">
        <v>0</v>
      </c>
      <c r="Q218" s="95"/>
      <c r="Y218" s="42"/>
      <c r="AK218" s="42"/>
      <c r="AW218" s="42"/>
    </row>
    <row r="219" spans="1:49" x14ac:dyDescent="0.25">
      <c r="A219" s="42"/>
      <c r="C219" s="3" t="s">
        <v>107</v>
      </c>
      <c r="D219" s="95"/>
      <c r="E219" s="4">
        <v>0</v>
      </c>
      <c r="M219" s="42"/>
      <c r="O219" s="3" t="s">
        <v>107</v>
      </c>
      <c r="P219" s="95"/>
      <c r="Q219" s="4">
        <v>0</v>
      </c>
      <c r="Y219" s="42"/>
      <c r="AK219" s="42"/>
      <c r="AW219" s="42"/>
    </row>
    <row r="220" spans="1:49" x14ac:dyDescent="0.25">
      <c r="A220" s="42"/>
      <c r="C220" s="3" t="s">
        <v>108</v>
      </c>
      <c r="D220" s="95"/>
      <c r="E220" s="4">
        <v>0</v>
      </c>
      <c r="M220" s="42"/>
      <c r="O220" s="3" t="s">
        <v>108</v>
      </c>
      <c r="P220" s="95"/>
      <c r="Q220" s="4">
        <v>0</v>
      </c>
      <c r="Y220" s="42"/>
      <c r="AK220" s="42"/>
      <c r="AW220" s="42"/>
    </row>
    <row r="221" spans="1:49" x14ac:dyDescent="0.25">
      <c r="A221" s="42"/>
      <c r="C221" s="3" t="s">
        <v>109</v>
      </c>
      <c r="D221" s="4">
        <v>0</v>
      </c>
      <c r="E221" s="4">
        <v>0</v>
      </c>
      <c r="M221" s="42"/>
      <c r="O221" s="3" t="s">
        <v>109</v>
      </c>
      <c r="P221" s="4">
        <v>0</v>
      </c>
      <c r="Q221" s="4">
        <v>0</v>
      </c>
      <c r="Y221" s="42"/>
      <c r="AK221" s="42"/>
      <c r="AW221" s="42"/>
    </row>
    <row r="222" spans="1:49" x14ac:dyDescent="0.25">
      <c r="A222" s="42"/>
      <c r="C222" s="92"/>
      <c r="D222" s="93"/>
      <c r="E222" s="93"/>
      <c r="M222" s="42"/>
      <c r="O222" s="92"/>
      <c r="P222" s="93"/>
      <c r="Q222" s="93"/>
      <c r="Y222" s="42"/>
      <c r="AK222" s="42"/>
      <c r="AW222" s="42"/>
    </row>
    <row r="223" spans="1:49" x14ac:dyDescent="0.25">
      <c r="A223" s="42"/>
      <c r="C223" s="1" t="s">
        <v>89</v>
      </c>
      <c r="D223" s="4">
        <f>D214-D169</f>
        <v>33</v>
      </c>
      <c r="E223" s="4">
        <f>-D172+E214</f>
        <v>2165</v>
      </c>
      <c r="M223" s="42"/>
      <c r="O223" s="1" t="s">
        <v>89</v>
      </c>
      <c r="P223" s="4">
        <f>P214-P169</f>
        <v>33</v>
      </c>
      <c r="Q223" s="4">
        <f>-P172+Q214</f>
        <v>2165</v>
      </c>
      <c r="Y223" s="42"/>
      <c r="AK223" s="42"/>
      <c r="AW223" s="42"/>
    </row>
    <row r="224" spans="1:49" x14ac:dyDescent="0.25">
      <c r="A224" s="42"/>
      <c r="C224" s="1"/>
      <c r="D224" s="4">
        <f>D170+D167+D214</f>
        <v>87</v>
      </c>
      <c r="E224" s="4">
        <f>E223</f>
        <v>2165</v>
      </c>
      <c r="M224" s="42"/>
      <c r="O224" s="1"/>
      <c r="P224" s="4">
        <f>P170+P167+P214</f>
        <v>87</v>
      </c>
      <c r="Q224" s="4">
        <f>Q223</f>
        <v>2165</v>
      </c>
      <c r="Y224" s="42"/>
      <c r="AK224" s="42"/>
      <c r="AW224" s="42"/>
    </row>
    <row r="225" spans="1:49" x14ac:dyDescent="0.25">
      <c r="A225" s="42"/>
      <c r="C225" s="1"/>
      <c r="D225" s="4">
        <f>D224</f>
        <v>87</v>
      </c>
      <c r="E225" s="4">
        <f>D168+D171+E214</f>
        <v>2760</v>
      </c>
      <c r="M225" s="42"/>
      <c r="O225" s="1"/>
      <c r="P225" s="4">
        <f>P224</f>
        <v>87</v>
      </c>
      <c r="Q225" s="4">
        <f>P168+P171+Q214</f>
        <v>2760</v>
      </c>
      <c r="Y225" s="42"/>
      <c r="AK225" s="42"/>
      <c r="AW225" s="42"/>
    </row>
    <row r="226" spans="1:49" x14ac:dyDescent="0.25">
      <c r="A226" s="42"/>
      <c r="C226" s="1"/>
      <c r="D226" s="4">
        <f>D223</f>
        <v>33</v>
      </c>
      <c r="E226" s="4">
        <f>E225</f>
        <v>2760</v>
      </c>
      <c r="M226" s="42"/>
      <c r="O226" s="1"/>
      <c r="P226" s="4">
        <f>P223</f>
        <v>33</v>
      </c>
      <c r="Q226" s="4">
        <f>Q225</f>
        <v>2760</v>
      </c>
      <c r="Y226" s="42"/>
      <c r="AK226" s="42"/>
      <c r="AW226" s="42"/>
    </row>
    <row r="227" spans="1:49" x14ac:dyDescent="0.25">
      <c r="A227" s="42"/>
      <c r="C227" s="1"/>
      <c r="D227" s="4">
        <f>D223</f>
        <v>33</v>
      </c>
      <c r="E227" s="4">
        <f>E223</f>
        <v>2165</v>
      </c>
      <c r="M227" s="42"/>
      <c r="O227" s="1"/>
      <c r="P227" s="4">
        <f>P223</f>
        <v>33</v>
      </c>
      <c r="Q227" s="4">
        <f>Q223</f>
        <v>2165</v>
      </c>
      <c r="Y227" s="42"/>
      <c r="AK227" s="42"/>
      <c r="AW227" s="42"/>
    </row>
    <row r="228" spans="1:49" x14ac:dyDescent="0.25">
      <c r="A228" s="42"/>
      <c r="C228" s="92"/>
      <c r="D228" s="93"/>
      <c r="E228" s="93"/>
      <c r="H228" s="53"/>
      <c r="M228" s="42"/>
      <c r="O228" s="92"/>
      <c r="P228" s="93"/>
      <c r="Q228" s="93"/>
      <c r="Y228" s="42"/>
      <c r="AK228" s="42"/>
      <c r="AW228" s="42"/>
    </row>
    <row r="229" spans="1:49" x14ac:dyDescent="0.25">
      <c r="A229" s="42"/>
      <c r="C229" s="1" t="s">
        <v>90</v>
      </c>
      <c r="D229" s="4">
        <f>D$214</f>
        <v>60</v>
      </c>
      <c r="E229" s="4">
        <f>E$214+45</f>
        <v>2475</v>
      </c>
      <c r="M229" s="42"/>
      <c r="O229" s="1" t="s">
        <v>90</v>
      </c>
      <c r="P229" s="4">
        <f>P$214</f>
        <v>60</v>
      </c>
      <c r="Q229" s="4">
        <f>Q$214+45</f>
        <v>2475</v>
      </c>
      <c r="Y229" s="42"/>
      <c r="AK229" s="42"/>
      <c r="AW229" s="42"/>
    </row>
    <row r="230" spans="1:49" x14ac:dyDescent="0.25">
      <c r="A230" s="42"/>
      <c r="C230" s="1"/>
      <c r="D230" s="4">
        <f>D229+45</f>
        <v>105</v>
      </c>
      <c r="E230" s="4">
        <f>E229</f>
        <v>2475</v>
      </c>
      <c r="M230" s="42"/>
      <c r="O230" s="1"/>
      <c r="P230" s="4">
        <f>P229+45</f>
        <v>105</v>
      </c>
      <c r="Q230" s="4">
        <f>Q229</f>
        <v>2475</v>
      </c>
      <c r="Y230" s="42"/>
      <c r="AK230" s="42"/>
      <c r="AW230" s="42"/>
    </row>
    <row r="231" spans="1:49" x14ac:dyDescent="0.25">
      <c r="A231" s="42"/>
      <c r="C231" s="1"/>
      <c r="D231" s="4">
        <f>D230</f>
        <v>105</v>
      </c>
      <c r="E231" s="4">
        <f>D$168-45+E$214</f>
        <v>2675</v>
      </c>
      <c r="M231" s="42"/>
      <c r="O231" s="1"/>
      <c r="P231" s="4">
        <f>P230</f>
        <v>105</v>
      </c>
      <c r="Q231" s="4">
        <f>P$168-45+Q$214</f>
        <v>2675</v>
      </c>
      <c r="Y231" s="42"/>
      <c r="AK231" s="42"/>
      <c r="AW231" s="42"/>
    </row>
    <row r="232" spans="1:49" x14ac:dyDescent="0.25">
      <c r="A232" s="42"/>
      <c r="C232" s="1"/>
      <c r="D232" s="4">
        <f>D229</f>
        <v>60</v>
      </c>
      <c r="E232" s="4">
        <f>E231</f>
        <v>2675</v>
      </c>
      <c r="M232" s="42"/>
      <c r="O232" s="1"/>
      <c r="P232" s="4">
        <f>P229</f>
        <v>60</v>
      </c>
      <c r="Q232" s="4">
        <f>Q231</f>
        <v>2675</v>
      </c>
      <c r="Y232" s="42"/>
      <c r="AK232" s="42"/>
      <c r="AW232" s="42"/>
    </row>
    <row r="233" spans="1:49" x14ac:dyDescent="0.25">
      <c r="A233" s="42"/>
      <c r="C233" s="1"/>
      <c r="D233" s="4">
        <f>D229</f>
        <v>60</v>
      </c>
      <c r="E233" s="4">
        <f>E229</f>
        <v>2475</v>
      </c>
      <c r="M233" s="42"/>
      <c r="O233" s="1"/>
      <c r="P233" s="4">
        <f>P229</f>
        <v>60</v>
      </c>
      <c r="Q233" s="4">
        <f>Q229</f>
        <v>2475</v>
      </c>
      <c r="Y233" s="42"/>
      <c r="AK233" s="42"/>
      <c r="AW233" s="42"/>
    </row>
    <row r="234" spans="1:49" x14ac:dyDescent="0.25">
      <c r="A234" s="42"/>
      <c r="C234" s="92"/>
      <c r="D234" s="93"/>
      <c r="E234" s="93"/>
      <c r="M234" s="42"/>
      <c r="O234" s="92"/>
      <c r="P234" s="93"/>
      <c r="Q234" s="93"/>
      <c r="Y234" s="42"/>
      <c r="AK234" s="42"/>
      <c r="AW234" s="42"/>
    </row>
    <row r="235" spans="1:49" x14ac:dyDescent="0.25">
      <c r="A235" s="42"/>
      <c r="C235" s="1" t="s">
        <v>131</v>
      </c>
      <c r="D235" s="4" t="str">
        <f>IF(C236="","",D229+600)</f>
        <v/>
      </c>
      <c r="E235" s="4" t="str">
        <f>IF(C236="","",E214+45)</f>
        <v/>
      </c>
      <c r="M235" s="42"/>
      <c r="O235" s="1" t="s">
        <v>131</v>
      </c>
      <c r="P235" s="4" t="str">
        <f>IF(O236="","",P229+600)</f>
        <v/>
      </c>
      <c r="Q235" s="4" t="str">
        <f>IF(O236="","",Q214+45)</f>
        <v/>
      </c>
      <c r="Y235" s="42"/>
      <c r="AK235" s="42"/>
      <c r="AW235" s="42"/>
    </row>
    <row r="236" spans="1:49" x14ac:dyDescent="0.25">
      <c r="A236" s="42"/>
      <c r="C236" s="3" t="str">
        <f>IF(K175-2&gt;=1,1,"")</f>
        <v/>
      </c>
      <c r="D236" s="4" t="str">
        <f>IF(C236="","",D235+45)</f>
        <v/>
      </c>
      <c r="E236" s="4" t="str">
        <f>E235</f>
        <v/>
      </c>
      <c r="M236" s="42"/>
      <c r="O236" s="3" t="str">
        <f>IF(W175-2&gt;=1,1,"")</f>
        <v/>
      </c>
      <c r="P236" s="4" t="str">
        <f>IF(O236="","",P235+45)</f>
        <v/>
      </c>
      <c r="Q236" s="4" t="str">
        <f>Q235</f>
        <v/>
      </c>
      <c r="Y236" s="42"/>
      <c r="AK236" s="42"/>
      <c r="AW236" s="42"/>
    </row>
    <row r="237" spans="1:49" x14ac:dyDescent="0.25">
      <c r="A237" s="42"/>
      <c r="C237" s="1"/>
      <c r="D237" s="4" t="str">
        <f>D236</f>
        <v/>
      </c>
      <c r="E237" s="4" t="str">
        <f>IF(C236="","",D$168-45+E$214)</f>
        <v/>
      </c>
      <c r="M237" s="42"/>
      <c r="O237" s="1"/>
      <c r="P237" s="4" t="str">
        <f>P236</f>
        <v/>
      </c>
      <c r="Q237" s="4" t="str">
        <f>IF(O236="","",P$168-45+Q$214)</f>
        <v/>
      </c>
      <c r="Y237" s="42"/>
      <c r="AK237" s="42"/>
      <c r="AW237" s="42"/>
    </row>
    <row r="238" spans="1:49" x14ac:dyDescent="0.25">
      <c r="A238" s="42"/>
      <c r="C238" s="1"/>
      <c r="D238" s="4" t="str">
        <f>D235</f>
        <v/>
      </c>
      <c r="E238" s="4" t="str">
        <f>E237</f>
        <v/>
      </c>
      <c r="M238" s="42"/>
      <c r="O238" s="1"/>
      <c r="P238" s="4" t="str">
        <f>P235</f>
        <v/>
      </c>
      <c r="Q238" s="4" t="str">
        <f>Q237</f>
        <v/>
      </c>
      <c r="Y238" s="42"/>
      <c r="AK238" s="42"/>
      <c r="AW238" s="42"/>
    </row>
    <row r="239" spans="1:49" x14ac:dyDescent="0.25">
      <c r="A239" s="42"/>
      <c r="C239" s="1"/>
      <c r="D239" s="4" t="str">
        <f>D235</f>
        <v/>
      </c>
      <c r="E239" s="4" t="str">
        <f>E235</f>
        <v/>
      </c>
      <c r="M239" s="42"/>
      <c r="O239" s="1"/>
      <c r="P239" s="4" t="str">
        <f>P235</f>
        <v/>
      </c>
      <c r="Q239" s="4" t="str">
        <f>Q235</f>
        <v/>
      </c>
      <c r="Y239" s="42"/>
      <c r="AK239" s="42"/>
      <c r="AW239" s="42"/>
    </row>
    <row r="240" spans="1:49" x14ac:dyDescent="0.25">
      <c r="A240" s="42"/>
      <c r="C240" s="92"/>
      <c r="D240" s="93"/>
      <c r="E240" s="93"/>
      <c r="M240" s="42"/>
      <c r="O240" s="92"/>
      <c r="P240" s="93"/>
      <c r="Q240" s="93"/>
      <c r="Y240" s="42"/>
      <c r="AK240" s="42"/>
      <c r="AW240" s="42"/>
    </row>
    <row r="241" spans="1:49" x14ac:dyDescent="0.25">
      <c r="A241" s="42"/>
      <c r="C241" s="1" t="s">
        <v>132</v>
      </c>
      <c r="D241" s="4" t="str">
        <f>IF(C242="","",D235+600)</f>
        <v/>
      </c>
      <c r="E241" s="4" t="str">
        <f>IF(C242="","",45+E214)</f>
        <v/>
      </c>
      <c r="M241" s="42"/>
      <c r="O241" s="1" t="s">
        <v>132</v>
      </c>
      <c r="P241" s="4" t="str">
        <f>IF(O242="","",P235+600)</f>
        <v/>
      </c>
      <c r="Q241" s="4" t="str">
        <f>IF(O242="","",45+Q214)</f>
        <v/>
      </c>
      <c r="Y241" s="42"/>
      <c r="AK241" s="42"/>
      <c r="AW241" s="42"/>
    </row>
    <row r="242" spans="1:49" x14ac:dyDescent="0.25">
      <c r="A242" s="42"/>
      <c r="C242" s="3" t="str">
        <f>IF(K175-2&gt;=2,2,"")</f>
        <v/>
      </c>
      <c r="D242" s="4" t="str">
        <f>IF(C242="","",D241+45)</f>
        <v/>
      </c>
      <c r="E242" s="4" t="str">
        <f>E241</f>
        <v/>
      </c>
      <c r="M242" s="42"/>
      <c r="O242" s="3" t="str">
        <f>IF(W175-2&gt;=2,2,"")</f>
        <v/>
      </c>
      <c r="P242" s="4" t="str">
        <f>IF(O242="","",P241+45)</f>
        <v/>
      </c>
      <c r="Q242" s="4" t="str">
        <f>Q241</f>
        <v/>
      </c>
      <c r="Y242" s="42"/>
      <c r="AK242" s="42"/>
      <c r="AW242" s="42"/>
    </row>
    <row r="243" spans="1:49" x14ac:dyDescent="0.25">
      <c r="A243" s="42"/>
      <c r="C243" s="1"/>
      <c r="D243" s="4" t="str">
        <f>D242</f>
        <v/>
      </c>
      <c r="E243" s="4" t="str">
        <f>IF(C242="","",D$168-45+E$214)</f>
        <v/>
      </c>
      <c r="M243" s="42"/>
      <c r="O243" s="1"/>
      <c r="P243" s="4" t="str">
        <f>P242</f>
        <v/>
      </c>
      <c r="Q243" s="4" t="str">
        <f>IF(O242="","",P$168-45+Q$214)</f>
        <v/>
      </c>
      <c r="Y243" s="42"/>
      <c r="AK243" s="42"/>
      <c r="AW243" s="42"/>
    </row>
    <row r="244" spans="1:49" x14ac:dyDescent="0.25">
      <c r="A244" s="42"/>
      <c r="C244" s="1"/>
      <c r="D244" s="4" t="str">
        <f>D241</f>
        <v/>
      </c>
      <c r="E244" s="4" t="str">
        <f>E243</f>
        <v/>
      </c>
      <c r="M244" s="42"/>
      <c r="O244" s="1"/>
      <c r="P244" s="4" t="str">
        <f>P241</f>
        <v/>
      </c>
      <c r="Q244" s="4" t="str">
        <f>Q243</f>
        <v/>
      </c>
      <c r="Y244" s="42"/>
      <c r="AK244" s="42"/>
      <c r="AW244" s="42"/>
    </row>
    <row r="245" spans="1:49" x14ac:dyDescent="0.25">
      <c r="A245" s="42"/>
      <c r="C245" s="1"/>
      <c r="D245" s="4" t="str">
        <f>D241</f>
        <v/>
      </c>
      <c r="E245" s="4" t="str">
        <f>E241</f>
        <v/>
      </c>
      <c r="M245" s="42"/>
      <c r="O245" s="1"/>
      <c r="P245" s="4" t="str">
        <f>P241</f>
        <v/>
      </c>
      <c r="Q245" s="4" t="str">
        <f>Q241</f>
        <v/>
      </c>
      <c r="Y245" s="42"/>
      <c r="AK245" s="42"/>
      <c r="AW245" s="42"/>
    </row>
    <row r="246" spans="1:49" x14ac:dyDescent="0.25">
      <c r="A246" s="42"/>
      <c r="C246" s="92"/>
      <c r="D246" s="93"/>
      <c r="E246" s="93"/>
      <c r="M246" s="42"/>
      <c r="O246" s="92"/>
      <c r="P246" s="93"/>
      <c r="Q246" s="93"/>
      <c r="Y246" s="42"/>
      <c r="AK246" s="42"/>
      <c r="AW246" s="42"/>
    </row>
    <row r="247" spans="1:49" x14ac:dyDescent="0.25">
      <c r="A247" s="42"/>
      <c r="C247" s="1" t="s">
        <v>133</v>
      </c>
      <c r="D247" s="4" t="str">
        <f>IF(C248="","",D241+600)</f>
        <v/>
      </c>
      <c r="E247" s="4" t="str">
        <f>IF(C248="","",E$214+45)</f>
        <v/>
      </c>
      <c r="M247" s="42"/>
      <c r="O247" s="1" t="s">
        <v>133</v>
      </c>
      <c r="P247" s="4" t="str">
        <f>IF(O248="","",P241+600)</f>
        <v/>
      </c>
      <c r="Q247" s="4" t="str">
        <f>IF(O248="","",Q$214+45)</f>
        <v/>
      </c>
      <c r="Y247" s="42"/>
      <c r="AK247" s="42"/>
      <c r="AW247" s="42"/>
    </row>
    <row r="248" spans="1:49" x14ac:dyDescent="0.25">
      <c r="A248" s="42"/>
      <c r="C248" s="3" t="str">
        <f>IF(K175-2&gt;=3,3,"")</f>
        <v/>
      </c>
      <c r="D248" s="4" t="str">
        <f>IF(C248="","",D247+45)</f>
        <v/>
      </c>
      <c r="E248" s="4" t="str">
        <f>E247</f>
        <v/>
      </c>
      <c r="M248" s="42"/>
      <c r="O248" s="3" t="str">
        <f>IF(W175-2&gt;=3,3,"")</f>
        <v/>
      </c>
      <c r="P248" s="4" t="str">
        <f>IF(O248="","",P247+45)</f>
        <v/>
      </c>
      <c r="Q248" s="4" t="str">
        <f>Q247</f>
        <v/>
      </c>
      <c r="Y248" s="42"/>
      <c r="AK248" s="42"/>
      <c r="AW248" s="42"/>
    </row>
    <row r="249" spans="1:49" x14ac:dyDescent="0.25">
      <c r="A249" s="42"/>
      <c r="C249" s="1"/>
      <c r="D249" s="4" t="str">
        <f>D248</f>
        <v/>
      </c>
      <c r="E249" s="4" t="str">
        <f>IF(C248="","",D$168-45+E$214)</f>
        <v/>
      </c>
      <c r="M249" s="42"/>
      <c r="O249" s="1"/>
      <c r="P249" s="4" t="str">
        <f>P248</f>
        <v/>
      </c>
      <c r="Q249" s="4" t="str">
        <f>IF(O248="","",P$168-45+Q$214)</f>
        <v/>
      </c>
      <c r="Y249" s="42"/>
      <c r="AK249" s="42"/>
      <c r="AW249" s="42"/>
    </row>
    <row r="250" spans="1:49" x14ac:dyDescent="0.25">
      <c r="A250" s="42"/>
      <c r="C250" s="1"/>
      <c r="D250" s="4" t="str">
        <f>D247</f>
        <v/>
      </c>
      <c r="E250" s="4" t="str">
        <f>E249</f>
        <v/>
      </c>
      <c r="M250" s="42"/>
      <c r="O250" s="1"/>
      <c r="P250" s="4" t="str">
        <f>P247</f>
        <v/>
      </c>
      <c r="Q250" s="4" t="str">
        <f>Q249</f>
        <v/>
      </c>
      <c r="Y250" s="42"/>
      <c r="AK250" s="42"/>
      <c r="AW250" s="42"/>
    </row>
    <row r="251" spans="1:49" x14ac:dyDescent="0.25">
      <c r="A251" s="42"/>
      <c r="C251" s="1"/>
      <c r="D251" s="4" t="str">
        <f>D247</f>
        <v/>
      </c>
      <c r="E251" s="4" t="str">
        <f>E247</f>
        <v/>
      </c>
      <c r="M251" s="42"/>
      <c r="O251" s="1"/>
      <c r="P251" s="4" t="str">
        <f>P247</f>
        <v/>
      </c>
      <c r="Q251" s="4" t="str">
        <f>Q247</f>
        <v/>
      </c>
      <c r="Y251" s="42"/>
      <c r="AK251" s="42"/>
      <c r="AW251" s="42"/>
    </row>
    <row r="252" spans="1:49" x14ac:dyDescent="0.25">
      <c r="A252" s="42"/>
      <c r="C252" s="92"/>
      <c r="D252" s="93"/>
      <c r="E252" s="93"/>
      <c r="M252" s="42"/>
      <c r="O252" s="92"/>
      <c r="P252" s="93"/>
      <c r="Q252" s="93"/>
      <c r="Y252" s="42"/>
      <c r="AK252" s="42"/>
      <c r="AW252" s="42"/>
    </row>
    <row r="253" spans="1:49" x14ac:dyDescent="0.25">
      <c r="A253" s="42"/>
      <c r="C253" s="1" t="s">
        <v>134</v>
      </c>
      <c r="D253" s="4" t="str">
        <f>IF(C254="","",D247+600)</f>
        <v/>
      </c>
      <c r="E253" s="4" t="str">
        <f>IF(C254="","",E214+45)</f>
        <v/>
      </c>
      <c r="M253" s="42"/>
      <c r="O253" s="1" t="s">
        <v>134</v>
      </c>
      <c r="P253" s="4" t="str">
        <f>IF(O254="","",P247+600)</f>
        <v/>
      </c>
      <c r="Q253" s="4" t="str">
        <f>IF(O254="","",Q214+45)</f>
        <v/>
      </c>
      <c r="Y253" s="42"/>
      <c r="AK253" s="42"/>
      <c r="AW253" s="42"/>
    </row>
    <row r="254" spans="1:49" x14ac:dyDescent="0.25">
      <c r="A254" s="42"/>
      <c r="C254" s="3" t="str">
        <f>IF(K175-2&gt;=4,4,"")</f>
        <v/>
      </c>
      <c r="D254" s="4" t="str">
        <f>IF(C254="","",D253+45)</f>
        <v/>
      </c>
      <c r="E254" s="4" t="str">
        <f>E253</f>
        <v/>
      </c>
      <c r="M254" s="42"/>
      <c r="O254" s="3" t="str">
        <f>IF(W175-2&gt;=4,4,"")</f>
        <v/>
      </c>
      <c r="P254" s="4" t="str">
        <f>IF(O254="","",P253+45)</f>
        <v/>
      </c>
      <c r="Q254" s="4" t="str">
        <f>Q253</f>
        <v/>
      </c>
      <c r="Y254" s="42"/>
      <c r="AK254" s="42"/>
      <c r="AW254" s="42"/>
    </row>
    <row r="255" spans="1:49" x14ac:dyDescent="0.25">
      <c r="A255" s="42"/>
      <c r="C255" s="1"/>
      <c r="D255" s="4" t="str">
        <f>D254</f>
        <v/>
      </c>
      <c r="E255" s="4" t="str">
        <f>IF(C254="","",D$168-45+E$214)</f>
        <v/>
      </c>
      <c r="M255" s="42"/>
      <c r="O255" s="1"/>
      <c r="P255" s="4" t="str">
        <f>P254</f>
        <v/>
      </c>
      <c r="Q255" s="4" t="str">
        <f>IF(O254="","",P$168-45+Q$214)</f>
        <v/>
      </c>
      <c r="Y255" s="42"/>
      <c r="AK255" s="42"/>
      <c r="AW255" s="42"/>
    </row>
    <row r="256" spans="1:49" x14ac:dyDescent="0.25">
      <c r="A256" s="42"/>
      <c r="C256" s="1"/>
      <c r="D256" s="4" t="str">
        <f>D253</f>
        <v/>
      </c>
      <c r="E256" s="4" t="str">
        <f>E255</f>
        <v/>
      </c>
      <c r="M256" s="42"/>
      <c r="O256" s="1"/>
      <c r="P256" s="4" t="str">
        <f>P253</f>
        <v/>
      </c>
      <c r="Q256" s="4" t="str">
        <f>Q255</f>
        <v/>
      </c>
      <c r="Y256" s="42"/>
      <c r="AK256" s="42"/>
      <c r="AW256" s="42"/>
    </row>
    <row r="257" spans="1:49" x14ac:dyDescent="0.25">
      <c r="A257" s="42"/>
      <c r="C257" s="1"/>
      <c r="D257" s="4" t="str">
        <f>D253</f>
        <v/>
      </c>
      <c r="E257" s="4" t="str">
        <f>E253</f>
        <v/>
      </c>
      <c r="M257" s="42"/>
      <c r="O257" s="1"/>
      <c r="P257" s="4" t="str">
        <f>P253</f>
        <v/>
      </c>
      <c r="Q257" s="4" t="str">
        <f>Q253</f>
        <v/>
      </c>
      <c r="Y257" s="42"/>
      <c r="AK257" s="42"/>
      <c r="AW257" s="42"/>
    </row>
    <row r="258" spans="1:49" x14ac:dyDescent="0.25">
      <c r="A258" s="42"/>
      <c r="C258" s="92"/>
      <c r="D258" s="93"/>
      <c r="E258" s="93"/>
      <c r="M258" s="42"/>
      <c r="O258" s="92"/>
      <c r="P258" s="93"/>
      <c r="Q258" s="93"/>
      <c r="Y258" s="42"/>
      <c r="AK258" s="42"/>
      <c r="AW258" s="42"/>
    </row>
    <row r="259" spans="1:49" x14ac:dyDescent="0.25">
      <c r="A259" s="42"/>
      <c r="C259" s="1" t="s">
        <v>91</v>
      </c>
      <c r="D259" s="4">
        <f>D167-45+D214</f>
        <v>15</v>
      </c>
      <c r="E259" s="4">
        <f>E214+45</f>
        <v>2475</v>
      </c>
      <c r="M259" s="42"/>
      <c r="O259" s="1" t="s">
        <v>91</v>
      </c>
      <c r="P259" s="4">
        <f>P167-45+P214</f>
        <v>15</v>
      </c>
      <c r="Q259" s="4">
        <f>Q214+45</f>
        <v>2475</v>
      </c>
      <c r="Y259" s="42"/>
      <c r="AK259" s="42"/>
      <c r="AW259" s="42"/>
    </row>
    <row r="260" spans="1:49" x14ac:dyDescent="0.25">
      <c r="A260" s="42"/>
      <c r="C260" s="1"/>
      <c r="D260" s="4">
        <f>D259+45</f>
        <v>60</v>
      </c>
      <c r="E260" s="4">
        <f>E259</f>
        <v>2475</v>
      </c>
      <c r="M260" s="42"/>
      <c r="O260" s="1"/>
      <c r="P260" s="4">
        <f>P259+45</f>
        <v>60</v>
      </c>
      <c r="Q260" s="4">
        <f>Q259</f>
        <v>2475</v>
      </c>
      <c r="Y260" s="42"/>
      <c r="AK260" s="42"/>
      <c r="AW260" s="42"/>
    </row>
    <row r="261" spans="1:49" x14ac:dyDescent="0.25">
      <c r="A261" s="42"/>
      <c r="C261" s="1"/>
      <c r="D261" s="4">
        <f>D260</f>
        <v>60</v>
      </c>
      <c r="E261" s="4">
        <f>D168-45+E214</f>
        <v>2675</v>
      </c>
      <c r="M261" s="42"/>
      <c r="O261" s="1"/>
      <c r="P261" s="4">
        <f>P260</f>
        <v>60</v>
      </c>
      <c r="Q261" s="4">
        <f>P168-45+Q214</f>
        <v>2675</v>
      </c>
      <c r="Y261" s="42"/>
      <c r="AK261" s="42"/>
      <c r="AW261" s="42"/>
    </row>
    <row r="262" spans="1:49" x14ac:dyDescent="0.25">
      <c r="A262" s="42"/>
      <c r="C262" s="1"/>
      <c r="D262" s="4">
        <f>D259</f>
        <v>15</v>
      </c>
      <c r="E262" s="4">
        <f>E261</f>
        <v>2675</v>
      </c>
      <c r="M262" s="42"/>
      <c r="O262" s="1"/>
      <c r="P262" s="4">
        <f>P259</f>
        <v>15</v>
      </c>
      <c r="Q262" s="4">
        <f>Q261</f>
        <v>2675</v>
      </c>
      <c r="Y262" s="42"/>
      <c r="AK262" s="42"/>
      <c r="AW262" s="42"/>
    </row>
    <row r="263" spans="1:49" x14ac:dyDescent="0.25">
      <c r="A263" s="42"/>
      <c r="C263" s="1"/>
      <c r="D263" s="4">
        <f>D259</f>
        <v>15</v>
      </c>
      <c r="E263" s="4">
        <f>E259</f>
        <v>2475</v>
      </c>
      <c r="M263" s="42"/>
      <c r="O263" s="1"/>
      <c r="P263" s="4">
        <f>P259</f>
        <v>15</v>
      </c>
      <c r="Q263" s="4">
        <f>Q259</f>
        <v>2475</v>
      </c>
      <c r="Y263" s="42"/>
      <c r="AK263" s="42"/>
      <c r="AW263" s="42"/>
    </row>
    <row r="264" spans="1:49" x14ac:dyDescent="0.25">
      <c r="A264" s="42"/>
      <c r="C264" s="92"/>
      <c r="D264" s="93"/>
      <c r="E264" s="93"/>
      <c r="M264" s="42"/>
      <c r="O264" s="92"/>
      <c r="P264" s="93"/>
      <c r="Q264" s="93"/>
      <c r="Y264" s="42"/>
      <c r="AK264" s="42"/>
      <c r="AW264" s="42"/>
    </row>
    <row r="265" spans="1:49" x14ac:dyDescent="0.25">
      <c r="A265" s="42"/>
      <c r="C265" s="1" t="s">
        <v>92</v>
      </c>
      <c r="D265" s="4">
        <f>D214</f>
        <v>60</v>
      </c>
      <c r="E265" s="4">
        <f>E214</f>
        <v>2430</v>
      </c>
      <c r="M265" s="42"/>
      <c r="O265" s="1" t="s">
        <v>92</v>
      </c>
      <c r="P265" s="4">
        <f>P214</f>
        <v>60</v>
      </c>
      <c r="Q265" s="4">
        <f>Q214</f>
        <v>2430</v>
      </c>
      <c r="Y265" s="42"/>
      <c r="AK265" s="42"/>
      <c r="AW265" s="42"/>
    </row>
    <row r="266" spans="1:49" x14ac:dyDescent="0.25">
      <c r="A266" s="42"/>
      <c r="C266" s="1"/>
      <c r="D266" s="4">
        <f>D167+D214</f>
        <v>60</v>
      </c>
      <c r="E266" s="4">
        <f>E265</f>
        <v>2430</v>
      </c>
      <c r="M266" s="42"/>
      <c r="O266" s="1"/>
      <c r="P266" s="4">
        <f>P167+P214</f>
        <v>60</v>
      </c>
      <c r="Q266" s="4">
        <f>Q265</f>
        <v>2430</v>
      </c>
      <c r="Y266" s="42"/>
      <c r="AK266" s="42"/>
      <c r="AW266" s="42"/>
    </row>
    <row r="267" spans="1:49" x14ac:dyDescent="0.25">
      <c r="A267" s="42"/>
      <c r="C267" s="1"/>
      <c r="D267" s="4">
        <f>D266</f>
        <v>60</v>
      </c>
      <c r="E267" s="4">
        <f>E266+45</f>
        <v>2475</v>
      </c>
      <c r="M267" s="42"/>
      <c r="O267" s="1"/>
      <c r="P267" s="4">
        <f>P266</f>
        <v>60</v>
      </c>
      <c r="Q267" s="4">
        <f>Q266+45</f>
        <v>2475</v>
      </c>
      <c r="Y267" s="42"/>
      <c r="AK267" s="42"/>
      <c r="AW267" s="42"/>
    </row>
    <row r="268" spans="1:49" x14ac:dyDescent="0.25">
      <c r="A268" s="42"/>
      <c r="C268" s="1"/>
      <c r="D268" s="4">
        <f>D265</f>
        <v>60</v>
      </c>
      <c r="E268" s="4">
        <f>E267</f>
        <v>2475</v>
      </c>
      <c r="M268" s="42"/>
      <c r="O268" s="1"/>
      <c r="P268" s="4">
        <f>P265</f>
        <v>60</v>
      </c>
      <c r="Q268" s="4">
        <f>Q267</f>
        <v>2475</v>
      </c>
      <c r="Y268" s="42"/>
      <c r="AK268" s="42"/>
      <c r="AW268" s="42"/>
    </row>
    <row r="269" spans="1:49" x14ac:dyDescent="0.25">
      <c r="A269" s="42"/>
      <c r="C269" s="1"/>
      <c r="D269" s="4">
        <f>D265</f>
        <v>60</v>
      </c>
      <c r="E269" s="4">
        <f>E265</f>
        <v>2430</v>
      </c>
      <c r="M269" s="42"/>
      <c r="O269" s="1"/>
      <c r="P269" s="4">
        <f>P265</f>
        <v>60</v>
      </c>
      <c r="Q269" s="4">
        <f>Q265</f>
        <v>2430</v>
      </c>
      <c r="Y269" s="42"/>
      <c r="AK269" s="42"/>
      <c r="AW269" s="42"/>
    </row>
    <row r="270" spans="1:49" x14ac:dyDescent="0.25">
      <c r="A270" s="42"/>
      <c r="C270" s="92"/>
      <c r="D270" s="93"/>
      <c r="E270" s="93"/>
      <c r="M270" s="42"/>
      <c r="O270" s="92"/>
      <c r="P270" s="93"/>
      <c r="Q270" s="93"/>
      <c r="Y270" s="42"/>
      <c r="AK270" s="42"/>
      <c r="AW270" s="42"/>
    </row>
    <row r="271" spans="1:49" x14ac:dyDescent="0.25">
      <c r="A271" s="42"/>
      <c r="C271" s="1" t="s">
        <v>93</v>
      </c>
      <c r="D271" s="4">
        <f>D214</f>
        <v>60</v>
      </c>
      <c r="E271" s="4">
        <f>D168-45+E214</f>
        <v>2675</v>
      </c>
      <c r="M271" s="42"/>
      <c r="O271" s="1" t="s">
        <v>93</v>
      </c>
      <c r="P271" s="4">
        <f>P214</f>
        <v>60</v>
      </c>
      <c r="Q271" s="4">
        <f>P168-45+Q214</f>
        <v>2675</v>
      </c>
      <c r="Y271" s="42"/>
      <c r="AK271" s="42"/>
      <c r="AW271" s="42"/>
    </row>
    <row r="272" spans="1:49" x14ac:dyDescent="0.25">
      <c r="A272" s="42"/>
      <c r="C272" s="1"/>
      <c r="D272" s="4">
        <f>D167+D214</f>
        <v>60</v>
      </c>
      <c r="E272" s="4">
        <f>E271</f>
        <v>2675</v>
      </c>
      <c r="M272" s="42"/>
      <c r="O272" s="1"/>
      <c r="P272" s="4">
        <f>P167+P214</f>
        <v>60</v>
      </c>
      <c r="Q272" s="4">
        <f>Q271</f>
        <v>2675</v>
      </c>
      <c r="Y272" s="42"/>
      <c r="AK272" s="42"/>
      <c r="AW272" s="42"/>
    </row>
    <row r="273" spans="1:49" x14ac:dyDescent="0.25">
      <c r="A273" s="42"/>
      <c r="C273" s="1"/>
      <c r="D273" s="4">
        <f>D272</f>
        <v>60</v>
      </c>
      <c r="E273" s="4">
        <f>E272+45</f>
        <v>2720</v>
      </c>
      <c r="M273" s="42"/>
      <c r="O273" s="1"/>
      <c r="P273" s="4">
        <f>P272</f>
        <v>60</v>
      </c>
      <c r="Q273" s="4">
        <f>Q272+45</f>
        <v>2720</v>
      </c>
      <c r="Y273" s="42"/>
      <c r="AK273" s="42"/>
      <c r="AW273" s="42"/>
    </row>
    <row r="274" spans="1:49" x14ac:dyDescent="0.25">
      <c r="A274" s="42"/>
      <c r="C274" s="1"/>
      <c r="D274" s="4">
        <f>D271</f>
        <v>60</v>
      </c>
      <c r="E274" s="4">
        <f>E273</f>
        <v>2720</v>
      </c>
      <c r="M274" s="42"/>
      <c r="O274" s="1"/>
      <c r="P274" s="4">
        <f>P271</f>
        <v>60</v>
      </c>
      <c r="Q274" s="4">
        <f>Q273</f>
        <v>2720</v>
      </c>
      <c r="Y274" s="42"/>
      <c r="AK274" s="42"/>
      <c r="AW274" s="42"/>
    </row>
    <row r="275" spans="1:49" x14ac:dyDescent="0.25">
      <c r="A275" s="42"/>
      <c r="C275" s="1"/>
      <c r="D275" s="4">
        <f>D271</f>
        <v>60</v>
      </c>
      <c r="E275" s="4">
        <f>E271</f>
        <v>2675</v>
      </c>
      <c r="M275" s="42"/>
      <c r="O275" s="1"/>
      <c r="P275" s="4">
        <f>P271</f>
        <v>60</v>
      </c>
      <c r="Q275" s="4">
        <f>Q271</f>
        <v>2675</v>
      </c>
      <c r="Y275" s="42"/>
      <c r="AK275" s="42"/>
      <c r="AW275" s="42"/>
    </row>
    <row r="276" spans="1:49" x14ac:dyDescent="0.25">
      <c r="A276" s="42"/>
      <c r="C276" s="92"/>
      <c r="D276" s="93"/>
      <c r="E276" s="93"/>
      <c r="M276" s="42"/>
      <c r="O276" s="92"/>
      <c r="P276" s="93"/>
      <c r="Q276" s="93"/>
      <c r="Y276" s="42"/>
      <c r="AK276" s="42"/>
      <c r="AW276" s="42"/>
    </row>
    <row r="277" spans="1:49" x14ac:dyDescent="0.25">
      <c r="A277" s="42"/>
      <c r="C277" s="92"/>
      <c r="D277" s="93"/>
      <c r="E277" s="93"/>
      <c r="M277" s="42"/>
      <c r="O277" s="92"/>
      <c r="P277" s="93"/>
      <c r="Q277" s="93"/>
      <c r="Y277" s="42"/>
      <c r="AK277" s="42"/>
      <c r="AW277" s="42"/>
    </row>
    <row r="278" spans="1:49" x14ac:dyDescent="0.25">
      <c r="A278" s="42"/>
      <c r="C278" s="1" t="s">
        <v>94</v>
      </c>
      <c r="D278" s="4">
        <f>D214</f>
        <v>60</v>
      </c>
      <c r="E278" s="4">
        <f>-E215+E214</f>
        <v>2030</v>
      </c>
      <c r="M278" s="42"/>
      <c r="O278" s="1" t="s">
        <v>94</v>
      </c>
      <c r="P278" s="4">
        <f>P214</f>
        <v>60</v>
      </c>
      <c r="Q278" s="4">
        <f>-Q215+Q214</f>
        <v>2030</v>
      </c>
      <c r="Y278" s="42"/>
      <c r="AK278" s="42"/>
      <c r="AW278" s="42"/>
    </row>
    <row r="279" spans="1:49" x14ac:dyDescent="0.25">
      <c r="A279" s="42"/>
      <c r="C279" s="1"/>
      <c r="D279" s="4">
        <f>D167+D214</f>
        <v>60</v>
      </c>
      <c r="E279" s="4">
        <f>-E215+E214</f>
        <v>2030</v>
      </c>
      <c r="M279" s="42"/>
      <c r="O279" s="1"/>
      <c r="P279" s="4">
        <f>P167+P214</f>
        <v>60</v>
      </c>
      <c r="Q279" s="4">
        <f>-Q215+Q214</f>
        <v>2030</v>
      </c>
      <c r="Y279" s="42"/>
      <c r="AK279" s="42"/>
      <c r="AW279" s="42"/>
    </row>
    <row r="280" spans="1:49" x14ac:dyDescent="0.25">
      <c r="A280" s="42"/>
      <c r="C280" s="92"/>
      <c r="D280" s="93"/>
      <c r="E280" s="93"/>
      <c r="M280" s="42"/>
      <c r="O280" s="92"/>
      <c r="P280" s="93"/>
      <c r="Q280" s="93"/>
      <c r="Y280" s="42"/>
      <c r="AK280" s="42"/>
      <c r="AW280" s="42"/>
    </row>
    <row r="281" spans="1:49" x14ac:dyDescent="0.25">
      <c r="A281" s="42"/>
      <c r="C281" s="1" t="s">
        <v>95</v>
      </c>
      <c r="D281" s="4">
        <f>(D279-D278)/2+D278</f>
        <v>60</v>
      </c>
      <c r="E281" s="4">
        <f>E214-E215+E221</f>
        <v>2030</v>
      </c>
      <c r="M281" s="42"/>
      <c r="O281" s="1" t="s">
        <v>95</v>
      </c>
      <c r="P281" s="4">
        <f>(P279-P278)/2+P278</f>
        <v>60</v>
      </c>
      <c r="Q281" s="4">
        <f>Q214-Q215+Q221</f>
        <v>2030</v>
      </c>
      <c r="Y281" s="42"/>
      <c r="AK281" s="42"/>
      <c r="AW281" s="42"/>
    </row>
    <row r="282" spans="1:49" x14ac:dyDescent="0.25">
      <c r="A282" s="42"/>
      <c r="C282" s="1" t="str">
        <f>D167&amp;" mm"</f>
        <v>0 mm</v>
      </c>
      <c r="D282" s="4">
        <f>D281+50</f>
        <v>110</v>
      </c>
      <c r="E282" s="4">
        <f>E281</f>
        <v>2030</v>
      </c>
      <c r="M282" s="42"/>
      <c r="O282" s="1" t="str">
        <f>P167&amp;" mm"</f>
        <v>0 mm</v>
      </c>
      <c r="P282" s="4">
        <f>P281+50</f>
        <v>110</v>
      </c>
      <c r="Q282" s="4">
        <f>Q281</f>
        <v>2030</v>
      </c>
      <c r="Y282" s="42"/>
      <c r="AK282" s="42"/>
      <c r="AW282" s="42"/>
    </row>
    <row r="283" spans="1:49" x14ac:dyDescent="0.25">
      <c r="A283" s="42"/>
      <c r="C283" s="92"/>
      <c r="D283" s="93"/>
      <c r="E283" s="93"/>
      <c r="M283" s="42"/>
      <c r="O283" s="92"/>
      <c r="P283" s="93"/>
      <c r="Q283" s="93"/>
      <c r="Y283" s="42"/>
      <c r="AK283" s="42"/>
      <c r="AW283" s="42"/>
    </row>
    <row r="284" spans="1:49" x14ac:dyDescent="0.25">
      <c r="A284" s="42"/>
      <c r="C284" s="1" t="s">
        <v>96</v>
      </c>
      <c r="D284" s="4">
        <f>D216+D266</f>
        <v>260</v>
      </c>
      <c r="E284" s="4">
        <f>E214</f>
        <v>2430</v>
      </c>
      <c r="M284" s="42"/>
      <c r="O284" s="1" t="s">
        <v>96</v>
      </c>
      <c r="P284" s="4">
        <f>P216+P266</f>
        <v>210</v>
      </c>
      <c r="Q284" s="4">
        <f>Q214</f>
        <v>2430</v>
      </c>
      <c r="Y284" s="42"/>
      <c r="AK284" s="42"/>
      <c r="AW284" s="42"/>
    </row>
    <row r="285" spans="1:49" x14ac:dyDescent="0.25">
      <c r="A285" s="42"/>
      <c r="C285" s="1"/>
      <c r="D285" s="4">
        <f>D216+D266</f>
        <v>260</v>
      </c>
      <c r="E285" s="4">
        <f>E214+D168</f>
        <v>2720</v>
      </c>
      <c r="M285" s="42"/>
      <c r="O285" s="1"/>
      <c r="P285" s="4">
        <f>P216+P266</f>
        <v>210</v>
      </c>
      <c r="Q285" s="4">
        <f>Q214+P168</f>
        <v>2720</v>
      </c>
      <c r="Y285" s="42"/>
      <c r="AK285" s="42"/>
      <c r="AW285" s="42"/>
    </row>
    <row r="286" spans="1:49" x14ac:dyDescent="0.25">
      <c r="A286" s="42"/>
      <c r="C286" s="92"/>
      <c r="D286" s="93"/>
      <c r="E286" s="93"/>
      <c r="M286" s="42"/>
      <c r="O286" s="92"/>
      <c r="P286" s="93"/>
      <c r="Q286" s="93"/>
      <c r="Y286" s="42"/>
      <c r="AK286" s="42"/>
      <c r="AW286" s="42"/>
    </row>
    <row r="287" spans="1:49" x14ac:dyDescent="0.25">
      <c r="A287" s="42"/>
      <c r="C287" s="1" t="s">
        <v>97</v>
      </c>
      <c r="D287" s="4">
        <f>(D285-D284)/2+D284+D221</f>
        <v>260</v>
      </c>
      <c r="E287" s="4">
        <f>(E285-E284)/2+E284</f>
        <v>2575</v>
      </c>
      <c r="M287" s="42"/>
      <c r="O287" s="1" t="s">
        <v>97</v>
      </c>
      <c r="P287" s="4">
        <f>(P285-P284)/2+P284+P221</f>
        <v>210</v>
      </c>
      <c r="Q287" s="4">
        <f>(Q285-Q284)/2+Q284</f>
        <v>2575</v>
      </c>
      <c r="Y287" s="42"/>
      <c r="AK287" s="42"/>
      <c r="AW287" s="42"/>
    </row>
    <row r="288" spans="1:49" x14ac:dyDescent="0.25">
      <c r="A288" s="42"/>
      <c r="C288" s="1" t="str">
        <f>D168&amp;" mm"</f>
        <v>290 mm</v>
      </c>
      <c r="D288" s="4">
        <f>D287</f>
        <v>260</v>
      </c>
      <c r="E288" s="4">
        <f>E287+50</f>
        <v>2625</v>
      </c>
      <c r="M288" s="42"/>
      <c r="O288" s="1" t="str">
        <f>P168&amp;" mm"</f>
        <v>290 mm</v>
      </c>
      <c r="P288" s="4">
        <f>P287</f>
        <v>210</v>
      </c>
      <c r="Q288" s="4">
        <f>Q287+50</f>
        <v>2625</v>
      </c>
      <c r="Y288" s="42"/>
      <c r="AK288" s="42"/>
      <c r="AW288" s="42"/>
    </row>
    <row r="289" spans="1:49" x14ac:dyDescent="0.25">
      <c r="A289" s="42"/>
      <c r="C289" s="92"/>
      <c r="D289" s="93"/>
      <c r="E289" s="93"/>
      <c r="M289" s="42"/>
      <c r="O289" s="92"/>
      <c r="P289" s="93"/>
      <c r="Q289" s="93"/>
      <c r="Y289" s="42"/>
      <c r="AK289" s="42"/>
      <c r="AW289" s="42"/>
    </row>
    <row r="290" spans="1:49" x14ac:dyDescent="0.25">
      <c r="A290" s="42"/>
      <c r="C290" s="1" t="s">
        <v>98</v>
      </c>
      <c r="D290" s="4">
        <f>D223-D217</f>
        <v>33</v>
      </c>
      <c r="E290" s="4">
        <f>(E225-E223)/2+E223</f>
        <v>2462.5</v>
      </c>
      <c r="M290" s="42"/>
      <c r="O290" s="1" t="s">
        <v>98</v>
      </c>
      <c r="P290" s="4">
        <f>P223-P217</f>
        <v>33</v>
      </c>
      <c r="Q290" s="4">
        <f>(Q225-Q223)/2+Q223</f>
        <v>2462.5</v>
      </c>
      <c r="Y290" s="42"/>
      <c r="AK290" s="42"/>
      <c r="AW290" s="42"/>
    </row>
    <row r="291" spans="1:49" x14ac:dyDescent="0.25">
      <c r="A291" s="42"/>
      <c r="C291" s="1" t="str">
        <f>"Panneaux + "&amp;D169&amp;" mm"</f>
        <v>Panneaux + 27 mm</v>
      </c>
      <c r="D291" s="4">
        <f>D290</f>
        <v>33</v>
      </c>
      <c r="E291" s="4">
        <f>E290+50</f>
        <v>2512.5</v>
      </c>
      <c r="M291" s="42"/>
      <c r="O291" s="1" t="str">
        <f>"Panneaux + "&amp;P170&amp;" mm"</f>
        <v>Panneaux + 27 mm</v>
      </c>
      <c r="P291" s="4">
        <f>P290</f>
        <v>33</v>
      </c>
      <c r="Q291" s="4">
        <f>Q290+50</f>
        <v>2512.5</v>
      </c>
      <c r="Y291" s="42"/>
      <c r="AK291" s="42"/>
      <c r="AW291" s="42"/>
    </row>
    <row r="292" spans="1:49" x14ac:dyDescent="0.25">
      <c r="A292" s="42"/>
      <c r="C292" s="92"/>
      <c r="D292" s="93"/>
      <c r="E292" s="93"/>
      <c r="M292" s="42"/>
      <c r="O292" s="92"/>
      <c r="P292" s="93"/>
      <c r="Q292" s="93"/>
      <c r="Y292" s="42"/>
      <c r="AK292" s="42"/>
      <c r="AW292" s="42"/>
    </row>
    <row r="293" spans="1:49" x14ac:dyDescent="0.25">
      <c r="A293" s="42"/>
      <c r="C293" s="1" t="s">
        <v>99</v>
      </c>
      <c r="D293" s="4">
        <f>D218+D224</f>
        <v>87</v>
      </c>
      <c r="E293" s="4">
        <f>E290</f>
        <v>2462.5</v>
      </c>
      <c r="M293" s="42"/>
      <c r="O293" s="1" t="s">
        <v>99</v>
      </c>
      <c r="P293" s="4">
        <f>P218+P224</f>
        <v>87</v>
      </c>
      <c r="Q293" s="4">
        <f>Q290</f>
        <v>2462.5</v>
      </c>
      <c r="Y293" s="42"/>
      <c r="AK293" s="42"/>
      <c r="AW293" s="42"/>
    </row>
    <row r="294" spans="1:49" x14ac:dyDescent="0.25">
      <c r="A294" s="42"/>
      <c r="C294" s="1" t="str">
        <f>"Panneaux + "&amp;D170&amp;" mm"</f>
        <v>Panneaux + 27 mm</v>
      </c>
      <c r="D294" s="4">
        <f>D293</f>
        <v>87</v>
      </c>
      <c r="E294" s="4">
        <f>E291</f>
        <v>2512.5</v>
      </c>
      <c r="M294" s="42"/>
      <c r="O294" s="1" t="str">
        <f>"Panneaux + "&amp;P169&amp;" mm"</f>
        <v>Panneaux + 27 mm</v>
      </c>
      <c r="P294" s="4">
        <f>P293</f>
        <v>87</v>
      </c>
      <c r="Q294" s="4">
        <f>Q291</f>
        <v>2512.5</v>
      </c>
      <c r="Y294" s="42"/>
      <c r="AK294" s="42"/>
      <c r="AW294" s="42"/>
    </row>
    <row r="295" spans="1:49" x14ac:dyDescent="0.25">
      <c r="A295" s="42"/>
      <c r="C295" s="92"/>
      <c r="D295" s="93"/>
      <c r="E295" s="93"/>
      <c r="M295" s="42"/>
      <c r="O295" s="92"/>
      <c r="P295" s="93"/>
      <c r="Q295" s="93"/>
      <c r="Y295" s="42"/>
      <c r="AK295" s="42"/>
      <c r="AW295" s="42"/>
    </row>
    <row r="296" spans="1:49" x14ac:dyDescent="0.25">
      <c r="A296" s="42"/>
      <c r="C296" s="1" t="s">
        <v>100</v>
      </c>
      <c r="D296" s="4">
        <f>D299</f>
        <v>90</v>
      </c>
      <c r="E296" s="4">
        <f>E225+E219</f>
        <v>2760</v>
      </c>
      <c r="M296" s="42"/>
      <c r="O296" s="1" t="s">
        <v>100</v>
      </c>
      <c r="P296" s="4">
        <f>P299</f>
        <v>90</v>
      </c>
      <c r="Q296" s="4">
        <f>Q225+Q219</f>
        <v>2760</v>
      </c>
      <c r="Y296" s="42"/>
      <c r="AK296" s="42"/>
      <c r="AW296" s="42"/>
    </row>
    <row r="297" spans="1:49" x14ac:dyDescent="0.25">
      <c r="A297" s="42"/>
      <c r="C297" s="1" t="str">
        <f>"Panneaux + "&amp;D171&amp;" mm"</f>
        <v>Panneaux + 40 mm</v>
      </c>
      <c r="D297" s="4">
        <f>D300</f>
        <v>140</v>
      </c>
      <c r="E297" s="4">
        <f>E296</f>
        <v>2760</v>
      </c>
      <c r="M297" s="42"/>
      <c r="O297" s="1" t="str">
        <f>"Panneaux + "&amp;P171&amp;" mm"</f>
        <v>Panneaux + 40 mm</v>
      </c>
      <c r="P297" s="4">
        <f>P300</f>
        <v>140</v>
      </c>
      <c r="Q297" s="4">
        <f>Q296</f>
        <v>2760</v>
      </c>
      <c r="Y297" s="42"/>
      <c r="AK297" s="42"/>
      <c r="AW297" s="42"/>
    </row>
    <row r="298" spans="1:49" x14ac:dyDescent="0.25">
      <c r="A298" s="42"/>
      <c r="C298" s="92"/>
      <c r="D298" s="93"/>
      <c r="E298" s="93"/>
      <c r="M298" s="42"/>
      <c r="O298" s="92"/>
      <c r="P298" s="93"/>
      <c r="Q298" s="93"/>
      <c r="Y298" s="42"/>
      <c r="AK298" s="42"/>
      <c r="AW298" s="42"/>
    </row>
    <row r="299" spans="1:49" x14ac:dyDescent="0.25">
      <c r="A299" s="42"/>
      <c r="C299" s="1" t="s">
        <v>101</v>
      </c>
      <c r="D299" s="4">
        <f>D279/2+D278</f>
        <v>90</v>
      </c>
      <c r="E299" s="4">
        <f>E223+E220</f>
        <v>2165</v>
      </c>
      <c r="M299" s="42"/>
      <c r="O299" s="1" t="s">
        <v>101</v>
      </c>
      <c r="P299" s="4">
        <f>P279/2+P278</f>
        <v>90</v>
      </c>
      <c r="Q299" s="4">
        <f>Q223+Q220</f>
        <v>2165</v>
      </c>
      <c r="Y299" s="42"/>
      <c r="AK299" s="42"/>
      <c r="AW299" s="42"/>
    </row>
    <row r="300" spans="1:49" x14ac:dyDescent="0.25">
      <c r="A300" s="42"/>
      <c r="C300" s="1" t="str">
        <f>"Panneaux +"&amp;D172&amp;" mm"</f>
        <v>Panneaux +265 mm</v>
      </c>
      <c r="D300" s="4">
        <f>D299+50</f>
        <v>140</v>
      </c>
      <c r="E300" s="4">
        <f>E299</f>
        <v>2165</v>
      </c>
      <c r="M300" s="42"/>
      <c r="O300" s="1" t="str">
        <f>"Panneaux +"&amp;P172&amp;" mm"</f>
        <v>Panneaux +265 mm</v>
      </c>
      <c r="P300" s="4">
        <f>P299+50</f>
        <v>140</v>
      </c>
      <c r="Q300" s="4">
        <f>Q299</f>
        <v>2165</v>
      </c>
      <c r="Y300" s="42"/>
      <c r="AK300" s="42"/>
      <c r="AW300" s="42"/>
    </row>
    <row r="301" spans="1:49" x14ac:dyDescent="0.25">
      <c r="A301" s="42"/>
      <c r="M301" s="42"/>
      <c r="Y301" s="42"/>
      <c r="AK301" s="42"/>
      <c r="AW301" s="42"/>
    </row>
    <row r="302" spans="1:49" x14ac:dyDescent="0.25">
      <c r="A302" s="42"/>
      <c r="M302" s="42"/>
      <c r="Y302" s="42"/>
      <c r="AK302" s="42"/>
      <c r="AW302" s="42"/>
    </row>
    <row r="303" spans="1:49" x14ac:dyDescent="0.25">
      <c r="A303" s="42"/>
      <c r="M303" s="42"/>
      <c r="Y303" s="42"/>
      <c r="AK303" s="42"/>
      <c r="AW303" s="42"/>
    </row>
    <row r="304" spans="1:49" x14ac:dyDescent="0.25">
      <c r="A304" s="42"/>
      <c r="M304" s="42"/>
      <c r="Y304" s="42"/>
      <c r="AK304" s="42"/>
      <c r="AW304" s="42"/>
    </row>
    <row r="305" spans="1:49" x14ac:dyDescent="0.25">
      <c r="A305" s="42"/>
      <c r="M305" s="42"/>
      <c r="Y305" s="42"/>
      <c r="AK305" s="42"/>
      <c r="AW305" s="42"/>
    </row>
    <row r="306" spans="1:49" x14ac:dyDescent="0.25">
      <c r="A306" s="42"/>
      <c r="M306" s="42"/>
      <c r="Y306" s="42"/>
      <c r="AK306" s="42"/>
      <c r="AW306" s="42"/>
    </row>
    <row r="307" spans="1:49" ht="18.75" x14ac:dyDescent="0.3">
      <c r="A307" s="51"/>
      <c r="B307" s="6"/>
      <c r="C307" s="6"/>
      <c r="D307" s="42"/>
      <c r="E307" s="50"/>
      <c r="F307" s="42"/>
      <c r="G307" s="42"/>
      <c r="H307" s="42"/>
      <c r="I307" s="42"/>
      <c r="J307" s="51"/>
      <c r="K307" s="51"/>
      <c r="L307" s="51"/>
      <c r="M307" s="51"/>
      <c r="N307" s="51"/>
      <c r="O307" s="7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6"/>
      <c r="AA307" s="6"/>
      <c r="AB307" s="42"/>
      <c r="AC307" s="42"/>
      <c r="AD307" s="42"/>
      <c r="AE307" s="42"/>
      <c r="AF307" s="42"/>
      <c r="AG307" s="42"/>
      <c r="AH307" s="42"/>
      <c r="AI307" s="42"/>
      <c r="AJ307" s="42"/>
      <c r="AK307" s="51"/>
      <c r="AL307" s="6"/>
      <c r="AM307" s="6"/>
      <c r="AN307" s="42"/>
      <c r="AO307" s="42"/>
      <c r="AP307" s="42"/>
      <c r="AQ307" s="42"/>
      <c r="AR307" s="42"/>
      <c r="AS307" s="42"/>
      <c r="AT307" s="42"/>
      <c r="AU307" s="42"/>
      <c r="AV307" s="42"/>
      <c r="AW307" s="51"/>
    </row>
    <row r="308" spans="1:49" x14ac:dyDescent="0.25">
      <c r="A308" s="42"/>
      <c r="M308" s="42"/>
      <c r="O308" t="str">
        <f>"Chantier: "&amp;Acceuil!B1&amp;" - "&amp;Acceuil!$B$2</f>
        <v xml:space="preserve">Chantier:  - </v>
      </c>
      <c r="Y308" s="42"/>
      <c r="AK308" s="42"/>
      <c r="AM308" t="str">
        <f>"Chantier: "&amp;Acceuil!B1&amp;" - "&amp;Acceuil!$B$2</f>
        <v xml:space="preserve">Chantier:  - </v>
      </c>
      <c r="AW308" s="42"/>
    </row>
    <row r="309" spans="1:49" ht="15.75" thickBot="1" x14ac:dyDescent="0.3">
      <c r="A309" s="42"/>
      <c r="M309" s="42"/>
      <c r="Y309" s="42"/>
      <c r="AK309" s="42"/>
      <c r="AW309" s="42"/>
    </row>
    <row r="310" spans="1:49" ht="21.75" thickBot="1" x14ac:dyDescent="0.3">
      <c r="A310" s="42"/>
      <c r="M310" s="42"/>
      <c r="O310" s="232" t="str">
        <f>"Blocs sous "&amp;O4&amp;O312</f>
        <v xml:space="preserve">Blocs sous Fenêtre 0 / 0; sans VR; </v>
      </c>
      <c r="P310" s="233"/>
      <c r="Q310" s="233"/>
      <c r="R310" s="233"/>
      <c r="S310" s="233"/>
      <c r="T310" s="233"/>
      <c r="U310" s="233"/>
      <c r="V310" s="233"/>
      <c r="W310" s="234"/>
      <c r="Y310" s="42"/>
      <c r="AK310" s="42"/>
      <c r="AM310" s="232" t="str">
        <f>"Blocs sous "&amp;AM4&amp;AM312</f>
        <v xml:space="preserve">Blocs sous Fenêtre 0 / 0; avec VR; </v>
      </c>
      <c r="AN310" s="233"/>
      <c r="AO310" s="233"/>
      <c r="AP310" s="233"/>
      <c r="AQ310" s="233"/>
      <c r="AR310" s="233"/>
      <c r="AS310" s="233"/>
      <c r="AT310" s="233"/>
      <c r="AU310" s="234"/>
      <c r="AW310" s="42"/>
    </row>
    <row r="311" spans="1:49" ht="18.75" x14ac:dyDescent="0.3">
      <c r="A311" s="42"/>
      <c r="M311" s="42"/>
      <c r="O311" s="41"/>
      <c r="R311" s="52"/>
      <c r="S311" s="52"/>
      <c r="T311" s="52"/>
      <c r="U311" s="52"/>
      <c r="V311" s="52"/>
      <c r="W311" s="52"/>
      <c r="Y311" s="42"/>
      <c r="AK311" s="42"/>
      <c r="AM311" s="41"/>
      <c r="AP311" s="52"/>
      <c r="AQ311" s="52"/>
      <c r="AR311" s="52"/>
      <c r="AS311" s="52"/>
      <c r="AT311" s="52"/>
      <c r="AU311" s="52"/>
      <c r="AW311" s="42"/>
    </row>
    <row r="312" spans="1:49" ht="18.75" x14ac:dyDescent="0.3">
      <c r="A312" s="42"/>
      <c r="M312" s="42"/>
      <c r="O312" s="222"/>
      <c r="R312" s="52"/>
      <c r="S312" s="52"/>
      <c r="T312" s="52"/>
      <c r="U312" s="52"/>
      <c r="V312" s="52"/>
      <c r="W312" s="52"/>
      <c r="Y312" s="42"/>
      <c r="AK312" s="42"/>
      <c r="AM312" s="222"/>
      <c r="AP312" s="52"/>
      <c r="AQ312" s="52"/>
      <c r="AR312" s="52"/>
      <c r="AS312" s="52"/>
      <c r="AT312" s="52"/>
      <c r="AU312" s="52"/>
      <c r="AW312" s="42"/>
    </row>
    <row r="313" spans="1:49" ht="15.75" thickBot="1" x14ac:dyDescent="0.3">
      <c r="A313" s="42"/>
      <c r="M313" s="42"/>
      <c r="Y313" s="42"/>
      <c r="AK313" s="42"/>
      <c r="AW313" s="42"/>
    </row>
    <row r="314" spans="1:49" ht="18.75" x14ac:dyDescent="0.3">
      <c r="A314" s="42"/>
      <c r="M314" s="42"/>
      <c r="O314" s="214" t="s">
        <v>72</v>
      </c>
      <c r="P314" s="215">
        <f>P315*P9</f>
        <v>0</v>
      </c>
      <c r="Q314" s="52"/>
      <c r="R314" s="52"/>
      <c r="S314" s="52"/>
      <c r="T314" s="52"/>
      <c r="U314" s="52"/>
      <c r="Y314" s="42"/>
      <c r="AK314" s="42"/>
      <c r="AM314" s="214" t="s">
        <v>72</v>
      </c>
      <c r="AN314" s="215">
        <f>AN315*AN9</f>
        <v>0</v>
      </c>
      <c r="AO314" s="52"/>
      <c r="AP314" s="52"/>
      <c r="AQ314" s="52"/>
      <c r="AR314" s="52"/>
      <c r="AS314" s="52"/>
      <c r="AW314" s="42"/>
    </row>
    <row r="315" spans="1:49" ht="19.5" thickBot="1" x14ac:dyDescent="0.35">
      <c r="A315" s="42"/>
      <c r="M315" s="42"/>
      <c r="O315" s="213" t="s">
        <v>33</v>
      </c>
      <c r="P315" s="227">
        <v>1</v>
      </c>
      <c r="U315" s="52"/>
      <c r="Y315" s="42"/>
      <c r="AK315" s="42"/>
      <c r="AM315" s="213" t="s">
        <v>33</v>
      </c>
      <c r="AN315" s="227">
        <v>1</v>
      </c>
      <c r="AS315" s="52"/>
      <c r="AW315" s="42"/>
    </row>
    <row r="316" spans="1:49" ht="15.75" thickBot="1" x14ac:dyDescent="0.3">
      <c r="A316" s="42"/>
      <c r="M316" s="42"/>
      <c r="Y316" s="42"/>
      <c r="AK316" s="42"/>
      <c r="AW316" s="42"/>
    </row>
    <row r="317" spans="1:49" x14ac:dyDescent="0.25">
      <c r="A317" s="42"/>
      <c r="M317" s="42"/>
      <c r="O317" s="80"/>
      <c r="P317" s="79"/>
      <c r="Q317" s="81"/>
      <c r="V317" s="201" t="str">
        <f>"Poids unitaire: " &amp;ROUNDUP(((R333*T333*(10+9))+(P321*P322*18))/1000000,0)&amp;" Kg"</f>
        <v>Poids unitaire: 1 Kg</v>
      </c>
      <c r="Y317" s="42"/>
      <c r="AK317" s="42"/>
      <c r="AM317" s="80"/>
      <c r="AN317" s="79"/>
      <c r="AO317" s="81"/>
      <c r="AT317" s="201" t="str">
        <f>"Poids unitaire: " &amp;ROUNDUP(((AP333*AR333*(10+9))+(AN321*AN322*18))/1000000,0)&amp;" Kg"</f>
        <v>Poids unitaire: 1 Kg</v>
      </c>
      <c r="AW317" s="42"/>
    </row>
    <row r="318" spans="1:49" x14ac:dyDescent="0.25">
      <c r="A318" s="42"/>
      <c r="M318" s="42"/>
      <c r="O318" s="75" t="s">
        <v>57</v>
      </c>
      <c r="P318" s="60">
        <f>(V10-((P315+1)*60))/P315</f>
        <v>0</v>
      </c>
      <c r="Q318" s="76" t="s">
        <v>1</v>
      </c>
      <c r="Y318" s="42"/>
      <c r="AK318" s="42"/>
      <c r="AM318" s="75" t="s">
        <v>57</v>
      </c>
      <c r="AN318" s="60">
        <f>(AT10-((AN315+1)*60))/AN315</f>
        <v>0</v>
      </c>
      <c r="AO318" s="76" t="s">
        <v>1</v>
      </c>
      <c r="AW318" s="42"/>
    </row>
    <row r="319" spans="1:49" x14ac:dyDescent="0.25">
      <c r="A319" s="42"/>
      <c r="M319" s="42"/>
      <c r="O319" s="75" t="s">
        <v>58</v>
      </c>
      <c r="P319" s="60">
        <f>P12-V11+280</f>
        <v>2020</v>
      </c>
      <c r="Q319" s="76" t="s">
        <v>1</v>
      </c>
      <c r="Y319" s="42"/>
      <c r="AK319" s="42"/>
      <c r="AM319" s="75" t="s">
        <v>58</v>
      </c>
      <c r="AN319" s="60">
        <f>AN13-AT11-AN168</f>
        <v>2020</v>
      </c>
      <c r="AO319" s="76" t="s">
        <v>1</v>
      </c>
      <c r="AW319" s="42"/>
    </row>
    <row r="320" spans="1:49" x14ac:dyDescent="0.25">
      <c r="A320" s="42"/>
      <c r="M320" s="42"/>
      <c r="O320" s="30" t="s">
        <v>59</v>
      </c>
      <c r="P320" s="60">
        <v>27</v>
      </c>
      <c r="Q320" s="76" t="s">
        <v>1</v>
      </c>
      <c r="Y320" s="42"/>
      <c r="AK320" s="42"/>
      <c r="AM320" s="30" t="s">
        <v>59</v>
      </c>
      <c r="AN320" s="60">
        <v>27</v>
      </c>
      <c r="AO320" s="76" t="s">
        <v>1</v>
      </c>
      <c r="AW320" s="42"/>
    </row>
    <row r="321" spans="1:49" ht="15" customHeight="1" x14ac:dyDescent="0.3">
      <c r="A321" s="42"/>
      <c r="M321" s="42"/>
      <c r="O321" s="30" t="s">
        <v>60</v>
      </c>
      <c r="P321" s="60">
        <v>27</v>
      </c>
      <c r="Q321" s="76" t="s">
        <v>1</v>
      </c>
      <c r="T321" s="52"/>
      <c r="U321" s="52"/>
      <c r="Y321" s="42"/>
      <c r="AK321" s="42"/>
      <c r="AM321" s="30" t="s">
        <v>60</v>
      </c>
      <c r="AN321" s="60">
        <v>27</v>
      </c>
      <c r="AO321" s="76" t="s">
        <v>1</v>
      </c>
      <c r="AR321" s="52"/>
      <c r="AS321" s="52"/>
      <c r="AW321" s="42"/>
    </row>
    <row r="322" spans="1:49" x14ac:dyDescent="0.25">
      <c r="A322" s="42"/>
      <c r="M322" s="42"/>
      <c r="O322" s="30" t="s">
        <v>61</v>
      </c>
      <c r="P322" s="60">
        <v>40</v>
      </c>
      <c r="Q322" s="76" t="s">
        <v>1</v>
      </c>
      <c r="Y322" s="42"/>
      <c r="AK322" s="42"/>
      <c r="AM322" s="30" t="s">
        <v>61</v>
      </c>
      <c r="AN322" s="60">
        <v>40</v>
      </c>
      <c r="AO322" s="76" t="s">
        <v>1</v>
      </c>
      <c r="AW322" s="42"/>
    </row>
    <row r="323" spans="1:49" ht="15.75" thickBot="1" x14ac:dyDescent="0.3">
      <c r="A323" s="42"/>
      <c r="M323" s="42"/>
      <c r="O323" s="32" t="s">
        <v>62</v>
      </c>
      <c r="P323" s="77">
        <v>40</v>
      </c>
      <c r="Q323" s="78" t="s">
        <v>1</v>
      </c>
      <c r="Y323" s="42"/>
      <c r="AK323" s="42"/>
      <c r="AM323" s="32" t="s">
        <v>62</v>
      </c>
      <c r="AN323" s="77">
        <v>40</v>
      </c>
      <c r="AO323" s="78" t="s">
        <v>1</v>
      </c>
      <c r="AW323" s="42"/>
    </row>
    <row r="324" spans="1:49" ht="15.75" thickBot="1" x14ac:dyDescent="0.3">
      <c r="A324" s="42"/>
      <c r="M324" s="42"/>
      <c r="Y324" s="42"/>
      <c r="AK324" s="42"/>
      <c r="AW324" s="42"/>
    </row>
    <row r="325" spans="1:49" x14ac:dyDescent="0.25">
      <c r="A325" s="42"/>
      <c r="M325" s="42"/>
      <c r="O325" s="61" t="s">
        <v>45</v>
      </c>
      <c r="P325" s="69"/>
      <c r="Q325" s="79" t="s">
        <v>47</v>
      </c>
      <c r="R325" s="70"/>
      <c r="S325" s="69"/>
      <c r="T325" s="79" t="s">
        <v>46</v>
      </c>
      <c r="U325" s="70"/>
      <c r="V325" s="62" t="s">
        <v>2</v>
      </c>
      <c r="W325" s="63" t="s">
        <v>3</v>
      </c>
      <c r="Y325" s="42"/>
      <c r="AK325" s="42"/>
      <c r="AM325" s="61" t="s">
        <v>45</v>
      </c>
      <c r="AN325" s="69"/>
      <c r="AO325" s="79" t="s">
        <v>47</v>
      </c>
      <c r="AP325" s="70"/>
      <c r="AQ325" s="69"/>
      <c r="AR325" s="79" t="s">
        <v>46</v>
      </c>
      <c r="AS325" s="70"/>
      <c r="AT325" s="62" t="s">
        <v>2</v>
      </c>
      <c r="AU325" s="63" t="s">
        <v>3</v>
      </c>
      <c r="AW325" s="42"/>
    </row>
    <row r="326" spans="1:49" x14ac:dyDescent="0.25">
      <c r="A326" s="42"/>
      <c r="M326" s="42"/>
      <c r="O326" s="64" t="s">
        <v>34</v>
      </c>
      <c r="P326" s="196">
        <v>45</v>
      </c>
      <c r="Q326" s="101" t="s">
        <v>5</v>
      </c>
      <c r="R326" s="199">
        <v>145</v>
      </c>
      <c r="S326" s="14"/>
      <c r="T326" s="101">
        <f>P319-90</f>
        <v>1930</v>
      </c>
      <c r="U326" s="15"/>
      <c r="V326" s="4">
        <f>W326*$P$163</f>
        <v>0</v>
      </c>
      <c r="W326" s="65">
        <f>ROUNDUP((P318-45)/600,0)+1</f>
        <v>0</v>
      </c>
      <c r="Y326" s="42"/>
      <c r="AK326" s="42"/>
      <c r="AM326" s="64" t="s">
        <v>34</v>
      </c>
      <c r="AN326" s="196">
        <v>45</v>
      </c>
      <c r="AO326" s="101" t="s">
        <v>5</v>
      </c>
      <c r="AP326" s="199">
        <v>145</v>
      </c>
      <c r="AQ326" s="14"/>
      <c r="AR326" s="101">
        <f>AN319-90</f>
        <v>1930</v>
      </c>
      <c r="AS326" s="15" t="s">
        <v>1</v>
      </c>
      <c r="AT326" s="4">
        <f>AU326*AN314</f>
        <v>0</v>
      </c>
      <c r="AU326" s="65">
        <f>ROUNDUP((AN318-45)/600,0)+1</f>
        <v>0</v>
      </c>
      <c r="AW326" s="42"/>
    </row>
    <row r="327" spans="1:49" ht="15.75" thickBot="1" x14ac:dyDescent="0.3">
      <c r="A327" s="42"/>
      <c r="M327" s="42"/>
      <c r="O327" s="66" t="s">
        <v>6</v>
      </c>
      <c r="P327" s="197">
        <v>45</v>
      </c>
      <c r="Q327" s="102" t="s">
        <v>5</v>
      </c>
      <c r="R327" s="200">
        <v>145</v>
      </c>
      <c r="S327" s="73"/>
      <c r="T327" s="102">
        <f>P318</f>
        <v>0</v>
      </c>
      <c r="U327" s="74"/>
      <c r="V327" s="67">
        <f>W327*$P$163</f>
        <v>0</v>
      </c>
      <c r="W327" s="68">
        <f>2</f>
        <v>2</v>
      </c>
      <c r="Y327" s="42"/>
      <c r="AK327" s="42"/>
      <c r="AM327" s="66" t="s">
        <v>6</v>
      </c>
      <c r="AN327" s="197">
        <v>45</v>
      </c>
      <c r="AO327" s="102" t="s">
        <v>5</v>
      </c>
      <c r="AP327" s="200">
        <v>145</v>
      </c>
      <c r="AQ327" s="73"/>
      <c r="AR327" s="102">
        <f>AN318</f>
        <v>0</v>
      </c>
      <c r="AS327" s="74" t="s">
        <v>1</v>
      </c>
      <c r="AT327" s="67">
        <f>AU327*AN314</f>
        <v>0</v>
      </c>
      <c r="AU327" s="68">
        <f>2</f>
        <v>2</v>
      </c>
      <c r="AW327" s="42"/>
    </row>
    <row r="328" spans="1:49" ht="15.75" thickBot="1" x14ac:dyDescent="0.3">
      <c r="A328" s="42"/>
      <c r="M328" s="42"/>
      <c r="Y328" s="42"/>
      <c r="AK328" s="42"/>
      <c r="AW328" s="42"/>
    </row>
    <row r="329" spans="1:49" x14ac:dyDescent="0.25">
      <c r="A329" s="42"/>
      <c r="M329" s="42"/>
      <c r="O329" s="61" t="s">
        <v>45</v>
      </c>
      <c r="P329" s="25" t="s">
        <v>44</v>
      </c>
      <c r="Q329" s="175"/>
      <c r="R329" s="176"/>
      <c r="S329" s="176" t="s">
        <v>66</v>
      </c>
      <c r="T329" s="176"/>
      <c r="U329" s="177"/>
      <c r="V329" s="62" t="s">
        <v>2</v>
      </c>
      <c r="W329" s="63" t="s">
        <v>3</v>
      </c>
      <c r="Y329" s="42"/>
      <c r="AK329" s="42"/>
      <c r="AM329" s="61" t="s">
        <v>45</v>
      </c>
      <c r="AN329" s="25" t="s">
        <v>44</v>
      </c>
      <c r="AO329" s="175"/>
      <c r="AP329" s="176"/>
      <c r="AQ329" s="176" t="s">
        <v>66</v>
      </c>
      <c r="AR329" s="176"/>
      <c r="AS329" s="177"/>
      <c r="AT329" s="62" t="s">
        <v>2</v>
      </c>
      <c r="AU329" s="63" t="s">
        <v>3</v>
      </c>
      <c r="AW329" s="42"/>
    </row>
    <row r="330" spans="1:49" x14ac:dyDescent="0.25">
      <c r="A330" s="42"/>
      <c r="M330" s="42"/>
      <c r="O330" s="71" t="s">
        <v>64</v>
      </c>
      <c r="P330" s="2">
        <v>12</v>
      </c>
      <c r="Q330" s="14"/>
      <c r="R330" s="205">
        <f>P320+P321+P318</f>
        <v>54</v>
      </c>
      <c r="S330" s="101" t="s">
        <v>5</v>
      </c>
      <c r="T330" s="202">
        <f>P323+P322+P319</f>
        <v>2100</v>
      </c>
      <c r="U330" s="101" t="s">
        <v>1</v>
      </c>
      <c r="V330" s="4">
        <f>W330*$P$163</f>
        <v>0</v>
      </c>
      <c r="W330" s="65">
        <v>1</v>
      </c>
      <c r="Y330" s="42"/>
      <c r="AK330" s="42"/>
      <c r="AM330" s="71" t="s">
        <v>64</v>
      </c>
      <c r="AN330" s="2">
        <v>12</v>
      </c>
      <c r="AO330" s="14"/>
      <c r="AP330" s="205">
        <f>AN320+AN321+AN318</f>
        <v>54</v>
      </c>
      <c r="AQ330" s="101" t="s">
        <v>5</v>
      </c>
      <c r="AR330" s="202">
        <f>AN323+AN322+AN319</f>
        <v>2100</v>
      </c>
      <c r="AS330" s="101" t="s">
        <v>1</v>
      </c>
      <c r="AT330" s="4">
        <f>AU330*AN314</f>
        <v>0</v>
      </c>
      <c r="AU330" s="65">
        <v>1</v>
      </c>
      <c r="AW330" s="42"/>
    </row>
    <row r="331" spans="1:49" ht="15.75" thickBot="1" x14ac:dyDescent="0.3">
      <c r="A331" s="42"/>
      <c r="M331" s="42"/>
      <c r="O331" s="72" t="s">
        <v>63</v>
      </c>
      <c r="P331" s="67" t="s">
        <v>71</v>
      </c>
      <c r="Q331" s="73"/>
      <c r="R331" s="206">
        <f>P320+P321+P318</f>
        <v>54</v>
      </c>
      <c r="S331" s="102" t="s">
        <v>5</v>
      </c>
      <c r="T331" s="203">
        <f>P323+P322+P319</f>
        <v>2100</v>
      </c>
      <c r="U331" s="102" t="s">
        <v>1</v>
      </c>
      <c r="V331" s="67">
        <f>W331*$P$163</f>
        <v>0</v>
      </c>
      <c r="W331" s="68">
        <v>1</v>
      </c>
      <c r="Y331" s="42"/>
      <c r="AK331" s="42"/>
      <c r="AM331" s="72" t="s">
        <v>63</v>
      </c>
      <c r="AN331" s="67" t="s">
        <v>71</v>
      </c>
      <c r="AO331" s="73"/>
      <c r="AP331" s="206">
        <f>AN320+AN321+AN318</f>
        <v>54</v>
      </c>
      <c r="AQ331" s="102" t="s">
        <v>5</v>
      </c>
      <c r="AR331" s="203">
        <f>AN323+AN322+AN319</f>
        <v>2100</v>
      </c>
      <c r="AS331" s="102" t="s">
        <v>1</v>
      </c>
      <c r="AT331" s="67">
        <f>AU331*AN314</f>
        <v>0</v>
      </c>
      <c r="AU331" s="68">
        <v>1</v>
      </c>
      <c r="AW331" s="42"/>
    </row>
    <row r="332" spans="1:49" x14ac:dyDescent="0.25">
      <c r="A332" s="42"/>
      <c r="M332" s="42"/>
      <c r="Y332" s="42"/>
      <c r="AK332" s="42"/>
      <c r="AW332" s="42"/>
    </row>
    <row r="333" spans="1:49" x14ac:dyDescent="0.25">
      <c r="A333" s="42"/>
      <c r="M333" s="42"/>
      <c r="Y333" s="42"/>
      <c r="AK333" s="42"/>
      <c r="AW333" s="42"/>
    </row>
    <row r="334" spans="1:49" x14ac:dyDescent="0.25">
      <c r="A334" s="42"/>
      <c r="M334" s="42"/>
      <c r="Y334" s="42"/>
      <c r="AK334" s="42"/>
      <c r="AW334" s="42"/>
    </row>
    <row r="335" spans="1:49" x14ac:dyDescent="0.25">
      <c r="A335" s="42"/>
      <c r="M335" s="42"/>
      <c r="Y335" s="42"/>
      <c r="AK335" s="42"/>
      <c r="AW335" s="42"/>
    </row>
    <row r="336" spans="1:49" x14ac:dyDescent="0.25">
      <c r="A336" s="42"/>
      <c r="M336" s="42"/>
      <c r="Y336" s="42"/>
      <c r="AK336" s="42"/>
      <c r="AW336" s="42"/>
    </row>
    <row r="337" spans="1:49" x14ac:dyDescent="0.25">
      <c r="A337" s="42"/>
      <c r="M337" s="42"/>
      <c r="Y337" s="42"/>
      <c r="AK337" s="42"/>
      <c r="AW337" s="42"/>
    </row>
    <row r="338" spans="1:49" x14ac:dyDescent="0.25">
      <c r="A338" s="42"/>
      <c r="M338" s="42"/>
      <c r="Y338" s="42"/>
      <c r="AK338" s="42"/>
      <c r="AW338" s="42"/>
    </row>
    <row r="339" spans="1:49" x14ac:dyDescent="0.25">
      <c r="A339" s="42"/>
      <c r="M339" s="42"/>
      <c r="Y339" s="42"/>
      <c r="AK339" s="42"/>
      <c r="AW339" s="42"/>
    </row>
    <row r="340" spans="1:49" x14ac:dyDescent="0.25">
      <c r="A340" s="42"/>
      <c r="M340" s="42"/>
      <c r="Y340" s="42"/>
      <c r="AK340" s="42"/>
      <c r="AW340" s="42"/>
    </row>
    <row r="341" spans="1:49" x14ac:dyDescent="0.25">
      <c r="A341" s="42"/>
      <c r="M341" s="42"/>
      <c r="Y341" s="42"/>
      <c r="AK341" s="42"/>
      <c r="AW341" s="42"/>
    </row>
    <row r="342" spans="1:49" x14ac:dyDescent="0.25">
      <c r="A342" s="42"/>
      <c r="M342" s="42"/>
      <c r="Y342" s="42"/>
      <c r="AK342" s="42"/>
      <c r="AW342" s="42"/>
    </row>
    <row r="343" spans="1:49" x14ac:dyDescent="0.25">
      <c r="A343" s="42"/>
      <c r="M343" s="42"/>
      <c r="Y343" s="42"/>
      <c r="AK343" s="42"/>
      <c r="AW343" s="42"/>
    </row>
    <row r="344" spans="1:49" x14ac:dyDescent="0.25">
      <c r="A344" s="42"/>
      <c r="M344" s="42"/>
      <c r="Y344" s="42"/>
      <c r="AK344" s="42"/>
      <c r="AW344" s="42"/>
    </row>
    <row r="345" spans="1:49" x14ac:dyDescent="0.25">
      <c r="A345" s="42"/>
      <c r="M345" s="42"/>
      <c r="Y345" s="42"/>
      <c r="AK345" s="42"/>
      <c r="AW345" s="42"/>
    </row>
    <row r="346" spans="1:49" x14ac:dyDescent="0.25">
      <c r="A346" s="42"/>
      <c r="M346" s="42"/>
      <c r="Y346" s="42"/>
      <c r="AK346" s="42"/>
      <c r="AW346" s="42"/>
    </row>
    <row r="347" spans="1:49" x14ac:dyDescent="0.25">
      <c r="A347" s="42"/>
      <c r="M347" s="42"/>
      <c r="Y347" s="42"/>
      <c r="AK347" s="42"/>
      <c r="AW347" s="42"/>
    </row>
    <row r="348" spans="1:49" x14ac:dyDescent="0.25">
      <c r="A348" s="42"/>
      <c r="M348" s="42"/>
      <c r="Y348" s="42"/>
      <c r="AK348" s="42"/>
      <c r="AW348" s="42"/>
    </row>
    <row r="349" spans="1:49" x14ac:dyDescent="0.25">
      <c r="A349" s="42"/>
      <c r="M349" s="42"/>
      <c r="Y349" s="42"/>
      <c r="AK349" s="42"/>
      <c r="AW349" s="42"/>
    </row>
    <row r="350" spans="1:49" x14ac:dyDescent="0.25">
      <c r="A350" s="42"/>
      <c r="M350" s="42"/>
      <c r="Y350" s="42"/>
      <c r="AK350" s="42"/>
      <c r="AW350" s="42"/>
    </row>
    <row r="351" spans="1:49" x14ac:dyDescent="0.25">
      <c r="A351" s="42"/>
      <c r="M351" s="42"/>
      <c r="Y351" s="42"/>
      <c r="AK351" s="42"/>
      <c r="AW351" s="42"/>
    </row>
    <row r="352" spans="1:49" x14ac:dyDescent="0.25">
      <c r="A352" s="42"/>
      <c r="M352" s="42"/>
      <c r="Y352" s="42"/>
      <c r="AK352" s="42"/>
      <c r="AW352" s="42"/>
    </row>
    <row r="353" spans="1:49" x14ac:dyDescent="0.25">
      <c r="A353" s="42"/>
      <c r="M353" s="42"/>
      <c r="Y353" s="42"/>
      <c r="AK353" s="42"/>
      <c r="AW353" s="42"/>
    </row>
    <row r="354" spans="1:49" x14ac:dyDescent="0.25">
      <c r="A354" s="42"/>
      <c r="M354" s="42"/>
      <c r="Y354" s="42"/>
      <c r="AK354" s="42"/>
      <c r="AW354" s="42"/>
    </row>
    <row r="355" spans="1:49" x14ac:dyDescent="0.25">
      <c r="A355" s="42"/>
      <c r="M355" s="42"/>
      <c r="Y355" s="42"/>
      <c r="AK355" s="42"/>
      <c r="AW355" s="42"/>
    </row>
    <row r="356" spans="1:49" x14ac:dyDescent="0.25">
      <c r="A356" s="42"/>
      <c r="M356" s="42"/>
      <c r="Y356" s="42"/>
      <c r="AK356" s="42"/>
      <c r="AW356" s="42"/>
    </row>
    <row r="357" spans="1:49" x14ac:dyDescent="0.25">
      <c r="A357" s="42"/>
      <c r="M357" s="42"/>
      <c r="Y357" s="42"/>
      <c r="AK357" s="42"/>
      <c r="AW357" s="42"/>
    </row>
    <row r="358" spans="1:49" x14ac:dyDescent="0.25">
      <c r="A358" s="42"/>
      <c r="M358" s="42"/>
      <c r="Y358" s="42"/>
      <c r="AK358" s="42"/>
      <c r="AW358" s="42"/>
    </row>
    <row r="359" spans="1:49" x14ac:dyDescent="0.25">
      <c r="A359" s="42"/>
      <c r="M359" s="42"/>
      <c r="Y359" s="42"/>
      <c r="AK359" s="42"/>
      <c r="AW359" s="42"/>
    </row>
    <row r="360" spans="1:49" x14ac:dyDescent="0.25">
      <c r="A360" s="42"/>
      <c r="M360" s="42"/>
      <c r="Y360" s="42"/>
      <c r="AK360" s="42"/>
      <c r="AW360" s="42"/>
    </row>
    <row r="361" spans="1:49" x14ac:dyDescent="0.25">
      <c r="A361" s="42"/>
      <c r="M361" s="42"/>
      <c r="Y361" s="42"/>
      <c r="AK361" s="42"/>
      <c r="AW361" s="42"/>
    </row>
    <row r="362" spans="1:49" x14ac:dyDescent="0.25">
      <c r="A362" s="42"/>
      <c r="M362" s="42"/>
      <c r="Y362" s="42"/>
      <c r="AK362" s="42"/>
      <c r="AW362" s="42"/>
    </row>
    <row r="363" spans="1:49" x14ac:dyDescent="0.25">
      <c r="A363" s="42"/>
      <c r="B363" s="6"/>
      <c r="C363" s="6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6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6"/>
      <c r="AA363" s="6"/>
      <c r="AB363" s="42"/>
      <c r="AC363" s="42"/>
      <c r="AD363" s="42"/>
      <c r="AE363" s="42"/>
      <c r="AF363" s="42"/>
      <c r="AG363" s="42"/>
      <c r="AH363" s="42"/>
      <c r="AI363" s="42"/>
      <c r="AJ363" s="42"/>
      <c r="AK363" s="42"/>
      <c r="AL363" s="6"/>
      <c r="AM363" s="6"/>
      <c r="AN363" s="42"/>
      <c r="AO363" s="42"/>
      <c r="AP363" s="42"/>
      <c r="AQ363" s="42"/>
      <c r="AR363" s="42"/>
      <c r="AS363" s="42"/>
      <c r="AT363" s="42"/>
      <c r="AU363" s="42"/>
      <c r="AV363" s="42"/>
      <c r="AW363" s="42"/>
    </row>
    <row r="364" spans="1:49" x14ac:dyDescent="0.25">
      <c r="A364" s="42"/>
      <c r="M364" s="42"/>
      <c r="O364" s="1"/>
      <c r="P364" s="4" t="s">
        <v>37</v>
      </c>
      <c r="Q364" s="4" t="s">
        <v>38</v>
      </c>
      <c r="Y364" s="42"/>
      <c r="AK364" s="42"/>
      <c r="AM364" s="1"/>
      <c r="AN364" s="4" t="s">
        <v>37</v>
      </c>
      <c r="AO364" s="4" t="s">
        <v>38</v>
      </c>
      <c r="AW364" s="42"/>
    </row>
    <row r="365" spans="1:49" x14ac:dyDescent="0.25">
      <c r="A365" s="42"/>
      <c r="M365" s="42"/>
      <c r="O365" s="1" t="s">
        <v>110</v>
      </c>
      <c r="P365" s="4">
        <v>60</v>
      </c>
      <c r="Q365" s="4">
        <v>0</v>
      </c>
      <c r="Y365" s="42"/>
      <c r="AK365" s="42"/>
      <c r="AM365" s="1" t="s">
        <v>110</v>
      </c>
      <c r="AN365" s="4">
        <v>60</v>
      </c>
      <c r="AO365" s="4">
        <v>0</v>
      </c>
      <c r="AW365" s="42"/>
    </row>
    <row r="366" spans="1:49" x14ac:dyDescent="0.25">
      <c r="A366" s="42"/>
      <c r="M366" s="42"/>
      <c r="O366" s="1" t="s">
        <v>111</v>
      </c>
      <c r="P366" s="95"/>
      <c r="Q366" s="4">
        <v>250</v>
      </c>
      <c r="Y366" s="42"/>
      <c r="AK366" s="42"/>
      <c r="AM366" s="1" t="s">
        <v>111</v>
      </c>
      <c r="AN366" s="95"/>
      <c r="AO366" s="4">
        <v>250</v>
      </c>
      <c r="AW366" s="42"/>
    </row>
    <row r="367" spans="1:49" x14ac:dyDescent="0.25">
      <c r="A367" s="42"/>
      <c r="M367" s="42"/>
      <c r="O367" s="1" t="s">
        <v>112</v>
      </c>
      <c r="P367" s="4">
        <v>150</v>
      </c>
      <c r="Q367" s="95"/>
      <c r="Y367" s="42"/>
      <c r="AK367" s="42"/>
      <c r="AM367" s="1" t="s">
        <v>112</v>
      </c>
      <c r="AN367" s="4">
        <v>150</v>
      </c>
      <c r="AO367" s="95"/>
      <c r="AW367" s="42"/>
    </row>
    <row r="368" spans="1:49" x14ac:dyDescent="0.25">
      <c r="A368" s="42"/>
      <c r="M368" s="42"/>
      <c r="O368" s="1" t="s">
        <v>113</v>
      </c>
      <c r="P368" s="4">
        <v>0</v>
      </c>
      <c r="Q368" s="95"/>
      <c r="Y368" s="42"/>
      <c r="AK368" s="42"/>
      <c r="AM368" s="1" t="s">
        <v>113</v>
      </c>
      <c r="AN368" s="4">
        <v>0</v>
      </c>
      <c r="AO368" s="95"/>
      <c r="AW368" s="42"/>
    </row>
    <row r="369" spans="1:49" x14ac:dyDescent="0.25">
      <c r="A369" s="42"/>
      <c r="M369" s="42"/>
      <c r="O369" s="1" t="s">
        <v>114</v>
      </c>
      <c r="P369" s="4">
        <v>0</v>
      </c>
      <c r="Q369" s="95"/>
      <c r="Y369" s="42"/>
      <c r="AK369" s="42"/>
      <c r="AM369" s="1" t="s">
        <v>114</v>
      </c>
      <c r="AN369" s="4">
        <v>0</v>
      </c>
      <c r="AO369" s="95"/>
      <c r="AW369" s="42"/>
    </row>
    <row r="370" spans="1:49" x14ac:dyDescent="0.25">
      <c r="A370" s="42"/>
      <c r="M370" s="42"/>
      <c r="O370" s="1" t="s">
        <v>115</v>
      </c>
      <c r="P370" s="95"/>
      <c r="Q370" s="4">
        <v>0</v>
      </c>
      <c r="Y370" s="42"/>
      <c r="AK370" s="42"/>
      <c r="AM370" s="1" t="s">
        <v>115</v>
      </c>
      <c r="AN370" s="95"/>
      <c r="AO370" s="4">
        <v>0</v>
      </c>
      <c r="AW370" s="42"/>
    </row>
    <row r="371" spans="1:49" x14ac:dyDescent="0.25">
      <c r="A371" s="42"/>
      <c r="M371" s="42"/>
      <c r="O371" s="1" t="s">
        <v>116</v>
      </c>
      <c r="P371" s="95"/>
      <c r="Q371" s="4">
        <v>0</v>
      </c>
      <c r="Y371" s="42"/>
      <c r="AK371" s="42"/>
      <c r="AM371" s="1" t="s">
        <v>116</v>
      </c>
      <c r="AN371" s="95"/>
      <c r="AO371" s="4">
        <v>0</v>
      </c>
      <c r="AW371" s="42"/>
    </row>
    <row r="372" spans="1:49" x14ac:dyDescent="0.25">
      <c r="A372" s="42"/>
      <c r="M372" s="42"/>
      <c r="O372" s="1" t="s">
        <v>117</v>
      </c>
      <c r="P372" s="4">
        <v>0</v>
      </c>
      <c r="Q372" s="4">
        <v>0</v>
      </c>
      <c r="Y372" s="42"/>
      <c r="AK372" s="42"/>
      <c r="AM372" s="1" t="s">
        <v>117</v>
      </c>
      <c r="AN372" s="4">
        <v>0</v>
      </c>
      <c r="AO372" s="4">
        <v>0</v>
      </c>
      <c r="AW372" s="42"/>
    </row>
    <row r="373" spans="1:49" x14ac:dyDescent="0.25">
      <c r="A373" s="42"/>
      <c r="M373" s="42"/>
      <c r="O373" s="92"/>
      <c r="P373" s="93"/>
      <c r="Q373" s="93"/>
      <c r="Y373" s="42"/>
      <c r="AK373" s="42"/>
      <c r="AM373" s="92"/>
      <c r="AN373" s="93"/>
      <c r="AO373" s="93"/>
      <c r="AW373" s="42"/>
    </row>
    <row r="374" spans="1:49" x14ac:dyDescent="0.25">
      <c r="A374" s="42"/>
      <c r="M374" s="42"/>
      <c r="O374" s="1" t="s">
        <v>118</v>
      </c>
      <c r="P374" s="4">
        <f>P365-P320</f>
        <v>33</v>
      </c>
      <c r="Q374" s="4">
        <f>-P323+Q365</f>
        <v>-40</v>
      </c>
      <c r="Y374" s="42"/>
      <c r="AK374" s="42"/>
      <c r="AM374" s="1" t="s">
        <v>118</v>
      </c>
      <c r="AN374" s="4">
        <f>AN365-AN320</f>
        <v>33</v>
      </c>
      <c r="AO374" s="4">
        <f>-AN323+AO365</f>
        <v>-40</v>
      </c>
      <c r="AW374" s="42"/>
    </row>
    <row r="375" spans="1:49" x14ac:dyDescent="0.25">
      <c r="A375" s="42"/>
      <c r="M375" s="42"/>
      <c r="O375" s="1"/>
      <c r="P375" s="4">
        <f>P321+P318+P365</f>
        <v>87</v>
      </c>
      <c r="Q375" s="4">
        <f>Q374</f>
        <v>-40</v>
      </c>
      <c r="Y375" s="42"/>
      <c r="AK375" s="42"/>
      <c r="AM375" s="1"/>
      <c r="AN375" s="4">
        <f>AN321+AN318+AN365</f>
        <v>87</v>
      </c>
      <c r="AO375" s="4">
        <f>AO374</f>
        <v>-40</v>
      </c>
      <c r="AW375" s="42"/>
    </row>
    <row r="376" spans="1:49" x14ac:dyDescent="0.25">
      <c r="A376" s="42"/>
      <c r="M376" s="42"/>
      <c r="O376" s="1"/>
      <c r="P376" s="4">
        <f>P375</f>
        <v>87</v>
      </c>
      <c r="Q376" s="4">
        <f>P319+P322+Q365</f>
        <v>2060</v>
      </c>
      <c r="Y376" s="42"/>
      <c r="AK376" s="42"/>
      <c r="AM376" s="1"/>
      <c r="AN376" s="4">
        <f>AN375</f>
        <v>87</v>
      </c>
      <c r="AO376" s="4">
        <f>AN319+AN322+AO365</f>
        <v>2060</v>
      </c>
      <c r="AW376" s="42"/>
    </row>
    <row r="377" spans="1:49" x14ac:dyDescent="0.25">
      <c r="A377" s="42"/>
      <c r="M377" s="42"/>
      <c r="O377" s="1"/>
      <c r="P377" s="4">
        <f>P374</f>
        <v>33</v>
      </c>
      <c r="Q377" s="4">
        <f>Q376</f>
        <v>2060</v>
      </c>
      <c r="Y377" s="42"/>
      <c r="AK377" s="42"/>
      <c r="AM377" s="1"/>
      <c r="AN377" s="4">
        <f>AN374</f>
        <v>33</v>
      </c>
      <c r="AO377" s="4">
        <f>AO376</f>
        <v>2060</v>
      </c>
      <c r="AW377" s="42"/>
    </row>
    <row r="378" spans="1:49" x14ac:dyDescent="0.25">
      <c r="A378" s="42"/>
      <c r="M378" s="42"/>
      <c r="O378" s="1"/>
      <c r="P378" s="4">
        <f>P374</f>
        <v>33</v>
      </c>
      <c r="Q378" s="4">
        <f>Q374</f>
        <v>-40</v>
      </c>
      <c r="Y378" s="42"/>
      <c r="AK378" s="42"/>
      <c r="AM378" s="1"/>
      <c r="AN378" s="4">
        <f>AN374</f>
        <v>33</v>
      </c>
      <c r="AO378" s="4">
        <f>AO374</f>
        <v>-40</v>
      </c>
      <c r="AW378" s="42"/>
    </row>
    <row r="379" spans="1:49" x14ac:dyDescent="0.25">
      <c r="A379" s="42"/>
      <c r="M379" s="42"/>
      <c r="O379" s="92"/>
      <c r="P379" s="93"/>
      <c r="Q379" s="93"/>
      <c r="Y379" s="42"/>
      <c r="AK379" s="42"/>
      <c r="AM379" s="92"/>
      <c r="AN379" s="93"/>
      <c r="AO379" s="93"/>
      <c r="AW379" s="42"/>
    </row>
    <row r="380" spans="1:49" x14ac:dyDescent="0.25">
      <c r="A380" s="42"/>
      <c r="M380" s="42"/>
      <c r="O380" s="1" t="s">
        <v>119</v>
      </c>
      <c r="P380" s="4">
        <f>P365</f>
        <v>60</v>
      </c>
      <c r="Q380" s="4">
        <f>Q365+45</f>
        <v>45</v>
      </c>
      <c r="Y380" s="42"/>
      <c r="AK380" s="42"/>
      <c r="AM380" s="1" t="s">
        <v>119</v>
      </c>
      <c r="AN380" s="4">
        <f>AN$365</f>
        <v>60</v>
      </c>
      <c r="AO380" s="4">
        <f>AO$214+45</f>
        <v>45</v>
      </c>
      <c r="AW380" s="42"/>
    </row>
    <row r="381" spans="1:49" x14ac:dyDescent="0.25">
      <c r="A381" s="42"/>
      <c r="M381" s="42"/>
      <c r="O381" s="1"/>
      <c r="P381" s="4">
        <f>P380+45</f>
        <v>105</v>
      </c>
      <c r="Q381" s="4">
        <f>Q380</f>
        <v>45</v>
      </c>
      <c r="Y381" s="42"/>
      <c r="AK381" s="42"/>
      <c r="AM381" s="1"/>
      <c r="AN381" s="4">
        <f>AN380+45</f>
        <v>105</v>
      </c>
      <c r="AO381" s="4">
        <f>AO380</f>
        <v>45</v>
      </c>
      <c r="AW381" s="42"/>
    </row>
    <row r="382" spans="1:49" x14ac:dyDescent="0.25">
      <c r="A382" s="42"/>
      <c r="M382" s="42"/>
      <c r="O382" s="1"/>
      <c r="P382" s="4">
        <f>P381</f>
        <v>105</v>
      </c>
      <c r="Q382" s="4">
        <f>P$319-45+Q$365</f>
        <v>1975</v>
      </c>
      <c r="Y382" s="42"/>
      <c r="AK382" s="42"/>
      <c r="AM382" s="1"/>
      <c r="AN382" s="4">
        <f>AN381</f>
        <v>105</v>
      </c>
      <c r="AO382" s="4">
        <f>AN$319-45+AO$365</f>
        <v>1975</v>
      </c>
      <c r="AW382" s="42"/>
    </row>
    <row r="383" spans="1:49" x14ac:dyDescent="0.25">
      <c r="A383" s="42"/>
      <c r="M383" s="42"/>
      <c r="O383" s="1"/>
      <c r="P383" s="4">
        <f>P380</f>
        <v>60</v>
      </c>
      <c r="Q383" s="4">
        <f>Q382</f>
        <v>1975</v>
      </c>
      <c r="Y383" s="42"/>
      <c r="AK383" s="42"/>
      <c r="AM383" s="1"/>
      <c r="AN383" s="4">
        <f>AN380</f>
        <v>60</v>
      </c>
      <c r="AO383" s="4">
        <f>AO382</f>
        <v>1975</v>
      </c>
      <c r="AW383" s="42"/>
    </row>
    <row r="384" spans="1:49" x14ac:dyDescent="0.25">
      <c r="A384" s="42"/>
      <c r="M384" s="42"/>
      <c r="O384" s="1"/>
      <c r="P384" s="4">
        <f>P380</f>
        <v>60</v>
      </c>
      <c r="Q384" s="4">
        <f>Q380</f>
        <v>45</v>
      </c>
      <c r="Y384" s="42"/>
      <c r="AK384" s="42"/>
      <c r="AM384" s="1"/>
      <c r="AN384" s="4">
        <f>AN380</f>
        <v>60</v>
      </c>
      <c r="AO384" s="4">
        <f>AO380</f>
        <v>45</v>
      </c>
      <c r="AW384" s="42"/>
    </row>
    <row r="385" spans="1:49" x14ac:dyDescent="0.25">
      <c r="A385" s="42"/>
      <c r="M385" s="42"/>
      <c r="O385" s="92"/>
      <c r="P385" s="93"/>
      <c r="Q385" s="93"/>
      <c r="Y385" s="42"/>
      <c r="AK385" s="42"/>
      <c r="AM385" s="92"/>
      <c r="AN385" s="93"/>
      <c r="AO385" s="93"/>
      <c r="AW385" s="42"/>
    </row>
    <row r="386" spans="1:49" x14ac:dyDescent="0.25">
      <c r="A386" s="42"/>
      <c r="M386" s="42"/>
      <c r="O386" s="1" t="s">
        <v>135</v>
      </c>
      <c r="P386" s="4" t="str">
        <f>IF(O387="","",P380+600)</f>
        <v/>
      </c>
      <c r="Q386" s="4" t="str">
        <f>IF(O387="","",Q365+45)</f>
        <v/>
      </c>
      <c r="Y386" s="42"/>
      <c r="AK386" s="42"/>
      <c r="AM386" s="1" t="s">
        <v>135</v>
      </c>
      <c r="AN386" s="4" t="str">
        <f>IF(AM387="","",AN380+600)</f>
        <v/>
      </c>
      <c r="AO386" s="4" t="str">
        <f>IF(AM387="","",AO365+45)</f>
        <v/>
      </c>
      <c r="AW386" s="42"/>
    </row>
    <row r="387" spans="1:49" x14ac:dyDescent="0.25">
      <c r="A387" s="42"/>
      <c r="M387" s="42"/>
      <c r="O387" s="3" t="str">
        <f>IF(W326-2&gt;=1,1,"")</f>
        <v/>
      </c>
      <c r="P387" s="4" t="str">
        <f>IF(O387="","",P386+45)</f>
        <v/>
      </c>
      <c r="Q387" s="4" t="str">
        <f>Q386</f>
        <v/>
      </c>
      <c r="Y387" s="42"/>
      <c r="AK387" s="42"/>
      <c r="AM387" s="3" t="str">
        <f>IF(AU326-2&gt;=1,1,"")</f>
        <v/>
      </c>
      <c r="AN387" s="4" t="str">
        <f>IF(AM387="","",AN386+45)</f>
        <v/>
      </c>
      <c r="AO387" s="4" t="str">
        <f>AO386</f>
        <v/>
      </c>
      <c r="AW387" s="42"/>
    </row>
    <row r="388" spans="1:49" x14ac:dyDescent="0.25">
      <c r="A388" s="42"/>
      <c r="M388" s="42"/>
      <c r="O388" s="1"/>
      <c r="P388" s="4" t="str">
        <f>P387</f>
        <v/>
      </c>
      <c r="Q388" s="4" t="str">
        <f>IF(O387="","",P$319-45+Q$365)</f>
        <v/>
      </c>
      <c r="Y388" s="42"/>
      <c r="AK388" s="42"/>
      <c r="AM388" s="1"/>
      <c r="AN388" s="4" t="str">
        <f>AN387</f>
        <v/>
      </c>
      <c r="AO388" s="4" t="str">
        <f>IF(AM387="","",AN$319-45+AO$365)</f>
        <v/>
      </c>
      <c r="AW388" s="42"/>
    </row>
    <row r="389" spans="1:49" x14ac:dyDescent="0.25">
      <c r="A389" s="42"/>
      <c r="M389" s="42"/>
      <c r="O389" s="1"/>
      <c r="P389" s="4" t="str">
        <f>P386</f>
        <v/>
      </c>
      <c r="Q389" s="4" t="str">
        <f>Q388</f>
        <v/>
      </c>
      <c r="Y389" s="42"/>
      <c r="AK389" s="42"/>
      <c r="AM389" s="1"/>
      <c r="AN389" s="4" t="str">
        <f>AN386</f>
        <v/>
      </c>
      <c r="AO389" s="4" t="str">
        <f>AO388</f>
        <v/>
      </c>
      <c r="AW389" s="42"/>
    </row>
    <row r="390" spans="1:49" x14ac:dyDescent="0.25">
      <c r="A390" s="42"/>
      <c r="M390" s="42"/>
      <c r="O390" s="1"/>
      <c r="P390" s="4" t="str">
        <f>P386</f>
        <v/>
      </c>
      <c r="Q390" s="4" t="str">
        <f>Q386</f>
        <v/>
      </c>
      <c r="Y390" s="42"/>
      <c r="AK390" s="42"/>
      <c r="AM390" s="1"/>
      <c r="AN390" s="4" t="str">
        <f>AN386</f>
        <v/>
      </c>
      <c r="AO390" s="4" t="str">
        <f>AO386</f>
        <v/>
      </c>
      <c r="AW390" s="42"/>
    </row>
    <row r="391" spans="1:49" x14ac:dyDescent="0.25">
      <c r="A391" s="42"/>
      <c r="M391" s="42"/>
      <c r="O391" s="92"/>
      <c r="P391" s="93"/>
      <c r="Q391" s="93"/>
      <c r="Y391" s="42"/>
      <c r="AK391" s="42"/>
      <c r="AM391" s="92"/>
      <c r="AN391" s="93"/>
      <c r="AO391" s="93"/>
      <c r="AW391" s="42"/>
    </row>
    <row r="392" spans="1:49" x14ac:dyDescent="0.25">
      <c r="A392" s="42"/>
      <c r="M392" s="42"/>
      <c r="O392" s="1" t="s">
        <v>136</v>
      </c>
      <c r="P392" s="4" t="str">
        <f>IF(O393="","",P386+600)</f>
        <v/>
      </c>
      <c r="Q392" s="4" t="str">
        <f>IF(O393="","",45+Q365)</f>
        <v/>
      </c>
      <c r="Y392" s="42"/>
      <c r="AK392" s="42"/>
      <c r="AM392" s="1" t="s">
        <v>136</v>
      </c>
      <c r="AN392" s="4" t="str">
        <f>IF(AM393="","",AN386+600)</f>
        <v/>
      </c>
      <c r="AO392" s="4" t="str">
        <f>IF(AM393="","",45+AO365)</f>
        <v/>
      </c>
      <c r="AW392" s="42"/>
    </row>
    <row r="393" spans="1:49" x14ac:dyDescent="0.25">
      <c r="A393" s="42"/>
      <c r="M393" s="42"/>
      <c r="O393" s="3" t="str">
        <f>IF(W326-2&gt;=2,2,"")</f>
        <v/>
      </c>
      <c r="P393" s="4" t="str">
        <f>IF(O393="","",P392+45)</f>
        <v/>
      </c>
      <c r="Q393" s="4" t="str">
        <f>Q392</f>
        <v/>
      </c>
      <c r="Y393" s="42"/>
      <c r="AK393" s="42"/>
      <c r="AM393" s="3" t="str">
        <f>IF(AU326-2&gt;=2,2,"")</f>
        <v/>
      </c>
      <c r="AN393" s="4" t="str">
        <f>IF(AM393="","",AN392+45)</f>
        <v/>
      </c>
      <c r="AO393" s="4" t="str">
        <f>AO392</f>
        <v/>
      </c>
      <c r="AW393" s="42"/>
    </row>
    <row r="394" spans="1:49" x14ac:dyDescent="0.25">
      <c r="A394" s="42"/>
      <c r="M394" s="42"/>
      <c r="O394" s="1"/>
      <c r="P394" s="4" t="str">
        <f>P393</f>
        <v/>
      </c>
      <c r="Q394" s="4" t="str">
        <f>IF(O393="","",P$319-45+Q$365)</f>
        <v/>
      </c>
      <c r="Y394" s="42"/>
      <c r="AK394" s="42"/>
      <c r="AM394" s="1"/>
      <c r="AN394" s="4" t="str">
        <f>AN393</f>
        <v/>
      </c>
      <c r="AO394" s="4" t="str">
        <f>IF(AM393="","",AN$319-45+AO$365)</f>
        <v/>
      </c>
      <c r="AW394" s="42"/>
    </row>
    <row r="395" spans="1:49" x14ac:dyDescent="0.25">
      <c r="A395" s="42"/>
      <c r="M395" s="42"/>
      <c r="O395" s="1"/>
      <c r="P395" s="4" t="str">
        <f>P392</f>
        <v/>
      </c>
      <c r="Q395" s="4" t="str">
        <f>Q394</f>
        <v/>
      </c>
      <c r="Y395" s="42"/>
      <c r="AK395" s="42"/>
      <c r="AM395" s="1"/>
      <c r="AN395" s="4" t="str">
        <f>AN392</f>
        <v/>
      </c>
      <c r="AO395" s="4" t="str">
        <f>AO394</f>
        <v/>
      </c>
      <c r="AW395" s="42"/>
    </row>
    <row r="396" spans="1:49" x14ac:dyDescent="0.25">
      <c r="A396" s="42"/>
      <c r="M396" s="42"/>
      <c r="O396" s="1"/>
      <c r="P396" s="4" t="str">
        <f>P392</f>
        <v/>
      </c>
      <c r="Q396" s="4" t="str">
        <f>Q392</f>
        <v/>
      </c>
      <c r="Y396" s="42"/>
      <c r="AK396" s="42"/>
      <c r="AM396" s="1"/>
      <c r="AN396" s="4" t="str">
        <f>AN392</f>
        <v/>
      </c>
      <c r="AO396" s="4" t="str">
        <f>AO392</f>
        <v/>
      </c>
      <c r="AW396" s="42"/>
    </row>
    <row r="397" spans="1:49" x14ac:dyDescent="0.25">
      <c r="A397" s="42"/>
      <c r="M397" s="42"/>
      <c r="O397" s="92"/>
      <c r="P397" s="93"/>
      <c r="Q397" s="93"/>
      <c r="Y397" s="42"/>
      <c r="AK397" s="42"/>
      <c r="AM397" s="92"/>
      <c r="AN397" s="93"/>
      <c r="AO397" s="93"/>
      <c r="AW397" s="42"/>
    </row>
    <row r="398" spans="1:49" x14ac:dyDescent="0.25">
      <c r="A398" s="42"/>
      <c r="M398" s="42"/>
      <c r="O398" s="1" t="s">
        <v>137</v>
      </c>
      <c r="P398" s="4" t="str">
        <f>IF(O399="","",P392+600)</f>
        <v/>
      </c>
      <c r="Q398" s="4" t="str">
        <f>IF(O399="","",Q$365+45)</f>
        <v/>
      </c>
      <c r="Y398" s="42"/>
      <c r="AK398" s="42"/>
      <c r="AM398" s="1" t="s">
        <v>137</v>
      </c>
      <c r="AN398" s="4" t="str">
        <f>IF(AM399="","",AN392+600)</f>
        <v/>
      </c>
      <c r="AO398" s="4" t="str">
        <f>IF(AM399="","",AO$214+45)</f>
        <v/>
      </c>
      <c r="AW398" s="42"/>
    </row>
    <row r="399" spans="1:49" x14ac:dyDescent="0.25">
      <c r="A399" s="42"/>
      <c r="M399" s="42"/>
      <c r="O399" s="3" t="str">
        <f>IF(W326-2&gt;=3,3,"")</f>
        <v/>
      </c>
      <c r="P399" s="4" t="str">
        <f>IF(O399="","",P398+45)</f>
        <v/>
      </c>
      <c r="Q399" s="4" t="str">
        <f>Q398</f>
        <v/>
      </c>
      <c r="Y399" s="42"/>
      <c r="AK399" s="42"/>
      <c r="AM399" s="3" t="str">
        <f>IF(AU326-2&gt;=3,3,"")</f>
        <v/>
      </c>
      <c r="AN399" s="4" t="str">
        <f>IF(AM399="","",AN398+45)</f>
        <v/>
      </c>
      <c r="AO399" s="4" t="str">
        <f>AO398</f>
        <v/>
      </c>
      <c r="AW399" s="42"/>
    </row>
    <row r="400" spans="1:49" x14ac:dyDescent="0.25">
      <c r="A400" s="42"/>
      <c r="M400" s="42"/>
      <c r="O400" s="1"/>
      <c r="P400" s="4" t="str">
        <f>P399</f>
        <v/>
      </c>
      <c r="Q400" s="4" t="str">
        <f>IF(O399="","",P$319-45+Q$365)</f>
        <v/>
      </c>
      <c r="Y400" s="42"/>
      <c r="AK400" s="42"/>
      <c r="AM400" s="1"/>
      <c r="AN400" s="4" t="str">
        <f>AN399</f>
        <v/>
      </c>
      <c r="AO400" s="4" t="str">
        <f>IF(AM399="","",AN$319-45+AO$365)</f>
        <v/>
      </c>
      <c r="AW400" s="42"/>
    </row>
    <row r="401" spans="1:49" x14ac:dyDescent="0.25">
      <c r="A401" s="42"/>
      <c r="M401" s="42"/>
      <c r="O401" s="1"/>
      <c r="P401" s="4" t="str">
        <f>P398</f>
        <v/>
      </c>
      <c r="Q401" s="4" t="str">
        <f>Q400</f>
        <v/>
      </c>
      <c r="Y401" s="42"/>
      <c r="AK401" s="42"/>
      <c r="AM401" s="1"/>
      <c r="AN401" s="4" t="str">
        <f>AN398</f>
        <v/>
      </c>
      <c r="AO401" s="4" t="str">
        <f>AO400</f>
        <v/>
      </c>
      <c r="AW401" s="42"/>
    </row>
    <row r="402" spans="1:49" x14ac:dyDescent="0.25">
      <c r="A402" s="42"/>
      <c r="M402" s="42"/>
      <c r="O402" s="1"/>
      <c r="P402" s="4" t="str">
        <f>P398</f>
        <v/>
      </c>
      <c r="Q402" s="4" t="str">
        <f>Q398</f>
        <v/>
      </c>
      <c r="Y402" s="42"/>
      <c r="AK402" s="42"/>
      <c r="AM402" s="1"/>
      <c r="AN402" s="4" t="str">
        <f>AN398</f>
        <v/>
      </c>
      <c r="AO402" s="4" t="str">
        <f>AO398</f>
        <v/>
      </c>
      <c r="AW402" s="42"/>
    </row>
    <row r="403" spans="1:49" x14ac:dyDescent="0.25">
      <c r="A403" s="42"/>
      <c r="M403" s="42"/>
      <c r="O403" s="92"/>
      <c r="P403" s="93"/>
      <c r="Q403" s="93"/>
      <c r="Y403" s="42"/>
      <c r="AK403" s="42"/>
      <c r="AM403" s="92"/>
      <c r="AN403" s="93"/>
      <c r="AO403" s="93"/>
      <c r="AW403" s="42"/>
    </row>
    <row r="404" spans="1:49" x14ac:dyDescent="0.25">
      <c r="A404" s="42"/>
      <c r="M404" s="42"/>
      <c r="O404" s="1" t="s">
        <v>138</v>
      </c>
      <c r="P404" s="4" t="str">
        <f>IF(O405="","",P398+600)</f>
        <v/>
      </c>
      <c r="Q404" s="4" t="str">
        <f>IF(O405="","",Q365+45)</f>
        <v/>
      </c>
      <c r="Y404" s="42"/>
      <c r="AK404" s="42"/>
      <c r="AM404" s="1" t="s">
        <v>138</v>
      </c>
      <c r="AN404" s="4" t="str">
        <f>IF(AM405="","",AN398+600)</f>
        <v/>
      </c>
      <c r="AO404" s="4" t="str">
        <f>IF(AM405="","",AO365+45)</f>
        <v/>
      </c>
      <c r="AW404" s="42"/>
    </row>
    <row r="405" spans="1:49" x14ac:dyDescent="0.25">
      <c r="A405" s="42"/>
      <c r="M405" s="42"/>
      <c r="O405" s="3" t="str">
        <f>IF(W326-2&gt;=4,4,"")</f>
        <v/>
      </c>
      <c r="P405" s="4" t="str">
        <f>IF(O405="","",P404+45)</f>
        <v/>
      </c>
      <c r="Q405" s="4" t="str">
        <f>Q404</f>
        <v/>
      </c>
      <c r="Y405" s="42"/>
      <c r="AK405" s="42"/>
      <c r="AM405" s="3" t="str">
        <f>IF(AU326-2&gt;=4,4,"")</f>
        <v/>
      </c>
      <c r="AN405" s="4" t="str">
        <f>IF(AM405="","",AN404+45)</f>
        <v/>
      </c>
      <c r="AO405" s="4" t="str">
        <f>AO404</f>
        <v/>
      </c>
      <c r="AW405" s="42"/>
    </row>
    <row r="406" spans="1:49" x14ac:dyDescent="0.25">
      <c r="A406" s="42"/>
      <c r="M406" s="42"/>
      <c r="O406" s="1"/>
      <c r="P406" s="4" t="str">
        <f>P405</f>
        <v/>
      </c>
      <c r="Q406" s="4" t="str">
        <f>IF(O405="","",P$319-45+Q$365)</f>
        <v/>
      </c>
      <c r="Y406" s="42"/>
      <c r="AK406" s="42"/>
      <c r="AM406" s="1"/>
      <c r="AN406" s="4" t="str">
        <f>AN405</f>
        <v/>
      </c>
      <c r="AO406" s="4" t="str">
        <f>IF(AM405="","",AN$319-45+AO$365)</f>
        <v/>
      </c>
      <c r="AW406" s="42"/>
    </row>
    <row r="407" spans="1:49" x14ac:dyDescent="0.25">
      <c r="A407" s="42"/>
      <c r="M407" s="42"/>
      <c r="O407" s="1"/>
      <c r="P407" s="4" t="str">
        <f>P404</f>
        <v/>
      </c>
      <c r="Q407" s="4" t="str">
        <f>Q406</f>
        <v/>
      </c>
      <c r="Y407" s="42"/>
      <c r="AK407" s="42"/>
      <c r="AM407" s="1"/>
      <c r="AN407" s="4" t="str">
        <f>AN404</f>
        <v/>
      </c>
      <c r="AO407" s="4" t="str">
        <f>AO406</f>
        <v/>
      </c>
      <c r="AW407" s="42"/>
    </row>
    <row r="408" spans="1:49" x14ac:dyDescent="0.25">
      <c r="A408" s="42"/>
      <c r="M408" s="42"/>
      <c r="O408" s="1"/>
      <c r="P408" s="4" t="str">
        <f>P404</f>
        <v/>
      </c>
      <c r="Q408" s="4" t="str">
        <f>Q404</f>
        <v/>
      </c>
      <c r="Y408" s="42"/>
      <c r="AK408" s="42"/>
      <c r="AM408" s="1"/>
      <c r="AN408" s="4" t="str">
        <f>AN404</f>
        <v/>
      </c>
      <c r="AO408" s="4" t="str">
        <f>AO404</f>
        <v/>
      </c>
      <c r="AW408" s="42"/>
    </row>
    <row r="409" spans="1:49" x14ac:dyDescent="0.25">
      <c r="A409" s="42"/>
      <c r="M409" s="42"/>
      <c r="O409" s="92"/>
      <c r="P409" s="93"/>
      <c r="Q409" s="93"/>
      <c r="Y409" s="42"/>
      <c r="AK409" s="42"/>
      <c r="AM409" s="92"/>
      <c r="AN409" s="93"/>
      <c r="AO409" s="93"/>
      <c r="AW409" s="42"/>
    </row>
    <row r="410" spans="1:49" x14ac:dyDescent="0.25">
      <c r="A410" s="42"/>
      <c r="M410" s="42"/>
      <c r="O410" s="1" t="s">
        <v>120</v>
      </c>
      <c r="P410" s="4">
        <f>P318-45+P365</f>
        <v>15</v>
      </c>
      <c r="Q410" s="4">
        <f>Q365+45</f>
        <v>45</v>
      </c>
      <c r="Y410" s="42"/>
      <c r="AK410" s="42"/>
      <c r="AM410" s="1" t="s">
        <v>120</v>
      </c>
      <c r="AN410" s="4">
        <f>AN318-45+AN365</f>
        <v>15</v>
      </c>
      <c r="AO410" s="4">
        <f>AO365+45</f>
        <v>45</v>
      </c>
      <c r="AW410" s="42"/>
    </row>
    <row r="411" spans="1:49" x14ac:dyDescent="0.25">
      <c r="A411" s="42"/>
      <c r="M411" s="42"/>
      <c r="O411" s="1"/>
      <c r="P411" s="4">
        <f>P410+45</f>
        <v>60</v>
      </c>
      <c r="Q411" s="4">
        <f>Q410</f>
        <v>45</v>
      </c>
      <c r="Y411" s="42"/>
      <c r="AK411" s="42"/>
      <c r="AM411" s="1"/>
      <c r="AN411" s="4">
        <f>AN410+45</f>
        <v>60</v>
      </c>
      <c r="AO411" s="4">
        <f>AO410</f>
        <v>45</v>
      </c>
      <c r="AW411" s="42"/>
    </row>
    <row r="412" spans="1:49" x14ac:dyDescent="0.25">
      <c r="A412" s="42"/>
      <c r="M412" s="42"/>
      <c r="O412" s="1"/>
      <c r="P412" s="4">
        <f>P411</f>
        <v>60</v>
      </c>
      <c r="Q412" s="4">
        <f>P319-45+Q365</f>
        <v>1975</v>
      </c>
      <c r="Y412" s="42"/>
      <c r="AK412" s="42"/>
      <c r="AM412" s="1"/>
      <c r="AN412" s="4">
        <f>AN411</f>
        <v>60</v>
      </c>
      <c r="AO412" s="4">
        <f>AN319-45+AO365</f>
        <v>1975</v>
      </c>
      <c r="AW412" s="42"/>
    </row>
    <row r="413" spans="1:49" x14ac:dyDescent="0.25">
      <c r="A413" s="42"/>
      <c r="M413" s="42"/>
      <c r="O413" s="1"/>
      <c r="P413" s="4">
        <f>P410</f>
        <v>15</v>
      </c>
      <c r="Q413" s="4">
        <f>Q412</f>
        <v>1975</v>
      </c>
      <c r="Y413" s="42"/>
      <c r="AK413" s="42"/>
      <c r="AM413" s="1"/>
      <c r="AN413" s="4">
        <f>AN410</f>
        <v>15</v>
      </c>
      <c r="AO413" s="4">
        <f>AO412</f>
        <v>1975</v>
      </c>
      <c r="AW413" s="42"/>
    </row>
    <row r="414" spans="1:49" x14ac:dyDescent="0.25">
      <c r="A414" s="42"/>
      <c r="M414" s="42"/>
      <c r="O414" s="1"/>
      <c r="P414" s="4">
        <f>P410</f>
        <v>15</v>
      </c>
      <c r="Q414" s="4">
        <f>Q410</f>
        <v>45</v>
      </c>
      <c r="Y414" s="42"/>
      <c r="AK414" s="42"/>
      <c r="AM414" s="1"/>
      <c r="AN414" s="4">
        <f>AN410</f>
        <v>15</v>
      </c>
      <c r="AO414" s="4">
        <f>AO410</f>
        <v>45</v>
      </c>
      <c r="AW414" s="42"/>
    </row>
    <row r="415" spans="1:49" x14ac:dyDescent="0.25">
      <c r="A415" s="42"/>
      <c r="M415" s="42"/>
      <c r="O415" s="92"/>
      <c r="P415" s="93"/>
      <c r="Q415" s="93"/>
      <c r="Y415" s="42"/>
      <c r="AK415" s="42"/>
      <c r="AM415" s="92"/>
      <c r="AN415" s="93"/>
      <c r="AO415" s="93"/>
      <c r="AW415" s="42"/>
    </row>
    <row r="416" spans="1:49" x14ac:dyDescent="0.25">
      <c r="A416" s="42"/>
      <c r="M416" s="42"/>
      <c r="O416" s="1" t="s">
        <v>121</v>
      </c>
      <c r="P416" s="4">
        <f>P365</f>
        <v>60</v>
      </c>
      <c r="Q416" s="4">
        <f>Q365</f>
        <v>0</v>
      </c>
      <c r="Y416" s="42"/>
      <c r="AK416" s="42"/>
      <c r="AM416" s="1" t="s">
        <v>121</v>
      </c>
      <c r="AN416" s="4">
        <f>AN365</f>
        <v>60</v>
      </c>
      <c r="AO416" s="4">
        <f>AO365</f>
        <v>0</v>
      </c>
      <c r="AW416" s="42"/>
    </row>
    <row r="417" spans="1:49" x14ac:dyDescent="0.25">
      <c r="A417" s="42"/>
      <c r="M417" s="42"/>
      <c r="O417" s="1"/>
      <c r="P417" s="4">
        <f>P318+P365</f>
        <v>60</v>
      </c>
      <c r="Q417" s="4">
        <f>Q416</f>
        <v>0</v>
      </c>
      <c r="Y417" s="42"/>
      <c r="AK417" s="42"/>
      <c r="AM417" s="1"/>
      <c r="AN417" s="4">
        <f>AN318+AN365</f>
        <v>60</v>
      </c>
      <c r="AO417" s="4">
        <f>AO416</f>
        <v>0</v>
      </c>
      <c r="AW417" s="42"/>
    </row>
    <row r="418" spans="1:49" x14ac:dyDescent="0.25">
      <c r="A418" s="42"/>
      <c r="M418" s="42"/>
      <c r="O418" s="1"/>
      <c r="P418" s="4">
        <f>P417</f>
        <v>60</v>
      </c>
      <c r="Q418" s="4">
        <f>Q417+45</f>
        <v>45</v>
      </c>
      <c r="Y418" s="42"/>
      <c r="AK418" s="42"/>
      <c r="AM418" s="1"/>
      <c r="AN418" s="4">
        <f>AN417</f>
        <v>60</v>
      </c>
      <c r="AO418" s="4">
        <f>AO417+45</f>
        <v>45</v>
      </c>
      <c r="AW418" s="42"/>
    </row>
    <row r="419" spans="1:49" x14ac:dyDescent="0.25">
      <c r="A419" s="42"/>
      <c r="M419" s="42"/>
      <c r="O419" s="1"/>
      <c r="P419" s="4">
        <f>P416</f>
        <v>60</v>
      </c>
      <c r="Q419" s="4">
        <f>Q418</f>
        <v>45</v>
      </c>
      <c r="Y419" s="42"/>
      <c r="AK419" s="42"/>
      <c r="AM419" s="1"/>
      <c r="AN419" s="4">
        <f>AN416</f>
        <v>60</v>
      </c>
      <c r="AO419" s="4">
        <f>AO418</f>
        <v>45</v>
      </c>
      <c r="AW419" s="42"/>
    </row>
    <row r="420" spans="1:49" x14ac:dyDescent="0.25">
      <c r="A420" s="42"/>
      <c r="M420" s="42"/>
      <c r="O420" s="1"/>
      <c r="P420" s="4">
        <f>P416</f>
        <v>60</v>
      </c>
      <c r="Q420" s="4">
        <f>Q416</f>
        <v>0</v>
      </c>
      <c r="Y420" s="42"/>
      <c r="AK420" s="42"/>
      <c r="AM420" s="1"/>
      <c r="AN420" s="4">
        <f>AN416</f>
        <v>60</v>
      </c>
      <c r="AO420" s="4">
        <f>AO416</f>
        <v>0</v>
      </c>
      <c r="AW420" s="42"/>
    </row>
    <row r="421" spans="1:49" x14ac:dyDescent="0.25">
      <c r="A421" s="42"/>
      <c r="M421" s="42"/>
      <c r="O421" s="92"/>
      <c r="P421" s="93"/>
      <c r="Q421" s="93"/>
      <c r="Y421" s="42"/>
      <c r="AK421" s="42"/>
      <c r="AM421" s="92"/>
      <c r="AN421" s="93"/>
      <c r="AO421" s="93"/>
      <c r="AW421" s="42"/>
    </row>
    <row r="422" spans="1:49" x14ac:dyDescent="0.25">
      <c r="A422" s="42"/>
      <c r="M422" s="42"/>
      <c r="O422" s="1" t="s">
        <v>122</v>
      </c>
      <c r="P422" s="4">
        <f>P365</f>
        <v>60</v>
      </c>
      <c r="Q422" s="4">
        <f>P319-45+Q365</f>
        <v>1975</v>
      </c>
      <c r="Y422" s="42"/>
      <c r="AK422" s="42"/>
      <c r="AM422" s="1" t="s">
        <v>122</v>
      </c>
      <c r="AN422" s="4">
        <f>AN365</f>
        <v>60</v>
      </c>
      <c r="AO422" s="4">
        <f>AN319-45+AO365</f>
        <v>1975</v>
      </c>
      <c r="AW422" s="42"/>
    </row>
    <row r="423" spans="1:49" x14ac:dyDescent="0.25">
      <c r="A423" s="42"/>
      <c r="M423" s="42"/>
      <c r="O423" s="1"/>
      <c r="P423" s="4">
        <f>P318+P365</f>
        <v>60</v>
      </c>
      <c r="Q423" s="4">
        <f>Q422</f>
        <v>1975</v>
      </c>
      <c r="Y423" s="42"/>
      <c r="AK423" s="42"/>
      <c r="AM423" s="1"/>
      <c r="AN423" s="4">
        <f>AN318+AN365</f>
        <v>60</v>
      </c>
      <c r="AO423" s="4">
        <f>AO422</f>
        <v>1975</v>
      </c>
      <c r="AW423" s="42"/>
    </row>
    <row r="424" spans="1:49" x14ac:dyDescent="0.25">
      <c r="A424" s="42"/>
      <c r="M424" s="42"/>
      <c r="O424" s="1"/>
      <c r="P424" s="4">
        <f>P423</f>
        <v>60</v>
      </c>
      <c r="Q424" s="4">
        <f>Q423+45</f>
        <v>2020</v>
      </c>
      <c r="Y424" s="42"/>
      <c r="AK424" s="42"/>
      <c r="AM424" s="1"/>
      <c r="AN424" s="4">
        <f>AN423</f>
        <v>60</v>
      </c>
      <c r="AO424" s="4">
        <f>AO423+45</f>
        <v>2020</v>
      </c>
      <c r="AW424" s="42"/>
    </row>
    <row r="425" spans="1:49" x14ac:dyDescent="0.25">
      <c r="A425" s="42"/>
      <c r="M425" s="42"/>
      <c r="O425" s="1"/>
      <c r="P425" s="4">
        <f>P422</f>
        <v>60</v>
      </c>
      <c r="Q425" s="4">
        <f>Q424</f>
        <v>2020</v>
      </c>
      <c r="Y425" s="42"/>
      <c r="AK425" s="42"/>
      <c r="AM425" s="1"/>
      <c r="AN425" s="4">
        <f>AN422</f>
        <v>60</v>
      </c>
      <c r="AO425" s="4">
        <f>AO424</f>
        <v>2020</v>
      </c>
      <c r="AW425" s="42"/>
    </row>
    <row r="426" spans="1:49" x14ac:dyDescent="0.25">
      <c r="A426" s="42"/>
      <c r="M426" s="42"/>
      <c r="O426" s="1"/>
      <c r="P426" s="4">
        <f>P422</f>
        <v>60</v>
      </c>
      <c r="Q426" s="4">
        <f>Q422</f>
        <v>1975</v>
      </c>
      <c r="Y426" s="42"/>
      <c r="AK426" s="42"/>
      <c r="AM426" s="1"/>
      <c r="AN426" s="4">
        <f>AN422</f>
        <v>60</v>
      </c>
      <c r="AO426" s="4">
        <f>AO422</f>
        <v>1975</v>
      </c>
      <c r="AW426" s="42"/>
    </row>
    <row r="427" spans="1:49" x14ac:dyDescent="0.25">
      <c r="A427" s="42"/>
      <c r="M427" s="42"/>
      <c r="O427" s="92"/>
      <c r="P427" s="93"/>
      <c r="Q427" s="93"/>
      <c r="Y427" s="42"/>
      <c r="AK427" s="42"/>
      <c r="AM427" s="92"/>
      <c r="AN427" s="93"/>
      <c r="AO427" s="93"/>
      <c r="AW427" s="42"/>
    </row>
    <row r="428" spans="1:49" x14ac:dyDescent="0.25">
      <c r="A428" s="42"/>
      <c r="M428" s="42"/>
      <c r="O428" s="92"/>
      <c r="P428" s="93"/>
      <c r="Q428" s="93"/>
      <c r="Y428" s="42"/>
      <c r="AK428" s="42"/>
      <c r="AM428" s="92"/>
      <c r="AN428" s="93"/>
      <c r="AO428" s="93"/>
      <c r="AW428" s="42"/>
    </row>
    <row r="429" spans="1:49" x14ac:dyDescent="0.25">
      <c r="A429" s="42"/>
      <c r="M429" s="42"/>
      <c r="O429" s="1" t="s">
        <v>123</v>
      </c>
      <c r="P429" s="4">
        <f>P365</f>
        <v>60</v>
      </c>
      <c r="Q429" s="4">
        <f>-Q366+Q365</f>
        <v>-250</v>
      </c>
      <c r="Y429" s="42"/>
      <c r="AK429" s="42"/>
      <c r="AM429" s="1" t="s">
        <v>123</v>
      </c>
      <c r="AN429" s="4">
        <f>AN365</f>
        <v>60</v>
      </c>
      <c r="AO429" s="4">
        <f>-AO366+AO365</f>
        <v>-250</v>
      </c>
      <c r="AW429" s="42"/>
    </row>
    <row r="430" spans="1:49" x14ac:dyDescent="0.25">
      <c r="A430" s="42"/>
      <c r="M430" s="42"/>
      <c r="O430" s="1"/>
      <c r="P430" s="4">
        <f>P318+P365</f>
        <v>60</v>
      </c>
      <c r="Q430" s="4">
        <f>-Q366+Q365</f>
        <v>-250</v>
      </c>
      <c r="Y430" s="42"/>
      <c r="AK430" s="42"/>
      <c r="AM430" s="1"/>
      <c r="AN430" s="4">
        <f>AN318+AN365</f>
        <v>60</v>
      </c>
      <c r="AO430" s="4">
        <f>-AO366+AO365</f>
        <v>-250</v>
      </c>
      <c r="AW430" s="42"/>
    </row>
    <row r="431" spans="1:49" x14ac:dyDescent="0.25">
      <c r="A431" s="42"/>
      <c r="M431" s="42"/>
      <c r="O431" s="92"/>
      <c r="P431" s="93"/>
      <c r="Q431" s="93"/>
      <c r="Y431" s="42"/>
      <c r="AK431" s="42"/>
      <c r="AM431" s="92"/>
      <c r="AN431" s="93"/>
      <c r="AO431" s="93"/>
      <c r="AW431" s="42"/>
    </row>
    <row r="432" spans="1:49" x14ac:dyDescent="0.25">
      <c r="A432" s="42"/>
      <c r="M432" s="42"/>
      <c r="O432" s="1" t="s">
        <v>124</v>
      </c>
      <c r="P432" s="4">
        <f>(P430-P429)/2+P429</f>
        <v>60</v>
      </c>
      <c r="Q432" s="4">
        <f>Q365-Q366+Q372</f>
        <v>-250</v>
      </c>
      <c r="Y432" s="42"/>
      <c r="AK432" s="42"/>
      <c r="AM432" s="1" t="s">
        <v>124</v>
      </c>
      <c r="AN432" s="4">
        <f>(AN430-AN429)/2+AN429</f>
        <v>60</v>
      </c>
      <c r="AO432" s="4">
        <f>AO365-AO366+AO372</f>
        <v>-250</v>
      </c>
      <c r="AW432" s="42"/>
    </row>
    <row r="433" spans="1:49" x14ac:dyDescent="0.25">
      <c r="A433" s="42"/>
      <c r="M433" s="42"/>
      <c r="O433" s="1" t="str">
        <f>P318&amp;" mm"</f>
        <v>0 mm</v>
      </c>
      <c r="P433" s="4">
        <f>P432+50</f>
        <v>110</v>
      </c>
      <c r="Q433" s="4">
        <f>Q432</f>
        <v>-250</v>
      </c>
      <c r="Y433" s="42"/>
      <c r="AK433" s="42"/>
      <c r="AM433" s="1" t="str">
        <f>AN318&amp;" mm"</f>
        <v>0 mm</v>
      </c>
      <c r="AN433" s="4">
        <f>AN432+50</f>
        <v>110</v>
      </c>
      <c r="AO433" s="4">
        <f>AO432</f>
        <v>-250</v>
      </c>
      <c r="AW433" s="42"/>
    </row>
    <row r="434" spans="1:49" x14ac:dyDescent="0.25">
      <c r="A434" s="42"/>
      <c r="M434" s="42"/>
      <c r="O434" s="92"/>
      <c r="P434" s="93"/>
      <c r="Q434" s="93"/>
      <c r="Y434" s="42"/>
      <c r="AK434" s="42"/>
      <c r="AM434" s="92"/>
      <c r="AN434" s="93"/>
      <c r="AO434" s="93"/>
      <c r="AW434" s="42"/>
    </row>
    <row r="435" spans="1:49" x14ac:dyDescent="0.25">
      <c r="A435" s="42"/>
      <c r="M435" s="42"/>
      <c r="O435" s="1" t="s">
        <v>125</v>
      </c>
      <c r="P435" s="4">
        <f>P367+P417</f>
        <v>210</v>
      </c>
      <c r="Q435" s="4">
        <f>Q365</f>
        <v>0</v>
      </c>
      <c r="Y435" s="42"/>
      <c r="AK435" s="42"/>
      <c r="AM435" s="1" t="s">
        <v>125</v>
      </c>
      <c r="AN435" s="4">
        <f>AN367+AN417</f>
        <v>210</v>
      </c>
      <c r="AO435" s="4">
        <f>AO365</f>
        <v>0</v>
      </c>
      <c r="AW435" s="42"/>
    </row>
    <row r="436" spans="1:49" x14ac:dyDescent="0.25">
      <c r="A436" s="42"/>
      <c r="M436" s="42"/>
      <c r="O436" s="1"/>
      <c r="P436" s="4">
        <f>P367+P417</f>
        <v>210</v>
      </c>
      <c r="Q436" s="4">
        <f>Q365+P319</f>
        <v>2020</v>
      </c>
      <c r="Y436" s="42"/>
      <c r="AK436" s="42"/>
      <c r="AM436" s="1"/>
      <c r="AN436" s="4">
        <f>AN367+AN417</f>
        <v>210</v>
      </c>
      <c r="AO436" s="4">
        <f>AO365+AN319</f>
        <v>2020</v>
      </c>
      <c r="AW436" s="42"/>
    </row>
    <row r="437" spans="1:49" x14ac:dyDescent="0.25">
      <c r="A437" s="42"/>
      <c r="M437" s="42"/>
      <c r="O437" s="92"/>
      <c r="P437" s="93"/>
      <c r="Q437" s="93"/>
      <c r="Y437" s="42"/>
      <c r="AK437" s="42"/>
      <c r="AM437" s="92"/>
      <c r="AN437" s="93"/>
      <c r="AO437" s="93"/>
      <c r="AW437" s="42"/>
    </row>
    <row r="438" spans="1:49" x14ac:dyDescent="0.25">
      <c r="A438" s="42"/>
      <c r="M438" s="42"/>
      <c r="O438" s="1" t="s">
        <v>126</v>
      </c>
      <c r="P438" s="4">
        <f>(P436-P435)/2+P435+P372</f>
        <v>210</v>
      </c>
      <c r="Q438" s="4">
        <f>(Q436-Q435)/2+Q435</f>
        <v>1010</v>
      </c>
      <c r="Y438" s="42"/>
      <c r="AK438" s="42"/>
      <c r="AM438" s="1" t="s">
        <v>126</v>
      </c>
      <c r="AN438" s="4">
        <f>(AN436-AN435)/2+AN435+AN372</f>
        <v>210</v>
      </c>
      <c r="AO438" s="4">
        <f>(AO436-AO435)/2+AO435</f>
        <v>1010</v>
      </c>
      <c r="AW438" s="42"/>
    </row>
    <row r="439" spans="1:49" x14ac:dyDescent="0.25">
      <c r="A439" s="42"/>
      <c r="M439" s="42"/>
      <c r="O439" s="1" t="str">
        <f>P319&amp;" mm"</f>
        <v>2020 mm</v>
      </c>
      <c r="P439" s="4">
        <f>P438</f>
        <v>210</v>
      </c>
      <c r="Q439" s="4">
        <f>Q438+50</f>
        <v>1060</v>
      </c>
      <c r="Y439" s="42"/>
      <c r="AK439" s="42"/>
      <c r="AM439" s="1" t="str">
        <f>AN319&amp;" mm"</f>
        <v>2020 mm</v>
      </c>
      <c r="AN439" s="4">
        <f>AN438</f>
        <v>210</v>
      </c>
      <c r="AO439" s="4">
        <f>AO438+50</f>
        <v>1060</v>
      </c>
      <c r="AW439" s="42"/>
    </row>
    <row r="440" spans="1:49" x14ac:dyDescent="0.25">
      <c r="A440" s="42"/>
      <c r="M440" s="42"/>
      <c r="O440" s="92"/>
      <c r="P440" s="93"/>
      <c r="Q440" s="93"/>
      <c r="Y440" s="42"/>
      <c r="AK440" s="42"/>
      <c r="AM440" s="92"/>
      <c r="AN440" s="93"/>
      <c r="AO440" s="93"/>
      <c r="AW440" s="42"/>
    </row>
    <row r="441" spans="1:49" x14ac:dyDescent="0.25">
      <c r="A441" s="42"/>
      <c r="M441" s="42"/>
      <c r="O441" s="1" t="s">
        <v>127</v>
      </c>
      <c r="P441" s="4">
        <f>P374-P368</f>
        <v>33</v>
      </c>
      <c r="Q441" s="4">
        <f>(Q376-Q374)/2+Q374</f>
        <v>1010</v>
      </c>
      <c r="Y441" s="42"/>
      <c r="AK441" s="42"/>
      <c r="AM441" s="1" t="s">
        <v>127</v>
      </c>
      <c r="AN441" s="4">
        <f>AN374-AN368</f>
        <v>33</v>
      </c>
      <c r="AO441" s="4">
        <f>(AO376-AO374)/2+AO374</f>
        <v>1010</v>
      </c>
      <c r="AW441" s="42"/>
    </row>
    <row r="442" spans="1:49" x14ac:dyDescent="0.25">
      <c r="A442" s="42"/>
      <c r="M442" s="42"/>
      <c r="O442" s="1" t="str">
        <f>"Panneaux + "&amp;P320&amp;" mm"</f>
        <v>Panneaux + 27 mm</v>
      </c>
      <c r="P442" s="4">
        <f>P441</f>
        <v>33</v>
      </c>
      <c r="Q442" s="4">
        <f>Q441+50</f>
        <v>1060</v>
      </c>
      <c r="Y442" s="42"/>
      <c r="AK442" s="42"/>
      <c r="AM442" s="1" t="str">
        <f>"Panneaux + "&amp;AN320&amp;" mm"</f>
        <v>Panneaux + 27 mm</v>
      </c>
      <c r="AN442" s="4">
        <f>AN441</f>
        <v>33</v>
      </c>
      <c r="AO442" s="4">
        <f>AO441+50</f>
        <v>1060</v>
      </c>
      <c r="AW442" s="42"/>
    </row>
    <row r="443" spans="1:49" x14ac:dyDescent="0.25">
      <c r="A443" s="42"/>
      <c r="M443" s="42"/>
      <c r="O443" s="92"/>
      <c r="P443" s="93"/>
      <c r="Q443" s="93"/>
      <c r="Y443" s="42"/>
      <c r="AK443" s="42"/>
      <c r="AM443" s="92"/>
      <c r="AN443" s="93"/>
      <c r="AO443" s="93"/>
      <c r="AW443" s="42"/>
    </row>
    <row r="444" spans="1:49" x14ac:dyDescent="0.25">
      <c r="A444" s="42"/>
      <c r="M444" s="42"/>
      <c r="O444" s="1" t="s">
        <v>128</v>
      </c>
      <c r="P444" s="4">
        <f>P369+P375</f>
        <v>87</v>
      </c>
      <c r="Q444" s="4">
        <f>Q441</f>
        <v>1010</v>
      </c>
      <c r="Y444" s="42"/>
      <c r="AK444" s="42"/>
      <c r="AM444" s="1" t="s">
        <v>128</v>
      </c>
      <c r="AN444" s="4">
        <f>AN369+AN375</f>
        <v>87</v>
      </c>
      <c r="AO444" s="4">
        <f>AO441</f>
        <v>1010</v>
      </c>
      <c r="AW444" s="42"/>
    </row>
    <row r="445" spans="1:49" x14ac:dyDescent="0.25">
      <c r="A445" s="42"/>
      <c r="M445" s="42"/>
      <c r="O445" s="1" t="str">
        <f>"Panneaux + "&amp;P321&amp;" mm"</f>
        <v>Panneaux + 27 mm</v>
      </c>
      <c r="P445" s="4">
        <f>P444</f>
        <v>87</v>
      </c>
      <c r="Q445" s="4">
        <f>Q442</f>
        <v>1060</v>
      </c>
      <c r="Y445" s="42"/>
      <c r="AK445" s="42"/>
      <c r="AM445" s="1" t="str">
        <f>"Panneaux + "&amp;AN321&amp;" mm"</f>
        <v>Panneaux + 27 mm</v>
      </c>
      <c r="AN445" s="4">
        <f>AN444</f>
        <v>87</v>
      </c>
      <c r="AO445" s="4">
        <f>AO442</f>
        <v>1060</v>
      </c>
      <c r="AW445" s="42"/>
    </row>
    <row r="446" spans="1:49" x14ac:dyDescent="0.25">
      <c r="A446" s="42"/>
      <c r="M446" s="42"/>
      <c r="O446" s="92"/>
      <c r="P446" s="93"/>
      <c r="Q446" s="93"/>
      <c r="Y446" s="42"/>
      <c r="AK446" s="42"/>
      <c r="AM446" s="92"/>
      <c r="AN446" s="93"/>
      <c r="AO446" s="93"/>
      <c r="AW446" s="42"/>
    </row>
    <row r="447" spans="1:49" x14ac:dyDescent="0.25">
      <c r="A447" s="42"/>
      <c r="M447" s="42"/>
      <c r="O447" s="1" t="s">
        <v>129</v>
      </c>
      <c r="P447" s="4">
        <f>P450</f>
        <v>90</v>
      </c>
      <c r="Q447" s="4">
        <f>Q376+Q370</f>
        <v>2060</v>
      </c>
      <c r="Y447" s="42"/>
      <c r="AK447" s="42"/>
      <c r="AM447" s="1" t="s">
        <v>129</v>
      </c>
      <c r="AN447" s="4">
        <f>AN450</f>
        <v>90</v>
      </c>
      <c r="AO447" s="4">
        <f>AO376+AO370</f>
        <v>2060</v>
      </c>
      <c r="AW447" s="42"/>
    </row>
    <row r="448" spans="1:49" x14ac:dyDescent="0.25">
      <c r="A448" s="42"/>
      <c r="M448" s="42"/>
      <c r="O448" s="1" t="str">
        <f>"Panneaux + "&amp;P322&amp;" mm"</f>
        <v>Panneaux + 40 mm</v>
      </c>
      <c r="P448" s="4">
        <f>P451</f>
        <v>140</v>
      </c>
      <c r="Q448" s="4">
        <f>Q447</f>
        <v>2060</v>
      </c>
      <c r="Y448" s="42"/>
      <c r="AK448" s="42"/>
      <c r="AM448" s="1" t="str">
        <f>"Panneaux + "&amp;AN322&amp;" mm"</f>
        <v>Panneaux + 40 mm</v>
      </c>
      <c r="AN448" s="4">
        <f>AN451</f>
        <v>140</v>
      </c>
      <c r="AO448" s="4">
        <f>AO447</f>
        <v>2060</v>
      </c>
      <c r="AW448" s="42"/>
    </row>
    <row r="449" spans="1:49" x14ac:dyDescent="0.25">
      <c r="A449" s="42"/>
      <c r="M449" s="42"/>
      <c r="O449" s="92"/>
      <c r="P449" s="93"/>
      <c r="Q449" s="93"/>
      <c r="Y449" s="42"/>
      <c r="AK449" s="42"/>
      <c r="AM449" s="92"/>
      <c r="AN449" s="93"/>
      <c r="AO449" s="93"/>
      <c r="AW449" s="42"/>
    </row>
    <row r="450" spans="1:49" x14ac:dyDescent="0.25">
      <c r="A450" s="42"/>
      <c r="M450" s="42"/>
      <c r="O450" s="1" t="s">
        <v>130</v>
      </c>
      <c r="P450" s="4">
        <f>P430/2+P429</f>
        <v>90</v>
      </c>
      <c r="Q450" s="4">
        <f>Q374+Q371</f>
        <v>-40</v>
      </c>
      <c r="Y450" s="42"/>
      <c r="AK450" s="42"/>
      <c r="AM450" s="1" t="s">
        <v>130</v>
      </c>
      <c r="AN450" s="4">
        <f>AN430/2+AN429</f>
        <v>90</v>
      </c>
      <c r="AO450" s="4">
        <f>AO374+AO371</f>
        <v>-40</v>
      </c>
      <c r="AW450" s="42"/>
    </row>
    <row r="451" spans="1:49" x14ac:dyDescent="0.25">
      <c r="A451" s="42"/>
      <c r="M451" s="42"/>
      <c r="O451" s="1" t="str">
        <f>"Panneaux + "&amp;P323&amp;" mm"</f>
        <v>Panneaux + 40 mm</v>
      </c>
      <c r="P451" s="4">
        <f>P450+50</f>
        <v>140</v>
      </c>
      <c r="Q451" s="4">
        <f>Q450</f>
        <v>-40</v>
      </c>
      <c r="Y451" s="42"/>
      <c r="AK451" s="42"/>
      <c r="AM451" s="1" t="str">
        <f>"Panneaux + "&amp;AN323&amp;" mm"</f>
        <v>Panneaux + 40 mm</v>
      </c>
      <c r="AN451" s="4">
        <f>AN450+50</f>
        <v>140</v>
      </c>
      <c r="AO451" s="4">
        <f>AO450</f>
        <v>-40</v>
      </c>
      <c r="AW451" s="42"/>
    </row>
    <row r="452" spans="1:49" x14ac:dyDescent="0.25">
      <c r="A452" s="42"/>
      <c r="B452" s="6"/>
      <c r="C452" s="6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6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6"/>
      <c r="AA452" s="6"/>
      <c r="AB452" s="42"/>
      <c r="AC452" s="42"/>
      <c r="AD452" s="42"/>
      <c r="AE452" s="42"/>
      <c r="AF452" s="42"/>
      <c r="AG452" s="42"/>
      <c r="AH452" s="42"/>
      <c r="AI452" s="42"/>
      <c r="AJ452" s="42"/>
      <c r="AK452" s="42"/>
      <c r="AL452" s="6"/>
      <c r="AM452" s="6"/>
      <c r="AN452" s="42"/>
      <c r="AO452" s="42"/>
      <c r="AP452" s="42"/>
      <c r="AQ452" s="42"/>
      <c r="AR452" s="42"/>
      <c r="AS452" s="42"/>
      <c r="AT452" s="42"/>
      <c r="AU452" s="42"/>
      <c r="AV452" s="42"/>
      <c r="AW452" s="42"/>
    </row>
  </sheetData>
  <mergeCells count="14">
    <mergeCell ref="C4:K4"/>
    <mergeCell ref="C159:K159"/>
    <mergeCell ref="O159:W159"/>
    <mergeCell ref="O4:W4"/>
    <mergeCell ref="AA4:AI4"/>
    <mergeCell ref="J8:K9"/>
    <mergeCell ref="V8:W9"/>
    <mergeCell ref="AH8:AI9"/>
    <mergeCell ref="AM4:AU4"/>
    <mergeCell ref="O310:W310"/>
    <mergeCell ref="AM310:AU310"/>
    <mergeCell ref="AA159:AI159"/>
    <mergeCell ref="AM159:AU159"/>
    <mergeCell ref="AT8:AU9"/>
  </mergeCells>
  <phoneticPr fontId="11" type="noConversion"/>
  <dataValidations disablePrompts="1" count="1">
    <dataValidation type="list" allowBlank="1" showInputMessage="1" showErrorMessage="1" sqref="D14:D15 AB14" xr:uid="{00000000-0002-0000-0100-000000000000}">
      <formula1>"non,oui"</formula1>
    </dataValidation>
  </dataValidations>
  <pageMargins left="0.25" right="0.25" top="0.75" bottom="0.75" header="0.3" footer="0.3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C7F6C-D3F3-4B88-969E-E66C0925850F}">
  <sheetPr>
    <pageSetUpPr fitToPage="1"/>
  </sheetPr>
  <dimension ref="A1:AW452"/>
  <sheetViews>
    <sheetView topLeftCell="A141" zoomScale="85" zoomScaleNormal="85" workbookViewId="0">
      <selection activeCell="L13" sqref="L13"/>
    </sheetView>
  </sheetViews>
  <sheetFormatPr baseColWidth="10" defaultColWidth="9.140625" defaultRowHeight="15" x14ac:dyDescent="0.25"/>
  <cols>
    <col min="1" max="1" width="3.28515625" style="2" customWidth="1"/>
    <col min="3" max="3" width="28.7109375" customWidth="1"/>
    <col min="4" max="4" width="9.5703125" style="2" customWidth="1"/>
    <col min="5" max="5" width="5.7109375" style="2" customWidth="1"/>
    <col min="6" max="6" width="9.5703125" style="2" customWidth="1"/>
    <col min="7" max="7" width="5.7109375" style="2" customWidth="1"/>
    <col min="8" max="8" width="9.5703125" style="2" customWidth="1"/>
    <col min="9" max="9" width="5.7109375" style="2" customWidth="1"/>
    <col min="10" max="12" width="9.5703125" style="2" customWidth="1"/>
    <col min="13" max="13" width="3.28515625" style="2" customWidth="1"/>
    <col min="14" max="14" width="9.5703125" style="2" customWidth="1"/>
    <col min="15" max="15" width="28.7109375" customWidth="1"/>
    <col min="16" max="16" width="9.5703125" style="2" customWidth="1"/>
    <col min="17" max="17" width="5.7109375" style="2" customWidth="1"/>
    <col min="18" max="18" width="9.5703125" style="2" customWidth="1"/>
    <col min="19" max="19" width="5.7109375" style="2" customWidth="1"/>
    <col min="20" max="20" width="9.5703125" style="2" customWidth="1"/>
    <col min="21" max="21" width="5.7109375" style="2" customWidth="1"/>
    <col min="22" max="24" width="9.5703125" style="2" customWidth="1"/>
    <col min="25" max="25" width="3.28515625" style="2" customWidth="1"/>
    <col min="26" max="26" width="9.5703125" customWidth="1"/>
    <col min="27" max="27" width="28.7109375" customWidth="1"/>
    <col min="28" max="28" width="9.5703125" style="2" customWidth="1"/>
    <col min="29" max="29" width="5.7109375" style="2" customWidth="1"/>
    <col min="30" max="30" width="9.5703125" style="2" customWidth="1"/>
    <col min="31" max="31" width="5.7109375" style="2" customWidth="1"/>
    <col min="32" max="32" width="9.5703125" style="2" customWidth="1"/>
    <col min="33" max="33" width="5.7109375" style="2" customWidth="1"/>
    <col min="34" max="36" width="9.5703125" style="2" customWidth="1"/>
    <col min="37" max="37" width="3.28515625" style="2" customWidth="1"/>
    <col min="38" max="38" width="9.5703125" customWidth="1"/>
    <col min="39" max="39" width="28.7109375" customWidth="1"/>
    <col min="40" max="40" width="9.5703125" style="2" customWidth="1"/>
    <col min="41" max="41" width="5.7109375" style="2" customWidth="1"/>
    <col min="42" max="42" width="9.5703125" style="2" customWidth="1"/>
    <col min="43" max="43" width="5.7109375" style="2" customWidth="1"/>
    <col min="44" max="44" width="9.5703125" style="2" customWidth="1"/>
    <col min="45" max="45" width="5.7109375" style="2" customWidth="1"/>
    <col min="46" max="48" width="9.5703125" style="2" customWidth="1"/>
    <col min="49" max="49" width="3.28515625" style="2" customWidth="1"/>
  </cols>
  <sheetData>
    <row r="1" spans="1:49" ht="18.75" x14ac:dyDescent="0.3">
      <c r="A1" s="51"/>
      <c r="B1" s="6"/>
      <c r="C1" s="6"/>
      <c r="D1" s="42"/>
      <c r="E1" s="50"/>
      <c r="F1" s="42"/>
      <c r="G1" s="42"/>
      <c r="H1" s="42"/>
      <c r="I1" s="42"/>
      <c r="J1" s="51"/>
      <c r="K1" s="51"/>
      <c r="L1" s="51"/>
      <c r="M1" s="51"/>
      <c r="N1" s="51"/>
      <c r="O1" s="7"/>
      <c r="P1" s="51"/>
      <c r="Q1" s="51"/>
      <c r="R1" s="51"/>
      <c r="S1" s="51"/>
      <c r="T1" s="51"/>
      <c r="U1" s="51"/>
      <c r="V1" s="51"/>
      <c r="W1" s="51"/>
      <c r="X1" s="51"/>
      <c r="Y1" s="51"/>
      <c r="Z1" s="6"/>
      <c r="AA1" s="6"/>
      <c r="AB1" s="42"/>
      <c r="AC1" s="42"/>
      <c r="AD1" s="42"/>
      <c r="AE1" s="42"/>
      <c r="AF1" s="42"/>
      <c r="AG1" s="42"/>
      <c r="AH1" s="42"/>
      <c r="AI1" s="42"/>
      <c r="AJ1" s="42"/>
      <c r="AK1" s="51"/>
      <c r="AL1" s="6"/>
      <c r="AM1" s="6"/>
      <c r="AN1" s="42"/>
      <c r="AO1" s="42"/>
      <c r="AP1" s="42"/>
      <c r="AQ1" s="42"/>
      <c r="AR1" s="42"/>
      <c r="AS1" s="42"/>
      <c r="AT1" s="42"/>
      <c r="AU1" s="42"/>
      <c r="AV1" s="42"/>
      <c r="AW1" s="51"/>
    </row>
    <row r="2" spans="1:49" ht="15" customHeight="1" x14ac:dyDescent="0.25">
      <c r="A2" s="42"/>
      <c r="C2" s="58" t="str">
        <f>"Chantier: "&amp;Acceuil!B1&amp;" - "&amp;Acceuil!$B$2</f>
        <v xml:space="preserve">Chantier:  - </v>
      </c>
      <c r="F2" s="56"/>
      <c r="M2" s="42"/>
      <c r="O2" s="58" t="str">
        <f>"Chantier: "&amp;Acceuil!B1&amp;" - "&amp;Acceuil!$B$2</f>
        <v xml:space="preserve">Chantier:  - </v>
      </c>
      <c r="R2" s="56"/>
      <c r="Y2" s="42"/>
      <c r="AA2" s="58" t="str">
        <f>"Chantier: "&amp;Acceuil!B1&amp;" - "&amp;Acceuil!$B$2</f>
        <v xml:space="preserve">Chantier:  - </v>
      </c>
      <c r="AD2" s="56"/>
      <c r="AK2" s="42"/>
      <c r="AM2" s="58" t="str">
        <f>"Chantier: "&amp;Acceuil!B1&amp;" - "&amp;Acceuil!$B$2</f>
        <v xml:space="preserve">Chantier:  - </v>
      </c>
      <c r="AW2" s="42"/>
    </row>
    <row r="3" spans="1:49" ht="15" customHeight="1" thickBot="1" x14ac:dyDescent="0.3">
      <c r="A3" s="42"/>
      <c r="C3" s="58"/>
      <c r="F3" s="56"/>
      <c r="M3" s="42"/>
      <c r="O3" s="58"/>
      <c r="R3" s="56"/>
      <c r="Y3" s="42"/>
      <c r="AA3" s="58"/>
      <c r="AD3" s="56"/>
      <c r="AK3" s="42"/>
      <c r="AM3" s="58"/>
      <c r="AP3" s="56"/>
      <c r="AW3" s="42"/>
    </row>
    <row r="4" spans="1:49" s="85" customFormat="1" ht="15" customHeight="1" thickBot="1" x14ac:dyDescent="0.3">
      <c r="A4" s="86"/>
      <c r="C4" s="232" t="str">
        <f>IF(D14="non","Porte"&amp;" "&amp;D10/10&amp;" / "&amp; D11/10&amp;"; sans VR; "&amp;C6,"Porte"&amp;" "&amp;D10/10&amp;" / "&amp; D11/10&amp;"; sans VR; Renforcée; "&amp;C6)</f>
        <v xml:space="preserve">Porte 150 / 215; sans VR; </v>
      </c>
      <c r="D4" s="233"/>
      <c r="E4" s="233"/>
      <c r="F4" s="233"/>
      <c r="G4" s="233"/>
      <c r="H4" s="233"/>
      <c r="I4" s="233"/>
      <c r="J4" s="233"/>
      <c r="K4" s="234"/>
      <c r="M4" s="86"/>
      <c r="O4" s="232" t="str">
        <f>"Fenêtre"&amp;" "&amp;P10/10&amp;" / "&amp; P11/10&amp;"; sans VR; "&amp;O6</f>
        <v xml:space="preserve">Fenêtre 150 / 90; sans VR; </v>
      </c>
      <c r="P4" s="233"/>
      <c r="Q4" s="233"/>
      <c r="R4" s="233"/>
      <c r="S4" s="233"/>
      <c r="T4" s="233"/>
      <c r="U4" s="233"/>
      <c r="V4" s="233"/>
      <c r="W4" s="234"/>
      <c r="Y4" s="86"/>
      <c r="AA4" s="232" t="str">
        <f>IF(AB14="non","Porte"&amp;" "&amp;AB10/10&amp;" / "&amp; AB11/10&amp;"; avec VR; "&amp;AA6,"Porte"&amp;" "&amp;AB10/10&amp;" / "&amp; AB11/10&amp;"; avec VR; Renforcée; "&amp;AA6)</f>
        <v xml:space="preserve">Porte 150 / 215; avec VR; </v>
      </c>
      <c r="AB4" s="233"/>
      <c r="AC4" s="233"/>
      <c r="AD4" s="233"/>
      <c r="AE4" s="233"/>
      <c r="AF4" s="233"/>
      <c r="AG4" s="233"/>
      <c r="AH4" s="233"/>
      <c r="AI4" s="234"/>
      <c r="AK4" s="86"/>
      <c r="AM4" s="232" t="str">
        <f>"Fenêtre"&amp;" "&amp;AN10/10&amp;" / "&amp; AN11/10&amp;"; avec VR; "&amp;AM6</f>
        <v xml:space="preserve">Fenêtre 90 / 80; avec VR; </v>
      </c>
      <c r="AN4" s="233"/>
      <c r="AO4" s="233"/>
      <c r="AP4" s="233"/>
      <c r="AQ4" s="233"/>
      <c r="AR4" s="233"/>
      <c r="AS4" s="233"/>
      <c r="AT4" s="233"/>
      <c r="AU4" s="234"/>
      <c r="AW4" s="86"/>
    </row>
    <row r="5" spans="1:49" s="83" customFormat="1" ht="15" customHeight="1" x14ac:dyDescent="0.25">
      <c r="A5" s="86"/>
      <c r="G5" s="85"/>
      <c r="I5" s="85"/>
      <c r="J5" s="85"/>
      <c r="K5" s="85"/>
      <c r="L5" s="85"/>
      <c r="M5" s="86"/>
      <c r="N5" s="85"/>
      <c r="S5" s="85"/>
      <c r="T5" s="85"/>
      <c r="U5" s="85"/>
      <c r="V5" s="85"/>
      <c r="W5" s="85"/>
      <c r="X5" s="85"/>
      <c r="Y5" s="86"/>
      <c r="AD5" s="84"/>
      <c r="AE5" s="85"/>
      <c r="AF5" s="85"/>
      <c r="AG5" s="85"/>
      <c r="AH5" s="85"/>
      <c r="AI5" s="85"/>
      <c r="AJ5" s="85"/>
      <c r="AK5" s="86"/>
      <c r="AP5" s="84"/>
      <c r="AQ5" s="85"/>
      <c r="AR5" s="85"/>
      <c r="AS5" s="85"/>
      <c r="AT5" s="85"/>
      <c r="AU5" s="85"/>
      <c r="AV5" s="85"/>
      <c r="AW5" s="86"/>
    </row>
    <row r="6" spans="1:49" s="83" customFormat="1" ht="15" customHeight="1" x14ac:dyDescent="0.25">
      <c r="A6" s="86"/>
      <c r="C6" s="222"/>
      <c r="G6" s="85"/>
      <c r="I6" s="85"/>
      <c r="J6" s="85"/>
      <c r="K6" s="85"/>
      <c r="L6" s="85"/>
      <c r="M6" s="86"/>
      <c r="N6" s="85"/>
      <c r="O6" s="222"/>
      <c r="S6" s="85"/>
      <c r="U6" s="85"/>
      <c r="V6" s="85"/>
      <c r="W6" s="85"/>
      <c r="X6" s="85"/>
      <c r="Y6" s="86"/>
      <c r="AA6" s="222"/>
      <c r="AF6" s="59"/>
      <c r="AG6" s="59"/>
      <c r="AH6" s="59"/>
      <c r="AI6" s="16"/>
      <c r="AJ6" s="85"/>
      <c r="AK6" s="86"/>
      <c r="AM6" s="228"/>
      <c r="AQ6" s="85"/>
      <c r="AS6" s="85"/>
      <c r="AT6" s="85"/>
      <c r="AU6" s="85"/>
      <c r="AV6" s="85"/>
      <c r="AW6" s="86"/>
    </row>
    <row r="7" spans="1:49" s="16" customFormat="1" ht="15" customHeight="1" thickBot="1" x14ac:dyDescent="0.3">
      <c r="A7" s="43"/>
      <c r="F7" s="20"/>
      <c r="G7" s="20"/>
      <c r="H7" s="20"/>
      <c r="I7" s="20"/>
      <c r="J7" s="20"/>
      <c r="K7" s="20"/>
      <c r="L7" s="20"/>
      <c r="M7" s="43"/>
      <c r="N7" s="20"/>
      <c r="P7" s="20"/>
      <c r="R7" s="20"/>
      <c r="S7" s="20"/>
      <c r="T7" s="20"/>
      <c r="U7" s="20"/>
      <c r="V7" s="22"/>
      <c r="W7" s="22"/>
      <c r="X7" s="22"/>
      <c r="Y7" s="43"/>
      <c r="AG7" s="20"/>
      <c r="AH7" s="20"/>
      <c r="AI7" s="20"/>
      <c r="AJ7" s="20"/>
      <c r="AK7" s="43"/>
      <c r="AM7" s="114"/>
      <c r="AP7" s="57"/>
      <c r="AQ7" s="20"/>
      <c r="AS7" s="20"/>
      <c r="AT7" s="23"/>
      <c r="AU7" s="23"/>
      <c r="AV7" s="20"/>
      <c r="AW7" s="43"/>
    </row>
    <row r="8" spans="1:49" s="16" customFormat="1" ht="15" customHeight="1" x14ac:dyDescent="0.25">
      <c r="A8" s="43"/>
      <c r="C8" s="99" t="s">
        <v>43</v>
      </c>
      <c r="D8" s="27"/>
      <c r="E8" s="100"/>
      <c r="F8" s="20"/>
      <c r="G8" s="20"/>
      <c r="J8" s="238" t="s">
        <v>41</v>
      </c>
      <c r="K8" s="239"/>
      <c r="L8" s="20"/>
      <c r="M8" s="43"/>
      <c r="N8" s="20"/>
      <c r="O8" s="99" t="s">
        <v>10</v>
      </c>
      <c r="P8" s="27"/>
      <c r="Q8" s="100"/>
      <c r="R8" s="20"/>
      <c r="S8" s="20"/>
      <c r="V8" s="238" t="s">
        <v>41</v>
      </c>
      <c r="W8" s="239"/>
      <c r="X8" s="22"/>
      <c r="Y8" s="43"/>
      <c r="AA8" s="99" t="s">
        <v>30</v>
      </c>
      <c r="AB8" s="27"/>
      <c r="AC8" s="100"/>
      <c r="AD8" s="20"/>
      <c r="AE8" s="20"/>
      <c r="AH8" s="238" t="s">
        <v>41</v>
      </c>
      <c r="AI8" s="239"/>
      <c r="AJ8" s="20"/>
      <c r="AK8" s="43"/>
      <c r="AM8" s="99" t="s">
        <v>11</v>
      </c>
      <c r="AN8" s="27"/>
      <c r="AO8" s="100"/>
      <c r="AP8" s="20"/>
      <c r="AQ8" s="20"/>
      <c r="AT8" s="238" t="s">
        <v>41</v>
      </c>
      <c r="AU8" s="239"/>
      <c r="AV8" s="20"/>
      <c r="AW8" s="43"/>
    </row>
    <row r="9" spans="1:49" s="16" customFormat="1" ht="15" customHeight="1" x14ac:dyDescent="0.25">
      <c r="A9" s="43"/>
      <c r="C9" s="216" t="s">
        <v>51</v>
      </c>
      <c r="D9" s="223">
        <v>1</v>
      </c>
      <c r="E9" s="217" t="s">
        <v>4</v>
      </c>
      <c r="F9" s="20"/>
      <c r="G9" s="20"/>
      <c r="J9" s="240"/>
      <c r="K9" s="241"/>
      <c r="L9" s="20"/>
      <c r="M9" s="43"/>
      <c r="N9" s="20"/>
      <c r="O9" s="216" t="s">
        <v>51</v>
      </c>
      <c r="P9" s="223">
        <v>1</v>
      </c>
      <c r="Q9" s="217" t="s">
        <v>4</v>
      </c>
      <c r="R9" s="20"/>
      <c r="S9" s="20"/>
      <c r="V9" s="240"/>
      <c r="W9" s="241"/>
      <c r="X9" s="22"/>
      <c r="Y9" s="43"/>
      <c r="AA9" s="216" t="s">
        <v>51</v>
      </c>
      <c r="AB9" s="223">
        <v>1</v>
      </c>
      <c r="AC9" s="217" t="s">
        <v>4</v>
      </c>
      <c r="AD9" s="20"/>
      <c r="AE9" s="20"/>
      <c r="AH9" s="240"/>
      <c r="AI9" s="241"/>
      <c r="AJ9" s="20"/>
      <c r="AK9" s="43"/>
      <c r="AM9" s="216" t="s">
        <v>51</v>
      </c>
      <c r="AN9" s="223">
        <v>1</v>
      </c>
      <c r="AO9" s="217" t="s">
        <v>4</v>
      </c>
      <c r="AP9" s="20"/>
      <c r="AQ9" s="20"/>
      <c r="AT9" s="240"/>
      <c r="AU9" s="241"/>
      <c r="AV9" s="20"/>
      <c r="AW9" s="43"/>
    </row>
    <row r="10" spans="1:49" s="16" customFormat="1" ht="15" customHeight="1" x14ac:dyDescent="0.25">
      <c r="A10" s="43"/>
      <c r="C10" s="211" t="s">
        <v>52</v>
      </c>
      <c r="D10" s="224">
        <v>1500</v>
      </c>
      <c r="E10" s="121" t="s">
        <v>1</v>
      </c>
      <c r="F10" s="20"/>
      <c r="G10" s="20"/>
      <c r="J10" s="44">
        <f>IF(D14="non",D10+120,D10+300)</f>
        <v>1620</v>
      </c>
      <c r="K10" s="45" t="s">
        <v>1</v>
      </c>
      <c r="L10" s="20"/>
      <c r="M10" s="43"/>
      <c r="N10" s="20"/>
      <c r="O10" s="211" t="s">
        <v>52</v>
      </c>
      <c r="P10" s="224">
        <v>1500</v>
      </c>
      <c r="Q10" s="121" t="s">
        <v>1</v>
      </c>
      <c r="R10" s="20"/>
      <c r="S10" s="20"/>
      <c r="V10" s="44">
        <f>P10+120</f>
        <v>1620</v>
      </c>
      <c r="W10" s="45" t="s">
        <v>1</v>
      </c>
      <c r="X10" s="22"/>
      <c r="Y10" s="43"/>
      <c r="AA10" s="211" t="s">
        <v>52</v>
      </c>
      <c r="AB10" s="224">
        <v>1500</v>
      </c>
      <c r="AC10" s="121" t="s">
        <v>1</v>
      </c>
      <c r="AD10" s="20"/>
      <c r="AE10" s="20"/>
      <c r="AH10" s="44">
        <f>IF(AB14="oui",AB10+300,AB10+120)</f>
        <v>1620</v>
      </c>
      <c r="AI10" s="45" t="s">
        <v>1</v>
      </c>
      <c r="AJ10" s="20"/>
      <c r="AK10" s="43"/>
      <c r="AM10" s="211" t="s">
        <v>52</v>
      </c>
      <c r="AN10" s="224">
        <v>900</v>
      </c>
      <c r="AO10" s="121" t="s">
        <v>1</v>
      </c>
      <c r="AP10" s="20"/>
      <c r="AQ10" s="20"/>
      <c r="AT10" s="44">
        <f>AN10+120</f>
        <v>1020</v>
      </c>
      <c r="AU10" s="45" t="s">
        <v>1</v>
      </c>
      <c r="AV10" s="20"/>
      <c r="AW10" s="43"/>
    </row>
    <row r="11" spans="1:49" s="16" customFormat="1" ht="15" customHeight="1" thickBot="1" x14ac:dyDescent="0.3">
      <c r="A11" s="43"/>
      <c r="C11" s="211" t="s">
        <v>53</v>
      </c>
      <c r="D11" s="224">
        <v>2150</v>
      </c>
      <c r="E11" s="121" t="s">
        <v>1</v>
      </c>
      <c r="F11" s="20"/>
      <c r="G11" s="20"/>
      <c r="H11" s="20"/>
      <c r="J11" s="46">
        <f>IF(D14="non",D12+280,D12+335)</f>
        <v>2430</v>
      </c>
      <c r="K11" s="47" t="s">
        <v>1</v>
      </c>
      <c r="L11" s="20"/>
      <c r="M11" s="43"/>
      <c r="N11" s="20"/>
      <c r="O11" s="211" t="s">
        <v>53</v>
      </c>
      <c r="P11" s="224">
        <v>900</v>
      </c>
      <c r="Q11" s="121" t="s">
        <v>1</v>
      </c>
      <c r="R11" s="20"/>
      <c r="S11" s="20"/>
      <c r="V11" s="46">
        <f>P11+360+50</f>
        <v>1310</v>
      </c>
      <c r="W11" s="47" t="s">
        <v>1</v>
      </c>
      <c r="X11" s="22"/>
      <c r="Y11" s="43"/>
      <c r="AA11" s="211" t="s">
        <v>53</v>
      </c>
      <c r="AB11" s="224">
        <v>2150</v>
      </c>
      <c r="AC11" s="121" t="s">
        <v>1</v>
      </c>
      <c r="AD11" s="20"/>
      <c r="AE11" s="20"/>
      <c r="AH11" s="46">
        <f>AB11+570</f>
        <v>2720</v>
      </c>
      <c r="AI11" s="47" t="s">
        <v>1</v>
      </c>
      <c r="AJ11" s="20"/>
      <c r="AK11" s="43"/>
      <c r="AM11" s="211" t="s">
        <v>53</v>
      </c>
      <c r="AN11" s="224">
        <v>800</v>
      </c>
      <c r="AO11" s="121" t="s">
        <v>1</v>
      </c>
      <c r="AP11" s="20"/>
      <c r="AQ11" s="20"/>
      <c r="AT11" s="46">
        <f>AN11+650+50</f>
        <v>1500</v>
      </c>
      <c r="AU11" s="47" t="s">
        <v>1</v>
      </c>
      <c r="AV11" s="20"/>
      <c r="AW11" s="43"/>
    </row>
    <row r="12" spans="1:49" s="16" customFormat="1" ht="15" customHeight="1" x14ac:dyDescent="0.25">
      <c r="A12" s="43"/>
      <c r="C12" s="211" t="s">
        <v>56</v>
      </c>
      <c r="D12" s="224">
        <v>2150</v>
      </c>
      <c r="E12" s="121" t="s">
        <v>1</v>
      </c>
      <c r="F12" s="186" t="s">
        <v>68</v>
      </c>
      <c r="G12" s="20"/>
      <c r="H12" s="124" t="str">
        <f>IF(D11=D12,"","Attention hauteur porte différent hauteur linteau")</f>
        <v/>
      </c>
      <c r="I12" s="20"/>
      <c r="J12" s="20"/>
      <c r="K12" s="20"/>
      <c r="L12" s="20"/>
      <c r="M12" s="43"/>
      <c r="N12" s="20"/>
      <c r="O12" s="211" t="s">
        <v>56</v>
      </c>
      <c r="P12" s="224">
        <v>2150</v>
      </c>
      <c r="Q12" s="121" t="s">
        <v>1</v>
      </c>
      <c r="R12" s="186" t="s">
        <v>68</v>
      </c>
      <c r="S12" s="20"/>
      <c r="T12" s="124" t="str">
        <f>IF(P319+130&lt;900,"Attention hauteur allège &lt;900","")</f>
        <v/>
      </c>
      <c r="U12" s="22"/>
      <c r="V12" s="22"/>
      <c r="W12" s="22"/>
      <c r="X12" s="22"/>
      <c r="Y12" s="43"/>
      <c r="AA12" s="211" t="s">
        <v>56</v>
      </c>
      <c r="AB12" s="224">
        <v>2150</v>
      </c>
      <c r="AC12" s="121" t="s">
        <v>1</v>
      </c>
      <c r="AD12" s="186" t="s">
        <v>68</v>
      </c>
      <c r="AE12" s="20"/>
      <c r="AF12" s="124" t="str">
        <f>IF(AB11=AB12,"","Attention hauteur porte différent hauteur linteau")</f>
        <v/>
      </c>
      <c r="AG12" s="22"/>
      <c r="AH12" s="20"/>
      <c r="AI12" s="20"/>
      <c r="AJ12" s="20"/>
      <c r="AK12" s="43"/>
      <c r="AM12" s="211" t="s">
        <v>56</v>
      </c>
      <c r="AN12" s="224">
        <v>2150</v>
      </c>
      <c r="AO12" s="121" t="s">
        <v>1</v>
      </c>
      <c r="AP12" s="186" t="s">
        <v>68</v>
      </c>
      <c r="AQ12" s="20"/>
      <c r="AR12" s="124" t="str">
        <f>IF((AT11+AN319)-AN13=0,"","Attention écart avec linteau de "&amp;(AT11+AN319)-AN13)</f>
        <v/>
      </c>
      <c r="AS12" s="22"/>
      <c r="AT12" s="23"/>
      <c r="AU12" s="23"/>
      <c r="AV12" s="20"/>
      <c r="AW12" s="43"/>
    </row>
    <row r="13" spans="1:49" s="16" customFormat="1" ht="15" customHeight="1" thickBot="1" x14ac:dyDescent="0.3">
      <c r="A13" s="43"/>
      <c r="C13" s="211" t="s">
        <v>55</v>
      </c>
      <c r="D13" s="224">
        <v>2720</v>
      </c>
      <c r="E13" s="121" t="s">
        <v>1</v>
      </c>
      <c r="F13" s="186" t="s">
        <v>69</v>
      </c>
      <c r="G13" s="20"/>
      <c r="H13" s="124" t="str">
        <f>IF(D13=2720,"","Attention hauteur mur non standard")</f>
        <v/>
      </c>
      <c r="I13" s="20"/>
      <c r="J13" s="20"/>
      <c r="K13" s="20"/>
      <c r="L13" s="20"/>
      <c r="M13" s="43"/>
      <c r="N13" s="20"/>
      <c r="O13" s="213" t="s">
        <v>55</v>
      </c>
      <c r="P13" s="226">
        <v>2720</v>
      </c>
      <c r="Q13" s="123" t="s">
        <v>1</v>
      </c>
      <c r="R13" s="186" t="s">
        <v>69</v>
      </c>
      <c r="S13" s="20"/>
      <c r="T13" s="124" t="str">
        <f>IF(P13=2720,"","Attention hauteur mur non standard")</f>
        <v/>
      </c>
      <c r="U13" s="22"/>
      <c r="V13" s="22"/>
      <c r="W13" s="22"/>
      <c r="X13" s="22"/>
      <c r="Y13" s="43"/>
      <c r="AA13" s="211" t="s">
        <v>55</v>
      </c>
      <c r="AB13" s="224">
        <v>2720</v>
      </c>
      <c r="AC13" s="121" t="s">
        <v>1</v>
      </c>
      <c r="AD13" s="186" t="s">
        <v>69</v>
      </c>
      <c r="AE13" s="20"/>
      <c r="AF13" s="124" t="str">
        <f>IF(AB13=2720,"","Attention hauteur mur non standard")</f>
        <v/>
      </c>
      <c r="AG13" s="22"/>
      <c r="AH13" s="20"/>
      <c r="AI13" s="20"/>
      <c r="AJ13" s="20"/>
      <c r="AK13" s="43"/>
      <c r="AM13" s="213" t="s">
        <v>55</v>
      </c>
      <c r="AN13" s="226">
        <v>2720</v>
      </c>
      <c r="AO13" s="123" t="s">
        <v>1</v>
      </c>
      <c r="AP13" s="186" t="s">
        <v>69</v>
      </c>
      <c r="AQ13" s="20"/>
      <c r="AR13" s="124" t="str">
        <f>IF(AN319+130&lt;900,"Attention hauteur allège &lt;900","")</f>
        <v/>
      </c>
      <c r="AS13" s="22"/>
      <c r="AT13" s="22"/>
      <c r="AU13" s="22"/>
      <c r="AV13" s="20"/>
      <c r="AW13" s="43"/>
    </row>
    <row r="14" spans="1:49" s="16" customFormat="1" ht="15" customHeight="1" thickBot="1" x14ac:dyDescent="0.3">
      <c r="A14" s="43"/>
      <c r="C14" s="212" t="s">
        <v>42</v>
      </c>
      <c r="D14" s="225" t="s">
        <v>31</v>
      </c>
      <c r="E14" s="122"/>
      <c r="F14" s="20"/>
      <c r="G14" s="20"/>
      <c r="H14" s="124" t="str">
        <f>IF(D12=2150,"","Attention hauteur linteau non standard")</f>
        <v/>
      </c>
      <c r="I14" s="22"/>
      <c r="J14" s="20"/>
      <c r="K14" s="20"/>
      <c r="L14" s="20"/>
      <c r="M14" s="43"/>
      <c r="N14" s="20"/>
      <c r="P14" s="20"/>
      <c r="Q14" s="20"/>
      <c r="R14" s="20"/>
      <c r="S14" s="20"/>
      <c r="T14" s="124" t="str">
        <f>IF(P12=2150,"","Attention hauteur linteau non standard")</f>
        <v/>
      </c>
      <c r="U14" s="22"/>
      <c r="V14" s="22"/>
      <c r="W14" s="22"/>
      <c r="X14" s="22"/>
      <c r="Y14" s="43"/>
      <c r="AA14" s="213" t="s">
        <v>42</v>
      </c>
      <c r="AB14" s="226" t="s">
        <v>31</v>
      </c>
      <c r="AC14" s="123"/>
      <c r="AD14" s="20"/>
      <c r="AE14" s="20"/>
      <c r="AF14" s="124" t="str">
        <f>IF(AB12=2150,"","Attention hauteur linteau non standard")</f>
        <v/>
      </c>
      <c r="AI14" s="20"/>
      <c r="AJ14" s="20"/>
      <c r="AK14" s="43"/>
      <c r="AP14" s="20"/>
      <c r="AQ14" s="20"/>
      <c r="AR14" s="124" t="str">
        <f>IF(AN13=2720,"","Attention hauteur mur non standard")</f>
        <v/>
      </c>
      <c r="AS14" s="22"/>
      <c r="AT14" s="22"/>
      <c r="AU14" s="22"/>
      <c r="AV14" s="20"/>
      <c r="AW14" s="43"/>
    </row>
    <row r="15" spans="1:49" s="16" customFormat="1" ht="15" customHeight="1" thickBot="1" x14ac:dyDescent="0.3">
      <c r="A15" s="43"/>
      <c r="C15" s="213" t="s">
        <v>40</v>
      </c>
      <c r="D15" s="226" t="s">
        <v>31</v>
      </c>
      <c r="E15" s="221" t="str">
        <f>IF(D15="OUI","changer hauteur linteau à "&amp;D11-45,"")</f>
        <v/>
      </c>
      <c r="F15" s="20"/>
      <c r="G15" s="20"/>
      <c r="H15" s="124" t="str">
        <f>IF(D12=D11,"","Problème hauteur porte/hauteur linteau")</f>
        <v/>
      </c>
      <c r="I15" s="22"/>
      <c r="J15" s="20"/>
      <c r="K15" s="20"/>
      <c r="L15" s="20"/>
      <c r="M15" s="43"/>
      <c r="N15" s="20"/>
      <c r="P15" s="20"/>
      <c r="Q15" s="20"/>
      <c r="R15" s="20"/>
      <c r="S15" s="20"/>
      <c r="T15" s="22"/>
      <c r="U15" s="22"/>
      <c r="V15" s="22"/>
      <c r="W15" s="22"/>
      <c r="X15" s="22"/>
      <c r="Y15" s="43"/>
      <c r="AD15" s="20"/>
      <c r="AE15" s="20"/>
      <c r="AF15" s="124" t="str">
        <f>IF(AB12=AB11,"","Problème hauteur porte/hauteur linteau")</f>
        <v/>
      </c>
      <c r="AG15" s="22"/>
      <c r="AH15" s="20"/>
      <c r="AI15" s="20"/>
      <c r="AJ15" s="20"/>
      <c r="AK15" s="43"/>
      <c r="AP15" s="20"/>
      <c r="AQ15" s="20"/>
      <c r="AR15" s="124" t="str">
        <f>IF(AN12=2150,"","Attention hauteur linteau non standard")</f>
        <v/>
      </c>
      <c r="AS15" s="22"/>
      <c r="AT15" s="22"/>
      <c r="AU15" s="22"/>
      <c r="AV15" s="20"/>
      <c r="AW15" s="43"/>
    </row>
    <row r="16" spans="1:49" s="16" customFormat="1" ht="15" customHeight="1" thickBot="1" x14ac:dyDescent="0.3">
      <c r="A16" s="43"/>
      <c r="C16" s="17"/>
      <c r="D16" s="48"/>
      <c r="E16" s="48"/>
      <c r="F16" s="48"/>
      <c r="G16" s="20"/>
      <c r="H16" s="20"/>
      <c r="I16" s="20"/>
      <c r="J16" s="20"/>
      <c r="K16" s="20"/>
      <c r="L16" s="20"/>
      <c r="M16" s="43"/>
      <c r="N16" s="20"/>
      <c r="O16" s="17"/>
      <c r="P16" s="48"/>
      <c r="Q16" s="48"/>
      <c r="R16" s="48"/>
      <c r="S16" s="20"/>
      <c r="T16" s="20"/>
      <c r="U16" s="20"/>
      <c r="V16" s="20"/>
      <c r="W16" s="20"/>
      <c r="X16" s="22"/>
      <c r="Y16" s="43"/>
      <c r="AA16" s="17"/>
      <c r="AB16" s="48"/>
      <c r="AC16" s="48"/>
      <c r="AD16" s="48"/>
      <c r="AE16" s="20"/>
      <c r="AG16" s="20"/>
      <c r="AH16" s="20"/>
      <c r="AI16" s="20"/>
      <c r="AJ16" s="20"/>
      <c r="AK16" s="43"/>
      <c r="AM16" s="17"/>
      <c r="AN16" s="48"/>
      <c r="AO16" s="48"/>
      <c r="AP16" s="48"/>
      <c r="AQ16" s="20"/>
      <c r="AS16" s="20"/>
      <c r="AT16" s="20"/>
      <c r="AU16" s="20"/>
      <c r="AV16" s="20"/>
      <c r="AW16" s="43"/>
    </row>
    <row r="17" spans="1:49" s="16" customFormat="1" ht="15" customHeight="1" x14ac:dyDescent="0.25">
      <c r="A17" s="43"/>
      <c r="C17" s="24" t="s">
        <v>45</v>
      </c>
      <c r="D17" s="27"/>
      <c r="E17" s="27" t="s">
        <v>47</v>
      </c>
      <c r="F17" s="28"/>
      <c r="G17" s="26"/>
      <c r="H17" s="27" t="s">
        <v>46</v>
      </c>
      <c r="I17" s="35"/>
      <c r="J17" s="25" t="s">
        <v>2</v>
      </c>
      <c r="K17" s="29" t="s">
        <v>3</v>
      </c>
      <c r="L17" s="20"/>
      <c r="M17" s="43"/>
      <c r="N17" s="20"/>
      <c r="O17" s="24" t="s">
        <v>45</v>
      </c>
      <c r="P17" s="27"/>
      <c r="Q17" s="27" t="s">
        <v>47</v>
      </c>
      <c r="R17" s="28"/>
      <c r="S17" s="26"/>
      <c r="T17" s="27" t="s">
        <v>46</v>
      </c>
      <c r="U17" s="35"/>
      <c r="V17" s="25" t="s">
        <v>2</v>
      </c>
      <c r="W17" s="29" t="s">
        <v>3</v>
      </c>
      <c r="X17" s="22"/>
      <c r="Y17" s="43"/>
      <c r="AA17" s="24" t="s">
        <v>45</v>
      </c>
      <c r="AB17" s="27"/>
      <c r="AC17" s="27" t="s">
        <v>47</v>
      </c>
      <c r="AD17" s="28"/>
      <c r="AE17" s="26"/>
      <c r="AF17" s="27" t="s">
        <v>46</v>
      </c>
      <c r="AG17" s="35"/>
      <c r="AH17" s="25" t="s">
        <v>2</v>
      </c>
      <c r="AI17" s="29" t="s">
        <v>3</v>
      </c>
      <c r="AJ17" s="20"/>
      <c r="AK17" s="43"/>
      <c r="AM17" s="24" t="s">
        <v>45</v>
      </c>
      <c r="AN17" s="27"/>
      <c r="AO17" s="27" t="s">
        <v>47</v>
      </c>
      <c r="AP17" s="28"/>
      <c r="AQ17" s="26"/>
      <c r="AR17" s="27" t="s">
        <v>46</v>
      </c>
      <c r="AS17" s="35"/>
      <c r="AT17" s="25" t="s">
        <v>2</v>
      </c>
      <c r="AU17" s="29" t="s">
        <v>3</v>
      </c>
      <c r="AV17" s="20"/>
      <c r="AW17" s="43"/>
    </row>
    <row r="18" spans="1:49" s="16" customFormat="1" ht="15" customHeight="1" x14ac:dyDescent="0.25">
      <c r="A18" s="43"/>
      <c r="C18" s="36" t="str">
        <f>IF(D14="oui","","Traverses")</f>
        <v>Traverses</v>
      </c>
      <c r="D18" s="115" t="str">
        <f>IF(D14="oui","","45")</f>
        <v>45</v>
      </c>
      <c r="E18" s="105" t="str">
        <f>IF(D14="non","x","")</f>
        <v>x</v>
      </c>
      <c r="F18" s="116">
        <f>IF(D14="oui","",145)</f>
        <v>145</v>
      </c>
      <c r="G18" s="103"/>
      <c r="H18" s="105">
        <f>IF(D14="oui","",D10+120)</f>
        <v>1620</v>
      </c>
      <c r="I18" s="104" t="str">
        <f>IF(D14="oui","","mm")</f>
        <v>mm</v>
      </c>
      <c r="J18" s="18">
        <f>IF(D14="oui","",$D$9*K18)</f>
        <v>1</v>
      </c>
      <c r="K18" s="31">
        <f>IF(D14="oui","",1)</f>
        <v>1</v>
      </c>
      <c r="L18" s="20"/>
      <c r="M18" s="43"/>
      <c r="N18" s="20"/>
      <c r="O18" s="36" t="s">
        <v>6</v>
      </c>
      <c r="P18" s="115">
        <v>45</v>
      </c>
      <c r="Q18" s="105" t="s">
        <v>5</v>
      </c>
      <c r="R18" s="116">
        <v>145</v>
      </c>
      <c r="S18" s="103"/>
      <c r="T18" s="105">
        <f>P10+120</f>
        <v>1620</v>
      </c>
      <c r="U18" s="104" t="s">
        <v>1</v>
      </c>
      <c r="V18" s="18">
        <f>$P$9*W18</f>
        <v>2</v>
      </c>
      <c r="W18" s="31">
        <v>2</v>
      </c>
      <c r="X18" s="22"/>
      <c r="Y18" s="43"/>
      <c r="AA18" s="36" t="str">
        <f>IF(AB14="oui","Traverses à raboter en 35mm","Traverses")</f>
        <v>Traverses</v>
      </c>
      <c r="AB18" s="115" t="str">
        <f>IF(AB14="oui","35","45")</f>
        <v>45</v>
      </c>
      <c r="AC18" s="105" t="s">
        <v>5</v>
      </c>
      <c r="AD18" s="116">
        <v>145</v>
      </c>
      <c r="AE18" s="103"/>
      <c r="AF18" s="105">
        <f>IF(AB14="oui",AB10+300,AB10+120)</f>
        <v>1620</v>
      </c>
      <c r="AG18" s="116" t="s">
        <v>1</v>
      </c>
      <c r="AH18" s="18">
        <f>$AB$9*AI18</f>
        <v>3</v>
      </c>
      <c r="AI18" s="31">
        <f>IF(AB14="oui",1,3)</f>
        <v>3</v>
      </c>
      <c r="AJ18" s="20"/>
      <c r="AK18" s="43"/>
      <c r="AM18" s="36" t="s">
        <v>6</v>
      </c>
      <c r="AN18" s="115">
        <v>45</v>
      </c>
      <c r="AO18" s="105" t="s">
        <v>5</v>
      </c>
      <c r="AP18" s="116">
        <v>145</v>
      </c>
      <c r="AQ18" s="103"/>
      <c r="AR18" s="105">
        <f>AN10+120</f>
        <v>1020</v>
      </c>
      <c r="AS18" s="116" t="s">
        <v>1</v>
      </c>
      <c r="AT18" s="18">
        <f>$AN$9*AU18</f>
        <v>4</v>
      </c>
      <c r="AU18" s="31">
        <v>4</v>
      </c>
      <c r="AV18" s="20"/>
      <c r="AW18" s="43"/>
    </row>
    <row r="19" spans="1:49" s="16" customFormat="1" ht="15" customHeight="1" x14ac:dyDescent="0.25">
      <c r="A19" s="43"/>
      <c r="C19" s="36" t="str">
        <f>IF(D14="non","Montant avec entailles","Montant sans entailles")</f>
        <v>Montant avec entailles</v>
      </c>
      <c r="D19" s="115">
        <v>45</v>
      </c>
      <c r="E19" s="105" t="s">
        <v>5</v>
      </c>
      <c r="F19" s="116">
        <v>145</v>
      </c>
      <c r="G19" s="103"/>
      <c r="H19" s="105">
        <f>IF(D14="oui",D13,D11+220+15)</f>
        <v>2385</v>
      </c>
      <c r="I19" s="104" t="s">
        <v>1</v>
      </c>
      <c r="J19" s="18">
        <f>$D$9*K19</f>
        <v>2</v>
      </c>
      <c r="K19" s="31">
        <v>2</v>
      </c>
      <c r="L19" s="20"/>
      <c r="M19" s="43"/>
      <c r="N19" s="20"/>
      <c r="O19" s="36" t="s">
        <v>22</v>
      </c>
      <c r="P19" s="115">
        <v>45</v>
      </c>
      <c r="Q19" s="105" t="s">
        <v>5</v>
      </c>
      <c r="R19" s="116">
        <v>145</v>
      </c>
      <c r="S19" s="103"/>
      <c r="T19" s="105">
        <f>P11+270+50</f>
        <v>1220</v>
      </c>
      <c r="U19" s="104" t="s">
        <v>1</v>
      </c>
      <c r="V19" s="18">
        <f>$P$9*W19</f>
        <v>2</v>
      </c>
      <c r="W19" s="31">
        <v>2</v>
      </c>
      <c r="X19" s="22"/>
      <c r="Y19" s="43"/>
      <c r="AA19" s="36" t="str">
        <f>IF(AB14="oui","Montant sans entailles","Montant avec entailles")</f>
        <v>Montant avec entailles</v>
      </c>
      <c r="AB19" s="115">
        <v>45</v>
      </c>
      <c r="AC19" s="105" t="s">
        <v>5</v>
      </c>
      <c r="AD19" s="116">
        <v>145</v>
      </c>
      <c r="AE19" s="103"/>
      <c r="AF19" s="105">
        <f>IF(AB14="oui",AB11+535,AB11+435)</f>
        <v>2585</v>
      </c>
      <c r="AG19" s="116" t="s">
        <v>1</v>
      </c>
      <c r="AH19" s="18">
        <f>$AB$9*AI19</f>
        <v>2</v>
      </c>
      <c r="AI19" s="31">
        <v>2</v>
      </c>
      <c r="AJ19" s="20"/>
      <c r="AK19" s="43"/>
      <c r="AM19" s="36" t="s">
        <v>21</v>
      </c>
      <c r="AN19" s="115">
        <v>45</v>
      </c>
      <c r="AO19" s="105" t="s">
        <v>5</v>
      </c>
      <c r="AP19" s="116">
        <v>145</v>
      </c>
      <c r="AQ19" s="103"/>
      <c r="AR19" s="105">
        <f>AN11+470+50</f>
        <v>1320</v>
      </c>
      <c r="AS19" s="116" t="s">
        <v>1</v>
      </c>
      <c r="AT19" s="18">
        <f>$AN$9*AU19</f>
        <v>2</v>
      </c>
      <c r="AU19" s="31">
        <v>2</v>
      </c>
      <c r="AV19" s="20"/>
      <c r="AW19" s="43"/>
    </row>
    <row r="20" spans="1:49" s="16" customFormat="1" ht="15" customHeight="1" x14ac:dyDescent="0.25">
      <c r="A20" s="43"/>
      <c r="C20" s="36" t="str">
        <f>IF(D14="non","","Montant sans entailles")</f>
        <v/>
      </c>
      <c r="D20" s="115" t="str">
        <f>IF(D14="non","",45)</f>
        <v/>
      </c>
      <c r="E20" s="105" t="str">
        <f>IF(D14="non","","x")</f>
        <v/>
      </c>
      <c r="F20" s="116" t="str">
        <f>IF(D14="non","",145)</f>
        <v/>
      </c>
      <c r="G20" s="103"/>
      <c r="H20" s="105" t="str">
        <f>IF(D14="non","",D12+15)</f>
        <v/>
      </c>
      <c r="I20" s="104" t="str">
        <f>IF(D14="non","","mm")</f>
        <v/>
      </c>
      <c r="J20" s="18" t="str">
        <f>IF(D14="non","",$D$9*K20)</f>
        <v/>
      </c>
      <c r="K20" s="31" t="str">
        <f>IF(D14="non","",4)</f>
        <v/>
      </c>
      <c r="L20" s="20"/>
      <c r="M20" s="43"/>
      <c r="N20" s="20"/>
      <c r="O20" s="36"/>
      <c r="P20" s="115"/>
      <c r="Q20" s="105"/>
      <c r="R20" s="116"/>
      <c r="S20" s="103"/>
      <c r="T20" s="105"/>
      <c r="U20" s="104"/>
      <c r="V20" s="18"/>
      <c r="W20" s="31"/>
      <c r="X20" s="22"/>
      <c r="Y20" s="43"/>
      <c r="AA20" s="36" t="str">
        <f>IF(AB14="oui","Montant sans entailles","")</f>
        <v/>
      </c>
      <c r="AB20" s="115" t="str">
        <f>IF(AB14="oui","45","")</f>
        <v/>
      </c>
      <c r="AC20" s="105" t="str">
        <f>IF(AB14="oui","x","")</f>
        <v/>
      </c>
      <c r="AD20" s="116" t="str">
        <f>IF(AB14="oui",145,"")</f>
        <v/>
      </c>
      <c r="AE20" s="103"/>
      <c r="AF20" s="105" t="str">
        <f>IF(AB14="oui",AB11+215,"")</f>
        <v/>
      </c>
      <c r="AG20" s="104" t="str">
        <f>IF(AB14="oui","mm","")</f>
        <v/>
      </c>
      <c r="AH20" s="18" t="str">
        <f>IF(AB14="oui",AI20*AB9,"")</f>
        <v/>
      </c>
      <c r="AI20" s="31" t="str">
        <f>IF(AB14="oui",4,"")</f>
        <v/>
      </c>
      <c r="AJ20" s="20"/>
      <c r="AK20" s="43"/>
      <c r="AM20" s="36"/>
      <c r="AN20" s="115"/>
      <c r="AO20" s="105"/>
      <c r="AP20" s="116"/>
      <c r="AQ20" s="103"/>
      <c r="AR20" s="105"/>
      <c r="AS20" s="116"/>
      <c r="AT20" s="18"/>
      <c r="AU20" s="31"/>
      <c r="AV20" s="20"/>
      <c r="AW20" s="43"/>
    </row>
    <row r="21" spans="1:49" s="16" customFormat="1" ht="15" customHeight="1" x14ac:dyDescent="0.25">
      <c r="A21" s="43"/>
      <c r="C21" s="37"/>
      <c r="D21" s="19"/>
      <c r="E21" s="19"/>
      <c r="F21" s="19"/>
      <c r="G21" s="19"/>
      <c r="H21" s="19"/>
      <c r="I21" s="19"/>
      <c r="J21" s="19"/>
      <c r="K21" s="38"/>
      <c r="L21" s="20"/>
      <c r="M21" s="43"/>
      <c r="N21" s="20"/>
      <c r="O21" s="37"/>
      <c r="P21" s="19"/>
      <c r="Q21" s="19"/>
      <c r="R21" s="19"/>
      <c r="S21" s="19"/>
      <c r="T21" s="19"/>
      <c r="U21" s="19"/>
      <c r="V21" s="19"/>
      <c r="W21" s="38"/>
      <c r="X21" s="22"/>
      <c r="Y21" s="43"/>
      <c r="AA21" s="37"/>
      <c r="AB21" s="19"/>
      <c r="AC21" s="19"/>
      <c r="AD21" s="19"/>
      <c r="AE21" s="19"/>
      <c r="AF21" s="19"/>
      <c r="AG21" s="19"/>
      <c r="AH21" s="19"/>
      <c r="AI21" s="38"/>
      <c r="AJ21" s="20"/>
      <c r="AK21" s="43"/>
      <c r="AM21" s="37"/>
      <c r="AN21" s="19"/>
      <c r="AO21" s="19"/>
      <c r="AP21" s="19"/>
      <c r="AQ21" s="19"/>
      <c r="AR21" s="19"/>
      <c r="AS21" s="117"/>
      <c r="AT21" s="19"/>
      <c r="AU21" s="38"/>
      <c r="AV21" s="20"/>
      <c r="AW21" s="43"/>
    </row>
    <row r="22" spans="1:49" s="16" customFormat="1" ht="15" customHeight="1" x14ac:dyDescent="0.25">
      <c r="A22" s="43"/>
      <c r="C22" s="39" t="s">
        <v>0</v>
      </c>
      <c r="D22" s="115" t="str">
        <f>IF(D14="non","45","LC 140")</f>
        <v>45</v>
      </c>
      <c r="E22" s="105" t="s">
        <v>5</v>
      </c>
      <c r="F22" s="160">
        <f>IF(D14="non",220,320)</f>
        <v>220</v>
      </c>
      <c r="G22" s="103"/>
      <c r="H22" s="105">
        <f>IF(D14="non",D10+120,D10+210)</f>
        <v>1620</v>
      </c>
      <c r="I22" s="104" t="s">
        <v>1</v>
      </c>
      <c r="J22" s="18">
        <f>$D$9*K22</f>
        <v>2</v>
      </c>
      <c r="K22" s="31">
        <f>IF(D14="non",2,1)</f>
        <v>2</v>
      </c>
      <c r="L22" s="20"/>
      <c r="M22" s="43"/>
      <c r="N22" s="20"/>
      <c r="O22" s="39" t="s">
        <v>0</v>
      </c>
      <c r="P22" s="115">
        <v>45</v>
      </c>
      <c r="Q22" s="105" t="s">
        <v>5</v>
      </c>
      <c r="R22" s="160">
        <v>220</v>
      </c>
      <c r="S22" s="103"/>
      <c r="T22" s="105">
        <f>P10+120</f>
        <v>1620</v>
      </c>
      <c r="U22" s="104" t="s">
        <v>1</v>
      </c>
      <c r="V22" s="18">
        <f>$P$9*W22</f>
        <v>2</v>
      </c>
      <c r="W22" s="31">
        <v>2</v>
      </c>
      <c r="X22" s="22"/>
      <c r="Y22" s="43"/>
      <c r="AA22" s="39" t="s">
        <v>0</v>
      </c>
      <c r="AB22" s="115" t="str">
        <f>IF(AB14="oui","LC 140","45")</f>
        <v>45</v>
      </c>
      <c r="AC22" s="105" t="s">
        <v>5</v>
      </c>
      <c r="AD22" s="116" t="str">
        <f>IF(AB14="oui","320","220")</f>
        <v>220</v>
      </c>
      <c r="AE22" s="103"/>
      <c r="AF22" s="105">
        <f>IF(AB14="oui",AB10+210,AB10+120)</f>
        <v>1620</v>
      </c>
      <c r="AG22" s="116" t="s">
        <v>1</v>
      </c>
      <c r="AH22" s="18">
        <f>$AB$9*AI22</f>
        <v>2</v>
      </c>
      <c r="AI22" s="31">
        <f>IF(AB14="oui",1,2)</f>
        <v>2</v>
      </c>
      <c r="AJ22" s="20"/>
      <c r="AK22" s="43"/>
      <c r="AM22" s="39" t="s">
        <v>20</v>
      </c>
      <c r="AN22" s="115">
        <v>45</v>
      </c>
      <c r="AO22" s="105" t="s">
        <v>5</v>
      </c>
      <c r="AP22" s="116">
        <v>220</v>
      </c>
      <c r="AQ22" s="103"/>
      <c r="AR22" s="105">
        <f>AN10+120</f>
        <v>1020</v>
      </c>
      <c r="AS22" s="116" t="s">
        <v>1</v>
      </c>
      <c r="AT22" s="18">
        <f>$AN$9*AU22</f>
        <v>2</v>
      </c>
      <c r="AU22" s="31">
        <v>2</v>
      </c>
      <c r="AV22" s="20"/>
      <c r="AW22" s="43"/>
    </row>
    <row r="23" spans="1:49" s="16" customFormat="1" ht="15" customHeight="1" thickBot="1" x14ac:dyDescent="0.3">
      <c r="A23" s="43"/>
      <c r="C23" s="40" t="str">
        <f>IF(D14="oui","",IF(D10&gt;1800,"Linteau central",""))</f>
        <v/>
      </c>
      <c r="D23" s="154" t="str">
        <f>IF(D14="oui","",IF(D10&gt;1800,"45",""))</f>
        <v/>
      </c>
      <c r="E23" s="108" t="str">
        <f>IF(D14="oui","",IF(D10&gt;1800,"x",""))</f>
        <v/>
      </c>
      <c r="F23" s="120" t="str">
        <f>IF(D14="oui","",IF(D10&gt;1800,220,""))</f>
        <v/>
      </c>
      <c r="G23" s="106"/>
      <c r="H23" s="108" t="str">
        <f>IF(D14="oui","",IF(D10&gt;1800,D10+120-90,""))</f>
        <v/>
      </c>
      <c r="I23" s="107" t="str">
        <f>IF(D14="oui","",IF(D10&gt;1800,"mm",""))</f>
        <v/>
      </c>
      <c r="J23" s="33" t="str">
        <f>IF(D14="oui","",IF(D10&gt;1800,D9*K23,""))</f>
        <v/>
      </c>
      <c r="K23" s="34" t="str">
        <f>IF(D14="oui","",IF(D10&gt;1800,"1",""))</f>
        <v/>
      </c>
      <c r="L23" s="20"/>
      <c r="M23" s="43"/>
      <c r="N23" s="20"/>
      <c r="O23" s="40" t="str">
        <f>IF(P10&gt;1800,"Linteau central","")</f>
        <v/>
      </c>
      <c r="P23" s="154" t="str">
        <f>IF(P10&gt;1800,"45","")</f>
        <v/>
      </c>
      <c r="Q23" s="108" t="str">
        <f>IF(P10&gt;1800,"x","")</f>
        <v/>
      </c>
      <c r="R23" s="120" t="str">
        <f>IF(P10&gt;1800,"220","")</f>
        <v/>
      </c>
      <c r="S23" s="106"/>
      <c r="T23" s="108" t="str">
        <f>IF(P10&gt;1800,P10+120-90,"")</f>
        <v/>
      </c>
      <c r="U23" s="107" t="str">
        <f>IF(P10&gt;1800,"mm","")</f>
        <v/>
      </c>
      <c r="V23" s="33" t="str">
        <f>IF(P10&gt;1800,P9*W23,"")</f>
        <v/>
      </c>
      <c r="W23" s="34" t="str">
        <f>IF(P10&gt;1800,"1","")</f>
        <v/>
      </c>
      <c r="X23" s="22"/>
      <c r="Y23" s="43"/>
      <c r="AA23" s="40" t="str">
        <f>IF(AB14="oui","",IF(AB10&gt;1800,"Linteau central",""))</f>
        <v/>
      </c>
      <c r="AB23" s="154" t="str">
        <f>IF(AB14="oui","",IF(AB10&gt;1800,"45",""))</f>
        <v/>
      </c>
      <c r="AC23" s="108" t="str">
        <f>IF(AA23="","","x")</f>
        <v/>
      </c>
      <c r="AD23" s="120" t="str">
        <f>IF(AB14="oui","",IF(AB10&gt;1800,"220",""))</f>
        <v/>
      </c>
      <c r="AE23" s="106"/>
      <c r="AF23" s="108" t="str">
        <f>IF(AB14="oui","",IF(AB10&gt;1800,AB10+120-90,""))</f>
        <v/>
      </c>
      <c r="AG23" s="120" t="str">
        <f>IF(AB14="oui","",IF(AB10&gt;1800,"mm",""))</f>
        <v/>
      </c>
      <c r="AH23" s="33" t="str">
        <f>IF(AB14="oui","",IF(AB10&gt;1800,AB9*AI23,""))</f>
        <v/>
      </c>
      <c r="AI23" s="34" t="str">
        <f>IF(AB14="oui","",IF(AB10&gt;1800,"1",""))</f>
        <v/>
      </c>
      <c r="AJ23" s="20"/>
      <c r="AK23" s="43"/>
      <c r="AM23" s="40" t="str">
        <f>IF(AN10&gt;1800,"Linteau central","")</f>
        <v/>
      </c>
      <c r="AN23" s="154" t="str">
        <f>IF(AN10&gt;1800,45,"")</f>
        <v/>
      </c>
      <c r="AO23" s="108" t="str">
        <f>IF(AN10&gt;1800,"x","")</f>
        <v/>
      </c>
      <c r="AP23" s="120" t="str">
        <f>IF(AN10&gt;1800,220,"")</f>
        <v/>
      </c>
      <c r="AQ23" s="106"/>
      <c r="AR23" s="108" t="str">
        <f>IF(AN10&gt;1800,AN10+120-90,"")</f>
        <v/>
      </c>
      <c r="AS23" s="120" t="str">
        <f>IF(AN10&gt;1800,"mm","")</f>
        <v/>
      </c>
      <c r="AT23" s="33" t="str">
        <f>IF(AN10&gt;1800,AN9*AU23,"")</f>
        <v/>
      </c>
      <c r="AU23" s="34" t="str">
        <f>IF(AN10&gt;1800,"1","")</f>
        <v/>
      </c>
      <c r="AV23" s="20"/>
      <c r="AW23" s="43"/>
    </row>
    <row r="24" spans="1:49" s="16" customFormat="1" ht="15" customHeight="1" thickBot="1" x14ac:dyDescent="0.3">
      <c r="A24" s="43"/>
      <c r="D24" s="20"/>
      <c r="E24" s="20"/>
      <c r="F24" s="20"/>
      <c r="G24" s="20"/>
      <c r="H24" s="20"/>
      <c r="I24" s="20"/>
      <c r="J24" s="20"/>
      <c r="K24" s="20"/>
      <c r="L24" s="20"/>
      <c r="M24" s="43"/>
      <c r="N24" s="20"/>
      <c r="P24" s="20"/>
      <c r="Q24" s="20"/>
      <c r="R24" s="20"/>
      <c r="S24" s="20"/>
      <c r="T24" s="20"/>
      <c r="U24" s="20"/>
      <c r="V24" s="20"/>
      <c r="W24" s="20"/>
      <c r="X24" s="22"/>
      <c r="Y24" s="43"/>
      <c r="AB24" s="20"/>
      <c r="AC24" s="20"/>
      <c r="AD24" s="20"/>
      <c r="AE24" s="20"/>
      <c r="AF24" s="20"/>
      <c r="AG24" s="20"/>
      <c r="AH24" s="20"/>
      <c r="AI24" s="20"/>
      <c r="AJ24" s="20"/>
      <c r="AK24" s="43"/>
      <c r="AN24" s="20"/>
      <c r="AO24" s="20"/>
      <c r="AP24" s="20"/>
      <c r="AQ24" s="20"/>
      <c r="AR24" s="20"/>
      <c r="AS24" s="57"/>
      <c r="AT24" s="20"/>
      <c r="AU24" s="20"/>
      <c r="AV24" s="20"/>
      <c r="AW24" s="43"/>
    </row>
    <row r="25" spans="1:49" s="16" customFormat="1" ht="15" customHeight="1" x14ac:dyDescent="0.25">
      <c r="A25" s="43"/>
      <c r="C25" s="24" t="s">
        <v>14</v>
      </c>
      <c r="D25" s="25" t="s">
        <v>44</v>
      </c>
      <c r="E25" s="175"/>
      <c r="F25" s="176"/>
      <c r="G25" s="176" t="s">
        <v>66</v>
      </c>
      <c r="H25" s="176"/>
      <c r="I25" s="177"/>
      <c r="J25" s="25" t="s">
        <v>2</v>
      </c>
      <c r="K25" s="29" t="s">
        <v>3</v>
      </c>
      <c r="L25" s="20"/>
      <c r="M25" s="43"/>
      <c r="N25" s="20"/>
      <c r="O25" s="24" t="s">
        <v>14</v>
      </c>
      <c r="P25" s="25" t="s">
        <v>44</v>
      </c>
      <c r="Q25" s="175"/>
      <c r="R25" s="176"/>
      <c r="S25" s="176" t="s">
        <v>66</v>
      </c>
      <c r="T25" s="176"/>
      <c r="U25" s="177"/>
      <c r="V25" s="25" t="s">
        <v>2</v>
      </c>
      <c r="W25" s="29" t="s">
        <v>3</v>
      </c>
      <c r="X25" s="20"/>
      <c r="Y25" s="43"/>
      <c r="AA25" s="24" t="s">
        <v>14</v>
      </c>
      <c r="AB25" s="25" t="s">
        <v>44</v>
      </c>
      <c r="AC25" s="26"/>
      <c r="AD25" s="27"/>
      <c r="AE25" s="27" t="s">
        <v>66</v>
      </c>
      <c r="AF25" s="27"/>
      <c r="AG25" s="28"/>
      <c r="AH25" s="25" t="s">
        <v>2</v>
      </c>
      <c r="AI25" s="29" t="s">
        <v>3</v>
      </c>
      <c r="AJ25" s="20"/>
      <c r="AK25" s="43"/>
      <c r="AM25" s="24" t="s">
        <v>14</v>
      </c>
      <c r="AN25" s="25" t="s">
        <v>44</v>
      </c>
      <c r="AO25" s="26"/>
      <c r="AP25" s="27"/>
      <c r="AQ25" s="27" t="s">
        <v>66</v>
      </c>
      <c r="AR25" s="27"/>
      <c r="AS25" s="28"/>
      <c r="AT25" s="25" t="s">
        <v>2</v>
      </c>
      <c r="AU25" s="29" t="s">
        <v>3</v>
      </c>
      <c r="AV25" s="20"/>
      <c r="AW25" s="43"/>
    </row>
    <row r="26" spans="1:49" s="16" customFormat="1" ht="15" customHeight="1" thickBot="1" x14ac:dyDescent="0.3">
      <c r="A26" s="43"/>
      <c r="C26" s="30" t="s">
        <v>8</v>
      </c>
      <c r="D26" s="18">
        <v>15</v>
      </c>
      <c r="E26" s="103"/>
      <c r="F26" s="159">
        <v>205</v>
      </c>
      <c r="G26" s="105" t="s">
        <v>5</v>
      </c>
      <c r="H26" s="160">
        <f>D11</f>
        <v>2150</v>
      </c>
      <c r="I26" s="104" t="s">
        <v>1</v>
      </c>
      <c r="J26" s="18">
        <f>D9*K26</f>
        <v>2</v>
      </c>
      <c r="K26" s="31">
        <v>2</v>
      </c>
      <c r="L26" s="20"/>
      <c r="M26" s="43"/>
      <c r="N26" s="20"/>
      <c r="O26" s="30" t="s">
        <v>8</v>
      </c>
      <c r="P26" s="18">
        <v>15</v>
      </c>
      <c r="Q26" s="103"/>
      <c r="R26" s="159">
        <v>205</v>
      </c>
      <c r="S26" s="105" t="s">
        <v>5</v>
      </c>
      <c r="T26" s="160">
        <f>P11</f>
        <v>900</v>
      </c>
      <c r="U26" s="104" t="s">
        <v>1</v>
      </c>
      <c r="V26" s="18">
        <f>P9*W26</f>
        <v>2</v>
      </c>
      <c r="W26" s="31">
        <v>2</v>
      </c>
      <c r="X26" s="20"/>
      <c r="Y26" s="43"/>
      <c r="AA26" s="32" t="s">
        <v>18</v>
      </c>
      <c r="AB26" s="33">
        <v>15</v>
      </c>
      <c r="AC26" s="106"/>
      <c r="AD26" s="158">
        <v>205</v>
      </c>
      <c r="AE26" s="108" t="s">
        <v>5</v>
      </c>
      <c r="AF26" s="157">
        <f>AB11</f>
        <v>2150</v>
      </c>
      <c r="AG26" s="119" t="s">
        <v>1</v>
      </c>
      <c r="AH26" s="33">
        <f>AB9*AI26</f>
        <v>2</v>
      </c>
      <c r="AI26" s="34">
        <v>2</v>
      </c>
      <c r="AJ26" s="20"/>
      <c r="AK26" s="43"/>
      <c r="AM26" s="32" t="s">
        <v>18</v>
      </c>
      <c r="AN26" s="33">
        <v>15</v>
      </c>
      <c r="AO26" s="106"/>
      <c r="AP26" s="158">
        <v>205</v>
      </c>
      <c r="AQ26" s="108" t="s">
        <v>5</v>
      </c>
      <c r="AR26" s="157">
        <f>AN11</f>
        <v>800</v>
      </c>
      <c r="AS26" s="119" t="s">
        <v>1</v>
      </c>
      <c r="AT26" s="33">
        <f>AN9*AU26</f>
        <v>2</v>
      </c>
      <c r="AU26" s="34">
        <v>2</v>
      </c>
      <c r="AV26" s="20"/>
      <c r="AW26" s="43"/>
    </row>
    <row r="27" spans="1:49" s="16" customFormat="1" ht="15" customHeight="1" thickBot="1" x14ac:dyDescent="0.3">
      <c r="A27" s="43"/>
      <c r="C27" s="32" t="s">
        <v>7</v>
      </c>
      <c r="D27" s="33">
        <v>15</v>
      </c>
      <c r="E27" s="106"/>
      <c r="F27" s="158">
        <v>205</v>
      </c>
      <c r="G27" s="108" t="s">
        <v>5</v>
      </c>
      <c r="H27" s="157">
        <f>D10+30</f>
        <v>1530</v>
      </c>
      <c r="I27" s="107" t="s">
        <v>1</v>
      </c>
      <c r="J27" s="33">
        <f>K27*D9</f>
        <v>1</v>
      </c>
      <c r="K27" s="34">
        <v>1</v>
      </c>
      <c r="L27" s="20"/>
      <c r="M27" s="43"/>
      <c r="N27" s="20"/>
      <c r="O27" s="32" t="s">
        <v>7</v>
      </c>
      <c r="P27" s="33">
        <v>15</v>
      </c>
      <c r="Q27" s="106"/>
      <c r="R27" s="158">
        <v>205</v>
      </c>
      <c r="S27" s="108" t="s">
        <v>5</v>
      </c>
      <c r="T27" s="157">
        <f>P10+30</f>
        <v>1530</v>
      </c>
      <c r="U27" s="107" t="s">
        <v>1</v>
      </c>
      <c r="V27" s="33">
        <f>W27*P9</f>
        <v>1</v>
      </c>
      <c r="W27" s="34">
        <v>1</v>
      </c>
      <c r="X27" s="20"/>
      <c r="Y27" s="43"/>
      <c r="AB27" s="20"/>
      <c r="AC27" s="20"/>
      <c r="AD27" s="20"/>
      <c r="AE27" s="20"/>
      <c r="AF27" s="20"/>
      <c r="AH27" s="20"/>
      <c r="AI27" s="20"/>
      <c r="AJ27" s="20"/>
      <c r="AK27" s="43"/>
      <c r="AN27" s="20"/>
      <c r="AO27" s="20"/>
      <c r="AP27" s="20"/>
      <c r="AQ27" s="20"/>
      <c r="AR27" s="20"/>
      <c r="AT27" s="20"/>
      <c r="AU27" s="20"/>
      <c r="AV27" s="20"/>
      <c r="AW27" s="43"/>
    </row>
    <row r="28" spans="1:49" s="16" customFormat="1" ht="15" customHeight="1" x14ac:dyDescent="0.25">
      <c r="A28" s="43"/>
      <c r="D28" s="20"/>
      <c r="E28" s="20"/>
      <c r="F28" s="20"/>
      <c r="G28" s="20"/>
      <c r="H28" s="20"/>
      <c r="I28" s="20"/>
      <c r="J28" s="20"/>
      <c r="K28" s="20"/>
      <c r="L28" s="20"/>
      <c r="M28" s="43"/>
      <c r="N28" s="20"/>
      <c r="P28" s="23"/>
      <c r="Q28" s="23"/>
      <c r="R28" s="23"/>
      <c r="S28" s="23"/>
      <c r="T28" s="23"/>
      <c r="U28" s="23"/>
      <c r="V28" s="23"/>
      <c r="W28" s="20"/>
      <c r="X28" s="20"/>
      <c r="Y28" s="43"/>
      <c r="AA28" s="24" t="s">
        <v>48</v>
      </c>
      <c r="AB28" s="25" t="s">
        <v>44</v>
      </c>
      <c r="AC28" s="26"/>
      <c r="AD28" s="27"/>
      <c r="AE28" s="27" t="s">
        <v>66</v>
      </c>
      <c r="AF28" s="27"/>
      <c r="AG28" s="191"/>
      <c r="AH28" s="25" t="s">
        <v>2</v>
      </c>
      <c r="AI28" s="29" t="s">
        <v>3</v>
      </c>
      <c r="AJ28" s="20"/>
      <c r="AK28" s="43"/>
      <c r="AM28" s="24" t="s">
        <v>48</v>
      </c>
      <c r="AN28" s="25" t="s">
        <v>44</v>
      </c>
      <c r="AO28" s="26"/>
      <c r="AP28" s="27"/>
      <c r="AQ28" s="27" t="s">
        <v>66</v>
      </c>
      <c r="AR28" s="27"/>
      <c r="AS28" s="191"/>
      <c r="AT28" s="25" t="s">
        <v>2</v>
      </c>
      <c r="AU28" s="29" t="s">
        <v>3</v>
      </c>
      <c r="AV28" s="20"/>
      <c r="AW28" s="43"/>
    </row>
    <row r="29" spans="1:49" s="16" customFormat="1" ht="15" customHeight="1" thickBot="1" x14ac:dyDescent="0.3">
      <c r="A29" s="43"/>
      <c r="D29" s="20"/>
      <c r="E29" s="20"/>
      <c r="F29" s="20"/>
      <c r="G29" s="20"/>
      <c r="H29" s="20"/>
      <c r="I29" s="20"/>
      <c r="J29" s="20"/>
      <c r="K29" s="20"/>
      <c r="L29" s="20"/>
      <c r="M29" s="43"/>
      <c r="N29" s="20"/>
      <c r="P29" s="23"/>
      <c r="Q29" s="23"/>
      <c r="R29" s="23"/>
      <c r="S29" s="23"/>
      <c r="T29" s="23"/>
      <c r="U29" s="23"/>
      <c r="V29" s="23"/>
      <c r="W29" s="20"/>
      <c r="X29" s="20"/>
      <c r="Y29" s="43"/>
      <c r="AA29" s="32" t="s">
        <v>19</v>
      </c>
      <c r="AB29" s="33">
        <v>12</v>
      </c>
      <c r="AC29" s="106"/>
      <c r="AD29" s="158">
        <v>395</v>
      </c>
      <c r="AE29" s="108" t="s">
        <v>5</v>
      </c>
      <c r="AF29" s="157">
        <f>IF(AB14="oui",AB10+210,AB10+30)</f>
        <v>1530</v>
      </c>
      <c r="AG29" s="119" t="s">
        <v>1</v>
      </c>
      <c r="AH29" s="33">
        <f>AI29*AB9</f>
        <v>1</v>
      </c>
      <c r="AI29" s="34">
        <v>1</v>
      </c>
      <c r="AJ29" s="20"/>
      <c r="AK29" s="43"/>
      <c r="AM29" s="32" t="s">
        <v>19</v>
      </c>
      <c r="AN29" s="33">
        <v>12</v>
      </c>
      <c r="AO29" s="106"/>
      <c r="AP29" s="158">
        <v>395</v>
      </c>
      <c r="AQ29" s="108" t="s">
        <v>5</v>
      </c>
      <c r="AR29" s="157">
        <f>AN10+30</f>
        <v>930</v>
      </c>
      <c r="AS29" s="119" t="s">
        <v>1</v>
      </c>
      <c r="AT29" s="33">
        <f>AU29*AN9</f>
        <v>1</v>
      </c>
      <c r="AU29" s="34">
        <v>1</v>
      </c>
      <c r="AV29" s="20"/>
      <c r="AW29" s="43"/>
    </row>
    <row r="30" spans="1:49" s="16" customFormat="1" ht="15" customHeight="1" thickBot="1" x14ac:dyDescent="0.3">
      <c r="A30" s="43"/>
      <c r="D30" s="20"/>
      <c r="E30" s="20"/>
      <c r="F30" s="20"/>
      <c r="G30" s="20"/>
      <c r="H30" s="20"/>
      <c r="I30" s="20"/>
      <c r="J30" s="20"/>
      <c r="K30" s="20"/>
      <c r="L30" s="20"/>
      <c r="M30" s="43"/>
      <c r="N30" s="20"/>
      <c r="P30" s="23"/>
      <c r="Q30" s="23"/>
      <c r="R30" s="23"/>
      <c r="S30" s="23"/>
      <c r="T30" s="23"/>
      <c r="U30" s="23"/>
      <c r="V30" s="23"/>
      <c r="W30" s="20"/>
      <c r="X30" s="20"/>
      <c r="Y30" s="43"/>
      <c r="AB30" s="20"/>
      <c r="AC30" s="20"/>
      <c r="AD30" s="20"/>
      <c r="AE30" s="20"/>
      <c r="AF30" s="20"/>
      <c r="AH30" s="20"/>
      <c r="AI30" s="20"/>
      <c r="AJ30" s="20"/>
      <c r="AK30" s="43"/>
      <c r="AN30" s="20"/>
      <c r="AO30" s="20"/>
      <c r="AP30" s="20"/>
      <c r="AQ30" s="20"/>
      <c r="AR30" s="20"/>
      <c r="AT30" s="20"/>
      <c r="AU30" s="20"/>
      <c r="AV30" s="20"/>
      <c r="AW30" s="43"/>
    </row>
    <row r="31" spans="1:49" s="16" customFormat="1" ht="15" customHeight="1" thickBot="1" x14ac:dyDescent="0.3">
      <c r="A31" s="43"/>
      <c r="D31" s="20"/>
      <c r="E31" s="20"/>
      <c r="F31" s="20"/>
      <c r="G31" s="20"/>
      <c r="H31" s="20"/>
      <c r="I31" s="20"/>
      <c r="J31" s="20"/>
      <c r="K31" s="20"/>
      <c r="L31" s="20"/>
      <c r="M31" s="43"/>
      <c r="N31" s="20"/>
      <c r="P31" s="23"/>
      <c r="Q31" s="23"/>
      <c r="R31" s="23"/>
      <c r="S31" s="23"/>
      <c r="T31" s="23"/>
      <c r="U31" s="23"/>
      <c r="V31" s="23"/>
      <c r="W31" s="20"/>
      <c r="X31" s="20"/>
      <c r="Y31" s="43"/>
      <c r="AA31" s="161" t="s">
        <v>13</v>
      </c>
      <c r="AB31" s="162" t="s">
        <v>44</v>
      </c>
      <c r="AC31" s="175"/>
      <c r="AD31" s="176"/>
      <c r="AE31" s="176" t="s">
        <v>66</v>
      </c>
      <c r="AF31" s="176"/>
      <c r="AG31" s="192"/>
      <c r="AH31" s="162" t="s">
        <v>2</v>
      </c>
      <c r="AI31" s="163" t="s">
        <v>3</v>
      </c>
      <c r="AJ31" s="20"/>
      <c r="AK31" s="43"/>
      <c r="AM31" s="161" t="s">
        <v>13</v>
      </c>
      <c r="AN31" s="162" t="s">
        <v>44</v>
      </c>
      <c r="AO31" s="175"/>
      <c r="AP31" s="176"/>
      <c r="AQ31" s="176" t="s">
        <v>66</v>
      </c>
      <c r="AR31" s="176"/>
      <c r="AS31" s="192"/>
      <c r="AT31" s="162" t="s">
        <v>2</v>
      </c>
      <c r="AU31" s="163" t="s">
        <v>3</v>
      </c>
      <c r="AV31" s="20"/>
      <c r="AW31" s="43"/>
    </row>
    <row r="32" spans="1:49" s="16" customFormat="1" ht="15" customHeight="1" thickBot="1" x14ac:dyDescent="0.3">
      <c r="A32" s="43"/>
      <c r="D32" s="20"/>
      <c r="E32" s="20"/>
      <c r="F32" s="20"/>
      <c r="G32" s="20"/>
      <c r="H32" s="20"/>
      <c r="I32" s="20"/>
      <c r="J32" s="20"/>
      <c r="K32" s="20"/>
      <c r="L32" s="20"/>
      <c r="M32" s="43"/>
      <c r="N32" s="20"/>
      <c r="P32" s="23"/>
      <c r="Q32" s="23"/>
      <c r="R32" s="23"/>
      <c r="S32" s="23"/>
      <c r="T32" s="23"/>
      <c r="U32" s="23"/>
      <c r="V32" s="23"/>
      <c r="W32" s="20"/>
      <c r="X32" s="20"/>
      <c r="Y32" s="43"/>
      <c r="AA32" s="188"/>
      <c r="AB32" s="189"/>
      <c r="AC32" s="189"/>
      <c r="AD32" s="189"/>
      <c r="AE32" s="187" t="s">
        <v>49</v>
      </c>
      <c r="AF32" s="189"/>
      <c r="AG32" s="189"/>
      <c r="AH32" s="189"/>
      <c r="AI32" s="190"/>
      <c r="AJ32" s="20"/>
      <c r="AK32" s="43"/>
      <c r="AM32" s="188"/>
      <c r="AN32" s="189"/>
      <c r="AO32" s="189"/>
      <c r="AP32" s="189"/>
      <c r="AQ32" s="187" t="s">
        <v>49</v>
      </c>
      <c r="AR32" s="189"/>
      <c r="AS32" s="189"/>
      <c r="AT32" s="189"/>
      <c r="AU32" s="190"/>
      <c r="AV32" s="20"/>
      <c r="AW32" s="43"/>
    </row>
    <row r="33" spans="1:49" s="16" customFormat="1" ht="15" customHeight="1" x14ac:dyDescent="0.25">
      <c r="A33" s="43"/>
      <c r="D33" s="20"/>
      <c r="E33" s="20"/>
      <c r="F33" s="20"/>
      <c r="G33" s="20"/>
      <c r="H33" s="20"/>
      <c r="I33" s="20"/>
      <c r="J33" s="20"/>
      <c r="K33" s="20"/>
      <c r="L33" s="20"/>
      <c r="M33" s="43"/>
      <c r="N33" s="20"/>
      <c r="P33" s="23"/>
      <c r="Q33" s="23"/>
      <c r="R33" s="23"/>
      <c r="S33" s="23"/>
      <c r="T33" s="23"/>
      <c r="U33" s="23"/>
      <c r="V33" s="23"/>
      <c r="W33" s="20"/>
      <c r="X33" s="20"/>
      <c r="Y33" s="43"/>
      <c r="AA33" s="164" t="s">
        <v>50</v>
      </c>
      <c r="AB33" s="165">
        <v>40</v>
      </c>
      <c r="AC33" s="178"/>
      <c r="AD33" s="179">
        <v>560</v>
      </c>
      <c r="AE33" s="180" t="s">
        <v>5</v>
      </c>
      <c r="AF33" s="181">
        <v>590</v>
      </c>
      <c r="AG33" s="193" t="s">
        <v>1</v>
      </c>
      <c r="AH33" s="165">
        <f>AI33*AB9</f>
        <v>3</v>
      </c>
      <c r="AI33" s="166">
        <f>IF(AB14="oui",ROUNDUP((AB10+180)/AD33,0),ROUNDUP(AB10/AD33,0))</f>
        <v>3</v>
      </c>
      <c r="AJ33" s="20"/>
      <c r="AK33" s="43"/>
      <c r="AM33" s="164" t="s">
        <v>50</v>
      </c>
      <c r="AN33" s="165">
        <v>40</v>
      </c>
      <c r="AO33" s="178"/>
      <c r="AP33" s="179">
        <v>560</v>
      </c>
      <c r="AQ33" s="180" t="s">
        <v>5</v>
      </c>
      <c r="AR33" s="181">
        <v>590</v>
      </c>
      <c r="AS33" s="193" t="s">
        <v>1</v>
      </c>
      <c r="AT33" s="165">
        <f>AN9*AU33</f>
        <v>2</v>
      </c>
      <c r="AU33" s="166">
        <f>ROUNDUP(AN10/AP33,0)</f>
        <v>2</v>
      </c>
      <c r="AV33" s="20"/>
      <c r="AW33" s="43"/>
    </row>
    <row r="34" spans="1:49" s="16" customFormat="1" ht="15" customHeight="1" x14ac:dyDescent="0.25">
      <c r="A34" s="43"/>
      <c r="D34" s="20"/>
      <c r="E34" s="20"/>
      <c r="F34" s="20"/>
      <c r="G34" s="20"/>
      <c r="H34" s="20"/>
      <c r="I34" s="20"/>
      <c r="J34" s="20"/>
      <c r="K34" s="20"/>
      <c r="L34" s="20"/>
      <c r="M34" s="43"/>
      <c r="N34" s="20"/>
      <c r="P34" s="23"/>
      <c r="Q34" s="23"/>
      <c r="R34" s="23"/>
      <c r="S34" s="23"/>
      <c r="T34" s="23"/>
      <c r="U34" s="23"/>
      <c r="V34" s="23"/>
      <c r="W34" s="23"/>
      <c r="X34" s="23"/>
      <c r="Y34" s="43"/>
      <c r="AA34" s="30" t="s">
        <v>16</v>
      </c>
      <c r="AB34" s="18" t="s">
        <v>67</v>
      </c>
      <c r="AC34" s="103"/>
      <c r="AD34" s="105"/>
      <c r="AE34" s="105"/>
      <c r="AF34" s="160">
        <v>3</v>
      </c>
      <c r="AG34" s="118" t="s">
        <v>17</v>
      </c>
      <c r="AH34" s="18">
        <f>AB9*AI34</f>
        <v>1</v>
      </c>
      <c r="AI34" s="155">
        <f>ROUNDUP(((AH10/600)*(AB13-AB12+40)/1000)/AF34,0)</f>
        <v>1</v>
      </c>
      <c r="AJ34" s="20"/>
      <c r="AK34" s="43"/>
      <c r="AM34" s="30" t="s">
        <v>16</v>
      </c>
      <c r="AN34" s="18" t="s">
        <v>67</v>
      </c>
      <c r="AO34" s="103"/>
      <c r="AP34" s="105"/>
      <c r="AQ34" s="105"/>
      <c r="AR34" s="160">
        <v>3</v>
      </c>
      <c r="AS34" s="118" t="s">
        <v>17</v>
      </c>
      <c r="AT34" s="18">
        <f>AN9*AU34</f>
        <v>1</v>
      </c>
      <c r="AU34" s="155">
        <f>ROUNDUP(((AT10/600)*(AN13-AN12+40)/1000)/AR34,0)</f>
        <v>1</v>
      </c>
      <c r="AV34" s="20"/>
      <c r="AW34" s="43"/>
    </row>
    <row r="35" spans="1:49" s="16" customFormat="1" ht="15" customHeight="1" thickBot="1" x14ac:dyDescent="0.3">
      <c r="A35" s="43"/>
      <c r="D35" s="20"/>
      <c r="E35" s="20"/>
      <c r="F35" s="20"/>
      <c r="G35" s="20"/>
      <c r="H35" s="20"/>
      <c r="I35" s="20"/>
      <c r="J35" s="20"/>
      <c r="K35" s="20"/>
      <c r="L35" s="20"/>
      <c r="M35" s="43"/>
      <c r="N35" s="20"/>
      <c r="O35" s="21"/>
      <c r="P35" s="23"/>
      <c r="Q35" s="23"/>
      <c r="R35" s="23"/>
      <c r="S35" s="23"/>
      <c r="T35" s="23"/>
      <c r="U35" s="20"/>
      <c r="V35" s="20"/>
      <c r="W35" s="20"/>
      <c r="X35" s="20"/>
      <c r="Y35" s="43"/>
      <c r="AA35" s="167" t="s">
        <v>15</v>
      </c>
      <c r="AB35" s="156"/>
      <c r="AC35" s="168"/>
      <c r="AD35" s="168"/>
      <c r="AE35" s="168"/>
      <c r="AF35" s="169"/>
      <c r="AG35" s="194"/>
      <c r="AH35" s="170" t="str">
        <f>ROUNDUP(AB9*AH10*(AB13-AB12+40)/1000000*1.15,1)&amp;" m²"</f>
        <v>1,2 m²</v>
      </c>
      <c r="AI35" s="171" t="str">
        <f>ROUNDUP(AH10*(AB13-AB12+40)/1000000*1.15,1)&amp;" m²"</f>
        <v>1,2 m²</v>
      </c>
      <c r="AJ35" s="20"/>
      <c r="AK35" s="43"/>
      <c r="AM35" s="167" t="s">
        <v>15</v>
      </c>
      <c r="AN35" s="156"/>
      <c r="AO35" s="168"/>
      <c r="AP35" s="168"/>
      <c r="AQ35" s="168"/>
      <c r="AR35" s="169"/>
      <c r="AS35" s="194"/>
      <c r="AT35" s="170" t="str">
        <f>ROUNDUP(AN9*AT10*(AN13-AN12+40)/1000000*1.15,1)&amp;" m²"</f>
        <v>0,8 m²</v>
      </c>
      <c r="AU35" s="171" t="str">
        <f>ROUNDUP(AT10*(AN13-AN12+40)/1000000*1.15,1)&amp;" m²"</f>
        <v>0,8 m²</v>
      </c>
      <c r="AV35" s="20"/>
      <c r="AW35" s="43"/>
    </row>
    <row r="36" spans="1:49" s="16" customFormat="1" ht="15" customHeight="1" thickBot="1" x14ac:dyDescent="0.3">
      <c r="A36" s="43"/>
      <c r="D36" s="20"/>
      <c r="E36" s="20"/>
      <c r="F36" s="20"/>
      <c r="G36" s="20"/>
      <c r="H36" s="20"/>
      <c r="I36" s="20"/>
      <c r="J36" s="20"/>
      <c r="K36" s="20"/>
      <c r="L36" s="20"/>
      <c r="M36" s="43"/>
      <c r="N36" s="20"/>
      <c r="O36" s="21"/>
      <c r="P36" s="23"/>
      <c r="Q36" s="23"/>
      <c r="R36" s="23"/>
      <c r="S36" s="23"/>
      <c r="T36" s="23"/>
      <c r="U36" s="23"/>
      <c r="V36" s="23"/>
      <c r="W36" s="23"/>
      <c r="X36" s="23"/>
      <c r="Y36" s="43"/>
      <c r="AA36" s="188"/>
      <c r="AB36" s="189"/>
      <c r="AC36" s="189"/>
      <c r="AD36" s="189"/>
      <c r="AE36" s="187" t="s">
        <v>70</v>
      </c>
      <c r="AF36" s="189"/>
      <c r="AG36" s="189"/>
      <c r="AH36" s="189"/>
      <c r="AI36" s="190"/>
      <c r="AJ36" s="20"/>
      <c r="AK36" s="43"/>
      <c r="AM36" s="188"/>
      <c r="AN36" s="189"/>
      <c r="AO36" s="189"/>
      <c r="AP36" s="189"/>
      <c r="AQ36" s="187" t="s">
        <v>70</v>
      </c>
      <c r="AR36" s="189"/>
      <c r="AS36" s="189"/>
      <c r="AT36" s="189"/>
      <c r="AU36" s="190"/>
      <c r="AV36" s="20"/>
      <c r="AW36" s="43"/>
    </row>
    <row r="37" spans="1:49" s="16" customFormat="1" ht="15" customHeight="1" thickBot="1" x14ac:dyDescent="0.3">
      <c r="A37" s="49"/>
      <c r="B37" s="21"/>
      <c r="D37" s="20"/>
      <c r="E37" s="20"/>
      <c r="F37" s="20"/>
      <c r="G37" s="20"/>
      <c r="H37" s="20"/>
      <c r="I37" s="20"/>
      <c r="J37" s="23"/>
      <c r="K37" s="23"/>
      <c r="L37" s="23"/>
      <c r="M37" s="49"/>
      <c r="N37" s="23"/>
      <c r="O37" s="21"/>
      <c r="P37" s="23"/>
      <c r="Q37" s="23"/>
      <c r="R37" s="23"/>
      <c r="S37" s="23"/>
      <c r="T37" s="23"/>
      <c r="U37" s="23"/>
      <c r="V37" s="23"/>
      <c r="W37" s="23"/>
      <c r="X37" s="23"/>
      <c r="Y37" s="49"/>
      <c r="AA37" s="172" t="s">
        <v>12</v>
      </c>
      <c r="AB37" s="173">
        <v>16</v>
      </c>
      <c r="AC37" s="182"/>
      <c r="AD37" s="183">
        <v>595</v>
      </c>
      <c r="AE37" s="184" t="s">
        <v>5</v>
      </c>
      <c r="AF37" s="185">
        <f>IF(AB14="oui",AB10+210,AB10+30)</f>
        <v>1530</v>
      </c>
      <c r="AG37" s="195" t="s">
        <v>1</v>
      </c>
      <c r="AH37" s="173">
        <f>AI37*AB9</f>
        <v>1</v>
      </c>
      <c r="AI37" s="174">
        <v>1</v>
      </c>
      <c r="AJ37" s="20"/>
      <c r="AK37" s="49"/>
      <c r="AM37" s="172" t="s">
        <v>12</v>
      </c>
      <c r="AN37" s="173">
        <v>16</v>
      </c>
      <c r="AO37" s="182"/>
      <c r="AP37" s="183">
        <v>595</v>
      </c>
      <c r="AQ37" s="184" t="s">
        <v>5</v>
      </c>
      <c r="AR37" s="185">
        <f>AN10+30</f>
        <v>930</v>
      </c>
      <c r="AS37" s="195" t="s">
        <v>1</v>
      </c>
      <c r="AT37" s="173">
        <f>AU37*AN9</f>
        <v>1</v>
      </c>
      <c r="AU37" s="174">
        <v>1</v>
      </c>
      <c r="AV37" s="20"/>
      <c r="AW37" s="49"/>
    </row>
    <row r="38" spans="1:49" s="16" customFormat="1" ht="15" customHeight="1" x14ac:dyDescent="0.25">
      <c r="A38" s="49"/>
      <c r="D38" s="20"/>
      <c r="E38" s="20"/>
      <c r="F38" s="20"/>
      <c r="G38" s="20"/>
      <c r="H38" s="20"/>
      <c r="I38" s="20"/>
      <c r="J38" s="23"/>
      <c r="K38" s="23"/>
      <c r="L38" s="23"/>
      <c r="M38" s="49"/>
      <c r="N38" s="23"/>
      <c r="O38" s="21"/>
      <c r="P38" s="23"/>
      <c r="Q38" s="23"/>
      <c r="R38" s="23"/>
      <c r="S38" s="23"/>
      <c r="T38" s="23"/>
      <c r="U38" s="23"/>
      <c r="V38" s="23"/>
      <c r="W38" s="23"/>
      <c r="X38" s="23"/>
      <c r="Y38" s="49"/>
      <c r="AB38" s="20"/>
      <c r="AC38" s="20"/>
      <c r="AD38" s="20"/>
      <c r="AE38" s="20"/>
      <c r="AF38" s="20"/>
      <c r="AG38" s="20"/>
      <c r="AH38" s="20"/>
      <c r="AI38" s="20"/>
      <c r="AJ38" s="20"/>
      <c r="AK38" s="49"/>
      <c r="AN38" s="20"/>
      <c r="AO38" s="20"/>
      <c r="AP38" s="20"/>
      <c r="AQ38" s="20"/>
      <c r="AR38" s="20"/>
      <c r="AS38" s="20"/>
      <c r="AT38" s="20"/>
      <c r="AU38" s="20"/>
      <c r="AV38" s="20"/>
      <c r="AW38" s="49"/>
    </row>
    <row r="39" spans="1:49" s="16" customFormat="1" ht="15" customHeight="1" x14ac:dyDescent="0.25">
      <c r="A39" s="49"/>
      <c r="D39" s="20"/>
      <c r="E39" s="20"/>
      <c r="F39" s="20"/>
      <c r="G39" s="20"/>
      <c r="H39" s="20"/>
      <c r="I39" s="20"/>
      <c r="J39" s="23"/>
      <c r="K39" s="23"/>
      <c r="L39" s="23"/>
      <c r="M39" s="49"/>
      <c r="N39" s="23"/>
      <c r="O39" s="21"/>
      <c r="P39" s="23"/>
      <c r="Q39" s="23"/>
      <c r="R39" s="23"/>
      <c r="S39" s="23"/>
      <c r="T39" s="23"/>
      <c r="U39" s="23"/>
      <c r="V39" s="23"/>
      <c r="W39" s="23"/>
      <c r="X39" s="23"/>
      <c r="Y39" s="49"/>
      <c r="AB39" s="20"/>
      <c r="AC39" s="20"/>
      <c r="AD39" s="20"/>
      <c r="AE39" s="20"/>
      <c r="AF39" s="20"/>
      <c r="AG39" s="20"/>
      <c r="AH39" s="20"/>
      <c r="AI39" s="20"/>
      <c r="AJ39" s="20"/>
      <c r="AK39" s="49"/>
      <c r="AN39" s="20"/>
      <c r="AO39" s="20"/>
      <c r="AP39" s="20"/>
      <c r="AQ39" s="20"/>
      <c r="AR39" s="20"/>
      <c r="AS39" s="20"/>
      <c r="AT39" s="20"/>
      <c r="AU39" s="20"/>
      <c r="AV39" s="20"/>
      <c r="AW39" s="49"/>
    </row>
    <row r="40" spans="1:49" s="16" customFormat="1" ht="15" customHeight="1" x14ac:dyDescent="0.25">
      <c r="A40" s="49"/>
      <c r="D40" s="20"/>
      <c r="E40" s="20"/>
      <c r="F40" s="20"/>
      <c r="G40" s="20"/>
      <c r="H40" s="20"/>
      <c r="I40" s="20"/>
      <c r="J40" s="23"/>
      <c r="K40" s="23"/>
      <c r="L40" s="23"/>
      <c r="M40" s="49"/>
      <c r="N40" s="23"/>
      <c r="O40" s="21"/>
      <c r="P40" s="23"/>
      <c r="Q40" s="23"/>
      <c r="R40" s="23"/>
      <c r="S40" s="23"/>
      <c r="T40" s="23"/>
      <c r="U40" s="23"/>
      <c r="V40" s="23"/>
      <c r="W40" s="23"/>
      <c r="X40" s="23"/>
      <c r="Y40" s="49"/>
      <c r="AB40" s="20"/>
      <c r="AC40" s="20"/>
      <c r="AD40" s="20"/>
      <c r="AE40" s="20"/>
      <c r="AF40" s="20"/>
      <c r="AG40" s="20"/>
      <c r="AH40" s="20"/>
      <c r="AI40" s="20"/>
      <c r="AJ40" s="20"/>
      <c r="AK40" s="49"/>
      <c r="AN40" s="20"/>
      <c r="AO40" s="20"/>
      <c r="AP40" s="20"/>
      <c r="AQ40" s="20"/>
      <c r="AR40" s="20"/>
      <c r="AS40" s="20"/>
      <c r="AT40" s="20"/>
      <c r="AU40" s="20"/>
      <c r="AV40" s="20"/>
      <c r="AW40" s="49"/>
    </row>
    <row r="41" spans="1:49" s="16" customFormat="1" ht="15" customHeight="1" x14ac:dyDescent="0.25">
      <c r="A41" s="49"/>
      <c r="D41" s="20"/>
      <c r="E41" s="20"/>
      <c r="F41" s="20"/>
      <c r="G41" s="20"/>
      <c r="H41" s="20"/>
      <c r="I41" s="20"/>
      <c r="J41" s="23"/>
      <c r="K41" s="23"/>
      <c r="L41" s="23"/>
      <c r="M41" s="49"/>
      <c r="N41" s="23"/>
      <c r="O41" s="21"/>
      <c r="P41" s="23"/>
      <c r="Q41" s="23"/>
      <c r="R41" s="23"/>
      <c r="S41" s="23"/>
      <c r="T41" s="23"/>
      <c r="U41" s="23"/>
      <c r="V41" s="23"/>
      <c r="W41" s="23"/>
      <c r="X41" s="23"/>
      <c r="Y41" s="49"/>
      <c r="AB41" s="20"/>
      <c r="AC41" s="20"/>
      <c r="AD41" s="20"/>
      <c r="AE41" s="20"/>
      <c r="AF41" s="20"/>
      <c r="AG41" s="20"/>
      <c r="AH41" s="20"/>
      <c r="AI41" s="20"/>
      <c r="AJ41" s="20"/>
      <c r="AK41" s="49"/>
      <c r="AN41" s="20"/>
      <c r="AO41" s="20"/>
      <c r="AP41" s="20"/>
      <c r="AQ41" s="20"/>
      <c r="AR41" s="20"/>
      <c r="AS41" s="20"/>
      <c r="AT41" s="20"/>
      <c r="AU41" s="20"/>
      <c r="AV41" s="20"/>
      <c r="AW41" s="49"/>
    </row>
    <row r="42" spans="1:49" s="16" customFormat="1" ht="15" customHeight="1" x14ac:dyDescent="0.25">
      <c r="A42" s="49"/>
      <c r="D42" s="20"/>
      <c r="E42" s="20"/>
      <c r="F42" s="20"/>
      <c r="G42" s="20"/>
      <c r="H42" s="20"/>
      <c r="I42" s="20"/>
      <c r="J42" s="23"/>
      <c r="K42" s="23"/>
      <c r="L42" s="23"/>
      <c r="M42" s="49"/>
      <c r="N42" s="23"/>
      <c r="O42" s="21"/>
      <c r="P42" s="23"/>
      <c r="Q42" s="23"/>
      <c r="R42" s="23"/>
      <c r="S42" s="23"/>
      <c r="T42" s="23"/>
      <c r="U42" s="23"/>
      <c r="V42" s="23"/>
      <c r="W42" s="23"/>
      <c r="X42" s="23"/>
      <c r="Y42" s="49"/>
      <c r="AB42" s="20"/>
      <c r="AC42" s="20"/>
      <c r="AD42" s="20"/>
      <c r="AE42" s="20"/>
      <c r="AF42" s="20"/>
      <c r="AG42" s="20"/>
      <c r="AH42" s="20"/>
      <c r="AI42" s="20"/>
      <c r="AJ42" s="20"/>
      <c r="AK42" s="49"/>
      <c r="AN42" s="20"/>
      <c r="AO42" s="20"/>
      <c r="AP42" s="20"/>
      <c r="AQ42" s="20"/>
      <c r="AR42" s="20"/>
      <c r="AS42" s="20"/>
      <c r="AT42" s="20"/>
      <c r="AU42" s="20"/>
      <c r="AV42" s="20"/>
      <c r="AW42" s="49"/>
    </row>
    <row r="43" spans="1:49" s="16" customFormat="1" ht="15" customHeight="1" x14ac:dyDescent="0.25">
      <c r="A43" s="49"/>
      <c r="D43" s="20"/>
      <c r="E43" s="20"/>
      <c r="F43" s="20"/>
      <c r="G43" s="20"/>
      <c r="H43" s="20"/>
      <c r="I43" s="20"/>
      <c r="J43" s="23"/>
      <c r="K43" s="23"/>
      <c r="L43" s="23"/>
      <c r="M43" s="49"/>
      <c r="N43" s="23"/>
      <c r="O43" s="21"/>
      <c r="P43" s="23"/>
      <c r="Q43" s="23"/>
      <c r="R43" s="23"/>
      <c r="S43" s="23"/>
      <c r="T43" s="23"/>
      <c r="U43" s="23"/>
      <c r="V43" s="23"/>
      <c r="W43" s="23"/>
      <c r="X43" s="23"/>
      <c r="Y43" s="49"/>
      <c r="AB43" s="20"/>
      <c r="AC43" s="20"/>
      <c r="AD43" s="20"/>
      <c r="AE43" s="20"/>
      <c r="AF43" s="20"/>
      <c r="AG43" s="20"/>
      <c r="AH43" s="20"/>
      <c r="AI43" s="20"/>
      <c r="AJ43" s="20"/>
      <c r="AK43" s="49"/>
      <c r="AN43" s="20"/>
      <c r="AO43" s="20"/>
      <c r="AP43" s="20"/>
      <c r="AQ43" s="20"/>
      <c r="AR43" s="20"/>
      <c r="AS43" s="20"/>
      <c r="AT43" s="20"/>
      <c r="AU43" s="20"/>
      <c r="AV43" s="20"/>
      <c r="AW43" s="49"/>
    </row>
    <row r="44" spans="1:49" s="16" customFormat="1" ht="15" customHeight="1" x14ac:dyDescent="0.25">
      <c r="A44" s="49"/>
      <c r="D44" s="20"/>
      <c r="E44" s="20"/>
      <c r="F44" s="20"/>
      <c r="G44" s="20"/>
      <c r="H44" s="20"/>
      <c r="I44" s="20"/>
      <c r="J44" s="23"/>
      <c r="K44" s="23"/>
      <c r="L44" s="23"/>
      <c r="M44" s="49"/>
      <c r="N44" s="23"/>
      <c r="O44" s="21"/>
      <c r="P44" s="23"/>
      <c r="Q44" s="23"/>
      <c r="R44" s="23"/>
      <c r="S44" s="23"/>
      <c r="T44" s="23"/>
      <c r="U44" s="23"/>
      <c r="V44" s="23"/>
      <c r="W44" s="23"/>
      <c r="X44" s="23"/>
      <c r="Y44" s="49"/>
      <c r="AB44" s="20"/>
      <c r="AC44" s="20"/>
      <c r="AD44" s="20"/>
      <c r="AE44" s="20"/>
      <c r="AF44" s="20"/>
      <c r="AG44" s="20"/>
      <c r="AH44" s="20"/>
      <c r="AI44" s="20"/>
      <c r="AJ44" s="20"/>
      <c r="AK44" s="49"/>
      <c r="AN44" s="20"/>
      <c r="AO44" s="20"/>
      <c r="AP44" s="20"/>
      <c r="AQ44" s="20"/>
      <c r="AR44" s="20"/>
      <c r="AS44" s="20"/>
      <c r="AT44" s="20"/>
      <c r="AU44" s="20"/>
      <c r="AV44" s="20"/>
      <c r="AW44" s="49"/>
    </row>
    <row r="45" spans="1:49" s="16" customFormat="1" ht="15" customHeight="1" x14ac:dyDescent="0.25">
      <c r="A45" s="49"/>
      <c r="D45" s="20"/>
      <c r="E45" s="20"/>
      <c r="F45" s="20"/>
      <c r="G45" s="20"/>
      <c r="H45" s="20"/>
      <c r="I45" s="20"/>
      <c r="J45" s="23"/>
      <c r="K45" s="23"/>
      <c r="L45" s="23"/>
      <c r="M45" s="49"/>
      <c r="N45" s="23"/>
      <c r="O45" s="21"/>
      <c r="P45" s="23"/>
      <c r="Q45" s="23"/>
      <c r="R45" s="23"/>
      <c r="S45" s="23"/>
      <c r="T45" s="23"/>
      <c r="U45" s="23"/>
      <c r="V45" s="23"/>
      <c r="W45" s="23"/>
      <c r="X45" s="23"/>
      <c r="Y45" s="49"/>
      <c r="AB45" s="20"/>
      <c r="AC45" s="20"/>
      <c r="AD45" s="20"/>
      <c r="AE45" s="20"/>
      <c r="AF45" s="20"/>
      <c r="AG45" s="20"/>
      <c r="AH45" s="20"/>
      <c r="AI45" s="20"/>
      <c r="AJ45" s="20"/>
      <c r="AK45" s="49"/>
      <c r="AN45" s="20"/>
      <c r="AO45" s="20"/>
      <c r="AP45" s="20"/>
      <c r="AQ45" s="20"/>
      <c r="AR45" s="20"/>
      <c r="AS45" s="20"/>
      <c r="AT45" s="20"/>
      <c r="AU45" s="20"/>
      <c r="AV45" s="20"/>
      <c r="AW45" s="49"/>
    </row>
    <row r="46" spans="1:49" s="16" customFormat="1" ht="15" customHeight="1" x14ac:dyDescent="0.25">
      <c r="A46" s="49"/>
      <c r="D46" s="20"/>
      <c r="E46" s="20"/>
      <c r="F46" s="20"/>
      <c r="G46" s="20"/>
      <c r="H46" s="20"/>
      <c r="I46" s="20"/>
      <c r="J46" s="23"/>
      <c r="K46" s="23"/>
      <c r="L46" s="23"/>
      <c r="M46" s="49"/>
      <c r="N46" s="23"/>
      <c r="O46" s="21"/>
      <c r="P46" s="23"/>
      <c r="Q46" s="23"/>
      <c r="R46" s="23"/>
      <c r="S46" s="23"/>
      <c r="T46" s="23"/>
      <c r="U46" s="23"/>
      <c r="V46" s="23"/>
      <c r="W46" s="23"/>
      <c r="X46" s="23"/>
      <c r="Y46" s="49"/>
      <c r="AB46" s="20"/>
      <c r="AC46" s="20"/>
      <c r="AD46" s="20"/>
      <c r="AE46" s="20"/>
      <c r="AF46" s="20"/>
      <c r="AG46" s="20"/>
      <c r="AH46" s="20"/>
      <c r="AI46" s="20"/>
      <c r="AJ46" s="20"/>
      <c r="AK46" s="49"/>
      <c r="AN46" s="20"/>
      <c r="AO46" s="20"/>
      <c r="AP46" s="20"/>
      <c r="AQ46" s="20"/>
      <c r="AR46" s="20"/>
      <c r="AS46" s="20"/>
      <c r="AT46" s="20"/>
      <c r="AU46" s="20"/>
      <c r="AV46" s="20"/>
      <c r="AW46" s="49"/>
    </row>
    <row r="47" spans="1:49" s="16" customFormat="1" ht="15" customHeight="1" x14ac:dyDescent="0.25">
      <c r="A47" s="49"/>
      <c r="D47" s="20"/>
      <c r="E47" s="20"/>
      <c r="F47" s="20"/>
      <c r="G47" s="20"/>
      <c r="H47" s="20"/>
      <c r="I47" s="20"/>
      <c r="J47" s="23"/>
      <c r="K47" s="23"/>
      <c r="L47" s="23"/>
      <c r="M47" s="49"/>
      <c r="N47" s="23"/>
      <c r="O47" s="21"/>
      <c r="P47" s="23"/>
      <c r="Q47" s="23"/>
      <c r="R47" s="23"/>
      <c r="S47" s="23"/>
      <c r="T47" s="23"/>
      <c r="U47" s="23"/>
      <c r="V47" s="23"/>
      <c r="W47" s="23"/>
      <c r="X47" s="23"/>
      <c r="Y47" s="49"/>
      <c r="AB47" s="20"/>
      <c r="AC47" s="20"/>
      <c r="AD47" s="20"/>
      <c r="AE47" s="20"/>
      <c r="AF47" s="20"/>
      <c r="AG47" s="20"/>
      <c r="AH47" s="20"/>
      <c r="AI47" s="20"/>
      <c r="AJ47" s="20"/>
      <c r="AK47" s="49"/>
      <c r="AN47" s="20"/>
      <c r="AO47" s="20"/>
      <c r="AP47" s="20"/>
      <c r="AQ47" s="20"/>
      <c r="AR47" s="20"/>
      <c r="AS47" s="20"/>
      <c r="AT47" s="20"/>
      <c r="AU47" s="20"/>
      <c r="AV47" s="20"/>
      <c r="AW47" s="49"/>
    </row>
    <row r="48" spans="1:49" s="16" customFormat="1" ht="15" customHeight="1" x14ac:dyDescent="0.25">
      <c r="A48" s="49"/>
      <c r="D48" s="20"/>
      <c r="E48" s="20"/>
      <c r="F48" s="20"/>
      <c r="G48" s="20"/>
      <c r="H48" s="20"/>
      <c r="I48" s="20"/>
      <c r="J48" s="23"/>
      <c r="K48" s="23"/>
      <c r="L48" s="23"/>
      <c r="M48" s="49"/>
      <c r="N48" s="23"/>
      <c r="O48" s="21"/>
      <c r="P48" s="23"/>
      <c r="Q48" s="23"/>
      <c r="R48" s="23"/>
      <c r="S48" s="23"/>
      <c r="T48" s="23"/>
      <c r="U48" s="23"/>
      <c r="V48" s="23"/>
      <c r="W48" s="23"/>
      <c r="X48" s="23"/>
      <c r="Y48" s="49"/>
      <c r="AB48" s="20"/>
      <c r="AC48" s="20"/>
      <c r="AD48" s="20"/>
      <c r="AE48" s="20"/>
      <c r="AF48" s="20"/>
      <c r="AG48" s="20"/>
      <c r="AH48" s="20"/>
      <c r="AI48" s="20"/>
      <c r="AJ48" s="20"/>
      <c r="AK48" s="49"/>
      <c r="AN48" s="20"/>
      <c r="AO48" s="20"/>
      <c r="AP48" s="20"/>
      <c r="AQ48" s="20"/>
      <c r="AR48" s="20"/>
      <c r="AS48" s="20"/>
      <c r="AT48" s="20"/>
      <c r="AU48" s="20"/>
      <c r="AV48" s="20"/>
      <c r="AW48" s="49"/>
    </row>
    <row r="49" spans="1:49" s="16" customFormat="1" ht="15" customHeight="1" x14ac:dyDescent="0.25">
      <c r="A49" s="49"/>
      <c r="D49" s="20"/>
      <c r="E49" s="20"/>
      <c r="F49" s="20"/>
      <c r="G49" s="20"/>
      <c r="H49" s="20"/>
      <c r="I49" s="20"/>
      <c r="J49" s="23"/>
      <c r="K49" s="23"/>
      <c r="L49" s="23"/>
      <c r="M49" s="49"/>
      <c r="N49" s="23"/>
      <c r="O49" s="21"/>
      <c r="P49" s="23"/>
      <c r="Q49" s="23"/>
      <c r="R49" s="23"/>
      <c r="S49" s="23"/>
      <c r="T49" s="23"/>
      <c r="U49" s="23"/>
      <c r="V49" s="23"/>
      <c r="W49" s="23"/>
      <c r="X49" s="23"/>
      <c r="Y49" s="49"/>
      <c r="AB49" s="20"/>
      <c r="AC49" s="20"/>
      <c r="AD49" s="20"/>
      <c r="AE49" s="20"/>
      <c r="AF49" s="20"/>
      <c r="AG49" s="20"/>
      <c r="AH49" s="20"/>
      <c r="AI49" s="20"/>
      <c r="AJ49" s="20"/>
      <c r="AK49" s="49"/>
      <c r="AN49" s="20"/>
      <c r="AO49" s="20"/>
      <c r="AP49" s="20"/>
      <c r="AQ49" s="20"/>
      <c r="AR49" s="20"/>
      <c r="AS49" s="20"/>
      <c r="AT49" s="20"/>
      <c r="AU49" s="20"/>
      <c r="AV49" s="20"/>
      <c r="AW49" s="49"/>
    </row>
    <row r="50" spans="1:49" s="16" customFormat="1" ht="15" customHeight="1" x14ac:dyDescent="0.25">
      <c r="A50" s="49"/>
      <c r="D50" s="20"/>
      <c r="E50" s="20"/>
      <c r="F50" s="20"/>
      <c r="G50" s="20"/>
      <c r="H50" s="20"/>
      <c r="I50" s="20"/>
      <c r="J50" s="23"/>
      <c r="K50" s="23"/>
      <c r="L50" s="23"/>
      <c r="M50" s="49"/>
      <c r="N50" s="23"/>
      <c r="O50" s="21"/>
      <c r="P50" s="23"/>
      <c r="Q50" s="23"/>
      <c r="R50" s="23"/>
      <c r="S50" s="23"/>
      <c r="T50" s="23"/>
      <c r="U50" s="23"/>
      <c r="V50" s="23"/>
      <c r="W50" s="23"/>
      <c r="X50" s="23"/>
      <c r="Y50" s="49"/>
      <c r="AB50" s="20"/>
      <c r="AC50" s="20"/>
      <c r="AD50" s="20"/>
      <c r="AE50" s="20"/>
      <c r="AF50" s="20"/>
      <c r="AG50" s="20"/>
      <c r="AH50" s="20"/>
      <c r="AI50" s="20"/>
      <c r="AJ50" s="20"/>
      <c r="AK50" s="49"/>
      <c r="AN50" s="20"/>
      <c r="AO50" s="20"/>
      <c r="AP50" s="20"/>
      <c r="AQ50" s="20"/>
      <c r="AR50" s="20"/>
      <c r="AS50" s="20"/>
      <c r="AT50" s="20"/>
      <c r="AU50" s="20"/>
      <c r="AV50" s="20"/>
      <c r="AW50" s="49"/>
    </row>
    <row r="51" spans="1:49" s="16" customFormat="1" ht="15" customHeight="1" x14ac:dyDescent="0.25">
      <c r="A51" s="49"/>
      <c r="D51" s="20"/>
      <c r="E51" s="20"/>
      <c r="F51" s="20"/>
      <c r="G51" s="20"/>
      <c r="H51" s="20"/>
      <c r="I51" s="20"/>
      <c r="J51" s="23"/>
      <c r="K51" s="23"/>
      <c r="L51" s="23"/>
      <c r="M51" s="49"/>
      <c r="N51" s="23"/>
      <c r="O51" s="21"/>
      <c r="P51" s="23"/>
      <c r="Q51" s="23"/>
      <c r="R51" s="23"/>
      <c r="S51" s="23"/>
      <c r="T51" s="23"/>
      <c r="U51" s="23"/>
      <c r="V51" s="23"/>
      <c r="W51" s="23"/>
      <c r="X51" s="23"/>
      <c r="Y51" s="49"/>
      <c r="AB51" s="20"/>
      <c r="AC51" s="20"/>
      <c r="AD51" s="20"/>
      <c r="AE51" s="20"/>
      <c r="AF51" s="20"/>
      <c r="AG51" s="20"/>
      <c r="AH51" s="20"/>
      <c r="AI51" s="20"/>
      <c r="AJ51" s="20"/>
      <c r="AK51" s="49"/>
      <c r="AN51" s="20"/>
      <c r="AO51" s="20"/>
      <c r="AP51" s="20"/>
      <c r="AQ51" s="20"/>
      <c r="AR51" s="20"/>
      <c r="AS51" s="20"/>
      <c r="AT51" s="20"/>
      <c r="AU51" s="20"/>
      <c r="AV51" s="20"/>
      <c r="AW51" s="49"/>
    </row>
    <row r="52" spans="1:49" s="16" customFormat="1" ht="15" customHeight="1" x14ac:dyDescent="0.25">
      <c r="A52" s="49"/>
      <c r="D52" s="20"/>
      <c r="E52" s="20"/>
      <c r="F52" s="20"/>
      <c r="G52" s="20"/>
      <c r="H52" s="20"/>
      <c r="I52" s="20"/>
      <c r="J52" s="23"/>
      <c r="K52" s="23"/>
      <c r="L52" s="23"/>
      <c r="M52" s="49"/>
      <c r="N52" s="23"/>
      <c r="O52" s="21"/>
      <c r="P52" s="23"/>
      <c r="Q52" s="23"/>
      <c r="R52" s="23"/>
      <c r="S52" s="23"/>
      <c r="T52" s="23"/>
      <c r="U52" s="23"/>
      <c r="V52" s="23"/>
      <c r="W52" s="23"/>
      <c r="X52" s="23"/>
      <c r="Y52" s="49"/>
      <c r="AB52" s="20"/>
      <c r="AC52" s="20"/>
      <c r="AD52" s="20"/>
      <c r="AE52" s="20"/>
      <c r="AF52" s="20"/>
      <c r="AG52" s="20"/>
      <c r="AH52" s="20"/>
      <c r="AI52" s="20"/>
      <c r="AJ52" s="20"/>
      <c r="AK52" s="49"/>
      <c r="AN52" s="20"/>
      <c r="AO52" s="20"/>
      <c r="AP52" s="20"/>
      <c r="AQ52" s="20"/>
      <c r="AR52" s="20"/>
      <c r="AS52" s="20"/>
      <c r="AT52" s="20"/>
      <c r="AU52" s="20"/>
      <c r="AV52" s="20"/>
      <c r="AW52" s="49"/>
    </row>
    <row r="53" spans="1:49" s="16" customFormat="1" ht="15" customHeight="1" x14ac:dyDescent="0.25">
      <c r="A53" s="49"/>
      <c r="D53" s="20"/>
      <c r="E53" s="20"/>
      <c r="F53" s="20"/>
      <c r="G53" s="20"/>
      <c r="H53" s="20"/>
      <c r="I53" s="20"/>
      <c r="J53" s="23"/>
      <c r="K53" s="23"/>
      <c r="L53" s="23"/>
      <c r="M53" s="49"/>
      <c r="N53" s="23"/>
      <c r="O53" s="21"/>
      <c r="P53" s="23"/>
      <c r="Q53" s="23"/>
      <c r="R53" s="23"/>
      <c r="S53" s="23"/>
      <c r="T53" s="23"/>
      <c r="U53" s="23"/>
      <c r="V53" s="23"/>
      <c r="W53" s="23"/>
      <c r="X53" s="23"/>
      <c r="Y53" s="49"/>
      <c r="AB53" s="20"/>
      <c r="AC53" s="20"/>
      <c r="AD53" s="20"/>
      <c r="AE53" s="20"/>
      <c r="AF53" s="20"/>
      <c r="AG53" s="20"/>
      <c r="AH53" s="20"/>
      <c r="AI53" s="20"/>
      <c r="AJ53" s="20"/>
      <c r="AK53" s="49"/>
      <c r="AN53" s="20"/>
      <c r="AO53" s="20"/>
      <c r="AP53" s="20"/>
      <c r="AQ53" s="20"/>
      <c r="AR53" s="20"/>
      <c r="AS53" s="20"/>
      <c r="AT53" s="20"/>
      <c r="AU53" s="20"/>
      <c r="AV53" s="20"/>
      <c r="AW53" s="49"/>
    </row>
    <row r="54" spans="1:49" s="16" customFormat="1" ht="15" customHeight="1" x14ac:dyDescent="0.25">
      <c r="A54" s="49"/>
      <c r="D54" s="20"/>
      <c r="E54" s="20"/>
      <c r="F54" s="20"/>
      <c r="G54" s="20"/>
      <c r="H54" s="20"/>
      <c r="I54" s="20"/>
      <c r="J54" s="23"/>
      <c r="K54" s="23"/>
      <c r="L54" s="23"/>
      <c r="M54" s="49"/>
      <c r="N54" s="23"/>
      <c r="O54" s="21"/>
      <c r="P54" s="23"/>
      <c r="Q54" s="23"/>
      <c r="R54" s="23"/>
      <c r="S54" s="23"/>
      <c r="T54" s="23"/>
      <c r="U54" s="23"/>
      <c r="V54" s="23"/>
      <c r="W54" s="23"/>
      <c r="X54" s="23"/>
      <c r="Y54" s="49"/>
      <c r="AB54" s="20"/>
      <c r="AC54" s="20"/>
      <c r="AD54" s="20"/>
      <c r="AE54" s="20"/>
      <c r="AF54" s="20"/>
      <c r="AG54" s="20"/>
      <c r="AH54" s="20"/>
      <c r="AI54" s="20"/>
      <c r="AJ54" s="20"/>
      <c r="AK54" s="49"/>
      <c r="AN54" s="20"/>
      <c r="AO54" s="20"/>
      <c r="AP54" s="20"/>
      <c r="AQ54" s="20"/>
      <c r="AR54" s="20"/>
      <c r="AS54" s="20"/>
      <c r="AT54" s="20"/>
      <c r="AU54" s="20"/>
      <c r="AV54" s="20"/>
      <c r="AW54" s="49"/>
    </row>
    <row r="55" spans="1:49" s="16" customFormat="1" ht="15" customHeight="1" x14ac:dyDescent="0.25">
      <c r="A55" s="49"/>
      <c r="D55" s="20"/>
      <c r="E55" s="20"/>
      <c r="F55" s="20"/>
      <c r="G55" s="20"/>
      <c r="H55" s="20"/>
      <c r="I55" s="20"/>
      <c r="J55" s="23"/>
      <c r="K55" s="23"/>
      <c r="L55" s="23"/>
      <c r="M55" s="49"/>
      <c r="N55" s="23"/>
      <c r="O55" s="21"/>
      <c r="P55" s="23"/>
      <c r="Q55" s="23"/>
      <c r="R55" s="23"/>
      <c r="S55" s="23"/>
      <c r="T55" s="23"/>
      <c r="U55" s="23"/>
      <c r="V55" s="23"/>
      <c r="W55" s="23"/>
      <c r="X55" s="23"/>
      <c r="Y55" s="49"/>
      <c r="AB55" s="20"/>
      <c r="AC55" s="20"/>
      <c r="AD55" s="20"/>
      <c r="AE55" s="20"/>
      <c r="AF55" s="20"/>
      <c r="AG55" s="20"/>
      <c r="AH55" s="20"/>
      <c r="AI55" s="20"/>
      <c r="AJ55" s="20"/>
      <c r="AK55" s="49"/>
      <c r="AN55" s="20"/>
      <c r="AO55" s="20"/>
      <c r="AP55" s="20"/>
      <c r="AQ55" s="20"/>
      <c r="AR55" s="20"/>
      <c r="AS55" s="20"/>
      <c r="AT55" s="20"/>
      <c r="AU55" s="20"/>
      <c r="AV55" s="20"/>
      <c r="AW55" s="49"/>
    </row>
    <row r="56" spans="1:49" s="16" customFormat="1" ht="15" customHeight="1" x14ac:dyDescent="0.25">
      <c r="A56" s="49"/>
      <c r="D56" s="20"/>
      <c r="E56" s="20"/>
      <c r="F56" s="20"/>
      <c r="G56" s="20"/>
      <c r="H56" s="20"/>
      <c r="I56" s="20"/>
      <c r="J56" s="23"/>
      <c r="K56" s="23"/>
      <c r="L56" s="23"/>
      <c r="M56" s="49"/>
      <c r="N56" s="23"/>
      <c r="O56" s="21"/>
      <c r="P56" s="23"/>
      <c r="Q56" s="23"/>
      <c r="R56" s="23"/>
      <c r="S56" s="23"/>
      <c r="T56" s="23"/>
      <c r="U56" s="23"/>
      <c r="V56" s="23"/>
      <c r="W56" s="23"/>
      <c r="X56" s="23"/>
      <c r="Y56" s="49"/>
      <c r="AB56" s="20"/>
      <c r="AC56" s="20"/>
      <c r="AD56" s="20"/>
      <c r="AE56" s="20"/>
      <c r="AF56" s="20"/>
      <c r="AG56" s="20"/>
      <c r="AH56" s="20"/>
      <c r="AI56" s="20"/>
      <c r="AJ56" s="20"/>
      <c r="AK56" s="49"/>
      <c r="AN56" s="20"/>
      <c r="AO56" s="20"/>
      <c r="AP56" s="20"/>
      <c r="AQ56" s="20"/>
      <c r="AR56" s="20"/>
      <c r="AS56" s="20"/>
      <c r="AT56" s="20"/>
      <c r="AU56" s="20"/>
      <c r="AV56" s="20"/>
      <c r="AW56" s="49"/>
    </row>
    <row r="57" spans="1:49" s="16" customFormat="1" ht="15" customHeight="1" x14ac:dyDescent="0.25">
      <c r="A57" s="49"/>
      <c r="D57" s="20"/>
      <c r="E57" s="20"/>
      <c r="F57" s="20"/>
      <c r="G57" s="20"/>
      <c r="H57" s="20"/>
      <c r="I57" s="20"/>
      <c r="J57" s="23"/>
      <c r="K57" s="23"/>
      <c r="L57" s="23"/>
      <c r="M57" s="49"/>
      <c r="N57" s="23"/>
      <c r="O57" s="21"/>
      <c r="P57" s="23"/>
      <c r="Q57" s="23"/>
      <c r="R57" s="23"/>
      <c r="S57" s="23"/>
      <c r="T57" s="23"/>
      <c r="U57" s="23"/>
      <c r="V57" s="23"/>
      <c r="W57" s="23"/>
      <c r="X57" s="23"/>
      <c r="Y57" s="49"/>
      <c r="AB57" s="20"/>
      <c r="AC57" s="20"/>
      <c r="AD57" s="20"/>
      <c r="AE57" s="20"/>
      <c r="AF57" s="20"/>
      <c r="AG57" s="20"/>
      <c r="AH57" s="20"/>
      <c r="AI57" s="20"/>
      <c r="AJ57" s="20"/>
      <c r="AK57" s="49"/>
      <c r="AN57" s="20"/>
      <c r="AO57" s="20"/>
      <c r="AP57" s="20"/>
      <c r="AQ57" s="20"/>
      <c r="AR57" s="20"/>
      <c r="AS57" s="20"/>
      <c r="AT57" s="20"/>
      <c r="AU57" s="20"/>
      <c r="AV57" s="20"/>
      <c r="AW57" s="49"/>
    </row>
    <row r="58" spans="1:49" s="16" customFormat="1" ht="15" customHeight="1" x14ac:dyDescent="0.25">
      <c r="A58" s="49"/>
      <c r="D58" s="20"/>
      <c r="E58" s="20"/>
      <c r="F58" s="20"/>
      <c r="G58" s="20"/>
      <c r="H58" s="20"/>
      <c r="I58" s="20"/>
      <c r="J58" s="23"/>
      <c r="K58" s="23"/>
      <c r="L58" s="23"/>
      <c r="M58" s="49"/>
      <c r="N58" s="23"/>
      <c r="O58" s="21"/>
      <c r="P58" s="23"/>
      <c r="Q58" s="23"/>
      <c r="R58" s="23"/>
      <c r="S58" s="23"/>
      <c r="T58" s="23"/>
      <c r="U58" s="23"/>
      <c r="V58" s="23"/>
      <c r="W58" s="23"/>
      <c r="X58" s="23"/>
      <c r="Y58" s="49"/>
      <c r="AB58" s="20"/>
      <c r="AC58" s="20"/>
      <c r="AD58" s="20"/>
      <c r="AE58" s="20"/>
      <c r="AF58" s="20"/>
      <c r="AG58" s="20"/>
      <c r="AH58" s="20"/>
      <c r="AI58" s="20"/>
      <c r="AJ58" s="20"/>
      <c r="AK58" s="49"/>
      <c r="AN58" s="20"/>
      <c r="AO58" s="20"/>
      <c r="AP58" s="20"/>
      <c r="AQ58" s="20"/>
      <c r="AR58" s="20"/>
      <c r="AS58" s="20"/>
      <c r="AT58" s="20"/>
      <c r="AU58" s="20"/>
      <c r="AV58" s="20"/>
      <c r="AW58" s="49"/>
    </row>
    <row r="59" spans="1:49" s="16" customFormat="1" ht="15" customHeight="1" x14ac:dyDescent="0.25">
      <c r="A59" s="49"/>
      <c r="D59" s="20"/>
      <c r="E59" s="20"/>
      <c r="F59" s="20"/>
      <c r="G59" s="20"/>
      <c r="H59" s="20"/>
      <c r="I59" s="20"/>
      <c r="J59" s="23"/>
      <c r="K59" s="23"/>
      <c r="L59" s="23"/>
      <c r="M59" s="49"/>
      <c r="N59" s="23"/>
      <c r="O59" s="21"/>
      <c r="P59" s="23"/>
      <c r="Q59" s="23"/>
      <c r="R59" s="23"/>
      <c r="S59" s="23"/>
      <c r="T59" s="23"/>
      <c r="U59" s="23"/>
      <c r="V59" s="23"/>
      <c r="W59" s="23"/>
      <c r="X59" s="23"/>
      <c r="Y59" s="49"/>
      <c r="AB59" s="20"/>
      <c r="AC59" s="20"/>
      <c r="AD59" s="20"/>
      <c r="AE59" s="20"/>
      <c r="AF59" s="20"/>
      <c r="AG59" s="20"/>
      <c r="AH59" s="20"/>
      <c r="AI59" s="20"/>
      <c r="AJ59" s="20"/>
      <c r="AK59" s="49"/>
      <c r="AN59" s="20"/>
      <c r="AO59" s="20"/>
      <c r="AP59" s="20"/>
      <c r="AQ59" s="20"/>
      <c r="AR59" s="20"/>
      <c r="AS59" s="20"/>
      <c r="AT59" s="20"/>
      <c r="AU59" s="20"/>
      <c r="AV59" s="20"/>
      <c r="AW59" s="49"/>
    </row>
    <row r="60" spans="1:49" s="16" customFormat="1" ht="15" customHeight="1" x14ac:dyDescent="0.25">
      <c r="A60" s="49"/>
      <c r="D60" s="20"/>
      <c r="E60" s="20"/>
      <c r="F60" s="20"/>
      <c r="G60" s="20"/>
      <c r="H60" s="20"/>
      <c r="I60" s="20"/>
      <c r="J60" s="23"/>
      <c r="K60" s="23"/>
      <c r="L60" s="23"/>
      <c r="M60" s="49"/>
      <c r="N60" s="23"/>
      <c r="O60" s="21"/>
      <c r="P60" s="23"/>
      <c r="Q60" s="23"/>
      <c r="R60" s="23"/>
      <c r="S60" s="23"/>
      <c r="T60" s="23"/>
      <c r="U60" s="23"/>
      <c r="V60" s="23"/>
      <c r="W60" s="23"/>
      <c r="X60" s="23"/>
      <c r="Y60" s="49"/>
      <c r="AB60" s="20"/>
      <c r="AC60" s="20"/>
      <c r="AD60" s="20"/>
      <c r="AE60" s="20"/>
      <c r="AF60" s="20"/>
      <c r="AG60" s="20"/>
      <c r="AH60" s="20"/>
      <c r="AI60" s="20"/>
      <c r="AJ60" s="20"/>
      <c r="AK60" s="49"/>
      <c r="AN60" s="20"/>
      <c r="AO60" s="20"/>
      <c r="AP60" s="20"/>
      <c r="AQ60" s="20"/>
      <c r="AR60" s="20"/>
      <c r="AS60" s="20"/>
      <c r="AT60" s="20"/>
      <c r="AU60" s="20"/>
      <c r="AV60" s="20"/>
      <c r="AW60" s="49"/>
    </row>
    <row r="61" spans="1:49" s="16" customFormat="1" ht="15" customHeight="1" x14ac:dyDescent="0.25">
      <c r="A61" s="49"/>
      <c r="D61" s="20"/>
      <c r="E61" s="20"/>
      <c r="F61" s="20"/>
      <c r="G61" s="20"/>
      <c r="H61" s="20"/>
      <c r="I61" s="20"/>
      <c r="J61" s="23"/>
      <c r="K61" s="23"/>
      <c r="L61" s="23"/>
      <c r="M61" s="49"/>
      <c r="N61" s="23"/>
      <c r="O61" s="21"/>
      <c r="P61" s="23"/>
      <c r="Q61" s="23"/>
      <c r="R61" s="23"/>
      <c r="S61" s="23"/>
      <c r="T61" s="23"/>
      <c r="U61" s="23"/>
      <c r="V61" s="23"/>
      <c r="W61" s="23"/>
      <c r="X61" s="23"/>
      <c r="Y61" s="49"/>
      <c r="AB61" s="20"/>
      <c r="AC61" s="20"/>
      <c r="AD61" s="20"/>
      <c r="AE61" s="20"/>
      <c r="AF61" s="20"/>
      <c r="AG61" s="20"/>
      <c r="AH61" s="20"/>
      <c r="AI61" s="20"/>
      <c r="AJ61" s="20"/>
      <c r="AK61" s="49"/>
      <c r="AN61" s="20"/>
      <c r="AO61" s="20"/>
      <c r="AP61" s="20"/>
      <c r="AQ61" s="20"/>
      <c r="AR61" s="20"/>
      <c r="AS61" s="20"/>
      <c r="AT61" s="20"/>
      <c r="AU61" s="20"/>
      <c r="AV61" s="20"/>
      <c r="AW61" s="49"/>
    </row>
    <row r="62" spans="1:49" s="16" customFormat="1" ht="15" customHeight="1" x14ac:dyDescent="0.25">
      <c r="A62" s="49"/>
      <c r="D62" s="20"/>
      <c r="E62" s="20"/>
      <c r="F62" s="20"/>
      <c r="G62" s="20"/>
      <c r="H62" s="20"/>
      <c r="I62" s="20"/>
      <c r="J62" s="23"/>
      <c r="K62" s="23"/>
      <c r="L62" s="23"/>
      <c r="M62" s="49"/>
      <c r="N62" s="23"/>
      <c r="O62" s="21"/>
      <c r="P62" s="23"/>
      <c r="Q62" s="23"/>
      <c r="R62" s="23"/>
      <c r="S62" s="23"/>
      <c r="T62" s="23"/>
      <c r="U62" s="23"/>
      <c r="V62" s="23"/>
      <c r="W62" s="23"/>
      <c r="X62" s="23"/>
      <c r="Y62" s="49"/>
      <c r="AB62" s="20"/>
      <c r="AC62" s="20"/>
      <c r="AD62" s="20"/>
      <c r="AE62" s="20"/>
      <c r="AF62" s="20"/>
      <c r="AG62" s="20"/>
      <c r="AH62" s="20"/>
      <c r="AI62" s="20"/>
      <c r="AJ62" s="20"/>
      <c r="AK62" s="49"/>
      <c r="AN62" s="20"/>
      <c r="AO62" s="20"/>
      <c r="AP62" s="20"/>
      <c r="AQ62" s="20"/>
      <c r="AR62" s="20"/>
      <c r="AS62" s="20"/>
      <c r="AT62" s="20"/>
      <c r="AU62" s="20"/>
      <c r="AV62" s="20"/>
      <c r="AW62" s="49"/>
    </row>
    <row r="63" spans="1:49" s="16" customFormat="1" ht="15" customHeight="1" x14ac:dyDescent="0.25">
      <c r="A63" s="49"/>
      <c r="D63" s="20"/>
      <c r="E63" s="20"/>
      <c r="F63" s="20"/>
      <c r="G63" s="20"/>
      <c r="H63" s="20"/>
      <c r="I63" s="20"/>
      <c r="J63" s="23"/>
      <c r="K63" s="23"/>
      <c r="L63" s="23"/>
      <c r="M63" s="49"/>
      <c r="N63" s="23"/>
      <c r="O63" s="21"/>
      <c r="P63" s="23"/>
      <c r="Q63" s="23"/>
      <c r="R63" s="23"/>
      <c r="S63" s="23"/>
      <c r="T63" s="23"/>
      <c r="U63" s="23"/>
      <c r="V63" s="23"/>
      <c r="W63" s="23"/>
      <c r="X63" s="23"/>
      <c r="Y63" s="49"/>
      <c r="AB63" s="20"/>
      <c r="AC63" s="20"/>
      <c r="AD63" s="20"/>
      <c r="AE63" s="20"/>
      <c r="AF63" s="20"/>
      <c r="AG63" s="20"/>
      <c r="AH63" s="20"/>
      <c r="AI63" s="20"/>
      <c r="AJ63" s="20"/>
      <c r="AK63" s="49"/>
      <c r="AN63" s="20"/>
      <c r="AO63" s="20"/>
      <c r="AP63" s="20"/>
      <c r="AQ63" s="20"/>
      <c r="AR63" s="20"/>
      <c r="AS63" s="20"/>
      <c r="AT63" s="20"/>
      <c r="AU63" s="20"/>
      <c r="AV63" s="20"/>
      <c r="AW63" s="49"/>
    </row>
    <row r="64" spans="1:49" s="16" customFormat="1" ht="15" customHeight="1" x14ac:dyDescent="0.25">
      <c r="A64" s="49"/>
      <c r="D64" s="20"/>
      <c r="E64" s="20"/>
      <c r="F64" s="20"/>
      <c r="G64" s="20"/>
      <c r="H64" s="20"/>
      <c r="I64" s="20"/>
      <c r="J64" s="23"/>
      <c r="K64" s="23"/>
      <c r="L64" s="23"/>
      <c r="M64" s="49"/>
      <c r="N64" s="23"/>
      <c r="O64" s="21"/>
      <c r="P64" s="23"/>
      <c r="Q64" s="23"/>
      <c r="R64" s="23"/>
      <c r="S64" s="23"/>
      <c r="T64" s="23"/>
      <c r="U64" s="23"/>
      <c r="V64" s="23"/>
      <c r="W64" s="23"/>
      <c r="X64" s="23"/>
      <c r="Y64" s="49"/>
      <c r="AB64" s="20"/>
      <c r="AC64" s="20"/>
      <c r="AD64" s="20"/>
      <c r="AE64" s="20"/>
      <c r="AF64" s="20"/>
      <c r="AG64" s="20"/>
      <c r="AH64" s="20"/>
      <c r="AI64" s="20"/>
      <c r="AJ64" s="20"/>
      <c r="AK64" s="49"/>
      <c r="AN64" s="20"/>
      <c r="AO64" s="20"/>
      <c r="AP64" s="20"/>
      <c r="AQ64" s="20"/>
      <c r="AR64" s="20"/>
      <c r="AS64" s="20"/>
      <c r="AT64" s="20"/>
      <c r="AU64" s="20"/>
      <c r="AV64" s="20"/>
      <c r="AW64" s="49"/>
    </row>
    <row r="65" spans="1:49" s="16" customFormat="1" ht="15" customHeight="1" x14ac:dyDescent="0.25">
      <c r="A65" s="49"/>
      <c r="D65" s="20"/>
      <c r="E65" s="20"/>
      <c r="F65" s="20"/>
      <c r="G65" s="20"/>
      <c r="H65" s="20"/>
      <c r="I65" s="20"/>
      <c r="J65" s="23"/>
      <c r="K65" s="23"/>
      <c r="L65" s="23"/>
      <c r="M65" s="49"/>
      <c r="N65" s="23"/>
      <c r="O65" s="21"/>
      <c r="P65" s="23"/>
      <c r="Q65" s="23"/>
      <c r="R65" s="23"/>
      <c r="S65" s="23"/>
      <c r="T65" s="23"/>
      <c r="U65" s="23"/>
      <c r="V65" s="23"/>
      <c r="W65" s="23"/>
      <c r="X65" s="23"/>
      <c r="Y65" s="49"/>
      <c r="AB65" s="20"/>
      <c r="AC65" s="20"/>
      <c r="AD65" s="20"/>
      <c r="AE65" s="20"/>
      <c r="AF65" s="20"/>
      <c r="AG65" s="20"/>
      <c r="AH65" s="20"/>
      <c r="AI65" s="20"/>
      <c r="AJ65" s="20"/>
      <c r="AK65" s="49"/>
      <c r="AN65" s="20"/>
      <c r="AO65" s="20"/>
      <c r="AP65" s="20"/>
      <c r="AQ65" s="20"/>
      <c r="AR65" s="20"/>
      <c r="AS65" s="20"/>
      <c r="AT65" s="20"/>
      <c r="AU65" s="20"/>
      <c r="AV65" s="20"/>
      <c r="AW65" s="49"/>
    </row>
    <row r="66" spans="1:49" s="16" customFormat="1" ht="15" customHeight="1" x14ac:dyDescent="0.25">
      <c r="A66" s="49"/>
      <c r="D66" s="20"/>
      <c r="E66" s="20"/>
      <c r="F66" s="20"/>
      <c r="G66" s="20"/>
      <c r="H66" s="20"/>
      <c r="I66" s="20"/>
      <c r="J66" s="23"/>
      <c r="K66" s="23"/>
      <c r="L66" s="23"/>
      <c r="M66" s="49"/>
      <c r="N66" s="23"/>
      <c r="O66" s="21"/>
      <c r="P66" s="23"/>
      <c r="Q66" s="23"/>
      <c r="R66" s="23"/>
      <c r="S66" s="23"/>
      <c r="T66" s="23"/>
      <c r="U66" s="23"/>
      <c r="V66" s="23"/>
      <c r="W66" s="23"/>
      <c r="X66" s="23"/>
      <c r="Y66" s="49"/>
      <c r="AB66" s="20"/>
      <c r="AC66" s="20"/>
      <c r="AD66" s="20"/>
      <c r="AE66" s="20"/>
      <c r="AF66" s="20"/>
      <c r="AG66" s="20"/>
      <c r="AH66" s="20"/>
      <c r="AI66" s="20"/>
      <c r="AJ66" s="20"/>
      <c r="AK66" s="49"/>
      <c r="AN66" s="20"/>
      <c r="AO66" s="20"/>
      <c r="AP66" s="20"/>
      <c r="AQ66" s="20"/>
      <c r="AR66" s="20"/>
      <c r="AS66" s="20"/>
      <c r="AT66" s="20"/>
      <c r="AU66" s="20"/>
      <c r="AV66" s="20"/>
      <c r="AW66" s="49"/>
    </row>
    <row r="67" spans="1:49" s="16" customFormat="1" ht="15" customHeight="1" x14ac:dyDescent="0.25">
      <c r="A67" s="49"/>
      <c r="D67" s="20"/>
      <c r="E67" s="20"/>
      <c r="F67" s="20"/>
      <c r="G67" s="20"/>
      <c r="H67" s="20"/>
      <c r="I67" s="20"/>
      <c r="J67" s="23"/>
      <c r="K67" s="23"/>
      <c r="L67" s="23"/>
      <c r="M67" s="49"/>
      <c r="N67" s="23"/>
      <c r="O67" s="21"/>
      <c r="P67" s="23"/>
      <c r="Q67" s="23"/>
      <c r="R67" s="23"/>
      <c r="S67" s="23"/>
      <c r="T67" s="23"/>
      <c r="U67" s="23"/>
      <c r="V67" s="23"/>
      <c r="W67" s="23"/>
      <c r="X67" s="23"/>
      <c r="Y67" s="49"/>
      <c r="AB67" s="20"/>
      <c r="AC67" s="20"/>
      <c r="AD67" s="20"/>
      <c r="AE67" s="20"/>
      <c r="AF67" s="20"/>
      <c r="AG67" s="20"/>
      <c r="AH67" s="20"/>
      <c r="AI67" s="20"/>
      <c r="AJ67" s="20"/>
      <c r="AK67" s="49"/>
      <c r="AN67" s="20"/>
      <c r="AO67" s="20"/>
      <c r="AP67" s="20"/>
      <c r="AQ67" s="20"/>
      <c r="AR67" s="20"/>
      <c r="AS67" s="20"/>
      <c r="AT67" s="20"/>
      <c r="AU67" s="20"/>
      <c r="AV67" s="20"/>
      <c r="AW67" s="49"/>
    </row>
    <row r="68" spans="1:49" s="16" customFormat="1" ht="15" customHeight="1" x14ac:dyDescent="0.25">
      <c r="A68" s="49"/>
      <c r="D68" s="20"/>
      <c r="E68" s="20"/>
      <c r="F68" s="20"/>
      <c r="G68" s="20"/>
      <c r="H68" s="20"/>
      <c r="I68" s="20"/>
      <c r="J68" s="23"/>
      <c r="K68" s="23"/>
      <c r="L68" s="23"/>
      <c r="M68" s="49"/>
      <c r="N68" s="23"/>
      <c r="O68" s="21"/>
      <c r="P68" s="23"/>
      <c r="Q68" s="23"/>
      <c r="R68" s="23"/>
      <c r="S68" s="23"/>
      <c r="T68" s="23"/>
      <c r="U68" s="23"/>
      <c r="V68" s="23"/>
      <c r="W68" s="23"/>
      <c r="X68" s="23"/>
      <c r="Y68" s="49"/>
      <c r="AB68" s="20"/>
      <c r="AC68" s="20"/>
      <c r="AD68" s="20"/>
      <c r="AE68" s="20"/>
      <c r="AF68" s="20"/>
      <c r="AG68" s="20"/>
      <c r="AH68" s="20"/>
      <c r="AI68" s="20"/>
      <c r="AJ68" s="20"/>
      <c r="AK68" s="49"/>
      <c r="AN68" s="20"/>
      <c r="AO68" s="20"/>
      <c r="AP68" s="20"/>
      <c r="AQ68" s="20"/>
      <c r="AR68" s="20"/>
      <c r="AS68" s="20"/>
      <c r="AT68" s="20"/>
      <c r="AU68" s="20"/>
      <c r="AV68" s="20"/>
      <c r="AW68" s="49"/>
    </row>
    <row r="69" spans="1:49" s="16" customFormat="1" ht="15" customHeight="1" x14ac:dyDescent="0.25">
      <c r="A69" s="49"/>
      <c r="D69" s="20"/>
      <c r="E69" s="20"/>
      <c r="F69" s="20"/>
      <c r="G69" s="20"/>
      <c r="H69" s="20"/>
      <c r="I69" s="20"/>
      <c r="J69" s="23"/>
      <c r="K69" s="23"/>
      <c r="L69" s="23"/>
      <c r="M69" s="49"/>
      <c r="N69" s="23"/>
      <c r="O69" s="21"/>
      <c r="P69" s="23"/>
      <c r="Q69" s="23"/>
      <c r="R69" s="23"/>
      <c r="S69" s="23"/>
      <c r="T69" s="23"/>
      <c r="U69" s="23"/>
      <c r="V69" s="23"/>
      <c r="W69" s="23"/>
      <c r="X69" s="23"/>
      <c r="Y69" s="49"/>
      <c r="AB69" s="20"/>
      <c r="AC69" s="20"/>
      <c r="AD69" s="20"/>
      <c r="AE69" s="20"/>
      <c r="AF69" s="20"/>
      <c r="AG69" s="20"/>
      <c r="AH69" s="20"/>
      <c r="AI69" s="20"/>
      <c r="AJ69" s="20"/>
      <c r="AK69" s="49"/>
      <c r="AN69" s="20"/>
      <c r="AO69" s="20"/>
      <c r="AP69" s="20"/>
      <c r="AQ69" s="20"/>
      <c r="AR69" s="20"/>
      <c r="AS69" s="20"/>
      <c r="AT69" s="20"/>
      <c r="AU69" s="20"/>
      <c r="AV69" s="20"/>
      <c r="AW69" s="49"/>
    </row>
    <row r="70" spans="1:49" s="16" customFormat="1" ht="15" customHeight="1" x14ac:dyDescent="0.25">
      <c r="A70" s="49"/>
      <c r="D70" s="20"/>
      <c r="E70" s="20"/>
      <c r="F70" s="20"/>
      <c r="G70" s="20"/>
      <c r="H70" s="20"/>
      <c r="I70" s="20"/>
      <c r="J70" s="23"/>
      <c r="K70" s="23"/>
      <c r="L70" s="23"/>
      <c r="M70" s="49"/>
      <c r="N70" s="23"/>
      <c r="O70" s="21"/>
      <c r="P70" s="23"/>
      <c r="Q70" s="23"/>
      <c r="R70" s="23"/>
      <c r="S70" s="23"/>
      <c r="T70" s="23"/>
      <c r="U70" s="23"/>
      <c r="V70" s="23"/>
      <c r="W70" s="23"/>
      <c r="X70" s="23"/>
      <c r="Y70" s="49"/>
      <c r="AJ70" s="20"/>
      <c r="AK70" s="49"/>
      <c r="AN70" s="20"/>
      <c r="AO70" s="20"/>
      <c r="AP70" s="20"/>
      <c r="AQ70" s="20"/>
      <c r="AR70" s="20"/>
      <c r="AS70" s="20"/>
      <c r="AT70" s="20"/>
      <c r="AU70" s="20"/>
      <c r="AV70" s="20"/>
      <c r="AW70" s="49"/>
    </row>
    <row r="71" spans="1:49" s="8" customFormat="1" x14ac:dyDescent="0.25">
      <c r="A71" s="42"/>
      <c r="D71" s="54"/>
      <c r="E71" s="54"/>
      <c r="F71" s="54"/>
      <c r="G71" s="54"/>
      <c r="H71" s="54"/>
      <c r="I71" s="54"/>
      <c r="J71" s="54"/>
      <c r="K71" s="54"/>
      <c r="L71" s="54"/>
      <c r="M71" s="42"/>
      <c r="N71" s="54"/>
      <c r="P71" s="54"/>
      <c r="Q71" s="54"/>
      <c r="R71" s="54"/>
      <c r="S71" s="54"/>
      <c r="T71" s="54"/>
      <c r="U71" s="54"/>
      <c r="V71" s="54"/>
      <c r="W71" s="54"/>
      <c r="X71" s="54"/>
      <c r="Y71" s="42"/>
      <c r="AB71" s="54"/>
      <c r="AC71" s="54"/>
      <c r="AD71" s="54"/>
      <c r="AE71" s="54"/>
      <c r="AF71" s="54"/>
      <c r="AG71" s="54"/>
      <c r="AH71" s="54"/>
      <c r="AI71" s="54"/>
      <c r="AJ71" s="54"/>
      <c r="AK71" s="42"/>
      <c r="AN71" s="54"/>
      <c r="AO71" s="54"/>
      <c r="AP71" s="54"/>
      <c r="AQ71" s="54"/>
      <c r="AR71" s="54"/>
      <c r="AS71" s="54"/>
      <c r="AT71" s="54"/>
      <c r="AU71" s="54"/>
      <c r="AV71" s="54"/>
      <c r="AW71" s="42"/>
    </row>
    <row r="72" spans="1:49" x14ac:dyDescent="0.25">
      <c r="A72" s="42"/>
      <c r="C72" s="5" t="s">
        <v>39</v>
      </c>
      <c r="M72" s="42"/>
      <c r="O72" s="5" t="s">
        <v>39</v>
      </c>
      <c r="Y72" s="42"/>
      <c r="AA72" s="5" t="s">
        <v>39</v>
      </c>
      <c r="AK72" s="42"/>
      <c r="AM72" s="5" t="s">
        <v>39</v>
      </c>
      <c r="AW72" s="42"/>
    </row>
    <row r="73" spans="1:49" x14ac:dyDescent="0.25">
      <c r="A73" s="42"/>
      <c r="M73" s="42"/>
      <c r="Y73" s="42"/>
      <c r="AK73" s="42"/>
      <c r="AW73" s="42"/>
    </row>
    <row r="74" spans="1:49" x14ac:dyDescent="0.25">
      <c r="A74" s="42"/>
      <c r="C74" s="1" t="s">
        <v>73</v>
      </c>
      <c r="D74" s="4">
        <v>0</v>
      </c>
      <c r="E74" s="4">
        <v>0</v>
      </c>
      <c r="M74" s="42"/>
      <c r="O74" s="1" t="s">
        <v>73</v>
      </c>
      <c r="P74" s="4">
        <v>0</v>
      </c>
      <c r="Q74" s="4">
        <f>P319+45</f>
        <v>1165</v>
      </c>
      <c r="Y74" s="42"/>
      <c r="AA74" s="1" t="s">
        <v>73</v>
      </c>
      <c r="AB74" s="4">
        <v>0</v>
      </c>
      <c r="AC74" s="4">
        <v>0</v>
      </c>
      <c r="AK74" s="42"/>
      <c r="AM74" s="1" t="s">
        <v>73</v>
      </c>
      <c r="AN74" s="4">
        <v>0</v>
      </c>
      <c r="AO74" s="4">
        <f>AN319+45</f>
        <v>1265</v>
      </c>
      <c r="AW74" s="42"/>
    </row>
    <row r="75" spans="1:49" x14ac:dyDescent="0.25">
      <c r="A75" s="42"/>
      <c r="C75" s="1"/>
      <c r="D75" s="4">
        <f>D74+45</f>
        <v>45</v>
      </c>
      <c r="E75" s="4">
        <f>E74</f>
        <v>0</v>
      </c>
      <c r="M75" s="42"/>
      <c r="O75" s="1"/>
      <c r="P75" s="4">
        <f>P74+45</f>
        <v>45</v>
      </c>
      <c r="Q75" s="4">
        <f>Q74</f>
        <v>1165</v>
      </c>
      <c r="Y75" s="42"/>
      <c r="AA75" s="1"/>
      <c r="AB75" s="4">
        <f>AB74+45</f>
        <v>45</v>
      </c>
      <c r="AC75" s="4">
        <f>AC74</f>
        <v>0</v>
      </c>
      <c r="AK75" s="42"/>
      <c r="AM75" s="1"/>
      <c r="AN75" s="4">
        <f>AN74+45</f>
        <v>45</v>
      </c>
      <c r="AO75" s="4">
        <f>AO74</f>
        <v>1265</v>
      </c>
      <c r="AW75" s="42"/>
    </row>
    <row r="76" spans="1:49" x14ac:dyDescent="0.25">
      <c r="A76" s="42"/>
      <c r="C76" s="1"/>
      <c r="D76" s="4">
        <f>D75</f>
        <v>45</v>
      </c>
      <c r="E76" s="4">
        <f>H$19</f>
        <v>2385</v>
      </c>
      <c r="M76" s="42"/>
      <c r="O76" s="1"/>
      <c r="P76" s="4">
        <f>P75</f>
        <v>45</v>
      </c>
      <c r="Q76" s="4">
        <f>T$19+Q75</f>
        <v>2385</v>
      </c>
      <c r="Y76" s="42"/>
      <c r="AA76" s="1"/>
      <c r="AB76" s="4">
        <f>AB75</f>
        <v>45</v>
      </c>
      <c r="AC76" s="4">
        <f>AF$19</f>
        <v>2585</v>
      </c>
      <c r="AK76" s="42"/>
      <c r="AM76" s="1"/>
      <c r="AN76" s="4">
        <f>AN75</f>
        <v>45</v>
      </c>
      <c r="AO76" s="4">
        <f>AR$19+AO74</f>
        <v>2585</v>
      </c>
      <c r="AW76" s="42"/>
    </row>
    <row r="77" spans="1:49" x14ac:dyDescent="0.25">
      <c r="A77" s="42"/>
      <c r="C77" s="1"/>
      <c r="D77" s="4">
        <f>D74</f>
        <v>0</v>
      </c>
      <c r="E77" s="4">
        <f>E76</f>
        <v>2385</v>
      </c>
      <c r="M77" s="42"/>
      <c r="O77" s="1"/>
      <c r="P77" s="4">
        <f>P74</f>
        <v>0</v>
      </c>
      <c r="Q77" s="4">
        <f>Q76</f>
        <v>2385</v>
      </c>
      <c r="Y77" s="42"/>
      <c r="AA77" s="1"/>
      <c r="AB77" s="4">
        <f>AB74</f>
        <v>0</v>
      </c>
      <c r="AC77" s="4">
        <f>AC76</f>
        <v>2585</v>
      </c>
      <c r="AK77" s="42"/>
      <c r="AM77" s="1"/>
      <c r="AN77" s="4">
        <f>AN74</f>
        <v>0</v>
      </c>
      <c r="AO77" s="4">
        <f>AO76</f>
        <v>2585</v>
      </c>
      <c r="AW77" s="42"/>
    </row>
    <row r="78" spans="1:49" x14ac:dyDescent="0.25">
      <c r="A78" s="42"/>
      <c r="C78" s="1"/>
      <c r="D78" s="4">
        <f>D74</f>
        <v>0</v>
      </c>
      <c r="E78" s="4">
        <f>E74</f>
        <v>0</v>
      </c>
      <c r="M78" s="42"/>
      <c r="O78" s="1"/>
      <c r="P78" s="4">
        <f>P74</f>
        <v>0</v>
      </c>
      <c r="Q78" s="4">
        <f>Q74</f>
        <v>1165</v>
      </c>
      <c r="Y78" s="42"/>
      <c r="AA78" s="1"/>
      <c r="AB78" s="4">
        <f>AB74</f>
        <v>0</v>
      </c>
      <c r="AC78" s="4">
        <f>AC74</f>
        <v>0</v>
      </c>
      <c r="AK78" s="42"/>
      <c r="AM78" s="1"/>
      <c r="AN78" s="4">
        <f>AN74</f>
        <v>0</v>
      </c>
      <c r="AO78" s="4">
        <f>AO74</f>
        <v>1265</v>
      </c>
      <c r="AW78" s="42"/>
    </row>
    <row r="79" spans="1:49" x14ac:dyDescent="0.25">
      <c r="A79" s="42"/>
      <c r="C79" s="92"/>
      <c r="D79" s="93"/>
      <c r="E79" s="93"/>
      <c r="M79" s="42"/>
      <c r="O79" s="92"/>
      <c r="P79" s="93"/>
      <c r="Q79" s="93"/>
      <c r="Y79" s="42"/>
      <c r="AA79" s="92"/>
      <c r="AB79" s="93"/>
      <c r="AC79" s="93"/>
      <c r="AK79" s="42"/>
      <c r="AM79" s="92"/>
      <c r="AN79" s="93"/>
      <c r="AO79" s="93"/>
      <c r="AW79" s="42"/>
    </row>
    <row r="80" spans="1:49" x14ac:dyDescent="0.25">
      <c r="A80" s="42"/>
      <c r="C80" s="1" t="s">
        <v>74</v>
      </c>
      <c r="D80" s="4">
        <f>(J$10-45)+D74</f>
        <v>1575</v>
      </c>
      <c r="E80" s="4">
        <f>E74</f>
        <v>0</v>
      </c>
      <c r="M80" s="42"/>
      <c r="O80" s="1" t="s">
        <v>74</v>
      </c>
      <c r="P80" s="4">
        <f>(V$10-45)+P74</f>
        <v>1575</v>
      </c>
      <c r="Q80" s="4">
        <f>Q74</f>
        <v>1165</v>
      </c>
      <c r="Y80" s="42"/>
      <c r="AA80" s="1" t="s">
        <v>74</v>
      </c>
      <c r="AB80" s="4">
        <f>(AH$10-45)+AB74</f>
        <v>1575</v>
      </c>
      <c r="AC80" s="4">
        <f>AC74</f>
        <v>0</v>
      </c>
      <c r="AK80" s="42"/>
      <c r="AM80" s="1" t="s">
        <v>74</v>
      </c>
      <c r="AN80" s="4">
        <f>(AT$10-45)+AN74</f>
        <v>975</v>
      </c>
      <c r="AO80" s="4">
        <f>AO74</f>
        <v>1265</v>
      </c>
      <c r="AW80" s="42"/>
    </row>
    <row r="81" spans="1:49" x14ac:dyDescent="0.25">
      <c r="A81" s="42"/>
      <c r="C81" s="1"/>
      <c r="D81" s="4">
        <f>(J$10-45)+D75</f>
        <v>1620</v>
      </c>
      <c r="E81" s="4">
        <f t="shared" ref="E81:E84" si="0">E75</f>
        <v>0</v>
      </c>
      <c r="M81" s="42"/>
      <c r="O81" s="1"/>
      <c r="P81" s="4">
        <f>(V$10-45)+P75</f>
        <v>1620</v>
      </c>
      <c r="Q81" s="4">
        <f t="shared" ref="Q81:Q84" si="1">Q75</f>
        <v>1165</v>
      </c>
      <c r="Y81" s="42"/>
      <c r="AA81" s="1"/>
      <c r="AB81" s="4">
        <f>(AH$10-45)+AB75</f>
        <v>1620</v>
      </c>
      <c r="AC81" s="4">
        <f t="shared" ref="AC81:AC84" si="2">AC75</f>
        <v>0</v>
      </c>
      <c r="AK81" s="42"/>
      <c r="AM81" s="1"/>
      <c r="AN81" s="4">
        <f>(AT$10-45)+AN75</f>
        <v>1020</v>
      </c>
      <c r="AO81" s="4">
        <f>AO75</f>
        <v>1265</v>
      </c>
      <c r="AW81" s="42"/>
    </row>
    <row r="82" spans="1:49" x14ac:dyDescent="0.25">
      <c r="A82" s="42"/>
      <c r="C82" s="1"/>
      <c r="D82" s="4">
        <f>(J$10-45)+D76</f>
        <v>1620</v>
      </c>
      <c r="E82" s="4">
        <f t="shared" si="0"/>
        <v>2385</v>
      </c>
      <c r="M82" s="42"/>
      <c r="O82" s="1"/>
      <c r="P82" s="4">
        <f>(V$10-45)+P76</f>
        <v>1620</v>
      </c>
      <c r="Q82" s="4">
        <f t="shared" si="1"/>
        <v>2385</v>
      </c>
      <c r="Y82" s="42"/>
      <c r="AA82" s="1"/>
      <c r="AB82" s="4">
        <f>(AH$10-45)+AB76</f>
        <v>1620</v>
      </c>
      <c r="AC82" s="4">
        <f t="shared" si="2"/>
        <v>2585</v>
      </c>
      <c r="AK82" s="42"/>
      <c r="AM82" s="1"/>
      <c r="AN82" s="4">
        <f>(AT$10-45)+AN76</f>
        <v>1020</v>
      </c>
      <c r="AO82" s="4">
        <f>AO76</f>
        <v>2585</v>
      </c>
      <c r="AW82" s="42"/>
    </row>
    <row r="83" spans="1:49" x14ac:dyDescent="0.25">
      <c r="A83" s="42"/>
      <c r="C83" s="1"/>
      <c r="D83" s="4">
        <f>(J$10-45)+D77</f>
        <v>1575</v>
      </c>
      <c r="E83" s="4">
        <f t="shared" si="0"/>
        <v>2385</v>
      </c>
      <c r="M83" s="42"/>
      <c r="O83" s="1"/>
      <c r="P83" s="4">
        <f>(V$10-45)+P77</f>
        <v>1575</v>
      </c>
      <c r="Q83" s="4">
        <f t="shared" si="1"/>
        <v>2385</v>
      </c>
      <c r="Y83" s="42"/>
      <c r="AA83" s="1"/>
      <c r="AB83" s="4">
        <f>(AH$10-45)+AB77</f>
        <v>1575</v>
      </c>
      <c r="AC83" s="4">
        <f t="shared" si="2"/>
        <v>2585</v>
      </c>
      <c r="AK83" s="42"/>
      <c r="AM83" s="1"/>
      <c r="AN83" s="4">
        <f>(AT$10-45)+AN77</f>
        <v>975</v>
      </c>
      <c r="AO83" s="4">
        <f t="shared" ref="AO83:AO84" si="3">AO77</f>
        <v>2585</v>
      </c>
      <c r="AW83" s="42"/>
    </row>
    <row r="84" spans="1:49" x14ac:dyDescent="0.25">
      <c r="A84" s="42"/>
      <c r="C84" s="1"/>
      <c r="D84" s="4">
        <f>(J$10-45)+D78</f>
        <v>1575</v>
      </c>
      <c r="E84" s="4">
        <f t="shared" si="0"/>
        <v>0</v>
      </c>
      <c r="M84" s="42"/>
      <c r="O84" s="1"/>
      <c r="P84" s="4">
        <f>(V$10-45)+P78</f>
        <v>1575</v>
      </c>
      <c r="Q84" s="4">
        <f t="shared" si="1"/>
        <v>1165</v>
      </c>
      <c r="Y84" s="42"/>
      <c r="AA84" s="1"/>
      <c r="AB84" s="4">
        <f>(AH$10-45)+AB78</f>
        <v>1575</v>
      </c>
      <c r="AC84" s="4">
        <f t="shared" si="2"/>
        <v>0</v>
      </c>
      <c r="AK84" s="42"/>
      <c r="AM84" s="1"/>
      <c r="AN84" s="4">
        <f>(AT$10-45)+AN78</f>
        <v>975</v>
      </c>
      <c r="AO84" s="4">
        <f t="shared" si="3"/>
        <v>1265</v>
      </c>
      <c r="AW84" s="42"/>
    </row>
    <row r="85" spans="1:49" x14ac:dyDescent="0.25">
      <c r="A85" s="42"/>
      <c r="C85" s="92"/>
      <c r="D85" s="93"/>
      <c r="E85" s="93"/>
      <c r="M85" s="42"/>
      <c r="O85" s="92"/>
      <c r="P85" s="93"/>
      <c r="Q85" s="93"/>
      <c r="Y85" s="42"/>
      <c r="AA85" s="92"/>
      <c r="AB85" s="93"/>
      <c r="AC85" s="93"/>
      <c r="AK85" s="42"/>
      <c r="AM85" s="92"/>
      <c r="AN85" s="93"/>
      <c r="AO85" s="93"/>
      <c r="AW85" s="42"/>
    </row>
    <row r="86" spans="1:49" x14ac:dyDescent="0.25">
      <c r="A86" s="42"/>
      <c r="C86" s="1" t="s">
        <v>75</v>
      </c>
      <c r="D86" s="4">
        <f>IF(D14="oui",45+D74,D74)</f>
        <v>0</v>
      </c>
      <c r="E86" s="4">
        <f>D$12+15</f>
        <v>2165</v>
      </c>
      <c r="M86" s="42"/>
      <c r="O86" s="1" t="s">
        <v>75</v>
      </c>
      <c r="P86" s="4">
        <f>P74</f>
        <v>0</v>
      </c>
      <c r="Q86" s="4">
        <f>P$12+15</f>
        <v>2165</v>
      </c>
      <c r="Y86" s="42"/>
      <c r="AA86" s="1" t="s">
        <v>75</v>
      </c>
      <c r="AB86" s="4">
        <f>IF(AB14="oui",45+AB74,AB74)</f>
        <v>0</v>
      </c>
      <c r="AC86" s="4">
        <f>AB$12+215</f>
        <v>2365</v>
      </c>
      <c r="AK86" s="42"/>
      <c r="AM86" s="1" t="s">
        <v>75</v>
      </c>
      <c r="AN86" s="4">
        <f>AN74</f>
        <v>0</v>
      </c>
      <c r="AO86" s="4">
        <f>AN$12+215</f>
        <v>2365</v>
      </c>
      <c r="AW86" s="42"/>
    </row>
    <row r="87" spans="1:49" x14ac:dyDescent="0.25">
      <c r="A87" s="42"/>
      <c r="C87" s="1"/>
      <c r="D87" s="4">
        <f>D86+H22</f>
        <v>1620</v>
      </c>
      <c r="E87" s="4">
        <f>E86</f>
        <v>2165</v>
      </c>
      <c r="M87" s="42"/>
      <c r="O87" s="1"/>
      <c r="P87" s="4">
        <f>V$10</f>
        <v>1620</v>
      </c>
      <c r="Q87" s="4">
        <f>Q86</f>
        <v>2165</v>
      </c>
      <c r="Y87" s="42"/>
      <c r="AA87" s="1"/>
      <c r="AB87" s="4">
        <f>AF$22+AB86</f>
        <v>1620</v>
      </c>
      <c r="AC87" s="4">
        <f>AC86</f>
        <v>2365</v>
      </c>
      <c r="AK87" s="42"/>
      <c r="AM87" s="1"/>
      <c r="AN87" s="4">
        <f>AT$10</f>
        <v>1020</v>
      </c>
      <c r="AO87" s="4">
        <f>AO86</f>
        <v>2365</v>
      </c>
      <c r="AW87" s="42"/>
    </row>
    <row r="88" spans="1:49" x14ac:dyDescent="0.25">
      <c r="A88" s="42"/>
      <c r="C88" s="1"/>
      <c r="D88" s="4">
        <f>D87</f>
        <v>1620</v>
      </c>
      <c r="E88" s="4">
        <f>E87+F22</f>
        <v>2385</v>
      </c>
      <c r="M88" s="42"/>
      <c r="O88" s="1"/>
      <c r="P88" s="4">
        <f>P87</f>
        <v>1620</v>
      </c>
      <c r="Q88" s="4">
        <f>Q87+220</f>
        <v>2385</v>
      </c>
      <c r="Y88" s="42"/>
      <c r="AA88" s="1"/>
      <c r="AB88" s="4">
        <f>AB87</f>
        <v>1620</v>
      </c>
      <c r="AC88" s="4">
        <f>AC87+AD22</f>
        <v>2585</v>
      </c>
      <c r="AK88" s="42"/>
      <c r="AM88" s="1"/>
      <c r="AN88" s="4">
        <f>AN87</f>
        <v>1020</v>
      </c>
      <c r="AO88" s="4">
        <f>AO87+220</f>
        <v>2585</v>
      </c>
      <c r="AW88" s="42"/>
    </row>
    <row r="89" spans="1:49" x14ac:dyDescent="0.25">
      <c r="A89" s="42"/>
      <c r="C89" s="1"/>
      <c r="D89" s="4">
        <f>D86</f>
        <v>0</v>
      </c>
      <c r="E89" s="4">
        <f>E88</f>
        <v>2385</v>
      </c>
      <c r="M89" s="42"/>
      <c r="O89" s="1"/>
      <c r="P89" s="4">
        <f>P86</f>
        <v>0</v>
      </c>
      <c r="Q89" s="4">
        <f>Q88</f>
        <v>2385</v>
      </c>
      <c r="Y89" s="42"/>
      <c r="AA89" s="1"/>
      <c r="AB89" s="4">
        <f>AB86</f>
        <v>0</v>
      </c>
      <c r="AC89" s="4">
        <f>AC88</f>
        <v>2585</v>
      </c>
      <c r="AK89" s="42"/>
      <c r="AM89" s="1"/>
      <c r="AN89" s="4">
        <f>AN86</f>
        <v>0</v>
      </c>
      <c r="AO89" s="4">
        <f>AO88</f>
        <v>2585</v>
      </c>
      <c r="AW89" s="42"/>
    </row>
    <row r="90" spans="1:49" x14ac:dyDescent="0.25">
      <c r="A90" s="42"/>
      <c r="C90" s="1"/>
      <c r="D90" s="4">
        <f>D86</f>
        <v>0</v>
      </c>
      <c r="E90" s="4">
        <f>E86</f>
        <v>2165</v>
      </c>
      <c r="M90" s="42"/>
      <c r="O90" s="1"/>
      <c r="P90" s="4">
        <f>P86</f>
        <v>0</v>
      </c>
      <c r="Q90" s="4">
        <f>Q86</f>
        <v>2165</v>
      </c>
      <c r="Y90" s="42"/>
      <c r="AA90" s="1"/>
      <c r="AB90" s="4">
        <f>AB86</f>
        <v>0</v>
      </c>
      <c r="AC90" s="4">
        <f>AC86</f>
        <v>2365</v>
      </c>
      <c r="AK90" s="42"/>
      <c r="AM90" s="1"/>
      <c r="AN90" s="4">
        <f>AN86</f>
        <v>0</v>
      </c>
      <c r="AO90" s="4">
        <f>AO86</f>
        <v>2365</v>
      </c>
      <c r="AW90" s="42"/>
    </row>
    <row r="91" spans="1:49" x14ac:dyDescent="0.25">
      <c r="A91" s="42"/>
      <c r="C91" s="92"/>
      <c r="D91" s="93"/>
      <c r="E91" s="93"/>
      <c r="M91" s="42"/>
      <c r="O91" s="92"/>
      <c r="P91" s="93"/>
      <c r="Q91" s="93"/>
      <c r="Y91" s="42"/>
      <c r="AA91" s="92"/>
      <c r="AB91" s="93"/>
      <c r="AC91" s="93"/>
      <c r="AK91" s="42"/>
      <c r="AM91" s="92"/>
      <c r="AN91" s="93"/>
      <c r="AO91" s="93"/>
      <c r="AW91" s="42"/>
    </row>
    <row r="92" spans="1:49" x14ac:dyDescent="0.25">
      <c r="A92" s="42"/>
      <c r="C92" s="1" t="s">
        <v>76</v>
      </c>
      <c r="D92" s="4">
        <f>IF(D14="oui","",D74)</f>
        <v>0</v>
      </c>
      <c r="E92" s="4">
        <f>IF(D14="oui","",E86+220)</f>
        <v>2385</v>
      </c>
      <c r="M92" s="42"/>
      <c r="O92" s="1" t="s">
        <v>76</v>
      </c>
      <c r="P92" s="4">
        <f>P74</f>
        <v>0</v>
      </c>
      <c r="Q92" s="4">
        <f>Q86+220</f>
        <v>2385</v>
      </c>
      <c r="Y92" s="42"/>
      <c r="AA92" s="1" t="s">
        <v>76</v>
      </c>
      <c r="AB92" s="4">
        <f>AB74</f>
        <v>0</v>
      </c>
      <c r="AC92" s="4">
        <f>AC86+AD22</f>
        <v>2585</v>
      </c>
      <c r="AK92" s="42"/>
      <c r="AM92" s="1" t="s">
        <v>76</v>
      </c>
      <c r="AN92" s="4">
        <f>AN74</f>
        <v>0</v>
      </c>
      <c r="AO92" s="4">
        <f>AO86+220</f>
        <v>2585</v>
      </c>
      <c r="AW92" s="42"/>
    </row>
    <row r="93" spans="1:49" x14ac:dyDescent="0.25">
      <c r="A93" s="42"/>
      <c r="C93" s="1"/>
      <c r="D93" s="4">
        <f>IF(D14="oui","",J$10)</f>
        <v>1620</v>
      </c>
      <c r="E93" s="4">
        <f>E92</f>
        <v>2385</v>
      </c>
      <c r="M93" s="42"/>
      <c r="O93" s="1"/>
      <c r="P93" s="4">
        <f>V$10</f>
        <v>1620</v>
      </c>
      <c r="Q93" s="4">
        <f>Q92</f>
        <v>2385</v>
      </c>
      <c r="Y93" s="42"/>
      <c r="AA93" s="1"/>
      <c r="AB93" s="4">
        <f>AH$10</f>
        <v>1620</v>
      </c>
      <c r="AC93" s="4">
        <f>AC92</f>
        <v>2585</v>
      </c>
      <c r="AK93" s="42"/>
      <c r="AM93" s="1"/>
      <c r="AN93" s="4">
        <f>AT$10</f>
        <v>1020</v>
      </c>
      <c r="AO93" s="4">
        <f>AO92</f>
        <v>2585</v>
      </c>
      <c r="AW93" s="42"/>
    </row>
    <row r="94" spans="1:49" x14ac:dyDescent="0.25">
      <c r="A94" s="42"/>
      <c r="C94" s="1"/>
      <c r="D94" s="4">
        <f>D93</f>
        <v>1620</v>
      </c>
      <c r="E94" s="4">
        <f>IF(D14="oui","",E93+45)</f>
        <v>2430</v>
      </c>
      <c r="M94" s="42"/>
      <c r="O94" s="1"/>
      <c r="P94" s="4">
        <f>P93</f>
        <v>1620</v>
      </c>
      <c r="Q94" s="4">
        <f>Q93+45</f>
        <v>2430</v>
      </c>
      <c r="Y94" s="42"/>
      <c r="AA94" s="1"/>
      <c r="AB94" s="4">
        <f>AB93</f>
        <v>1620</v>
      </c>
      <c r="AC94" s="4">
        <f>AC93+AB18</f>
        <v>2630</v>
      </c>
      <c r="AK94" s="42"/>
      <c r="AM94" s="1"/>
      <c r="AN94" s="4">
        <f>AN93</f>
        <v>1020</v>
      </c>
      <c r="AO94" s="4">
        <f>AO93+45</f>
        <v>2630</v>
      </c>
      <c r="AW94" s="42"/>
    </row>
    <row r="95" spans="1:49" x14ac:dyDescent="0.25">
      <c r="A95" s="42"/>
      <c r="C95" s="1"/>
      <c r="D95" s="4">
        <f>D92</f>
        <v>0</v>
      </c>
      <c r="E95" s="4">
        <f>E94</f>
        <v>2430</v>
      </c>
      <c r="M95" s="42"/>
      <c r="O95" s="1"/>
      <c r="P95" s="4">
        <f>P92</f>
        <v>0</v>
      </c>
      <c r="Q95" s="4">
        <f>Q94</f>
        <v>2430</v>
      </c>
      <c r="Y95" s="42"/>
      <c r="AA95" s="1"/>
      <c r="AB95" s="4">
        <f>AB92</f>
        <v>0</v>
      </c>
      <c r="AC95" s="4">
        <f>AC94</f>
        <v>2630</v>
      </c>
      <c r="AK95" s="42"/>
      <c r="AM95" s="1"/>
      <c r="AN95" s="4">
        <f>AN92</f>
        <v>0</v>
      </c>
      <c r="AO95" s="4">
        <f>AO94</f>
        <v>2630</v>
      </c>
      <c r="AW95" s="42"/>
    </row>
    <row r="96" spans="1:49" x14ac:dyDescent="0.25">
      <c r="A96" s="42"/>
      <c r="C96" s="1"/>
      <c r="D96" s="4">
        <f>D92</f>
        <v>0</v>
      </c>
      <c r="E96" s="4">
        <f>E92</f>
        <v>2385</v>
      </c>
      <c r="M96" s="42"/>
      <c r="O96" s="1"/>
      <c r="P96" s="4">
        <f>P92</f>
        <v>0</v>
      </c>
      <c r="Q96" s="4">
        <f>Q92</f>
        <v>2385</v>
      </c>
      <c r="Y96" s="42"/>
      <c r="AA96" s="1"/>
      <c r="AB96" s="4">
        <f>AB92</f>
        <v>0</v>
      </c>
      <c r="AC96" s="4">
        <f>AC92</f>
        <v>2585</v>
      </c>
      <c r="AK96" s="42"/>
      <c r="AM96" s="1"/>
      <c r="AN96" s="4">
        <f>AN92</f>
        <v>0</v>
      </c>
      <c r="AO96" s="4">
        <f>AO92</f>
        <v>2585</v>
      </c>
      <c r="AW96" s="42"/>
    </row>
    <row r="97" spans="1:49" x14ac:dyDescent="0.25">
      <c r="A97" s="42"/>
      <c r="C97" s="92"/>
      <c r="D97" s="93"/>
      <c r="E97" s="93"/>
      <c r="M97" s="42"/>
      <c r="O97" s="92"/>
      <c r="P97" s="93"/>
      <c r="Q97" s="93"/>
      <c r="Y97" s="42"/>
      <c r="AA97" s="92"/>
      <c r="AB97" s="93"/>
      <c r="AC97" s="93"/>
      <c r="AK97" s="42"/>
      <c r="AM97" s="92"/>
      <c r="AN97" s="93"/>
      <c r="AO97" s="93"/>
      <c r="AW97" s="42"/>
    </row>
    <row r="98" spans="1:49" x14ac:dyDescent="0.25">
      <c r="A98" s="42"/>
      <c r="C98" s="1" t="s">
        <v>77</v>
      </c>
      <c r="D98" s="4" t="str">
        <f>IF(D14="non","",D74+45)</f>
        <v/>
      </c>
      <c r="E98" s="4" t="str">
        <f>IF(D14="non","",E74)</f>
        <v/>
      </c>
      <c r="M98" s="42"/>
      <c r="O98" s="1" t="s">
        <v>81</v>
      </c>
      <c r="P98" s="4">
        <v>0</v>
      </c>
      <c r="Q98" s="4">
        <f>P319</f>
        <v>1120</v>
      </c>
      <c r="Y98" s="42"/>
      <c r="AA98" s="1" t="s">
        <v>86</v>
      </c>
      <c r="AB98" s="4">
        <f>IF(AB14="oui","",AB92)</f>
        <v>0</v>
      </c>
      <c r="AC98" s="4">
        <f>IF(AB14="oui","",AC92+45)</f>
        <v>2630</v>
      </c>
      <c r="AK98" s="42"/>
      <c r="AM98" s="1" t="s">
        <v>86</v>
      </c>
      <c r="AN98" s="4">
        <f>AN86</f>
        <v>0</v>
      </c>
      <c r="AO98" s="4">
        <f>AO92+45</f>
        <v>2630</v>
      </c>
      <c r="AW98" s="42"/>
    </row>
    <row r="99" spans="1:49" x14ac:dyDescent="0.25">
      <c r="A99" s="42"/>
      <c r="C99" s="1"/>
      <c r="D99" s="4" t="str">
        <f>IF(D14="non","",D98+45)</f>
        <v/>
      </c>
      <c r="E99" s="4" t="str">
        <f>E98</f>
        <v/>
      </c>
      <c r="M99" s="42"/>
      <c r="O99" s="1"/>
      <c r="P99" s="4">
        <f>V$10</f>
        <v>1620</v>
      </c>
      <c r="Q99" s="4">
        <f>Q98</f>
        <v>1120</v>
      </c>
      <c r="Y99" s="42"/>
      <c r="AA99" s="1"/>
      <c r="AB99" s="4">
        <f>IF(AB14="oui","",AH$10)</f>
        <v>1620</v>
      </c>
      <c r="AC99" s="4">
        <f>AC98</f>
        <v>2630</v>
      </c>
      <c r="AK99" s="42"/>
      <c r="AM99" s="1"/>
      <c r="AN99" s="4">
        <f>AT$10</f>
        <v>1020</v>
      </c>
      <c r="AO99" s="4">
        <f>AO98</f>
        <v>2630</v>
      </c>
      <c r="AW99" s="42"/>
    </row>
    <row r="100" spans="1:49" x14ac:dyDescent="0.25">
      <c r="A100" s="42"/>
      <c r="C100" s="1"/>
      <c r="D100" s="4" t="str">
        <f>D99</f>
        <v/>
      </c>
      <c r="E100" s="4" t="str">
        <f>H$20</f>
        <v/>
      </c>
      <c r="M100" s="42"/>
      <c r="O100" s="1"/>
      <c r="P100" s="4">
        <f>P99</f>
        <v>1620</v>
      </c>
      <c r="Q100" s="4">
        <f>Q99+45</f>
        <v>1165</v>
      </c>
      <c r="Y100" s="42"/>
      <c r="AA100" s="1"/>
      <c r="AB100" s="4">
        <f>AB99</f>
        <v>1620</v>
      </c>
      <c r="AC100" s="4">
        <f>IF(AB14="oui","",AC99+45)</f>
        <v>2675</v>
      </c>
      <c r="AK100" s="42"/>
      <c r="AM100" s="1"/>
      <c r="AN100" s="4">
        <f>AN99</f>
        <v>1020</v>
      </c>
      <c r="AO100" s="4">
        <f>AO99+45</f>
        <v>2675</v>
      </c>
      <c r="AW100" s="42"/>
    </row>
    <row r="101" spans="1:49" x14ac:dyDescent="0.25">
      <c r="A101" s="42"/>
      <c r="C101" s="1"/>
      <c r="D101" s="4" t="str">
        <f>D98</f>
        <v/>
      </c>
      <c r="E101" s="4" t="str">
        <f>E100</f>
        <v/>
      </c>
      <c r="M101" s="42"/>
      <c r="O101" s="1"/>
      <c r="P101" s="4">
        <f>P98</f>
        <v>0</v>
      </c>
      <c r="Q101" s="4">
        <f>Q100</f>
        <v>1165</v>
      </c>
      <c r="Y101" s="42"/>
      <c r="AA101" s="1"/>
      <c r="AB101" s="4">
        <f>AB98</f>
        <v>0</v>
      </c>
      <c r="AC101" s="4">
        <f>AC100</f>
        <v>2675</v>
      </c>
      <c r="AK101" s="42"/>
      <c r="AM101" s="1"/>
      <c r="AN101" s="4">
        <f>AN98</f>
        <v>0</v>
      </c>
      <c r="AO101" s="4">
        <f>AO100</f>
        <v>2675</v>
      </c>
      <c r="AW101" s="42"/>
    </row>
    <row r="102" spans="1:49" x14ac:dyDescent="0.25">
      <c r="A102" s="42"/>
      <c r="C102" s="1"/>
      <c r="D102" s="4" t="str">
        <f>D98</f>
        <v/>
      </c>
      <c r="E102" s="4" t="str">
        <f>E98</f>
        <v/>
      </c>
      <c r="M102" s="42"/>
      <c r="O102" s="1"/>
      <c r="P102" s="4">
        <f>P98</f>
        <v>0</v>
      </c>
      <c r="Q102" s="4">
        <f>Q98</f>
        <v>1120</v>
      </c>
      <c r="Y102" s="42"/>
      <c r="AA102" s="1"/>
      <c r="AB102" s="4">
        <f>AB98</f>
        <v>0</v>
      </c>
      <c r="AC102" s="4">
        <f>AC98</f>
        <v>2630</v>
      </c>
      <c r="AK102" s="42"/>
      <c r="AM102" s="1"/>
      <c r="AN102" s="4">
        <f>AN98</f>
        <v>0</v>
      </c>
      <c r="AO102" s="4">
        <f>AO98</f>
        <v>2630</v>
      </c>
      <c r="AW102" s="42"/>
    </row>
    <row r="103" spans="1:49" x14ac:dyDescent="0.25">
      <c r="A103" s="42"/>
      <c r="C103" s="92"/>
      <c r="D103" s="93"/>
      <c r="E103" s="93"/>
      <c r="M103" s="42"/>
      <c r="Y103" s="42"/>
      <c r="AA103" s="92"/>
      <c r="AB103" s="93"/>
      <c r="AC103" s="93"/>
      <c r="AK103" s="42"/>
      <c r="AM103" s="92"/>
      <c r="AN103" s="93"/>
      <c r="AO103" s="93"/>
      <c r="AW103" s="42"/>
    </row>
    <row r="104" spans="1:49" x14ac:dyDescent="0.25">
      <c r="A104" s="42"/>
      <c r="C104" s="1" t="s">
        <v>78</v>
      </c>
      <c r="D104" s="4" t="str">
        <f>IF(D14="non","",D98+45)</f>
        <v/>
      </c>
      <c r="E104" s="4" t="str">
        <f>IF(D14="non","",E80)</f>
        <v/>
      </c>
      <c r="M104" s="42"/>
      <c r="Y104" s="42"/>
      <c r="AA104" s="1" t="s">
        <v>87</v>
      </c>
      <c r="AB104" s="4">
        <f>IF(AB14="oui","",AB86)</f>
        <v>0</v>
      </c>
      <c r="AC104" s="4">
        <f>IF(AB14="oui","",AC98+45)</f>
        <v>2675</v>
      </c>
      <c r="AK104" s="42"/>
      <c r="AM104" s="1" t="s">
        <v>87</v>
      </c>
      <c r="AN104" s="4">
        <f>AN92</f>
        <v>0</v>
      </c>
      <c r="AO104" s="4">
        <f>AO98+45</f>
        <v>2675</v>
      </c>
      <c r="AW104" s="42"/>
    </row>
    <row r="105" spans="1:49" x14ac:dyDescent="0.25">
      <c r="A105" s="42"/>
      <c r="C105" s="1"/>
      <c r="D105" s="4" t="str">
        <f>IF(D14="non","",D104+45)</f>
        <v/>
      </c>
      <c r="E105" s="4" t="str">
        <f>E104</f>
        <v/>
      </c>
      <c r="M105" s="42"/>
      <c r="Y105" s="42"/>
      <c r="AA105" s="1"/>
      <c r="AB105" s="4">
        <f>IF(AB14="oui","",AH$10)</f>
        <v>1620</v>
      </c>
      <c r="AC105" s="4">
        <f>AC104</f>
        <v>2675</v>
      </c>
      <c r="AK105" s="42"/>
      <c r="AM105" s="1"/>
      <c r="AN105" s="4">
        <f>AT$10</f>
        <v>1020</v>
      </c>
      <c r="AO105" s="4">
        <f>AO104</f>
        <v>2675</v>
      </c>
      <c r="AW105" s="42"/>
    </row>
    <row r="106" spans="1:49" x14ac:dyDescent="0.25">
      <c r="A106" s="42"/>
      <c r="C106" s="1"/>
      <c r="D106" s="4" t="str">
        <f>D105</f>
        <v/>
      </c>
      <c r="E106" s="4" t="str">
        <f>H$20</f>
        <v/>
      </c>
      <c r="M106" s="42"/>
      <c r="Y106" s="42"/>
      <c r="AA106" s="1"/>
      <c r="AB106" s="4">
        <f>AB105</f>
        <v>1620</v>
      </c>
      <c r="AC106" s="4">
        <f>IF(AB14="oui","",AC105+45)</f>
        <v>2720</v>
      </c>
      <c r="AK106" s="42"/>
      <c r="AM106" s="1"/>
      <c r="AN106" s="4">
        <f>AN105</f>
        <v>1020</v>
      </c>
      <c r="AO106" s="4">
        <f>AO105+45</f>
        <v>2720</v>
      </c>
      <c r="AW106" s="42"/>
    </row>
    <row r="107" spans="1:49" x14ac:dyDescent="0.25">
      <c r="A107" s="42"/>
      <c r="C107" s="1"/>
      <c r="D107" s="4" t="str">
        <f>D104</f>
        <v/>
      </c>
      <c r="E107" s="4" t="str">
        <f>E106</f>
        <v/>
      </c>
      <c r="M107" s="42"/>
      <c r="Y107" s="42"/>
      <c r="AA107" s="1"/>
      <c r="AB107" s="4">
        <f>AB104</f>
        <v>0</v>
      </c>
      <c r="AC107" s="4">
        <f>AC106</f>
        <v>2720</v>
      </c>
      <c r="AK107" s="42"/>
      <c r="AM107" s="1"/>
      <c r="AN107" s="4">
        <f>AN104</f>
        <v>0</v>
      </c>
      <c r="AO107" s="4">
        <f>AO106</f>
        <v>2720</v>
      </c>
      <c r="AW107" s="42"/>
    </row>
    <row r="108" spans="1:49" x14ac:dyDescent="0.25">
      <c r="A108" s="42"/>
      <c r="C108" s="1"/>
      <c r="D108" s="4" t="str">
        <f>D104</f>
        <v/>
      </c>
      <c r="E108" s="4" t="str">
        <f>E104</f>
        <v/>
      </c>
      <c r="M108" s="42"/>
      <c r="Y108" s="42"/>
      <c r="AA108" s="1"/>
      <c r="AB108" s="4">
        <f>AB104</f>
        <v>0</v>
      </c>
      <c r="AC108" s="4">
        <f>AC104</f>
        <v>2675</v>
      </c>
      <c r="AK108" s="42"/>
      <c r="AM108" s="1"/>
      <c r="AN108" s="4">
        <f>AN104</f>
        <v>0</v>
      </c>
      <c r="AO108" s="4">
        <f>AO104</f>
        <v>2675</v>
      </c>
      <c r="AW108" s="42"/>
    </row>
    <row r="109" spans="1:49" x14ac:dyDescent="0.25">
      <c r="A109" s="42"/>
      <c r="C109" s="92"/>
      <c r="D109" s="93"/>
      <c r="E109" s="93"/>
      <c r="M109" s="42"/>
      <c r="Y109" s="42"/>
      <c r="AA109" s="92"/>
      <c r="AB109" s="93"/>
      <c r="AC109" s="93"/>
      <c r="AK109" s="42"/>
      <c r="AM109" s="92"/>
      <c r="AN109" s="93"/>
      <c r="AO109" s="93"/>
      <c r="AW109" s="42"/>
    </row>
    <row r="110" spans="1:49" x14ac:dyDescent="0.25">
      <c r="A110" s="42"/>
      <c r="C110" s="1" t="s">
        <v>79</v>
      </c>
      <c r="D110" s="4" t="str">
        <f>IF(D14="non","",D80-90)</f>
        <v/>
      </c>
      <c r="E110" s="4" t="str">
        <f>IF(D14="non","",E74)</f>
        <v/>
      </c>
      <c r="M110" s="42"/>
      <c r="Y110" s="42"/>
      <c r="AA110" s="1" t="s">
        <v>77</v>
      </c>
      <c r="AB110" s="4" t="str">
        <f>IF(AB14="non","",AB74+45)</f>
        <v/>
      </c>
      <c r="AC110" s="4" t="str">
        <f>IF(AB14="non","",AC74)</f>
        <v/>
      </c>
      <c r="AK110" s="42"/>
      <c r="AM110" s="1" t="s">
        <v>81</v>
      </c>
      <c r="AN110" s="4">
        <v>0</v>
      </c>
      <c r="AO110" s="4">
        <f>AN319</f>
        <v>1220</v>
      </c>
      <c r="AW110" s="42"/>
    </row>
    <row r="111" spans="1:49" x14ac:dyDescent="0.25">
      <c r="A111" s="42"/>
      <c r="C111" s="1"/>
      <c r="D111" s="4" t="str">
        <f>IF(D14="non","",D110+45)</f>
        <v/>
      </c>
      <c r="E111" s="4" t="str">
        <f>E110</f>
        <v/>
      </c>
      <c r="M111" s="42"/>
      <c r="Y111" s="42"/>
      <c r="AA111" s="1"/>
      <c r="AB111" s="4" t="str">
        <f>IF(AB14="non","",AB110+45)</f>
        <v/>
      </c>
      <c r="AC111" s="4" t="str">
        <f>AC110</f>
        <v/>
      </c>
      <c r="AK111" s="42"/>
      <c r="AM111" s="1"/>
      <c r="AN111" s="4">
        <f>AT$10</f>
        <v>1020</v>
      </c>
      <c r="AO111" s="4">
        <f>AO110</f>
        <v>1220</v>
      </c>
      <c r="AW111" s="42"/>
    </row>
    <row r="112" spans="1:49" x14ac:dyDescent="0.25">
      <c r="A112" s="42"/>
      <c r="C112" s="1"/>
      <c r="D112" s="4" t="str">
        <f>D111</f>
        <v/>
      </c>
      <c r="E112" s="4" t="str">
        <f>H$20</f>
        <v/>
      </c>
      <c r="M112" s="42"/>
      <c r="Y112" s="42"/>
      <c r="AA112" s="1"/>
      <c r="AB112" s="4" t="str">
        <f>AB111</f>
        <v/>
      </c>
      <c r="AC112" s="4" t="str">
        <f>AF$20</f>
        <v/>
      </c>
      <c r="AK112" s="42"/>
      <c r="AM112" s="1"/>
      <c r="AN112" s="4">
        <f>AN111</f>
        <v>1020</v>
      </c>
      <c r="AO112" s="4">
        <f>AO111+45</f>
        <v>1265</v>
      </c>
      <c r="AW112" s="42"/>
    </row>
    <row r="113" spans="1:49" x14ac:dyDescent="0.25">
      <c r="A113" s="42"/>
      <c r="C113" s="1"/>
      <c r="D113" s="4" t="str">
        <f>D110</f>
        <v/>
      </c>
      <c r="E113" s="4" t="str">
        <f>E112</f>
        <v/>
      </c>
      <c r="M113" s="42"/>
      <c r="Y113" s="42"/>
      <c r="AA113" s="1"/>
      <c r="AB113" s="4" t="str">
        <f>AB110</f>
        <v/>
      </c>
      <c r="AC113" s="4" t="str">
        <f>AC112</f>
        <v/>
      </c>
      <c r="AK113" s="42"/>
      <c r="AM113" s="1"/>
      <c r="AN113" s="4">
        <f>AN110</f>
        <v>0</v>
      </c>
      <c r="AO113" s="4">
        <f>AO112</f>
        <v>1265</v>
      </c>
      <c r="AW113" s="42"/>
    </row>
    <row r="114" spans="1:49" x14ac:dyDescent="0.25">
      <c r="A114" s="42"/>
      <c r="C114" s="1"/>
      <c r="D114" s="4" t="str">
        <f>D110</f>
        <v/>
      </c>
      <c r="E114" s="4" t="str">
        <f>E110</f>
        <v/>
      </c>
      <c r="M114" s="42"/>
      <c r="Y114" s="42"/>
      <c r="AA114" s="1"/>
      <c r="AB114" s="4" t="str">
        <f>AB110</f>
        <v/>
      </c>
      <c r="AC114" s="4" t="str">
        <f>AC110</f>
        <v/>
      </c>
      <c r="AK114" s="42"/>
      <c r="AM114" s="1"/>
      <c r="AN114" s="4">
        <f>AN110</f>
        <v>0</v>
      </c>
      <c r="AO114" s="4">
        <f>AO110</f>
        <v>1220</v>
      </c>
      <c r="AW114" s="42"/>
    </row>
    <row r="115" spans="1:49" x14ac:dyDescent="0.25">
      <c r="A115" s="42"/>
      <c r="C115" s="92"/>
      <c r="D115" s="93"/>
      <c r="E115" s="93"/>
      <c r="M115" s="42"/>
      <c r="Y115" s="42"/>
      <c r="AA115" s="92"/>
      <c r="AB115" s="93"/>
      <c r="AC115" s="93"/>
      <c r="AK115" s="42"/>
      <c r="AM115" s="92"/>
      <c r="AN115" s="93"/>
      <c r="AO115" s="93"/>
      <c r="AW115" s="42"/>
    </row>
    <row r="116" spans="1:49" x14ac:dyDescent="0.25">
      <c r="A116" s="42"/>
      <c r="C116" s="1" t="s">
        <v>80</v>
      </c>
      <c r="D116" s="4" t="str">
        <f>IF(D14="non","",D110+45)</f>
        <v/>
      </c>
      <c r="E116" s="4" t="str">
        <f>IF(D14="non","",E80)</f>
        <v/>
      </c>
      <c r="M116" s="42"/>
      <c r="Y116" s="42"/>
      <c r="AA116" s="1" t="s">
        <v>78</v>
      </c>
      <c r="AB116" s="4" t="str">
        <f>IF(AB14="non","",AB110+45)</f>
        <v/>
      </c>
      <c r="AC116" s="4" t="str">
        <f>IF(AB14="non","",AC80)</f>
        <v/>
      </c>
      <c r="AK116" s="42"/>
      <c r="AM116" s="1" t="s">
        <v>88</v>
      </c>
      <c r="AN116" s="4">
        <v>45</v>
      </c>
      <c r="AO116" s="4">
        <f>AN12</f>
        <v>2150</v>
      </c>
      <c r="AW116" s="42"/>
    </row>
    <row r="117" spans="1:49" x14ac:dyDescent="0.25">
      <c r="A117" s="42"/>
      <c r="C117" s="1"/>
      <c r="D117" s="4" t="str">
        <f>IF(D14="non","",D116+45)</f>
        <v/>
      </c>
      <c r="E117" s="4" t="str">
        <f>E116</f>
        <v/>
      </c>
      <c r="M117" s="42"/>
      <c r="Y117" s="42"/>
      <c r="AA117" s="1"/>
      <c r="AB117" s="4" t="str">
        <f>IF(AB14="non","",AB116+45)</f>
        <v/>
      </c>
      <c r="AC117" s="4" t="str">
        <f>AC116</f>
        <v/>
      </c>
      <c r="AK117" s="42"/>
      <c r="AM117" s="1"/>
      <c r="AN117" s="4">
        <f>AR37+AN116</f>
        <v>975</v>
      </c>
      <c r="AO117" s="4">
        <f>AO116</f>
        <v>2150</v>
      </c>
      <c r="AW117" s="42"/>
    </row>
    <row r="118" spans="1:49" x14ac:dyDescent="0.25">
      <c r="A118" s="42"/>
      <c r="C118" s="1"/>
      <c r="D118" s="4" t="str">
        <f>D117</f>
        <v/>
      </c>
      <c r="E118" s="4" t="str">
        <f>H$20</f>
        <v/>
      </c>
      <c r="M118" s="42"/>
      <c r="Y118" s="42"/>
      <c r="AA118" s="1"/>
      <c r="AB118" s="4" t="str">
        <f>AB117</f>
        <v/>
      </c>
      <c r="AC118" s="4" t="str">
        <f>AF$20</f>
        <v/>
      </c>
      <c r="AK118" s="42"/>
      <c r="AM118" s="1"/>
      <c r="AN118" s="4">
        <f>AN117</f>
        <v>975</v>
      </c>
      <c r="AO118" s="4">
        <f>AO117+AP37</f>
        <v>2745</v>
      </c>
      <c r="AW118" s="42"/>
    </row>
    <row r="119" spans="1:49" x14ac:dyDescent="0.25">
      <c r="A119" s="42"/>
      <c r="C119" s="1"/>
      <c r="D119" s="4" t="str">
        <f>D116</f>
        <v/>
      </c>
      <c r="E119" s="4" t="str">
        <f>E118</f>
        <v/>
      </c>
      <c r="M119" s="42"/>
      <c r="Y119" s="42"/>
      <c r="AA119" s="1"/>
      <c r="AB119" s="4" t="str">
        <f>AB116</f>
        <v/>
      </c>
      <c r="AC119" s="4" t="str">
        <f>AC118</f>
        <v/>
      </c>
      <c r="AK119" s="42"/>
      <c r="AM119" s="1"/>
      <c r="AN119" s="4">
        <f>AN116</f>
        <v>45</v>
      </c>
      <c r="AO119" s="4">
        <f>AO118</f>
        <v>2745</v>
      </c>
      <c r="AW119" s="42"/>
    </row>
    <row r="120" spans="1:49" x14ac:dyDescent="0.25">
      <c r="A120" s="42"/>
      <c r="C120" s="1"/>
      <c r="D120" s="4" t="str">
        <f>D116</f>
        <v/>
      </c>
      <c r="E120" s="4" t="str">
        <f>E116</f>
        <v/>
      </c>
      <c r="M120" s="42"/>
      <c r="Y120" s="42"/>
      <c r="AA120" s="1"/>
      <c r="AB120" s="4" t="str">
        <f>AB116</f>
        <v/>
      </c>
      <c r="AC120" s="4" t="str">
        <f>AC116</f>
        <v/>
      </c>
      <c r="AK120" s="42"/>
      <c r="AM120" s="1"/>
      <c r="AN120" s="4">
        <f>AN116</f>
        <v>45</v>
      </c>
      <c r="AO120" s="4">
        <f>AO116</f>
        <v>2150</v>
      </c>
      <c r="AW120" s="42"/>
    </row>
    <row r="121" spans="1:49" x14ac:dyDescent="0.25">
      <c r="A121" s="42"/>
      <c r="M121" s="42"/>
      <c r="Y121" s="42"/>
      <c r="AA121" s="92"/>
      <c r="AB121" s="93"/>
      <c r="AC121" s="93"/>
      <c r="AK121" s="42"/>
      <c r="AW121" s="42"/>
    </row>
    <row r="122" spans="1:49" x14ac:dyDescent="0.25">
      <c r="A122" s="42"/>
      <c r="M122" s="42"/>
      <c r="Y122" s="42"/>
      <c r="AA122" s="1" t="s">
        <v>79</v>
      </c>
      <c r="AB122" s="4" t="str">
        <f>IF(AB14="non","",AB80-90)</f>
        <v/>
      </c>
      <c r="AC122" s="4" t="str">
        <f>IF(AB14="non","",AC74)</f>
        <v/>
      </c>
      <c r="AK122" s="42"/>
      <c r="AW122" s="42"/>
    </row>
    <row r="123" spans="1:49" x14ac:dyDescent="0.25">
      <c r="A123" s="42"/>
      <c r="M123" s="42"/>
      <c r="Y123" s="42"/>
      <c r="AA123" s="1"/>
      <c r="AB123" s="4" t="str">
        <f>IF(AB14="non","",AB122+45)</f>
        <v/>
      </c>
      <c r="AC123" s="4" t="str">
        <f>AC122</f>
        <v/>
      </c>
      <c r="AK123" s="42"/>
      <c r="AW123" s="42"/>
    </row>
    <row r="124" spans="1:49" x14ac:dyDescent="0.25">
      <c r="A124" s="42"/>
      <c r="M124" s="42"/>
      <c r="Y124" s="42"/>
      <c r="AA124" s="1"/>
      <c r="AB124" s="4" t="str">
        <f>AB123</f>
        <v/>
      </c>
      <c r="AC124" s="4" t="str">
        <f>AF$20</f>
        <v/>
      </c>
      <c r="AK124" s="42"/>
      <c r="AW124" s="42"/>
    </row>
    <row r="125" spans="1:49" x14ac:dyDescent="0.25">
      <c r="A125" s="42"/>
      <c r="M125" s="42"/>
      <c r="Y125" s="42"/>
      <c r="AA125" s="1"/>
      <c r="AB125" s="4" t="str">
        <f>AB122</f>
        <v/>
      </c>
      <c r="AC125" s="4" t="str">
        <f>AC124</f>
        <v/>
      </c>
      <c r="AK125" s="42"/>
      <c r="AW125" s="42"/>
    </row>
    <row r="126" spans="1:49" x14ac:dyDescent="0.25">
      <c r="A126" s="42"/>
      <c r="M126" s="42"/>
      <c r="Y126" s="42"/>
      <c r="AA126" s="1"/>
      <c r="AB126" s="4" t="str">
        <f>AB122</f>
        <v/>
      </c>
      <c r="AC126" s="4" t="str">
        <f>AC122</f>
        <v/>
      </c>
      <c r="AK126" s="42"/>
      <c r="AW126" s="42"/>
    </row>
    <row r="127" spans="1:49" x14ac:dyDescent="0.25">
      <c r="A127" s="42"/>
      <c r="M127" s="42"/>
      <c r="Y127" s="42"/>
      <c r="AA127" s="92"/>
      <c r="AB127" s="93"/>
      <c r="AC127" s="93"/>
      <c r="AK127" s="42"/>
      <c r="AW127" s="42"/>
    </row>
    <row r="128" spans="1:49" x14ac:dyDescent="0.25">
      <c r="A128" s="42"/>
      <c r="M128" s="42"/>
      <c r="Y128" s="42"/>
      <c r="AA128" s="1" t="s">
        <v>80</v>
      </c>
      <c r="AB128" s="4" t="str">
        <f>IF(AB14="non","",AB122+45)</f>
        <v/>
      </c>
      <c r="AC128" s="4" t="str">
        <f>IF(AB14="non","",AC80)</f>
        <v/>
      </c>
      <c r="AK128" s="42"/>
      <c r="AW128" s="42"/>
    </row>
    <row r="129" spans="1:49" x14ac:dyDescent="0.25">
      <c r="A129" s="42"/>
      <c r="M129" s="42"/>
      <c r="Y129" s="42"/>
      <c r="AA129" s="1"/>
      <c r="AB129" s="4" t="str">
        <f>IF(AB14="non","",AB128+45)</f>
        <v/>
      </c>
      <c r="AC129" s="4" t="str">
        <f>AC128</f>
        <v/>
      </c>
      <c r="AK129" s="42"/>
      <c r="AW129" s="42"/>
    </row>
    <row r="130" spans="1:49" x14ac:dyDescent="0.25">
      <c r="A130" s="42"/>
      <c r="M130" s="42"/>
      <c r="Y130" s="42"/>
      <c r="AA130" s="1"/>
      <c r="AB130" s="4" t="str">
        <f>AB129</f>
        <v/>
      </c>
      <c r="AC130" s="4" t="str">
        <f>AF$20</f>
        <v/>
      </c>
      <c r="AK130" s="42"/>
      <c r="AW130" s="42"/>
    </row>
    <row r="131" spans="1:49" x14ac:dyDescent="0.25">
      <c r="A131" s="42"/>
      <c r="M131" s="42"/>
      <c r="Y131" s="42"/>
      <c r="AA131" s="1"/>
      <c r="AB131" s="4" t="str">
        <f>AB128</f>
        <v/>
      </c>
      <c r="AC131" s="4" t="str">
        <f>AC130</f>
        <v/>
      </c>
      <c r="AK131" s="42"/>
      <c r="AW131" s="42"/>
    </row>
    <row r="132" spans="1:49" x14ac:dyDescent="0.25">
      <c r="A132" s="42"/>
      <c r="M132" s="42"/>
      <c r="Y132" s="42"/>
      <c r="AA132" s="1"/>
      <c r="AB132" s="4" t="str">
        <f>AB128</f>
        <v/>
      </c>
      <c r="AC132" s="4" t="str">
        <f>AC128</f>
        <v/>
      </c>
      <c r="AK132" s="42"/>
      <c r="AW132" s="42"/>
    </row>
    <row r="133" spans="1:49" x14ac:dyDescent="0.25">
      <c r="A133" s="42"/>
      <c r="M133" s="42"/>
      <c r="Y133" s="42"/>
      <c r="AA133" s="6"/>
      <c r="AB133" s="42"/>
      <c r="AC133" s="42"/>
      <c r="AK133" s="42"/>
      <c r="AW133" s="42"/>
    </row>
    <row r="134" spans="1:49" x14ac:dyDescent="0.25">
      <c r="A134" s="42"/>
      <c r="M134" s="42"/>
      <c r="Y134" s="42"/>
      <c r="AA134" s="1" t="s">
        <v>88</v>
      </c>
      <c r="AB134" s="4">
        <v>45</v>
      </c>
      <c r="AC134" s="4">
        <f>AB12</f>
        <v>2150</v>
      </c>
      <c r="AK134" s="42"/>
      <c r="AW134" s="42"/>
    </row>
    <row r="135" spans="1:49" x14ac:dyDescent="0.25">
      <c r="A135" s="42"/>
      <c r="M135" s="42"/>
      <c r="Y135" s="42"/>
      <c r="AA135" s="1"/>
      <c r="AB135" s="4">
        <f>AF37+AB134</f>
        <v>1575</v>
      </c>
      <c r="AC135" s="4">
        <f>AC134</f>
        <v>2150</v>
      </c>
      <c r="AK135" s="42"/>
      <c r="AW135" s="42"/>
    </row>
    <row r="136" spans="1:49" x14ac:dyDescent="0.25">
      <c r="A136" s="42"/>
      <c r="M136" s="42"/>
      <c r="Y136" s="42"/>
      <c r="AA136" s="1"/>
      <c r="AB136" s="4">
        <f>AB135</f>
        <v>1575</v>
      </c>
      <c r="AC136" s="4">
        <f>AC135+AD37</f>
        <v>2745</v>
      </c>
      <c r="AK136" s="42"/>
      <c r="AW136" s="42"/>
    </row>
    <row r="137" spans="1:49" x14ac:dyDescent="0.25">
      <c r="A137" s="42"/>
      <c r="M137" s="42"/>
      <c r="Y137" s="42"/>
      <c r="AA137" s="1"/>
      <c r="AB137" s="4">
        <f>AB134</f>
        <v>45</v>
      </c>
      <c r="AC137" s="4">
        <f>AC136</f>
        <v>2745</v>
      </c>
      <c r="AK137" s="42"/>
      <c r="AW137" s="42"/>
    </row>
    <row r="138" spans="1:49" x14ac:dyDescent="0.25">
      <c r="A138" s="42"/>
      <c r="M138" s="42"/>
      <c r="Y138" s="42"/>
      <c r="AA138" s="1"/>
      <c r="AB138" s="4">
        <f>AB134</f>
        <v>45</v>
      </c>
      <c r="AC138" s="4">
        <f>AC134</f>
        <v>2150</v>
      </c>
      <c r="AK138" s="42"/>
      <c r="AW138" s="42"/>
    </row>
    <row r="139" spans="1:49" x14ac:dyDescent="0.25">
      <c r="A139" s="42"/>
      <c r="M139" s="42"/>
      <c r="Y139" s="42"/>
      <c r="AK139" s="42"/>
      <c r="AW139" s="42"/>
    </row>
    <row r="140" spans="1:49" x14ac:dyDescent="0.25">
      <c r="A140" s="42"/>
      <c r="M140" s="42"/>
      <c r="Y140" s="42"/>
      <c r="AK140" s="42"/>
      <c r="AW140" s="42"/>
    </row>
    <row r="141" spans="1:49" x14ac:dyDescent="0.25">
      <c r="A141" s="42"/>
      <c r="M141" s="42"/>
      <c r="Y141" s="42"/>
      <c r="AK141" s="42"/>
      <c r="AW141" s="42"/>
    </row>
    <row r="142" spans="1:49" x14ac:dyDescent="0.25">
      <c r="A142" s="42"/>
      <c r="M142" s="42"/>
      <c r="Y142" s="42"/>
      <c r="AK142" s="42"/>
      <c r="AW142" s="42"/>
    </row>
    <row r="143" spans="1:49" x14ac:dyDescent="0.25">
      <c r="A143" s="42"/>
      <c r="M143" s="42"/>
      <c r="Y143" s="42"/>
      <c r="AK143" s="42"/>
      <c r="AW143" s="42"/>
    </row>
    <row r="144" spans="1:49" x14ac:dyDescent="0.25">
      <c r="A144" s="42"/>
      <c r="C144" s="1" t="s">
        <v>84</v>
      </c>
      <c r="D144" s="4">
        <v>-200</v>
      </c>
      <c r="E144" s="4">
        <f>D12</f>
        <v>2150</v>
      </c>
      <c r="M144" s="42"/>
      <c r="O144" s="1" t="s">
        <v>84</v>
      </c>
      <c r="P144" s="4">
        <v>-200</v>
      </c>
      <c r="Q144" s="4">
        <f>P12</f>
        <v>2150</v>
      </c>
      <c r="Y144" s="42"/>
      <c r="AA144" s="1" t="s">
        <v>84</v>
      </c>
      <c r="AB144" s="4">
        <v>-200</v>
      </c>
      <c r="AC144" s="4">
        <f>AB12</f>
        <v>2150</v>
      </c>
      <c r="AK144" s="42"/>
      <c r="AM144" s="1" t="s">
        <v>84</v>
      </c>
      <c r="AN144" s="4">
        <v>-300</v>
      </c>
      <c r="AO144" s="4">
        <f>AN12</f>
        <v>2150</v>
      </c>
      <c r="AW144" s="42"/>
    </row>
    <row r="145" spans="1:49" x14ac:dyDescent="0.25">
      <c r="A145" s="42"/>
      <c r="C145" s="1"/>
      <c r="D145" s="4">
        <f>J10+500</f>
        <v>2120</v>
      </c>
      <c r="E145" s="4">
        <f>E144</f>
        <v>2150</v>
      </c>
      <c r="M145" s="42"/>
      <c r="O145" s="1"/>
      <c r="P145" s="4">
        <f>V10+500</f>
        <v>2120</v>
      </c>
      <c r="Q145" s="4">
        <f>Q144</f>
        <v>2150</v>
      </c>
      <c r="Y145" s="42"/>
      <c r="AA145" s="1"/>
      <c r="AB145" s="4">
        <f>AH10+500</f>
        <v>2120</v>
      </c>
      <c r="AC145" s="4">
        <f>AC144</f>
        <v>2150</v>
      </c>
      <c r="AK145" s="42"/>
      <c r="AM145" s="1"/>
      <c r="AN145" s="4">
        <f>AT10+500</f>
        <v>1520</v>
      </c>
      <c r="AO145" s="4">
        <f>AO144</f>
        <v>2150</v>
      </c>
      <c r="AW145" s="42"/>
    </row>
    <row r="146" spans="1:49" x14ac:dyDescent="0.25">
      <c r="A146" s="42"/>
      <c r="C146" s="1"/>
      <c r="D146" s="4"/>
      <c r="E146" s="4"/>
      <c r="M146" s="42"/>
      <c r="O146" s="1"/>
      <c r="P146" s="4"/>
      <c r="Q146" s="4"/>
      <c r="Y146" s="42"/>
      <c r="AA146" s="1"/>
      <c r="AB146" s="4"/>
      <c r="AC146" s="4"/>
      <c r="AK146" s="42"/>
      <c r="AM146" s="1"/>
      <c r="AN146" s="4"/>
      <c r="AO146" s="4"/>
      <c r="AW146" s="42"/>
    </row>
    <row r="147" spans="1:49" x14ac:dyDescent="0.25">
      <c r="A147" s="42"/>
      <c r="C147" s="1" t="s">
        <v>83</v>
      </c>
      <c r="D147" s="4">
        <v>-200</v>
      </c>
      <c r="E147" s="4">
        <f>D13</f>
        <v>2720</v>
      </c>
      <c r="M147" s="42"/>
      <c r="O147" s="1" t="s">
        <v>83</v>
      </c>
      <c r="P147" s="4">
        <f>P144</f>
        <v>-200</v>
      </c>
      <c r="Q147" s="4">
        <f>P13</f>
        <v>2720</v>
      </c>
      <c r="Y147" s="42"/>
      <c r="AA147" s="1" t="s">
        <v>83</v>
      </c>
      <c r="AB147" s="4">
        <v>-200</v>
      </c>
      <c r="AC147" s="4">
        <f>AB13</f>
        <v>2720</v>
      </c>
      <c r="AK147" s="42"/>
      <c r="AM147" s="1" t="s">
        <v>83</v>
      </c>
      <c r="AN147" s="4">
        <f>AN144</f>
        <v>-300</v>
      </c>
      <c r="AO147" s="4">
        <f>AN13</f>
        <v>2720</v>
      </c>
      <c r="AW147" s="42"/>
    </row>
    <row r="148" spans="1:49" x14ac:dyDescent="0.25">
      <c r="A148" s="42"/>
      <c r="C148" s="1"/>
      <c r="D148" s="4">
        <f>D145</f>
        <v>2120</v>
      </c>
      <c r="E148" s="4">
        <f>E147</f>
        <v>2720</v>
      </c>
      <c r="M148" s="42"/>
      <c r="O148" s="1"/>
      <c r="P148" s="4">
        <f>P145</f>
        <v>2120</v>
      </c>
      <c r="Q148" s="4">
        <f>Q147</f>
        <v>2720</v>
      </c>
      <c r="Y148" s="42"/>
      <c r="AA148" s="1"/>
      <c r="AB148" s="4">
        <f>AB145</f>
        <v>2120</v>
      </c>
      <c r="AC148" s="4">
        <f>AC147</f>
        <v>2720</v>
      </c>
      <c r="AK148" s="42"/>
      <c r="AM148" s="1"/>
      <c r="AN148" s="4">
        <f>AN145</f>
        <v>1520</v>
      </c>
      <c r="AO148" s="4">
        <f>AO147</f>
        <v>2720</v>
      </c>
      <c r="AW148" s="42"/>
    </row>
    <row r="149" spans="1:49" x14ac:dyDescent="0.25">
      <c r="A149" s="42"/>
      <c r="C149" s="1"/>
      <c r="D149" s="4"/>
      <c r="E149" s="4"/>
      <c r="M149" s="42"/>
      <c r="O149" s="1"/>
      <c r="P149" s="4"/>
      <c r="Q149" s="4"/>
      <c r="Y149" s="42"/>
      <c r="AA149" s="1"/>
      <c r="AB149" s="4"/>
      <c r="AC149" s="4"/>
      <c r="AK149" s="42"/>
      <c r="AM149" s="1"/>
      <c r="AN149" s="4"/>
      <c r="AO149" s="4"/>
      <c r="AW149" s="42"/>
    </row>
    <row r="150" spans="1:49" x14ac:dyDescent="0.25">
      <c r="A150" s="42"/>
      <c r="C150" s="1" t="s">
        <v>82</v>
      </c>
      <c r="D150" s="4">
        <v>-200</v>
      </c>
      <c r="E150" s="4">
        <v>0</v>
      </c>
      <c r="M150" s="42"/>
      <c r="O150" s="1" t="s">
        <v>82</v>
      </c>
      <c r="P150" s="4">
        <f>P144</f>
        <v>-200</v>
      </c>
      <c r="Q150" s="4">
        <v>0</v>
      </c>
      <c r="Y150" s="42"/>
      <c r="AA150" s="1" t="s">
        <v>82</v>
      </c>
      <c r="AB150" s="4">
        <v>-200</v>
      </c>
      <c r="AC150" s="4">
        <v>0</v>
      </c>
      <c r="AK150" s="42"/>
      <c r="AM150" s="1" t="s">
        <v>82</v>
      </c>
      <c r="AN150" s="4">
        <f>AN144</f>
        <v>-300</v>
      </c>
      <c r="AO150" s="4">
        <v>0</v>
      </c>
      <c r="AW150" s="42"/>
    </row>
    <row r="151" spans="1:49" x14ac:dyDescent="0.25">
      <c r="A151" s="42"/>
      <c r="C151" s="1"/>
      <c r="D151" s="4">
        <f>D145</f>
        <v>2120</v>
      </c>
      <c r="E151" s="4">
        <v>0</v>
      </c>
      <c r="M151" s="42"/>
      <c r="O151" s="1"/>
      <c r="P151" s="4">
        <f>P145</f>
        <v>2120</v>
      </c>
      <c r="Q151" s="4">
        <v>0</v>
      </c>
      <c r="Y151" s="42"/>
      <c r="AA151" s="1"/>
      <c r="AB151" s="4">
        <f>AB145</f>
        <v>2120</v>
      </c>
      <c r="AC151" s="4">
        <v>0</v>
      </c>
      <c r="AK151" s="42"/>
      <c r="AM151" s="1"/>
      <c r="AN151" s="4">
        <f>AN145</f>
        <v>1520</v>
      </c>
      <c r="AO151" s="4">
        <v>0</v>
      </c>
      <c r="AW151" s="42"/>
    </row>
    <row r="152" spans="1:49" x14ac:dyDescent="0.25">
      <c r="A152" s="42"/>
      <c r="C152" s="1"/>
      <c r="D152" s="4"/>
      <c r="E152" s="4"/>
      <c r="M152" s="42"/>
      <c r="O152" s="1"/>
      <c r="P152" s="4"/>
      <c r="Q152" s="4"/>
      <c r="Y152" s="42"/>
      <c r="AA152" s="1"/>
      <c r="AB152" s="4"/>
      <c r="AC152" s="4"/>
      <c r="AK152" s="42"/>
      <c r="AM152" s="1"/>
      <c r="AN152" s="4"/>
      <c r="AO152" s="4"/>
      <c r="AW152" s="42"/>
    </row>
    <row r="153" spans="1:49" x14ac:dyDescent="0.25">
      <c r="A153" s="42"/>
      <c r="C153" s="1" t="s">
        <v>85</v>
      </c>
      <c r="D153" s="4">
        <v>-200</v>
      </c>
      <c r="E153" s="4">
        <v>-45</v>
      </c>
      <c r="M153" s="42"/>
      <c r="O153" s="1" t="s">
        <v>85</v>
      </c>
      <c r="P153" s="4">
        <f>P144</f>
        <v>-200</v>
      </c>
      <c r="Q153" s="4">
        <v>-45</v>
      </c>
      <c r="Y153" s="42"/>
      <c r="AA153" s="1" t="s">
        <v>85</v>
      </c>
      <c r="AB153" s="4">
        <v>-200</v>
      </c>
      <c r="AC153" s="4">
        <v>-45</v>
      </c>
      <c r="AK153" s="42"/>
      <c r="AM153" s="1" t="s">
        <v>85</v>
      </c>
      <c r="AN153" s="4">
        <f>AN144</f>
        <v>-300</v>
      </c>
      <c r="AO153" s="4">
        <v>-45</v>
      </c>
      <c r="AW153" s="42"/>
    </row>
    <row r="154" spans="1:49" x14ac:dyDescent="0.25">
      <c r="A154" s="42"/>
      <c r="C154" s="1"/>
      <c r="D154" s="4">
        <f>D148</f>
        <v>2120</v>
      </c>
      <c r="E154" s="4">
        <v>-45</v>
      </c>
      <c r="M154" s="42"/>
      <c r="O154" s="1"/>
      <c r="P154" s="4">
        <f>P148</f>
        <v>2120</v>
      </c>
      <c r="Q154" s="4">
        <v>-45</v>
      </c>
      <c r="Y154" s="42"/>
      <c r="AA154" s="1"/>
      <c r="AB154" s="4">
        <f>AB148</f>
        <v>2120</v>
      </c>
      <c r="AC154" s="4">
        <v>-45</v>
      </c>
      <c r="AK154" s="42"/>
      <c r="AM154" s="1"/>
      <c r="AN154" s="4">
        <f>AN148</f>
        <v>1520</v>
      </c>
      <c r="AO154" s="4">
        <v>-45</v>
      </c>
      <c r="AW154" s="42"/>
    </row>
    <row r="155" spans="1:49" s="16" customFormat="1" ht="15" customHeight="1" x14ac:dyDescent="0.25">
      <c r="A155" s="49"/>
      <c r="D155" s="20"/>
      <c r="E155" s="20"/>
      <c r="F155" s="20"/>
      <c r="G155" s="20"/>
      <c r="H155" s="20"/>
      <c r="I155" s="20"/>
      <c r="J155" s="23"/>
      <c r="K155" s="23"/>
      <c r="L155" s="23"/>
      <c r="M155" s="49"/>
      <c r="N155" s="23"/>
      <c r="O155" s="21"/>
      <c r="P155" s="23"/>
      <c r="Q155" s="23"/>
      <c r="R155" s="23"/>
      <c r="S155" s="23"/>
      <c r="T155" s="23"/>
      <c r="U155" s="23"/>
      <c r="V155" s="23"/>
      <c r="W155" s="23"/>
      <c r="X155" s="23"/>
      <c r="Y155" s="49"/>
      <c r="AB155" s="20"/>
      <c r="AC155" s="20"/>
      <c r="AD155" s="20"/>
      <c r="AE155" s="20"/>
      <c r="AF155" s="20"/>
      <c r="AG155" s="20"/>
      <c r="AH155" s="20"/>
      <c r="AI155" s="20"/>
      <c r="AJ155" s="20"/>
      <c r="AK155" s="49"/>
      <c r="AN155" s="20"/>
      <c r="AO155" s="20"/>
      <c r="AP155" s="20"/>
      <c r="AQ155" s="20"/>
      <c r="AR155" s="20"/>
      <c r="AS155" s="20"/>
      <c r="AT155" s="20"/>
      <c r="AU155" s="20"/>
      <c r="AV155" s="20"/>
      <c r="AW155" s="49"/>
    </row>
    <row r="156" spans="1:49" ht="18.75" x14ac:dyDescent="0.3">
      <c r="A156" s="51"/>
      <c r="B156" s="6"/>
      <c r="C156" s="6"/>
      <c r="D156" s="42"/>
      <c r="E156" s="50"/>
      <c r="F156" s="42"/>
      <c r="G156" s="42"/>
      <c r="H156" s="42"/>
      <c r="I156" s="42"/>
      <c r="J156" s="51"/>
      <c r="K156" s="51"/>
      <c r="L156" s="51"/>
      <c r="M156" s="51"/>
      <c r="N156" s="51"/>
      <c r="O156" s="7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6"/>
      <c r="AA156" s="6"/>
      <c r="AB156" s="42"/>
      <c r="AC156" s="42"/>
      <c r="AD156" s="42"/>
      <c r="AE156" s="42"/>
      <c r="AF156" s="42"/>
      <c r="AG156" s="42"/>
      <c r="AH156" s="42"/>
      <c r="AI156" s="42"/>
      <c r="AJ156" s="42"/>
      <c r="AK156" s="51"/>
      <c r="AL156" s="6"/>
      <c r="AM156" s="6"/>
      <c r="AN156" s="42"/>
      <c r="AO156" s="42"/>
      <c r="AP156" s="42"/>
      <c r="AQ156" s="42"/>
      <c r="AR156" s="42"/>
      <c r="AS156" s="42"/>
      <c r="AT156" s="42"/>
      <c r="AU156" s="42"/>
      <c r="AV156" s="42"/>
      <c r="AW156" s="51"/>
    </row>
    <row r="157" spans="1:49" ht="18.75" x14ac:dyDescent="0.3">
      <c r="A157" s="51"/>
      <c r="C157" t="str">
        <f>"Chantier: "&amp;Acceuil!B1&amp;" - "&amp;Acceuil!$B$2</f>
        <v xml:space="preserve">Chantier:  - </v>
      </c>
      <c r="E157" s="53"/>
      <c r="J157" s="52"/>
      <c r="K157" s="52"/>
      <c r="L157" s="52"/>
      <c r="M157" s="51"/>
      <c r="N157" s="52"/>
      <c r="O157" t="str">
        <f>"Chantier: "&amp;Acceuil!B1&amp;" - "&amp;Acceuil!$B$2</f>
        <v xml:space="preserve">Chantier:  - </v>
      </c>
      <c r="P157" s="52"/>
      <c r="Q157" s="52"/>
      <c r="R157" s="52"/>
      <c r="S157" s="52"/>
      <c r="T157" s="52"/>
      <c r="U157" s="52"/>
      <c r="V157" s="52"/>
      <c r="W157" s="52"/>
      <c r="X157" s="52"/>
      <c r="Y157" s="51"/>
      <c r="AA157" s="9" t="str">
        <f>"Chantier: "&amp;Acceuil!B1&amp;" - "&amp;Acceuil!$B$2</f>
        <v xml:space="preserve">Chantier:  - </v>
      </c>
      <c r="AB157" s="55"/>
      <c r="AC157" s="55"/>
      <c r="AD157" s="55"/>
      <c r="AE157" s="55"/>
      <c r="AF157" s="55"/>
      <c r="AG157" s="55"/>
      <c r="AH157" s="55"/>
      <c r="AI157" s="55"/>
      <c r="AJ157" s="10"/>
      <c r="AK157" s="51"/>
      <c r="AM157" s="9" t="str">
        <f>"Chantier: "&amp;Acceuil!B1&amp;" - "&amp;Acceuil!$B$2</f>
        <v xml:space="preserve">Chantier:  - </v>
      </c>
      <c r="AN157" s="55"/>
      <c r="AO157" s="55"/>
      <c r="AP157" s="55"/>
      <c r="AQ157" s="55"/>
      <c r="AR157" s="55"/>
      <c r="AS157" s="55"/>
      <c r="AT157" s="55"/>
      <c r="AU157" s="55"/>
      <c r="AW157" s="51"/>
    </row>
    <row r="158" spans="1:49" ht="19.5" thickBot="1" x14ac:dyDescent="0.35">
      <c r="A158" s="51"/>
      <c r="E158" s="53"/>
      <c r="J158" s="52"/>
      <c r="K158" s="52"/>
      <c r="L158" s="52"/>
      <c r="M158" s="51"/>
      <c r="N158" s="52"/>
      <c r="P158" s="52"/>
      <c r="Q158" s="52"/>
      <c r="R158" s="52"/>
      <c r="S158" s="52"/>
      <c r="T158" s="52"/>
      <c r="U158" s="52"/>
      <c r="V158" s="52"/>
      <c r="W158" s="52"/>
      <c r="X158" s="52"/>
      <c r="Y158" s="51"/>
      <c r="AA158" s="9"/>
      <c r="AB158" s="55"/>
      <c r="AC158" s="55"/>
      <c r="AD158" s="55"/>
      <c r="AE158" s="55"/>
      <c r="AF158" s="55"/>
      <c r="AG158" s="55"/>
      <c r="AH158" s="55"/>
      <c r="AI158" s="55"/>
      <c r="AJ158" s="10"/>
      <c r="AK158" s="51"/>
      <c r="AM158" s="9"/>
      <c r="AN158" s="55"/>
      <c r="AO158" s="55"/>
      <c r="AP158" s="55"/>
      <c r="AQ158" s="55"/>
      <c r="AR158" s="55"/>
      <c r="AS158" s="55"/>
      <c r="AT158" s="55"/>
      <c r="AU158" s="55"/>
      <c r="AW158" s="51"/>
    </row>
    <row r="159" spans="1:49" s="83" customFormat="1" ht="15" customHeight="1" thickBot="1" x14ac:dyDescent="0.3">
      <c r="A159" s="111"/>
      <c r="C159" s="232" t="str">
        <f>IF(C6="","Blocs sur "&amp;C4&amp;C161,"Blocs sur "&amp;C4&amp;"; "&amp;C161)</f>
        <v xml:space="preserve">Blocs sur Porte 150 / 215; sans VR; </v>
      </c>
      <c r="D159" s="233"/>
      <c r="E159" s="233"/>
      <c r="F159" s="233"/>
      <c r="G159" s="233"/>
      <c r="H159" s="233"/>
      <c r="I159" s="233"/>
      <c r="J159" s="233"/>
      <c r="K159" s="234"/>
      <c r="L159" s="110"/>
      <c r="M159" s="111"/>
      <c r="N159" s="110"/>
      <c r="O159" s="232" t="str">
        <f>IF(O6="","Blocs sur "&amp;O4&amp;O161,"Blocs sur "&amp;O4&amp;"; "&amp;O161)</f>
        <v xml:space="preserve">Blocs sur Fenêtre 150 / 90; sans VR; </v>
      </c>
      <c r="P159" s="233"/>
      <c r="Q159" s="233"/>
      <c r="R159" s="233"/>
      <c r="S159" s="233"/>
      <c r="T159" s="233"/>
      <c r="U159" s="233"/>
      <c r="V159" s="233"/>
      <c r="W159" s="234"/>
      <c r="X159" s="110"/>
      <c r="Y159" s="111"/>
      <c r="AA159" s="235" t="str">
        <f>IF(AA6="","Blocs sur "&amp;AA4&amp;AA161,"Blocs sur "&amp;AA4&amp;"; "&amp;AA161)</f>
        <v xml:space="preserve">Blocs sur Porte 150 / 215; avec VR; </v>
      </c>
      <c r="AB159" s="236"/>
      <c r="AC159" s="236"/>
      <c r="AD159" s="236"/>
      <c r="AE159" s="236"/>
      <c r="AF159" s="236"/>
      <c r="AG159" s="236"/>
      <c r="AH159" s="236"/>
      <c r="AI159" s="237"/>
      <c r="AJ159" s="112"/>
      <c r="AK159" s="111"/>
      <c r="AM159" s="235" t="str">
        <f>IF(AM6="","Blocs sur "&amp;AM4&amp;AM161,"Blocs sur "&amp;AM4&amp;"; "&amp;AM161)</f>
        <v xml:space="preserve">Blocs sur Fenêtre 90 / 80; avec VR; </v>
      </c>
      <c r="AN159" s="236"/>
      <c r="AO159" s="236"/>
      <c r="AP159" s="236"/>
      <c r="AQ159" s="236"/>
      <c r="AR159" s="236"/>
      <c r="AS159" s="236"/>
      <c r="AT159" s="236"/>
      <c r="AU159" s="237"/>
      <c r="AV159" s="113"/>
      <c r="AW159" s="111"/>
    </row>
    <row r="160" spans="1:49" s="96" customFormat="1" ht="15" customHeight="1" x14ac:dyDescent="0.35">
      <c r="A160" s="89"/>
      <c r="C160" s="109"/>
      <c r="D160" s="109"/>
      <c r="E160" s="109"/>
      <c r="F160" s="109"/>
      <c r="G160" s="109"/>
      <c r="H160" s="109"/>
      <c r="I160" s="109"/>
      <c r="J160" s="109"/>
      <c r="K160" s="109"/>
      <c r="L160" s="88"/>
      <c r="M160" s="89"/>
      <c r="N160" s="88"/>
      <c r="O160" s="97"/>
      <c r="P160" s="87"/>
      <c r="Q160" s="87"/>
      <c r="R160" s="88"/>
      <c r="S160" s="88"/>
      <c r="T160" s="88"/>
      <c r="U160" s="88"/>
      <c r="V160" s="88"/>
      <c r="W160" s="88"/>
      <c r="X160" s="88"/>
      <c r="Y160" s="89"/>
      <c r="AA160" s="125"/>
      <c r="AB160" s="90"/>
      <c r="AC160" s="90"/>
      <c r="AD160" s="91"/>
      <c r="AE160" s="91"/>
      <c r="AF160" s="91"/>
      <c r="AG160" s="91"/>
      <c r="AH160" s="91"/>
      <c r="AI160" s="91"/>
      <c r="AJ160" s="90"/>
      <c r="AK160" s="89"/>
      <c r="AM160" s="125"/>
      <c r="AN160" s="90"/>
      <c r="AO160" s="90"/>
      <c r="AP160" s="91"/>
      <c r="AQ160" s="91"/>
      <c r="AR160" s="91"/>
      <c r="AS160" s="91"/>
      <c r="AT160" s="91"/>
      <c r="AU160" s="91"/>
      <c r="AV160" s="91"/>
      <c r="AW160" s="89"/>
    </row>
    <row r="161" spans="1:49" ht="15" customHeight="1" x14ac:dyDescent="0.3">
      <c r="A161" s="51"/>
      <c r="C161" s="222"/>
      <c r="F161" s="52"/>
      <c r="G161" s="52"/>
      <c r="H161" s="52"/>
      <c r="I161" s="52"/>
      <c r="J161" s="52"/>
      <c r="K161" s="52"/>
      <c r="L161" s="52"/>
      <c r="M161" s="51"/>
      <c r="N161" s="52"/>
      <c r="O161" s="222"/>
      <c r="R161" s="52"/>
      <c r="S161" s="52"/>
      <c r="T161" s="52"/>
      <c r="U161" s="52"/>
      <c r="V161" s="52"/>
      <c r="W161" s="52"/>
      <c r="X161" s="52"/>
      <c r="Y161" s="51"/>
      <c r="AA161" s="229"/>
      <c r="AB161" s="10"/>
      <c r="AC161" s="10"/>
      <c r="AD161" s="55"/>
      <c r="AE161" s="55"/>
      <c r="AF161" s="55"/>
      <c r="AG161" s="55"/>
      <c r="AH161" s="55"/>
      <c r="AI161" s="55"/>
      <c r="AJ161" s="10"/>
      <c r="AK161" s="51"/>
      <c r="AM161" s="229"/>
      <c r="AN161" s="10"/>
      <c r="AO161" s="10"/>
      <c r="AP161" s="55"/>
      <c r="AQ161" s="55"/>
      <c r="AR161" s="55"/>
      <c r="AS161" s="55"/>
      <c r="AT161" s="55"/>
      <c r="AU161" s="55"/>
      <c r="AV161" s="55"/>
      <c r="AW161" s="51"/>
    </row>
    <row r="162" spans="1:49" ht="15" customHeight="1" thickBot="1" x14ac:dyDescent="0.3">
      <c r="A162" s="42"/>
      <c r="M162" s="42"/>
      <c r="Y162" s="42"/>
      <c r="AC162" s="10"/>
      <c r="AD162" s="10"/>
      <c r="AE162" s="10"/>
      <c r="AF162" s="10"/>
      <c r="AG162" s="10"/>
      <c r="AH162" s="10"/>
      <c r="AI162" s="10"/>
      <c r="AJ162" s="10"/>
      <c r="AK162" s="42"/>
      <c r="AO162" s="10"/>
      <c r="AP162" s="10"/>
      <c r="AQ162" s="10"/>
      <c r="AR162" s="10"/>
      <c r="AS162" s="10"/>
      <c r="AT162" s="10"/>
      <c r="AU162" s="10"/>
      <c r="AV162" s="10"/>
      <c r="AW162" s="42"/>
    </row>
    <row r="163" spans="1:49" ht="15" customHeight="1" x14ac:dyDescent="0.3">
      <c r="A163" s="42"/>
      <c r="C163" s="214" t="s">
        <v>72</v>
      </c>
      <c r="D163" s="215">
        <f>D164*D9</f>
        <v>1</v>
      </c>
      <c r="E163" s="52"/>
      <c r="F163" s="52"/>
      <c r="G163" s="52"/>
      <c r="H163" s="52"/>
      <c r="I163" s="52"/>
      <c r="J163" s="201" t="str">
        <f>"Poids unitaire: " &amp;ROUNDUP(((F179*H179*(10+9))+(D167*D168*18))/1000000,0)&amp;" Kg"</f>
        <v>Poids unitaire: 26 Kg</v>
      </c>
      <c r="M163" s="42"/>
      <c r="O163" s="214" t="s">
        <v>72</v>
      </c>
      <c r="P163" s="215">
        <f>P164*P9</f>
        <v>1</v>
      </c>
      <c r="Q163" s="52"/>
      <c r="V163" s="201" t="str">
        <f>"Poids unitaire: " &amp;ROUNDUP(((R179*T179*(10+9))+(P167*P168*18))/1000000,0)&amp;" Kg"</f>
        <v>Poids unitaire: 26 Kg</v>
      </c>
      <c r="Y163" s="42"/>
      <c r="AA163" s="218" t="s">
        <v>32</v>
      </c>
      <c r="AB163" s="219">
        <f>AB164*AB9</f>
        <v>1</v>
      </c>
      <c r="AC163" s="55"/>
      <c r="AD163" s="10"/>
      <c r="AE163" s="10"/>
      <c r="AF163" s="10"/>
      <c r="AG163" s="10"/>
      <c r="AH163" s="10"/>
      <c r="AI163" s="10"/>
      <c r="AJ163" s="10"/>
      <c r="AK163" s="42"/>
      <c r="AM163" s="218" t="s">
        <v>32</v>
      </c>
      <c r="AN163" s="219">
        <f>AN164*AN9</f>
        <v>1</v>
      </c>
      <c r="AO163" s="55"/>
      <c r="AP163" s="10"/>
      <c r="AQ163" s="10"/>
      <c r="AR163" s="10"/>
      <c r="AS163" s="10"/>
      <c r="AT163" s="10"/>
      <c r="AU163" s="10"/>
      <c r="AV163" s="10"/>
      <c r="AW163" s="42"/>
    </row>
    <row r="164" spans="1:49" ht="15" customHeight="1" thickBot="1" x14ac:dyDescent="0.35">
      <c r="A164" s="42"/>
      <c r="C164" s="213" t="s">
        <v>33</v>
      </c>
      <c r="D164" s="227">
        <v>1</v>
      </c>
      <c r="I164" s="52"/>
      <c r="M164" s="42"/>
      <c r="O164" s="213" t="s">
        <v>33</v>
      </c>
      <c r="P164" s="227">
        <v>1</v>
      </c>
      <c r="Y164" s="42"/>
      <c r="AA164" s="220" t="s">
        <v>33</v>
      </c>
      <c r="AB164" s="230">
        <v>1</v>
      </c>
      <c r="AC164" s="10"/>
      <c r="AD164" s="10"/>
      <c r="AE164" s="10"/>
      <c r="AF164" s="10"/>
      <c r="AG164" s="10"/>
      <c r="AH164" s="10"/>
      <c r="AI164" s="10"/>
      <c r="AJ164" s="10"/>
      <c r="AK164" s="42"/>
      <c r="AM164" s="220" t="s">
        <v>33</v>
      </c>
      <c r="AN164" s="230">
        <v>1</v>
      </c>
      <c r="AO164" s="10"/>
      <c r="AP164" s="10"/>
      <c r="AQ164" s="10"/>
      <c r="AR164" s="10"/>
      <c r="AS164" s="10"/>
      <c r="AT164" s="10"/>
      <c r="AU164" s="10"/>
      <c r="AV164" s="10"/>
      <c r="AW164" s="42"/>
    </row>
    <row r="165" spans="1:49" ht="15" customHeight="1" thickBot="1" x14ac:dyDescent="0.3">
      <c r="A165" s="42"/>
      <c r="M165" s="42"/>
      <c r="Y165" s="42"/>
      <c r="AA165" s="9"/>
      <c r="AB165" s="10"/>
      <c r="AC165" s="10"/>
      <c r="AD165" s="10"/>
      <c r="AE165" s="10"/>
      <c r="AF165" s="10"/>
      <c r="AG165" s="10"/>
      <c r="AH165" s="10"/>
      <c r="AI165" s="10"/>
      <c r="AJ165" s="10"/>
      <c r="AK165" s="42"/>
      <c r="AM165" s="9"/>
      <c r="AN165" s="10"/>
      <c r="AO165" s="10"/>
      <c r="AP165" s="10"/>
      <c r="AQ165" s="10"/>
      <c r="AR165" s="10"/>
      <c r="AS165" s="10"/>
      <c r="AT165" s="10"/>
      <c r="AU165" s="10"/>
      <c r="AV165" s="10"/>
      <c r="AW165" s="42"/>
    </row>
    <row r="166" spans="1:49" ht="15" customHeight="1" x14ac:dyDescent="0.25">
      <c r="A166" s="42"/>
      <c r="C166" s="80"/>
      <c r="D166" s="79"/>
      <c r="E166" s="79"/>
      <c r="F166" s="82"/>
      <c r="M166" s="42"/>
      <c r="O166" s="80"/>
      <c r="P166" s="79" t="s">
        <v>9</v>
      </c>
      <c r="Q166" s="79"/>
      <c r="R166" s="82"/>
      <c r="Y166" s="42"/>
      <c r="AA166" s="126"/>
      <c r="AB166" s="127" t="s">
        <v>9</v>
      </c>
      <c r="AC166" s="127"/>
      <c r="AD166" s="128"/>
      <c r="AE166" s="10"/>
      <c r="AF166" s="10"/>
      <c r="AG166" s="10"/>
      <c r="AH166" s="10"/>
      <c r="AI166" s="10"/>
      <c r="AJ166" s="10"/>
      <c r="AK166" s="42"/>
      <c r="AM166" s="126"/>
      <c r="AN166" s="127" t="s">
        <v>9</v>
      </c>
      <c r="AO166" s="127"/>
      <c r="AP166" s="128"/>
      <c r="AQ166" s="10"/>
      <c r="AR166" s="10"/>
      <c r="AS166" s="10"/>
      <c r="AT166" s="10"/>
      <c r="AU166" s="10"/>
      <c r="AV166" s="10"/>
      <c r="AW166" s="42"/>
    </row>
    <row r="167" spans="1:49" ht="15" customHeight="1" x14ac:dyDescent="0.25">
      <c r="A167" s="42"/>
      <c r="C167" s="75" t="s">
        <v>57</v>
      </c>
      <c r="D167" s="60">
        <f>IF(D14="non",(J10-((D164+1)*60))/D164,(J10-90-((D164+1)*60))/D164)</f>
        <v>1500</v>
      </c>
      <c r="E167" s="76" t="s">
        <v>1</v>
      </c>
      <c r="M167" s="42"/>
      <c r="O167" s="75" t="s">
        <v>57</v>
      </c>
      <c r="P167" s="60">
        <f>(V10-((P164+1)*60))/P164</f>
        <v>1500</v>
      </c>
      <c r="Q167" s="76" t="s">
        <v>1</v>
      </c>
      <c r="Y167" s="42"/>
      <c r="AA167" s="129" t="s">
        <v>24</v>
      </c>
      <c r="AB167" s="130">
        <f>(AH10-((AB164+1)*60))/AB164</f>
        <v>1500</v>
      </c>
      <c r="AC167" s="131" t="s">
        <v>1</v>
      </c>
      <c r="AD167" s="10"/>
      <c r="AE167" s="10"/>
      <c r="AF167" s="10"/>
      <c r="AG167" s="10"/>
      <c r="AH167" s="10"/>
      <c r="AI167" s="10"/>
      <c r="AJ167" s="10"/>
      <c r="AK167" s="42"/>
      <c r="AM167" s="129" t="s">
        <v>24</v>
      </c>
      <c r="AN167" s="130">
        <f>(AT10-((AN164+1)*60))/AN164</f>
        <v>900</v>
      </c>
      <c r="AO167" s="131" t="s">
        <v>1</v>
      </c>
      <c r="AP167" s="10"/>
      <c r="AQ167" s="10"/>
      <c r="AR167" s="10"/>
      <c r="AS167" s="10"/>
      <c r="AT167" s="10"/>
      <c r="AU167" s="10"/>
      <c r="AV167" s="10"/>
      <c r="AW167" s="42"/>
    </row>
    <row r="168" spans="1:49" ht="15" customHeight="1" x14ac:dyDescent="0.25">
      <c r="A168" s="42"/>
      <c r="C168" s="75" t="s">
        <v>58</v>
      </c>
      <c r="D168" s="60">
        <f>D13-J11</f>
        <v>290</v>
      </c>
      <c r="E168" s="76" t="s">
        <v>1</v>
      </c>
      <c r="M168" s="42"/>
      <c r="O168" s="75" t="s">
        <v>58</v>
      </c>
      <c r="P168" s="60">
        <f>P13-V11-P319</f>
        <v>290</v>
      </c>
      <c r="Q168" s="76" t="s">
        <v>1</v>
      </c>
      <c r="Y168" s="42"/>
      <c r="AA168" s="129" t="s">
        <v>25</v>
      </c>
      <c r="AB168" s="130">
        <f>2150-AB12+AB13-2720</f>
        <v>0</v>
      </c>
      <c r="AC168" s="131" t="s">
        <v>1</v>
      </c>
      <c r="AD168" s="10"/>
      <c r="AE168" s="10"/>
      <c r="AF168" s="10"/>
      <c r="AG168" s="10"/>
      <c r="AH168" s="10"/>
      <c r="AI168" s="10"/>
      <c r="AJ168" s="10"/>
      <c r="AK168" s="42"/>
      <c r="AM168" s="129" t="s">
        <v>25</v>
      </c>
      <c r="AN168" s="130">
        <f>2150-AN12+AN13-2720</f>
        <v>0</v>
      </c>
      <c r="AO168" s="131" t="s">
        <v>1</v>
      </c>
      <c r="AP168" s="10"/>
      <c r="AQ168" s="10"/>
      <c r="AR168" s="10"/>
      <c r="AS168" s="10"/>
      <c r="AT168" s="10"/>
      <c r="AU168" s="10"/>
      <c r="AV168" s="10"/>
      <c r="AW168" s="42"/>
    </row>
    <row r="169" spans="1:49" ht="15" customHeight="1" x14ac:dyDescent="0.25">
      <c r="A169" s="42"/>
      <c r="C169" s="30" t="s">
        <v>59</v>
      </c>
      <c r="D169" s="60">
        <v>27</v>
      </c>
      <c r="E169" s="76" t="s">
        <v>1</v>
      </c>
      <c r="M169" s="42"/>
      <c r="O169" s="30" t="s">
        <v>59</v>
      </c>
      <c r="P169" s="60">
        <v>27</v>
      </c>
      <c r="Q169" s="76" t="s">
        <v>1</v>
      </c>
      <c r="Y169" s="42"/>
      <c r="AA169" s="132" t="s">
        <v>27</v>
      </c>
      <c r="AB169" s="130">
        <v>27</v>
      </c>
      <c r="AC169" s="131" t="s">
        <v>1</v>
      </c>
      <c r="AD169" s="10"/>
      <c r="AE169" s="10"/>
      <c r="AF169" s="10"/>
      <c r="AG169" s="10"/>
      <c r="AH169" s="10"/>
      <c r="AI169" s="10"/>
      <c r="AJ169" s="10"/>
      <c r="AK169" s="42"/>
      <c r="AM169" s="132" t="s">
        <v>27</v>
      </c>
      <c r="AN169" s="130">
        <v>27</v>
      </c>
      <c r="AO169" s="131" t="s">
        <v>1</v>
      </c>
      <c r="AP169" s="10"/>
      <c r="AQ169" s="10"/>
      <c r="AR169" s="10"/>
      <c r="AS169" s="10"/>
      <c r="AT169" s="10"/>
      <c r="AU169" s="10"/>
      <c r="AV169" s="10"/>
      <c r="AW169" s="42"/>
    </row>
    <row r="170" spans="1:49" ht="15" customHeight="1" x14ac:dyDescent="0.3">
      <c r="A170" s="42"/>
      <c r="C170" s="30" t="s">
        <v>60</v>
      </c>
      <c r="D170" s="60">
        <v>27</v>
      </c>
      <c r="E170" s="76" t="s">
        <v>1</v>
      </c>
      <c r="H170" s="52"/>
      <c r="I170" s="52"/>
      <c r="M170" s="42"/>
      <c r="O170" s="30" t="s">
        <v>60</v>
      </c>
      <c r="P170" s="60">
        <v>27</v>
      </c>
      <c r="Q170" s="76" t="s">
        <v>1</v>
      </c>
      <c r="Y170" s="42"/>
      <c r="AA170" s="132" t="s">
        <v>26</v>
      </c>
      <c r="AB170" s="130">
        <v>27</v>
      </c>
      <c r="AC170" s="131" t="s">
        <v>1</v>
      </c>
      <c r="AD170" s="10"/>
      <c r="AE170" s="10"/>
      <c r="AF170" s="10"/>
      <c r="AG170" s="10"/>
      <c r="AH170" s="10"/>
      <c r="AI170" s="10"/>
      <c r="AJ170" s="10"/>
      <c r="AK170" s="42"/>
      <c r="AM170" s="132" t="s">
        <v>26</v>
      </c>
      <c r="AN170" s="130">
        <v>27</v>
      </c>
      <c r="AO170" s="131" t="s">
        <v>1</v>
      </c>
      <c r="AP170" s="10"/>
      <c r="AQ170" s="10"/>
      <c r="AR170" s="10"/>
      <c r="AS170" s="10"/>
      <c r="AT170" s="10"/>
      <c r="AU170" s="10"/>
      <c r="AV170" s="10"/>
      <c r="AW170" s="42"/>
    </row>
    <row r="171" spans="1:49" ht="15" customHeight="1" x14ac:dyDescent="0.25">
      <c r="A171" s="42"/>
      <c r="C171" s="30" t="s">
        <v>61</v>
      </c>
      <c r="D171" s="60">
        <v>40</v>
      </c>
      <c r="E171" s="76" t="s">
        <v>1</v>
      </c>
      <c r="M171" s="42"/>
      <c r="O171" s="30" t="s">
        <v>61</v>
      </c>
      <c r="P171" s="60">
        <v>40</v>
      </c>
      <c r="Q171" s="76" t="s">
        <v>1</v>
      </c>
      <c r="Y171" s="42"/>
      <c r="AA171" s="132" t="s">
        <v>28</v>
      </c>
      <c r="AB171" s="130">
        <v>40</v>
      </c>
      <c r="AC171" s="131" t="s">
        <v>1</v>
      </c>
      <c r="AD171" s="10"/>
      <c r="AE171" s="10"/>
      <c r="AF171" s="10"/>
      <c r="AG171" s="10"/>
      <c r="AH171" s="10"/>
      <c r="AI171" s="10"/>
      <c r="AJ171" s="10"/>
      <c r="AK171" s="42"/>
      <c r="AM171" s="132" t="s">
        <v>28</v>
      </c>
      <c r="AN171" s="130">
        <v>40</v>
      </c>
      <c r="AO171" s="131" t="s">
        <v>1</v>
      </c>
      <c r="AP171" s="10"/>
      <c r="AQ171" s="10"/>
      <c r="AR171" s="10"/>
      <c r="AS171" s="10"/>
      <c r="AT171" s="10"/>
      <c r="AU171" s="10"/>
      <c r="AV171" s="10"/>
      <c r="AW171" s="42"/>
    </row>
    <row r="172" spans="1:49" ht="15" customHeight="1" thickBot="1" x14ac:dyDescent="0.3">
      <c r="A172" s="42"/>
      <c r="C172" s="32" t="s">
        <v>62</v>
      </c>
      <c r="D172" s="77">
        <f>IF(D14="oui",315,265)</f>
        <v>265</v>
      </c>
      <c r="E172" s="78" t="s">
        <v>1</v>
      </c>
      <c r="M172" s="42"/>
      <c r="O172" s="32" t="s">
        <v>62</v>
      </c>
      <c r="P172" s="77">
        <v>265</v>
      </c>
      <c r="Q172" s="78" t="s">
        <v>1</v>
      </c>
      <c r="Y172" s="42"/>
      <c r="AA172" s="133" t="s">
        <v>29</v>
      </c>
      <c r="AB172" s="134">
        <v>-40</v>
      </c>
      <c r="AC172" s="135" t="s">
        <v>1</v>
      </c>
      <c r="AD172" s="10"/>
      <c r="AE172" s="10"/>
      <c r="AF172" s="10"/>
      <c r="AG172" s="10"/>
      <c r="AH172" s="10"/>
      <c r="AI172" s="10"/>
      <c r="AJ172" s="10"/>
      <c r="AK172" s="42"/>
      <c r="AM172" s="133" t="s">
        <v>29</v>
      </c>
      <c r="AN172" s="134">
        <v>265</v>
      </c>
      <c r="AO172" s="135" t="s">
        <v>1</v>
      </c>
      <c r="AP172" s="10"/>
      <c r="AQ172" s="10"/>
      <c r="AR172" s="10"/>
      <c r="AS172" s="10"/>
      <c r="AT172" s="10"/>
      <c r="AU172" s="10"/>
      <c r="AV172" s="10"/>
      <c r="AW172" s="42"/>
    </row>
    <row r="173" spans="1:49" ht="15" customHeight="1" thickBot="1" x14ac:dyDescent="0.3">
      <c r="A173" s="42"/>
      <c r="M173" s="42"/>
      <c r="Y173" s="42"/>
      <c r="AA173" s="9"/>
      <c r="AB173" s="10"/>
      <c r="AC173" s="10"/>
      <c r="AD173" s="10"/>
      <c r="AE173" s="10"/>
      <c r="AF173" s="10"/>
      <c r="AG173" s="10"/>
      <c r="AH173" s="10"/>
      <c r="AI173" s="10"/>
      <c r="AJ173" s="10"/>
      <c r="AK173" s="42"/>
      <c r="AM173" s="9"/>
      <c r="AN173" s="10"/>
      <c r="AO173" s="10"/>
      <c r="AP173" s="10"/>
      <c r="AQ173" s="10"/>
      <c r="AR173" s="10"/>
      <c r="AS173" s="10"/>
      <c r="AT173" s="10"/>
      <c r="AU173" s="10"/>
      <c r="AV173" s="10"/>
      <c r="AW173" s="42"/>
    </row>
    <row r="174" spans="1:49" ht="15" customHeight="1" x14ac:dyDescent="0.25">
      <c r="A174" s="42"/>
      <c r="C174" s="61" t="s">
        <v>45</v>
      </c>
      <c r="D174" s="69"/>
      <c r="E174" s="79" t="s">
        <v>47</v>
      </c>
      <c r="F174" s="70"/>
      <c r="G174" s="69"/>
      <c r="H174" s="79" t="s">
        <v>46</v>
      </c>
      <c r="I174" s="70"/>
      <c r="J174" s="62" t="s">
        <v>2</v>
      </c>
      <c r="K174" s="63" t="s">
        <v>3</v>
      </c>
      <c r="M174" s="42"/>
      <c r="O174" s="61" t="s">
        <v>45</v>
      </c>
      <c r="P174" s="69"/>
      <c r="Q174" s="79" t="s">
        <v>47</v>
      </c>
      <c r="R174" s="70"/>
      <c r="S174" s="69"/>
      <c r="T174" s="79" t="s">
        <v>46</v>
      </c>
      <c r="U174" s="70"/>
      <c r="V174" s="62" t="s">
        <v>2</v>
      </c>
      <c r="W174" s="63" t="s">
        <v>3</v>
      </c>
      <c r="Y174" s="42"/>
      <c r="AA174" s="136" t="s">
        <v>45</v>
      </c>
      <c r="AB174" s="137"/>
      <c r="AC174" s="127" t="s">
        <v>47</v>
      </c>
      <c r="AD174" s="138"/>
      <c r="AE174" s="139"/>
      <c r="AF174" s="139" t="s">
        <v>46</v>
      </c>
      <c r="AG174" s="139"/>
      <c r="AH174" s="139" t="s">
        <v>2</v>
      </c>
      <c r="AI174" s="140" t="s">
        <v>3</v>
      </c>
      <c r="AJ174" s="10"/>
      <c r="AK174" s="42"/>
      <c r="AM174" s="136" t="s">
        <v>45</v>
      </c>
      <c r="AN174" s="137"/>
      <c r="AO174" s="127" t="s">
        <v>47</v>
      </c>
      <c r="AP174" s="138"/>
      <c r="AQ174" s="139"/>
      <c r="AR174" s="139" t="s">
        <v>46</v>
      </c>
      <c r="AS174" s="139"/>
      <c r="AT174" s="139" t="s">
        <v>2</v>
      </c>
      <c r="AU174" s="140" t="s">
        <v>3</v>
      </c>
      <c r="AV174" s="10"/>
      <c r="AW174" s="42"/>
    </row>
    <row r="175" spans="1:49" ht="15" customHeight="1" x14ac:dyDescent="0.25">
      <c r="A175" s="42"/>
      <c r="C175" s="64" t="s">
        <v>34</v>
      </c>
      <c r="D175" s="196">
        <v>45</v>
      </c>
      <c r="E175" s="101" t="s">
        <v>5</v>
      </c>
      <c r="F175" s="199">
        <v>145</v>
      </c>
      <c r="G175" s="14"/>
      <c r="H175" s="101">
        <f>D168-90</f>
        <v>200</v>
      </c>
      <c r="I175" s="15" t="s">
        <v>1</v>
      </c>
      <c r="J175" s="4">
        <f>K175*D163</f>
        <v>4</v>
      </c>
      <c r="K175" s="65">
        <f>ROUNDUP((D167-45)/600,0)+1</f>
        <v>4</v>
      </c>
      <c r="M175" s="42"/>
      <c r="O175" s="64" t="s">
        <v>34</v>
      </c>
      <c r="P175" s="196">
        <v>45</v>
      </c>
      <c r="Q175" s="101" t="s">
        <v>5</v>
      </c>
      <c r="R175" s="199">
        <v>145</v>
      </c>
      <c r="S175" s="14" t="s">
        <v>5</v>
      </c>
      <c r="T175" s="101">
        <f>P168-90</f>
        <v>200</v>
      </c>
      <c r="U175" s="15" t="s">
        <v>1</v>
      </c>
      <c r="V175" s="4">
        <f>W175*P163</f>
        <v>4</v>
      </c>
      <c r="W175" s="65">
        <f>ROUNDUP((P167-45)/600,0)+1</f>
        <v>4</v>
      </c>
      <c r="Y175" s="42"/>
      <c r="AA175" s="141" t="s">
        <v>34</v>
      </c>
      <c r="AB175" s="142">
        <v>45</v>
      </c>
      <c r="AC175" s="143" t="s">
        <v>5</v>
      </c>
      <c r="AD175" s="144">
        <v>145</v>
      </c>
      <c r="AE175" s="11" t="s">
        <v>5</v>
      </c>
      <c r="AF175" s="11">
        <f>AB168-90</f>
        <v>-90</v>
      </c>
      <c r="AG175" s="11" t="s">
        <v>1</v>
      </c>
      <c r="AH175" s="11">
        <f>AI175*AB163</f>
        <v>4</v>
      </c>
      <c r="AI175" s="145">
        <f>ROUNDUP((AB167-45)/600,0)+1</f>
        <v>4</v>
      </c>
      <c r="AJ175" s="10"/>
      <c r="AK175" s="42"/>
      <c r="AM175" s="141" t="s">
        <v>34</v>
      </c>
      <c r="AN175" s="14">
        <v>45</v>
      </c>
      <c r="AO175" s="101" t="s">
        <v>5</v>
      </c>
      <c r="AP175" s="15">
        <v>145</v>
      </c>
      <c r="AQ175" s="4" t="s">
        <v>5</v>
      </c>
      <c r="AR175" s="11">
        <f>AN168-90</f>
        <v>-90</v>
      </c>
      <c r="AS175" s="11" t="s">
        <v>1</v>
      </c>
      <c r="AT175" s="11">
        <f>AU175*AN163</f>
        <v>3</v>
      </c>
      <c r="AU175" s="145">
        <f>ROUNDUP((AN167-45)/600,0)+1</f>
        <v>3</v>
      </c>
      <c r="AV175" s="10"/>
      <c r="AW175" s="42"/>
    </row>
    <row r="176" spans="1:49" ht="15" customHeight="1" thickBot="1" x14ac:dyDescent="0.3">
      <c r="A176" s="42"/>
      <c r="C176" s="66" t="s">
        <v>6</v>
      </c>
      <c r="D176" s="197">
        <v>45</v>
      </c>
      <c r="E176" s="102" t="s">
        <v>5</v>
      </c>
      <c r="F176" s="200">
        <v>145</v>
      </c>
      <c r="G176" s="73"/>
      <c r="H176" s="102">
        <f>D167</f>
        <v>1500</v>
      </c>
      <c r="I176" s="74" t="s">
        <v>1</v>
      </c>
      <c r="J176" s="67">
        <f>K176*D163</f>
        <v>2</v>
      </c>
      <c r="K176" s="68">
        <f>2</f>
        <v>2</v>
      </c>
      <c r="M176" s="42"/>
      <c r="O176" s="66" t="s">
        <v>6</v>
      </c>
      <c r="P176" s="197">
        <v>45</v>
      </c>
      <c r="Q176" s="102" t="s">
        <v>5</v>
      </c>
      <c r="R176" s="200">
        <v>145</v>
      </c>
      <c r="S176" s="73" t="s">
        <v>5</v>
      </c>
      <c r="T176" s="102">
        <f>P167</f>
        <v>1500</v>
      </c>
      <c r="U176" s="74" t="s">
        <v>1</v>
      </c>
      <c r="V176" s="67">
        <f>W176*P163</f>
        <v>2</v>
      </c>
      <c r="W176" s="68">
        <f>2</f>
        <v>2</v>
      </c>
      <c r="Y176" s="42"/>
      <c r="AA176" s="146" t="s">
        <v>6</v>
      </c>
      <c r="AB176" s="147">
        <v>45</v>
      </c>
      <c r="AC176" s="148" t="s">
        <v>5</v>
      </c>
      <c r="AD176" s="149">
        <v>145</v>
      </c>
      <c r="AE176" s="150" t="s">
        <v>5</v>
      </c>
      <c r="AF176" s="150">
        <f>AB167</f>
        <v>1500</v>
      </c>
      <c r="AG176" s="150" t="s">
        <v>1</v>
      </c>
      <c r="AH176" s="150">
        <f>AI176*AB163</f>
        <v>2</v>
      </c>
      <c r="AI176" s="151">
        <f>2</f>
        <v>2</v>
      </c>
      <c r="AJ176" s="10"/>
      <c r="AK176" s="42"/>
      <c r="AM176" s="146" t="s">
        <v>6</v>
      </c>
      <c r="AN176" s="73">
        <v>45</v>
      </c>
      <c r="AO176" s="102" t="s">
        <v>5</v>
      </c>
      <c r="AP176" s="74">
        <v>145</v>
      </c>
      <c r="AQ176" s="67" t="s">
        <v>5</v>
      </c>
      <c r="AR176" s="150">
        <f>AN167</f>
        <v>900</v>
      </c>
      <c r="AS176" s="150" t="s">
        <v>1</v>
      </c>
      <c r="AT176" s="150">
        <f>AU176*AN163</f>
        <v>2</v>
      </c>
      <c r="AU176" s="151">
        <f>2</f>
        <v>2</v>
      </c>
      <c r="AV176" s="10"/>
      <c r="AW176" s="42"/>
    </row>
    <row r="177" spans="1:49" ht="15" customHeight="1" thickBot="1" x14ac:dyDescent="0.3">
      <c r="A177" s="42"/>
      <c r="D177" s="198"/>
      <c r="F177" s="201"/>
      <c r="M177" s="42"/>
      <c r="Y177" s="42"/>
      <c r="AA177" s="9"/>
      <c r="AB177" s="10"/>
      <c r="AC177" s="10"/>
      <c r="AD177" s="10"/>
      <c r="AE177" s="10"/>
      <c r="AF177" s="10"/>
      <c r="AG177" s="10"/>
      <c r="AH177" s="10"/>
      <c r="AI177" s="10"/>
      <c r="AJ177" s="10"/>
      <c r="AK177" s="42"/>
      <c r="AM177" s="9"/>
      <c r="AN177" s="10"/>
      <c r="AO177" s="10"/>
      <c r="AP177" s="10"/>
      <c r="AQ177" s="10"/>
      <c r="AR177" s="10"/>
      <c r="AS177" s="10"/>
      <c r="AT177" s="10"/>
      <c r="AU177" s="10"/>
      <c r="AV177" s="10"/>
      <c r="AW177" s="42"/>
    </row>
    <row r="178" spans="1:49" ht="15" customHeight="1" x14ac:dyDescent="0.25">
      <c r="A178" s="42"/>
      <c r="C178" s="61" t="s">
        <v>45</v>
      </c>
      <c r="D178" s="25" t="s">
        <v>44</v>
      </c>
      <c r="E178" s="175"/>
      <c r="F178" s="176"/>
      <c r="G178" s="176" t="s">
        <v>66</v>
      </c>
      <c r="H178" s="176"/>
      <c r="I178" s="177"/>
      <c r="J178" s="62" t="s">
        <v>2</v>
      </c>
      <c r="K178" s="63" t="s">
        <v>3</v>
      </c>
      <c r="M178" s="42"/>
      <c r="O178" s="61" t="s">
        <v>45</v>
      </c>
      <c r="P178" s="25" t="s">
        <v>44</v>
      </c>
      <c r="Q178" s="175"/>
      <c r="R178" s="176"/>
      <c r="S178" s="176" t="s">
        <v>66</v>
      </c>
      <c r="T178" s="176"/>
      <c r="U178" s="177"/>
      <c r="V178" s="62" t="s">
        <v>2</v>
      </c>
      <c r="W178" s="63" t="s">
        <v>3</v>
      </c>
      <c r="Y178" s="42"/>
      <c r="AA178" s="136" t="s">
        <v>45</v>
      </c>
      <c r="AB178" s="207" t="s">
        <v>44</v>
      </c>
      <c r="AC178" s="208"/>
      <c r="AD178" s="209"/>
      <c r="AE178" s="209" t="s">
        <v>66</v>
      </c>
      <c r="AF178" s="209"/>
      <c r="AG178" s="210"/>
      <c r="AH178" s="139" t="s">
        <v>2</v>
      </c>
      <c r="AI178" s="140" t="s">
        <v>3</v>
      </c>
      <c r="AJ178" s="10"/>
      <c r="AK178" s="42"/>
      <c r="AM178" s="136" t="s">
        <v>45</v>
      </c>
      <c r="AN178" s="207" t="s">
        <v>44</v>
      </c>
      <c r="AO178" s="208"/>
      <c r="AP178" s="209"/>
      <c r="AQ178" s="209" t="s">
        <v>66</v>
      </c>
      <c r="AR178" s="209"/>
      <c r="AS178" s="210"/>
      <c r="AT178" s="139" t="s">
        <v>2</v>
      </c>
      <c r="AU178" s="140" t="s">
        <v>3</v>
      </c>
      <c r="AV178" s="10"/>
      <c r="AW178" s="42"/>
    </row>
    <row r="179" spans="1:49" ht="15" customHeight="1" x14ac:dyDescent="0.25">
      <c r="A179" s="42"/>
      <c r="C179" s="71" t="s">
        <v>64</v>
      </c>
      <c r="D179" s="2">
        <v>12</v>
      </c>
      <c r="E179" s="14"/>
      <c r="F179" s="205">
        <f>D169+D170+D167</f>
        <v>1554</v>
      </c>
      <c r="G179" s="101" t="s">
        <v>5</v>
      </c>
      <c r="H179" s="202">
        <f>D172+D171+D168</f>
        <v>595</v>
      </c>
      <c r="I179" s="101" t="s">
        <v>1</v>
      </c>
      <c r="J179" s="4">
        <f>K179*D163</f>
        <v>1</v>
      </c>
      <c r="K179" s="65">
        <v>1</v>
      </c>
      <c r="M179" s="42"/>
      <c r="O179" s="71" t="s">
        <v>64</v>
      </c>
      <c r="P179" s="2">
        <v>12</v>
      </c>
      <c r="Q179" s="14"/>
      <c r="R179" s="205">
        <f>P169+P170+P167</f>
        <v>1554</v>
      </c>
      <c r="S179" s="101" t="s">
        <v>5</v>
      </c>
      <c r="T179" s="202">
        <f>P172+P171+P168</f>
        <v>595</v>
      </c>
      <c r="U179" s="101" t="s">
        <v>1</v>
      </c>
      <c r="V179" s="4">
        <f>W179*P163</f>
        <v>1</v>
      </c>
      <c r="W179" s="65">
        <v>1</v>
      </c>
      <c r="Y179" s="42"/>
      <c r="AA179" s="152" t="s">
        <v>64</v>
      </c>
      <c r="AB179" s="10"/>
      <c r="AC179" s="10"/>
      <c r="AD179" s="11">
        <f>AB169+AB170+AB167</f>
        <v>1554</v>
      </c>
      <c r="AE179" s="11" t="s">
        <v>5</v>
      </c>
      <c r="AF179" s="11">
        <f>AB172+AB171+AB168</f>
        <v>0</v>
      </c>
      <c r="AG179" s="11" t="s">
        <v>1</v>
      </c>
      <c r="AH179" s="11">
        <f>AI179*AB163</f>
        <v>1</v>
      </c>
      <c r="AI179" s="145">
        <v>1</v>
      </c>
      <c r="AJ179" s="10"/>
      <c r="AK179" s="42"/>
      <c r="AM179" s="152" t="s">
        <v>35</v>
      </c>
      <c r="AP179" s="11">
        <f>AN169+AN170+AN167</f>
        <v>954</v>
      </c>
      <c r="AQ179" s="11" t="s">
        <v>5</v>
      </c>
      <c r="AR179" s="11">
        <f>AN172+AN171+AN168</f>
        <v>305</v>
      </c>
      <c r="AS179" s="11" t="s">
        <v>1</v>
      </c>
      <c r="AT179" s="11">
        <f>AU179*AN163</f>
        <v>1</v>
      </c>
      <c r="AU179" s="145">
        <v>1</v>
      </c>
      <c r="AV179" s="10"/>
      <c r="AW179" s="42"/>
    </row>
    <row r="180" spans="1:49" ht="15" customHeight="1" thickBot="1" x14ac:dyDescent="0.3">
      <c r="A180" s="42"/>
      <c r="C180" s="72" t="s">
        <v>63</v>
      </c>
      <c r="D180" s="67" t="s">
        <v>71</v>
      </c>
      <c r="E180" s="73"/>
      <c r="F180" s="206">
        <f>D169+D170+D167</f>
        <v>1554</v>
      </c>
      <c r="G180" s="102" t="s">
        <v>5</v>
      </c>
      <c r="H180" s="203">
        <f>D172+D171+D168</f>
        <v>595</v>
      </c>
      <c r="I180" s="102" t="s">
        <v>1</v>
      </c>
      <c r="J180" s="67">
        <f>K180*D163</f>
        <v>1</v>
      </c>
      <c r="K180" s="68">
        <v>1</v>
      </c>
      <c r="M180" s="42"/>
      <c r="O180" s="72" t="s">
        <v>63</v>
      </c>
      <c r="P180" s="67" t="s">
        <v>71</v>
      </c>
      <c r="Q180" s="73"/>
      <c r="R180" s="206">
        <f>P169+P170+P167</f>
        <v>1554</v>
      </c>
      <c r="S180" s="102" t="s">
        <v>5</v>
      </c>
      <c r="T180" s="203">
        <f>P172+P171+P168</f>
        <v>595</v>
      </c>
      <c r="U180" s="102" t="s">
        <v>1</v>
      </c>
      <c r="V180" s="67">
        <f>W180*P163</f>
        <v>1</v>
      </c>
      <c r="W180" s="68">
        <v>1</v>
      </c>
      <c r="Y180" s="42"/>
      <c r="AA180" s="153" t="s">
        <v>65</v>
      </c>
      <c r="AB180" s="10"/>
      <c r="AC180" s="10"/>
      <c r="AD180" s="150">
        <f>AB169+AB170+AB167</f>
        <v>1554</v>
      </c>
      <c r="AE180" s="150" t="s">
        <v>5</v>
      </c>
      <c r="AF180" s="150">
        <f>AB172+AB171+AB168</f>
        <v>0</v>
      </c>
      <c r="AG180" s="150" t="s">
        <v>1</v>
      </c>
      <c r="AH180" s="150">
        <f>AI180*AB163</f>
        <v>1</v>
      </c>
      <c r="AI180" s="151">
        <v>1</v>
      </c>
      <c r="AJ180" s="10"/>
      <c r="AK180" s="42"/>
      <c r="AM180" s="153" t="s">
        <v>36</v>
      </c>
      <c r="AP180" s="150">
        <f>AN169+AN170+AN167</f>
        <v>954</v>
      </c>
      <c r="AQ180" s="150" t="s">
        <v>5</v>
      </c>
      <c r="AR180" s="150">
        <f>AN172+AN171+AN168</f>
        <v>305</v>
      </c>
      <c r="AS180" s="150" t="s">
        <v>1</v>
      </c>
      <c r="AT180" s="150">
        <f>AU180*AN163</f>
        <v>1</v>
      </c>
      <c r="AU180" s="151">
        <v>1</v>
      </c>
      <c r="AV180" s="10"/>
      <c r="AW180" s="42"/>
    </row>
    <row r="181" spans="1:49" ht="15" customHeight="1" x14ac:dyDescent="0.25">
      <c r="A181" s="42"/>
      <c r="D181" s="204"/>
      <c r="M181" s="42"/>
      <c r="P181" s="204"/>
      <c r="Y181" s="42"/>
      <c r="AA181" s="13"/>
      <c r="AB181" s="10"/>
      <c r="AC181" s="10"/>
      <c r="AD181" s="10"/>
      <c r="AE181" s="10"/>
      <c r="AF181" s="10"/>
      <c r="AG181" s="10"/>
      <c r="AH181" s="10"/>
      <c r="AI181" s="10"/>
      <c r="AJ181" s="10"/>
      <c r="AK181" s="42"/>
      <c r="AM181" s="13"/>
      <c r="AN181" s="10"/>
      <c r="AO181" s="10"/>
      <c r="AP181" s="10"/>
      <c r="AQ181" s="10"/>
      <c r="AR181" s="10"/>
      <c r="AS181" s="10"/>
      <c r="AT181" s="10"/>
      <c r="AU181" s="10"/>
      <c r="AV181" s="10"/>
      <c r="AW181" s="42"/>
    </row>
    <row r="182" spans="1:49" ht="15" customHeight="1" x14ac:dyDescent="0.25">
      <c r="A182" s="42"/>
      <c r="M182" s="42"/>
      <c r="Y182" s="42"/>
      <c r="AA182" s="9"/>
      <c r="AB182" s="10"/>
      <c r="AC182" s="10"/>
      <c r="AD182" s="10"/>
      <c r="AE182" s="10"/>
      <c r="AF182" s="10"/>
      <c r="AG182" s="10"/>
      <c r="AH182" s="10"/>
      <c r="AI182" s="10"/>
      <c r="AJ182" s="10"/>
      <c r="AK182" s="42"/>
      <c r="AM182" s="13"/>
      <c r="AN182" s="10"/>
      <c r="AO182" s="10"/>
      <c r="AP182" s="10"/>
      <c r="AQ182" s="10"/>
      <c r="AR182" s="10"/>
      <c r="AS182" s="10"/>
      <c r="AT182" s="10"/>
      <c r="AU182" s="10"/>
      <c r="AV182" s="10"/>
      <c r="AW182" s="42"/>
    </row>
    <row r="183" spans="1:49" ht="15" customHeight="1" x14ac:dyDescent="0.25">
      <c r="A183" s="42"/>
      <c r="M183" s="42"/>
      <c r="Y183" s="42"/>
      <c r="AA183" s="9"/>
      <c r="AB183" s="10"/>
      <c r="AC183" s="10"/>
      <c r="AD183" s="10"/>
      <c r="AE183" s="10"/>
      <c r="AF183" s="10"/>
      <c r="AG183" s="10"/>
      <c r="AH183" s="10"/>
      <c r="AI183" s="10"/>
      <c r="AJ183" s="10"/>
      <c r="AK183" s="42"/>
      <c r="AM183" s="13"/>
      <c r="AN183" s="10"/>
      <c r="AO183" s="10"/>
      <c r="AP183" s="10"/>
      <c r="AQ183" s="10"/>
      <c r="AR183" s="10"/>
      <c r="AS183" s="10"/>
      <c r="AT183" s="10"/>
      <c r="AU183" s="10"/>
      <c r="AV183" s="10"/>
      <c r="AW183" s="42"/>
    </row>
    <row r="184" spans="1:49" ht="15" customHeight="1" x14ac:dyDescent="0.25">
      <c r="A184" s="42"/>
      <c r="M184" s="42"/>
      <c r="Y184" s="42"/>
      <c r="AA184" s="13"/>
      <c r="AB184" s="10"/>
      <c r="AC184" s="10"/>
      <c r="AD184" s="10"/>
      <c r="AE184" s="10"/>
      <c r="AF184" s="10"/>
      <c r="AG184" s="10"/>
      <c r="AH184" s="10"/>
      <c r="AI184" s="10"/>
      <c r="AJ184" s="10"/>
      <c r="AK184" s="42"/>
      <c r="AM184" s="13"/>
      <c r="AN184" s="10"/>
      <c r="AO184" s="10"/>
      <c r="AP184" s="10"/>
      <c r="AQ184" s="10"/>
      <c r="AR184" s="10"/>
      <c r="AS184" s="10"/>
      <c r="AT184" s="10"/>
      <c r="AU184" s="10"/>
      <c r="AV184" s="10"/>
      <c r="AW184" s="42"/>
    </row>
    <row r="185" spans="1:49" ht="15" customHeight="1" x14ac:dyDescent="0.25">
      <c r="A185" s="42"/>
      <c r="M185" s="42"/>
      <c r="Y185" s="42"/>
      <c r="AA185" s="13"/>
      <c r="AB185" s="10"/>
      <c r="AC185" s="10"/>
      <c r="AD185" s="10"/>
      <c r="AE185" s="10"/>
      <c r="AF185" s="10"/>
      <c r="AG185" s="10"/>
      <c r="AH185" s="10"/>
      <c r="AI185" s="10"/>
      <c r="AJ185" s="10"/>
      <c r="AK185" s="42"/>
      <c r="AM185" s="13"/>
      <c r="AN185" s="10"/>
      <c r="AO185" s="10"/>
      <c r="AP185" s="10"/>
      <c r="AQ185" s="10"/>
      <c r="AR185" s="10"/>
      <c r="AS185" s="10"/>
      <c r="AT185" s="10"/>
      <c r="AU185" s="10"/>
      <c r="AV185" s="10"/>
      <c r="AW185" s="42"/>
    </row>
    <row r="186" spans="1:49" ht="15" customHeight="1" x14ac:dyDescent="0.25">
      <c r="A186" s="42"/>
      <c r="M186" s="42"/>
      <c r="Y186" s="42"/>
      <c r="AA186" s="13"/>
      <c r="AB186" s="10"/>
      <c r="AC186" s="10"/>
      <c r="AD186" s="10"/>
      <c r="AE186" s="10"/>
      <c r="AF186" s="10"/>
      <c r="AG186" s="10"/>
      <c r="AH186" s="10"/>
      <c r="AI186" s="10"/>
      <c r="AJ186" s="10"/>
      <c r="AK186" s="42"/>
      <c r="AM186" s="13"/>
      <c r="AN186" s="10"/>
      <c r="AO186" s="10"/>
      <c r="AP186" s="10"/>
      <c r="AQ186" s="10"/>
      <c r="AR186" s="10"/>
      <c r="AS186" s="10"/>
      <c r="AT186" s="10"/>
      <c r="AU186" s="10"/>
      <c r="AV186" s="10"/>
      <c r="AW186" s="42"/>
    </row>
    <row r="187" spans="1:49" ht="15" customHeight="1" x14ac:dyDescent="0.25">
      <c r="A187" s="42"/>
      <c r="M187" s="42"/>
      <c r="Y187" s="42"/>
      <c r="AA187" s="13"/>
      <c r="AB187" s="10"/>
      <c r="AC187" s="10"/>
      <c r="AD187" s="10"/>
      <c r="AE187" s="10"/>
      <c r="AF187" s="10"/>
      <c r="AG187" s="10"/>
      <c r="AK187" s="42"/>
      <c r="AM187" s="13"/>
      <c r="AN187" s="10"/>
      <c r="AO187" s="10"/>
      <c r="AP187" s="10"/>
      <c r="AQ187" s="10"/>
      <c r="AR187" s="10"/>
      <c r="AS187" s="10"/>
      <c r="AT187" s="10"/>
      <c r="AU187" s="10"/>
      <c r="AV187" s="10"/>
      <c r="AW187" s="42"/>
    </row>
    <row r="188" spans="1:49" ht="15" customHeight="1" x14ac:dyDescent="0.25">
      <c r="A188" s="42"/>
      <c r="M188" s="42"/>
      <c r="Y188" s="42"/>
      <c r="AA188" s="13"/>
      <c r="AB188" s="10"/>
      <c r="AC188" s="10"/>
      <c r="AD188" s="10"/>
      <c r="AE188" s="10"/>
      <c r="AF188" s="10"/>
      <c r="AG188" s="10"/>
      <c r="AK188" s="42"/>
      <c r="AM188" s="13"/>
      <c r="AN188" s="10"/>
      <c r="AO188" s="10"/>
      <c r="AP188" s="10"/>
      <c r="AQ188" s="10"/>
      <c r="AR188" s="10"/>
      <c r="AS188" s="10"/>
      <c r="AT188" s="10"/>
      <c r="AU188" s="10"/>
      <c r="AV188" s="10"/>
      <c r="AW188" s="42"/>
    </row>
    <row r="189" spans="1:49" ht="15" customHeight="1" x14ac:dyDescent="0.25">
      <c r="A189" s="42"/>
      <c r="M189" s="42"/>
      <c r="Y189" s="42"/>
      <c r="AA189" s="13"/>
      <c r="AB189" s="10"/>
      <c r="AC189" s="10"/>
      <c r="AD189" s="10"/>
      <c r="AE189" s="10"/>
      <c r="AF189" s="10"/>
      <c r="AG189" s="10"/>
      <c r="AK189" s="42"/>
      <c r="AM189" s="13"/>
      <c r="AN189" s="10"/>
      <c r="AO189" s="10"/>
      <c r="AP189" s="10"/>
      <c r="AQ189" s="10"/>
      <c r="AR189" s="10"/>
      <c r="AS189" s="10"/>
      <c r="AT189" s="10"/>
      <c r="AU189" s="10"/>
      <c r="AV189" s="10"/>
      <c r="AW189" s="42"/>
    </row>
    <row r="190" spans="1:49" ht="15" customHeight="1" x14ac:dyDescent="0.25">
      <c r="A190" s="42"/>
      <c r="M190" s="42"/>
      <c r="Y190" s="42"/>
      <c r="AA190" s="13"/>
      <c r="AB190" s="10"/>
      <c r="AC190" s="10"/>
      <c r="AD190" s="10"/>
      <c r="AE190" s="10"/>
      <c r="AF190" s="10"/>
      <c r="AG190" s="10"/>
      <c r="AK190" s="42"/>
      <c r="AM190" s="13"/>
      <c r="AN190" s="10"/>
      <c r="AO190" s="10"/>
      <c r="AP190" s="10"/>
      <c r="AQ190" s="10"/>
      <c r="AR190" s="10"/>
      <c r="AS190" s="10"/>
      <c r="AT190" s="10"/>
      <c r="AU190" s="10"/>
      <c r="AV190" s="10"/>
      <c r="AW190" s="42"/>
    </row>
    <row r="191" spans="1:49" ht="15" customHeight="1" x14ac:dyDescent="0.25">
      <c r="A191" s="42"/>
      <c r="M191" s="42"/>
      <c r="Y191" s="42"/>
      <c r="AA191" s="13"/>
      <c r="AB191" s="10"/>
      <c r="AC191" s="10"/>
      <c r="AD191" s="10"/>
      <c r="AE191" s="10"/>
      <c r="AF191" s="10"/>
      <c r="AG191" s="10"/>
      <c r="AK191" s="42"/>
      <c r="AM191" s="13"/>
      <c r="AN191" s="10"/>
      <c r="AO191" s="10"/>
      <c r="AP191" s="10"/>
      <c r="AQ191" s="10"/>
      <c r="AR191" s="10"/>
      <c r="AS191" s="10"/>
      <c r="AT191" s="10"/>
      <c r="AU191" s="10"/>
      <c r="AV191" s="10"/>
      <c r="AW191" s="42"/>
    </row>
    <row r="192" spans="1:49" ht="15" customHeight="1" x14ac:dyDescent="0.25">
      <c r="A192" s="42"/>
      <c r="M192" s="42"/>
      <c r="Y192" s="42"/>
      <c r="AA192" s="13"/>
      <c r="AB192" s="10"/>
      <c r="AC192" s="10"/>
      <c r="AD192" s="10"/>
      <c r="AE192" s="10"/>
      <c r="AF192" s="10"/>
      <c r="AG192" s="10"/>
      <c r="AK192" s="42"/>
      <c r="AM192" s="13"/>
      <c r="AN192" s="10"/>
      <c r="AO192" s="10"/>
      <c r="AP192" s="10"/>
      <c r="AQ192" s="10"/>
      <c r="AR192" s="10"/>
      <c r="AS192" s="10"/>
      <c r="AT192" s="10"/>
      <c r="AU192" s="10"/>
      <c r="AV192" s="10"/>
      <c r="AW192" s="42"/>
    </row>
    <row r="193" spans="1:49" ht="15" customHeight="1" x14ac:dyDescent="0.25">
      <c r="A193" s="42"/>
      <c r="M193" s="42"/>
      <c r="Y193" s="42"/>
      <c r="AA193" s="13"/>
      <c r="AB193" s="10"/>
      <c r="AC193" s="10"/>
      <c r="AD193" s="10"/>
      <c r="AE193" s="10"/>
      <c r="AF193" s="10"/>
      <c r="AG193" s="10"/>
      <c r="AK193" s="42"/>
      <c r="AM193" s="13"/>
      <c r="AN193" s="10"/>
      <c r="AO193" s="10"/>
      <c r="AP193" s="10"/>
      <c r="AQ193" s="10"/>
      <c r="AR193" s="10"/>
      <c r="AS193" s="10"/>
      <c r="AT193" s="10"/>
      <c r="AU193" s="10"/>
      <c r="AV193" s="10"/>
      <c r="AW193" s="42"/>
    </row>
    <row r="194" spans="1:49" ht="15" customHeight="1" x14ac:dyDescent="0.25">
      <c r="A194" s="42"/>
      <c r="M194" s="42"/>
      <c r="Y194" s="42"/>
      <c r="AA194" s="13"/>
      <c r="AB194" s="10"/>
      <c r="AC194" s="10"/>
      <c r="AD194" s="10"/>
      <c r="AE194" s="10"/>
      <c r="AF194" s="10"/>
      <c r="AG194" s="10"/>
      <c r="AK194" s="42"/>
      <c r="AM194" s="13"/>
      <c r="AN194" s="10"/>
      <c r="AO194" s="10"/>
      <c r="AP194" s="10"/>
      <c r="AQ194" s="10"/>
      <c r="AR194" s="10"/>
      <c r="AS194" s="10"/>
      <c r="AT194" s="10"/>
      <c r="AU194" s="10"/>
      <c r="AV194" s="10"/>
      <c r="AW194" s="42"/>
    </row>
    <row r="195" spans="1:49" ht="15" customHeight="1" x14ac:dyDescent="0.25">
      <c r="A195" s="42"/>
      <c r="M195" s="42"/>
      <c r="Y195" s="42"/>
      <c r="AA195" s="13"/>
      <c r="AB195" s="10"/>
      <c r="AC195" s="10"/>
      <c r="AD195" s="10"/>
      <c r="AE195" s="10"/>
      <c r="AF195" s="10"/>
      <c r="AG195" s="10"/>
      <c r="AK195" s="42"/>
      <c r="AM195" s="13"/>
      <c r="AN195" s="10"/>
      <c r="AO195" s="10"/>
      <c r="AP195" s="10"/>
      <c r="AQ195" s="10"/>
      <c r="AR195" s="10"/>
      <c r="AS195" s="10"/>
      <c r="AT195" s="10"/>
      <c r="AU195" s="10"/>
      <c r="AV195" s="10"/>
      <c r="AW195" s="42"/>
    </row>
    <row r="196" spans="1:49" ht="15" customHeight="1" x14ac:dyDescent="0.25">
      <c r="A196" s="42"/>
      <c r="M196" s="42"/>
      <c r="Y196" s="42"/>
      <c r="AA196" s="13"/>
      <c r="AB196" s="10"/>
      <c r="AC196" s="10"/>
      <c r="AD196" s="10"/>
      <c r="AE196" s="10"/>
      <c r="AF196" s="10"/>
      <c r="AG196" s="10"/>
      <c r="AK196" s="42"/>
      <c r="AM196" s="13"/>
      <c r="AN196" s="10"/>
      <c r="AO196" s="10"/>
      <c r="AP196" s="10"/>
      <c r="AQ196" s="10"/>
      <c r="AR196" s="10"/>
      <c r="AS196" s="10"/>
      <c r="AT196" s="10"/>
      <c r="AU196" s="10"/>
      <c r="AV196" s="10"/>
      <c r="AW196" s="42"/>
    </row>
    <row r="197" spans="1:49" ht="15" customHeight="1" x14ac:dyDescent="0.25">
      <c r="A197" s="42"/>
      <c r="M197" s="42"/>
      <c r="Y197" s="42"/>
      <c r="AA197" s="13"/>
      <c r="AB197" s="10"/>
      <c r="AC197" s="10"/>
      <c r="AD197" s="10"/>
      <c r="AE197" s="10"/>
      <c r="AF197" s="10"/>
      <c r="AG197" s="10"/>
      <c r="AK197" s="42"/>
      <c r="AM197" s="13"/>
      <c r="AN197" s="10"/>
      <c r="AO197" s="10"/>
      <c r="AP197" s="10"/>
      <c r="AQ197" s="10"/>
      <c r="AR197" s="10"/>
      <c r="AS197" s="10"/>
      <c r="AT197" s="10"/>
      <c r="AU197" s="10"/>
      <c r="AV197" s="10"/>
      <c r="AW197" s="42"/>
    </row>
    <row r="198" spans="1:49" ht="15" customHeight="1" x14ac:dyDescent="0.25">
      <c r="A198" s="42"/>
      <c r="M198" s="42"/>
      <c r="Y198" s="42"/>
      <c r="AA198" s="13"/>
      <c r="AB198" s="10"/>
      <c r="AC198" s="10"/>
      <c r="AD198" s="10"/>
      <c r="AE198" s="10"/>
      <c r="AF198" s="10"/>
      <c r="AG198" s="10"/>
      <c r="AK198" s="42"/>
      <c r="AM198" s="13"/>
      <c r="AN198" s="10"/>
      <c r="AO198" s="10"/>
      <c r="AP198" s="10"/>
      <c r="AQ198" s="10"/>
      <c r="AR198" s="10"/>
      <c r="AS198" s="10"/>
      <c r="AT198" s="10"/>
      <c r="AU198" s="10"/>
      <c r="AV198" s="10"/>
      <c r="AW198" s="42"/>
    </row>
    <row r="199" spans="1:49" ht="15" customHeight="1" x14ac:dyDescent="0.25">
      <c r="A199" s="42"/>
      <c r="M199" s="42"/>
      <c r="Y199" s="42"/>
      <c r="AA199" s="13"/>
      <c r="AB199" s="10"/>
      <c r="AC199" s="10"/>
      <c r="AD199" s="10"/>
      <c r="AE199" s="10"/>
      <c r="AF199" s="10"/>
      <c r="AG199" s="10"/>
      <c r="AK199" s="42"/>
      <c r="AM199" s="13"/>
      <c r="AN199" s="10"/>
      <c r="AO199" s="10"/>
      <c r="AP199" s="10"/>
      <c r="AQ199" s="10"/>
      <c r="AR199" s="10"/>
      <c r="AS199" s="10"/>
      <c r="AT199" s="10"/>
      <c r="AU199" s="10"/>
      <c r="AV199" s="10"/>
      <c r="AW199" s="42"/>
    </row>
    <row r="200" spans="1:49" ht="15" customHeight="1" x14ac:dyDescent="0.25">
      <c r="A200" s="42"/>
      <c r="M200" s="42"/>
      <c r="Y200" s="42"/>
      <c r="AA200" s="13"/>
      <c r="AB200" s="10"/>
      <c r="AC200" s="10"/>
      <c r="AD200" s="10"/>
      <c r="AE200" s="10"/>
      <c r="AF200" s="10"/>
      <c r="AG200" s="10"/>
      <c r="AK200" s="42"/>
      <c r="AM200" s="13"/>
      <c r="AN200" s="10"/>
      <c r="AO200" s="10"/>
      <c r="AP200" s="10"/>
      <c r="AQ200" s="10"/>
      <c r="AR200" s="10"/>
      <c r="AS200" s="10"/>
      <c r="AT200" s="10"/>
      <c r="AU200" s="10"/>
      <c r="AV200" s="10"/>
      <c r="AW200" s="42"/>
    </row>
    <row r="201" spans="1:49" ht="15" customHeight="1" x14ac:dyDescent="0.25">
      <c r="A201" s="42"/>
      <c r="M201" s="42"/>
      <c r="Y201" s="42"/>
      <c r="AA201" s="13"/>
      <c r="AB201" s="10"/>
      <c r="AC201" s="10"/>
      <c r="AD201" s="10"/>
      <c r="AE201" s="10"/>
      <c r="AF201" s="10"/>
      <c r="AG201" s="10"/>
      <c r="AK201" s="42"/>
      <c r="AM201" s="13"/>
      <c r="AN201" s="10"/>
      <c r="AO201" s="10"/>
      <c r="AP201" s="10"/>
      <c r="AQ201" s="10"/>
      <c r="AR201" s="10"/>
      <c r="AS201" s="10"/>
      <c r="AT201" s="10"/>
      <c r="AU201" s="10"/>
      <c r="AV201" s="10"/>
      <c r="AW201" s="42"/>
    </row>
    <row r="202" spans="1:49" ht="15" customHeight="1" x14ac:dyDescent="0.25">
      <c r="A202" s="42"/>
      <c r="M202" s="42"/>
      <c r="Y202" s="42"/>
      <c r="AA202" s="13"/>
      <c r="AB202" s="10"/>
      <c r="AC202" s="10"/>
      <c r="AD202" s="10"/>
      <c r="AE202" s="10"/>
      <c r="AF202" s="10"/>
      <c r="AG202" s="10"/>
      <c r="AK202" s="42"/>
      <c r="AM202" s="13"/>
      <c r="AN202" s="10"/>
      <c r="AO202" s="10"/>
      <c r="AP202" s="10"/>
      <c r="AQ202" s="10"/>
      <c r="AR202" s="10"/>
      <c r="AS202" s="10"/>
      <c r="AT202" s="10"/>
      <c r="AU202" s="10"/>
      <c r="AV202" s="10"/>
      <c r="AW202" s="42"/>
    </row>
    <row r="203" spans="1:49" ht="15" customHeight="1" x14ac:dyDescent="0.25">
      <c r="A203" s="42"/>
      <c r="M203" s="42"/>
      <c r="Y203" s="42"/>
      <c r="AA203" s="13"/>
      <c r="AB203" s="10"/>
      <c r="AC203" s="10"/>
      <c r="AD203" s="10"/>
      <c r="AE203" s="10"/>
      <c r="AF203" s="10"/>
      <c r="AG203" s="10"/>
      <c r="AK203" s="42"/>
      <c r="AM203" s="13"/>
      <c r="AN203" s="10"/>
      <c r="AO203" s="10"/>
      <c r="AP203" s="10"/>
      <c r="AQ203" s="10"/>
      <c r="AR203" s="10"/>
      <c r="AS203" s="10"/>
      <c r="AT203" s="10"/>
      <c r="AU203" s="10"/>
      <c r="AV203" s="10"/>
      <c r="AW203" s="42"/>
    </row>
    <row r="204" spans="1:49" ht="15" customHeight="1" x14ac:dyDescent="0.25">
      <c r="A204" s="42"/>
      <c r="M204" s="42"/>
      <c r="Y204" s="42"/>
      <c r="AA204" s="13"/>
      <c r="AB204" s="10"/>
      <c r="AC204" s="10"/>
      <c r="AD204" s="10"/>
      <c r="AE204" s="10"/>
      <c r="AF204" s="10"/>
      <c r="AG204" s="10"/>
      <c r="AK204" s="42"/>
      <c r="AM204" s="13"/>
      <c r="AN204" s="10"/>
      <c r="AO204" s="10"/>
      <c r="AP204" s="10"/>
      <c r="AQ204" s="10"/>
      <c r="AR204" s="10"/>
      <c r="AS204" s="10"/>
      <c r="AT204" s="10"/>
      <c r="AU204" s="10"/>
      <c r="AV204" s="10"/>
      <c r="AW204" s="42"/>
    </row>
    <row r="205" spans="1:49" ht="15" customHeight="1" x14ac:dyDescent="0.25">
      <c r="A205" s="42"/>
      <c r="M205" s="42"/>
      <c r="Y205" s="42"/>
      <c r="AA205" s="13"/>
      <c r="AB205" s="10"/>
      <c r="AC205" s="10"/>
      <c r="AD205" s="10"/>
      <c r="AE205" s="10"/>
      <c r="AF205" s="10"/>
      <c r="AG205" s="10"/>
      <c r="AK205" s="42"/>
      <c r="AM205" s="13"/>
      <c r="AN205" s="10"/>
      <c r="AO205" s="10"/>
      <c r="AP205" s="10"/>
      <c r="AQ205" s="10"/>
      <c r="AR205" s="10"/>
      <c r="AS205" s="10"/>
      <c r="AT205" s="10"/>
      <c r="AU205" s="10"/>
      <c r="AV205" s="10"/>
      <c r="AW205" s="42"/>
    </row>
    <row r="206" spans="1:49" ht="15" customHeight="1" x14ac:dyDescent="0.25">
      <c r="A206" s="42"/>
      <c r="M206" s="42"/>
      <c r="Y206" s="42"/>
      <c r="AA206" s="13"/>
      <c r="AB206" s="10"/>
      <c r="AC206" s="10"/>
      <c r="AD206" s="10"/>
      <c r="AE206" s="10"/>
      <c r="AF206" s="10"/>
      <c r="AG206" s="10"/>
      <c r="AK206" s="42"/>
      <c r="AM206" s="13"/>
      <c r="AN206" s="10"/>
      <c r="AO206" s="10"/>
      <c r="AP206" s="10"/>
      <c r="AQ206" s="10"/>
      <c r="AR206" s="10"/>
      <c r="AS206" s="10"/>
      <c r="AT206" s="10"/>
      <c r="AU206" s="10"/>
      <c r="AV206" s="10"/>
      <c r="AW206" s="42"/>
    </row>
    <row r="207" spans="1:49" ht="15" customHeight="1" x14ac:dyDescent="0.25">
      <c r="A207" s="42"/>
      <c r="M207" s="42"/>
      <c r="Y207" s="42"/>
      <c r="AA207" s="13"/>
      <c r="AB207" s="10"/>
      <c r="AC207" s="10"/>
      <c r="AD207" s="10"/>
      <c r="AE207" s="10"/>
      <c r="AF207" s="10"/>
      <c r="AG207" s="10"/>
      <c r="AK207" s="42"/>
      <c r="AM207" s="13"/>
      <c r="AN207" s="10"/>
      <c r="AO207" s="10"/>
      <c r="AP207" s="10"/>
      <c r="AQ207" s="10"/>
      <c r="AR207" s="10"/>
      <c r="AS207" s="10"/>
      <c r="AT207" s="10"/>
      <c r="AU207" s="10"/>
      <c r="AV207" s="10"/>
      <c r="AW207" s="42"/>
    </row>
    <row r="208" spans="1:49" ht="15" customHeight="1" x14ac:dyDescent="0.25">
      <c r="A208" s="42"/>
      <c r="M208" s="42"/>
      <c r="Y208" s="42"/>
      <c r="AA208" s="13"/>
      <c r="AB208" s="10"/>
      <c r="AC208" s="10"/>
      <c r="AD208" s="10"/>
      <c r="AE208" s="10"/>
      <c r="AF208" s="10"/>
      <c r="AG208" s="10"/>
      <c r="AK208" s="42"/>
      <c r="AM208" s="13"/>
      <c r="AN208" s="10"/>
      <c r="AO208" s="10"/>
      <c r="AP208" s="10"/>
      <c r="AQ208" s="10"/>
      <c r="AR208" s="10"/>
      <c r="AS208" s="10"/>
      <c r="AT208" s="10"/>
      <c r="AU208" s="10"/>
      <c r="AV208" s="10"/>
      <c r="AW208" s="42"/>
    </row>
    <row r="209" spans="1:49" ht="15" customHeight="1" x14ac:dyDescent="0.25">
      <c r="A209" s="42"/>
      <c r="M209" s="42"/>
      <c r="Y209" s="42"/>
      <c r="AA209" s="13"/>
      <c r="AB209" s="10"/>
      <c r="AC209" s="10"/>
      <c r="AD209" s="10"/>
      <c r="AE209" s="10"/>
      <c r="AF209" s="10"/>
      <c r="AG209" s="10"/>
      <c r="AK209" s="42"/>
      <c r="AM209" s="13"/>
      <c r="AN209" s="10"/>
      <c r="AO209" s="10"/>
      <c r="AP209" s="10"/>
      <c r="AQ209" s="10"/>
      <c r="AR209" s="10"/>
      <c r="AS209" s="10"/>
      <c r="AT209" s="10"/>
      <c r="AU209" s="10"/>
      <c r="AV209" s="10"/>
      <c r="AW209" s="42"/>
    </row>
    <row r="210" spans="1:49" ht="15" customHeight="1" x14ac:dyDescent="0.25">
      <c r="A210" s="42"/>
      <c r="M210" s="42"/>
      <c r="Y210" s="42"/>
      <c r="AA210" s="13"/>
      <c r="AB210" s="10"/>
      <c r="AC210" s="10"/>
      <c r="AD210" s="10"/>
      <c r="AE210" s="10"/>
      <c r="AF210" s="10"/>
      <c r="AG210" s="10"/>
      <c r="AK210" s="42"/>
      <c r="AM210" s="13"/>
      <c r="AN210" s="10"/>
      <c r="AO210" s="10"/>
      <c r="AP210" s="10"/>
      <c r="AQ210" s="10"/>
      <c r="AR210" s="10"/>
      <c r="AS210" s="10"/>
      <c r="AT210" s="10"/>
      <c r="AU210" s="10"/>
      <c r="AV210" s="10"/>
      <c r="AW210" s="42"/>
    </row>
    <row r="211" spans="1:49" ht="15" customHeight="1" x14ac:dyDescent="0.25">
      <c r="A211" s="42"/>
      <c r="C211" s="12"/>
      <c r="M211" s="42"/>
      <c r="Y211" s="42"/>
      <c r="AA211" s="13"/>
      <c r="AB211" s="10"/>
      <c r="AC211" s="10"/>
      <c r="AD211" s="10"/>
      <c r="AE211" s="10"/>
      <c r="AF211" s="10"/>
      <c r="AG211" s="10"/>
      <c r="AK211" s="42"/>
      <c r="AM211" s="13"/>
      <c r="AN211" s="10"/>
      <c r="AO211" s="10"/>
      <c r="AP211" s="10"/>
      <c r="AQ211" s="10"/>
      <c r="AR211" s="10"/>
      <c r="AS211" s="10"/>
      <c r="AT211" s="10"/>
      <c r="AU211" s="10"/>
      <c r="AV211" s="10"/>
      <c r="AW211" s="42"/>
    </row>
    <row r="212" spans="1:49" x14ac:dyDescent="0.25">
      <c r="A212" s="42"/>
      <c r="C212" s="6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6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6"/>
      <c r="AA212" s="6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6"/>
      <c r="AM212" s="6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</row>
    <row r="213" spans="1:49" x14ac:dyDescent="0.25">
      <c r="A213" s="42"/>
      <c r="C213" s="1"/>
      <c r="D213" s="4" t="s">
        <v>37</v>
      </c>
      <c r="E213" s="4" t="s">
        <v>38</v>
      </c>
      <c r="M213" s="42"/>
      <c r="O213" s="1"/>
      <c r="P213" s="4" t="s">
        <v>37</v>
      </c>
      <c r="Q213" s="4" t="s">
        <v>38</v>
      </c>
      <c r="Y213" s="42"/>
      <c r="AK213" s="42"/>
      <c r="AW213" s="42"/>
    </row>
    <row r="214" spans="1:49" x14ac:dyDescent="0.25">
      <c r="A214" s="42"/>
      <c r="C214" s="3" t="s">
        <v>103</v>
      </c>
      <c r="D214" s="4">
        <f>IF(D14="oui",60+45,60)</f>
        <v>60</v>
      </c>
      <c r="E214" s="4">
        <f>D13-D168</f>
        <v>2430</v>
      </c>
      <c r="M214" s="42"/>
      <c r="O214" s="3" t="s">
        <v>103</v>
      </c>
      <c r="P214" s="4">
        <v>60</v>
      </c>
      <c r="Q214" s="4">
        <f>P13-P168</f>
        <v>2430</v>
      </c>
      <c r="Y214" s="42"/>
      <c r="AK214" s="42"/>
      <c r="AW214" s="42"/>
    </row>
    <row r="215" spans="1:49" x14ac:dyDescent="0.25">
      <c r="A215" s="42"/>
      <c r="C215" s="3" t="s">
        <v>102</v>
      </c>
      <c r="D215" s="95"/>
      <c r="E215" s="4">
        <v>400</v>
      </c>
      <c r="M215" s="42"/>
      <c r="O215" s="3" t="s">
        <v>102</v>
      </c>
      <c r="P215" s="95"/>
      <c r="Q215" s="4">
        <v>400</v>
      </c>
      <c r="Y215" s="42"/>
      <c r="AK215" s="42"/>
      <c r="AW215" s="42"/>
    </row>
    <row r="216" spans="1:49" x14ac:dyDescent="0.25">
      <c r="A216" s="42"/>
      <c r="C216" s="3" t="s">
        <v>104</v>
      </c>
      <c r="D216" s="4">
        <v>200</v>
      </c>
      <c r="E216" s="95"/>
      <c r="J216" s="94"/>
      <c r="M216" s="42"/>
      <c r="O216" s="3" t="s">
        <v>104</v>
      </c>
      <c r="P216" s="4">
        <v>150</v>
      </c>
      <c r="Q216" s="95"/>
      <c r="Y216" s="42"/>
      <c r="AK216" s="42"/>
      <c r="AW216" s="42"/>
    </row>
    <row r="217" spans="1:49" x14ac:dyDescent="0.25">
      <c r="A217" s="42"/>
      <c r="C217" s="3" t="s">
        <v>105</v>
      </c>
      <c r="D217" s="4">
        <v>0</v>
      </c>
      <c r="E217" s="95"/>
      <c r="M217" s="42"/>
      <c r="O217" s="3" t="s">
        <v>105</v>
      </c>
      <c r="P217" s="4">
        <v>0</v>
      </c>
      <c r="Q217" s="95"/>
      <c r="Y217" s="42"/>
      <c r="AK217" s="42"/>
      <c r="AW217" s="42"/>
    </row>
    <row r="218" spans="1:49" x14ac:dyDescent="0.25">
      <c r="A218" s="42"/>
      <c r="C218" s="3" t="s">
        <v>106</v>
      </c>
      <c r="D218" s="4">
        <v>0</v>
      </c>
      <c r="E218" s="95"/>
      <c r="M218" s="42"/>
      <c r="O218" s="3" t="s">
        <v>106</v>
      </c>
      <c r="P218" s="4">
        <v>0</v>
      </c>
      <c r="Q218" s="95"/>
      <c r="Y218" s="42"/>
      <c r="AK218" s="42"/>
      <c r="AW218" s="42"/>
    </row>
    <row r="219" spans="1:49" x14ac:dyDescent="0.25">
      <c r="A219" s="42"/>
      <c r="C219" s="3" t="s">
        <v>107</v>
      </c>
      <c r="D219" s="95"/>
      <c r="E219" s="4">
        <v>0</v>
      </c>
      <c r="M219" s="42"/>
      <c r="O219" s="3" t="s">
        <v>107</v>
      </c>
      <c r="P219" s="95"/>
      <c r="Q219" s="4">
        <v>0</v>
      </c>
      <c r="Y219" s="42"/>
      <c r="AK219" s="42"/>
      <c r="AW219" s="42"/>
    </row>
    <row r="220" spans="1:49" x14ac:dyDescent="0.25">
      <c r="A220" s="42"/>
      <c r="C220" s="3" t="s">
        <v>108</v>
      </c>
      <c r="D220" s="95"/>
      <c r="E220" s="4">
        <v>0</v>
      </c>
      <c r="M220" s="42"/>
      <c r="O220" s="3" t="s">
        <v>108</v>
      </c>
      <c r="P220" s="95"/>
      <c r="Q220" s="4">
        <v>0</v>
      </c>
      <c r="Y220" s="42"/>
      <c r="AK220" s="42"/>
      <c r="AW220" s="42"/>
    </row>
    <row r="221" spans="1:49" x14ac:dyDescent="0.25">
      <c r="A221" s="42"/>
      <c r="C221" s="3" t="s">
        <v>109</v>
      </c>
      <c r="D221" s="4">
        <v>0</v>
      </c>
      <c r="E221" s="4">
        <v>0</v>
      </c>
      <c r="M221" s="42"/>
      <c r="O221" s="3" t="s">
        <v>109</v>
      </c>
      <c r="P221" s="4">
        <v>0</v>
      </c>
      <c r="Q221" s="4">
        <v>0</v>
      </c>
      <c r="Y221" s="42"/>
      <c r="AK221" s="42"/>
      <c r="AW221" s="42"/>
    </row>
    <row r="222" spans="1:49" x14ac:dyDescent="0.25">
      <c r="A222" s="42"/>
      <c r="C222" s="92"/>
      <c r="D222" s="93"/>
      <c r="E222" s="93"/>
      <c r="M222" s="42"/>
      <c r="O222" s="92"/>
      <c r="P222" s="93"/>
      <c r="Q222" s="93"/>
      <c r="Y222" s="42"/>
      <c r="AK222" s="42"/>
      <c r="AW222" s="42"/>
    </row>
    <row r="223" spans="1:49" x14ac:dyDescent="0.25">
      <c r="A223" s="42"/>
      <c r="C223" s="1" t="s">
        <v>89</v>
      </c>
      <c r="D223" s="4">
        <f>D214-D169</f>
        <v>33</v>
      </c>
      <c r="E223" s="4">
        <f>-D172+E214</f>
        <v>2165</v>
      </c>
      <c r="M223" s="42"/>
      <c r="O223" s="1" t="s">
        <v>89</v>
      </c>
      <c r="P223" s="4">
        <f>P214-P169</f>
        <v>33</v>
      </c>
      <c r="Q223" s="4">
        <f>-P172+Q214</f>
        <v>2165</v>
      </c>
      <c r="Y223" s="42"/>
      <c r="AK223" s="42"/>
      <c r="AW223" s="42"/>
    </row>
    <row r="224" spans="1:49" x14ac:dyDescent="0.25">
      <c r="A224" s="42"/>
      <c r="C224" s="1"/>
      <c r="D224" s="4">
        <f>D170+D167+D214</f>
        <v>1587</v>
      </c>
      <c r="E224" s="4">
        <f>E223</f>
        <v>2165</v>
      </c>
      <c r="M224" s="42"/>
      <c r="O224" s="1"/>
      <c r="P224" s="4">
        <f>P170+P167+P214</f>
        <v>1587</v>
      </c>
      <c r="Q224" s="4">
        <f>Q223</f>
        <v>2165</v>
      </c>
      <c r="Y224" s="42"/>
      <c r="AK224" s="42"/>
      <c r="AW224" s="42"/>
    </row>
    <row r="225" spans="1:49" x14ac:dyDescent="0.25">
      <c r="A225" s="42"/>
      <c r="C225" s="1"/>
      <c r="D225" s="4">
        <f>D224</f>
        <v>1587</v>
      </c>
      <c r="E225" s="4">
        <f>D168+D171+E214</f>
        <v>2760</v>
      </c>
      <c r="M225" s="42"/>
      <c r="O225" s="1"/>
      <c r="P225" s="4">
        <f>P224</f>
        <v>1587</v>
      </c>
      <c r="Q225" s="4">
        <f>P168+P171+Q214</f>
        <v>2760</v>
      </c>
      <c r="Y225" s="42"/>
      <c r="AK225" s="42"/>
      <c r="AW225" s="42"/>
    </row>
    <row r="226" spans="1:49" x14ac:dyDescent="0.25">
      <c r="A226" s="42"/>
      <c r="C226" s="1"/>
      <c r="D226" s="4">
        <f>D223</f>
        <v>33</v>
      </c>
      <c r="E226" s="4">
        <f>E225</f>
        <v>2760</v>
      </c>
      <c r="M226" s="42"/>
      <c r="O226" s="1"/>
      <c r="P226" s="4">
        <f>P223</f>
        <v>33</v>
      </c>
      <c r="Q226" s="4">
        <f>Q225</f>
        <v>2760</v>
      </c>
      <c r="Y226" s="42"/>
      <c r="AK226" s="42"/>
      <c r="AW226" s="42"/>
    </row>
    <row r="227" spans="1:49" x14ac:dyDescent="0.25">
      <c r="A227" s="42"/>
      <c r="C227" s="1"/>
      <c r="D227" s="4">
        <f>D223</f>
        <v>33</v>
      </c>
      <c r="E227" s="4">
        <f>E223</f>
        <v>2165</v>
      </c>
      <c r="M227" s="42"/>
      <c r="O227" s="1"/>
      <c r="P227" s="4">
        <f>P223</f>
        <v>33</v>
      </c>
      <c r="Q227" s="4">
        <f>Q223</f>
        <v>2165</v>
      </c>
      <c r="Y227" s="42"/>
      <c r="AK227" s="42"/>
      <c r="AW227" s="42"/>
    </row>
    <row r="228" spans="1:49" x14ac:dyDescent="0.25">
      <c r="A228" s="42"/>
      <c r="C228" s="92"/>
      <c r="D228" s="93"/>
      <c r="E228" s="93"/>
      <c r="H228" s="53"/>
      <c r="M228" s="42"/>
      <c r="O228" s="92"/>
      <c r="P228" s="93"/>
      <c r="Q228" s="93"/>
      <c r="Y228" s="42"/>
      <c r="AK228" s="42"/>
      <c r="AW228" s="42"/>
    </row>
    <row r="229" spans="1:49" x14ac:dyDescent="0.25">
      <c r="A229" s="42"/>
      <c r="C229" s="1" t="s">
        <v>90</v>
      </c>
      <c r="D229" s="4">
        <f>D$214</f>
        <v>60</v>
      </c>
      <c r="E229" s="4">
        <f>E$214+45</f>
        <v>2475</v>
      </c>
      <c r="M229" s="42"/>
      <c r="O229" s="1" t="s">
        <v>90</v>
      </c>
      <c r="P229" s="4">
        <f>P$214</f>
        <v>60</v>
      </c>
      <c r="Q229" s="4">
        <f>Q$214+45</f>
        <v>2475</v>
      </c>
      <c r="Y229" s="42"/>
      <c r="AK229" s="42"/>
      <c r="AW229" s="42"/>
    </row>
    <row r="230" spans="1:49" x14ac:dyDescent="0.25">
      <c r="A230" s="42"/>
      <c r="C230" s="1"/>
      <c r="D230" s="4">
        <f>D229+45</f>
        <v>105</v>
      </c>
      <c r="E230" s="4">
        <f>E229</f>
        <v>2475</v>
      </c>
      <c r="M230" s="42"/>
      <c r="O230" s="1"/>
      <c r="P230" s="4">
        <f>P229+45</f>
        <v>105</v>
      </c>
      <c r="Q230" s="4">
        <f>Q229</f>
        <v>2475</v>
      </c>
      <c r="Y230" s="42"/>
      <c r="AK230" s="42"/>
      <c r="AW230" s="42"/>
    </row>
    <row r="231" spans="1:49" x14ac:dyDescent="0.25">
      <c r="A231" s="42"/>
      <c r="C231" s="1"/>
      <c r="D231" s="4">
        <f>D230</f>
        <v>105</v>
      </c>
      <c r="E231" s="4">
        <f>D$168-45+E$214</f>
        <v>2675</v>
      </c>
      <c r="M231" s="42"/>
      <c r="O231" s="1"/>
      <c r="P231" s="4">
        <f>P230</f>
        <v>105</v>
      </c>
      <c r="Q231" s="4">
        <f>P$168-45+Q$214</f>
        <v>2675</v>
      </c>
      <c r="Y231" s="42"/>
      <c r="AK231" s="42"/>
      <c r="AW231" s="42"/>
    </row>
    <row r="232" spans="1:49" x14ac:dyDescent="0.25">
      <c r="A232" s="42"/>
      <c r="C232" s="1"/>
      <c r="D232" s="4">
        <f>D229</f>
        <v>60</v>
      </c>
      <c r="E232" s="4">
        <f>E231</f>
        <v>2675</v>
      </c>
      <c r="M232" s="42"/>
      <c r="O232" s="1"/>
      <c r="P232" s="4">
        <f>P229</f>
        <v>60</v>
      </c>
      <c r="Q232" s="4">
        <f>Q231</f>
        <v>2675</v>
      </c>
      <c r="Y232" s="42"/>
      <c r="AK232" s="42"/>
      <c r="AW232" s="42"/>
    </row>
    <row r="233" spans="1:49" x14ac:dyDescent="0.25">
      <c r="A233" s="42"/>
      <c r="C233" s="1"/>
      <c r="D233" s="4">
        <f>D229</f>
        <v>60</v>
      </c>
      <c r="E233" s="4">
        <f>E229</f>
        <v>2475</v>
      </c>
      <c r="M233" s="42"/>
      <c r="O233" s="1"/>
      <c r="P233" s="4">
        <f>P229</f>
        <v>60</v>
      </c>
      <c r="Q233" s="4">
        <f>Q229</f>
        <v>2475</v>
      </c>
      <c r="Y233" s="42"/>
      <c r="AK233" s="42"/>
      <c r="AW233" s="42"/>
    </row>
    <row r="234" spans="1:49" x14ac:dyDescent="0.25">
      <c r="A234" s="42"/>
      <c r="C234" s="92"/>
      <c r="D234" s="93"/>
      <c r="E234" s="93"/>
      <c r="M234" s="42"/>
      <c r="O234" s="92"/>
      <c r="P234" s="93"/>
      <c r="Q234" s="93"/>
      <c r="Y234" s="42"/>
      <c r="AK234" s="42"/>
      <c r="AW234" s="42"/>
    </row>
    <row r="235" spans="1:49" x14ac:dyDescent="0.25">
      <c r="A235" s="42"/>
      <c r="C235" s="1" t="s">
        <v>131</v>
      </c>
      <c r="D235" s="4">
        <f>IF(C236="","",D229+600)</f>
        <v>660</v>
      </c>
      <c r="E235" s="4">
        <f>IF(C236="","",E214+45)</f>
        <v>2475</v>
      </c>
      <c r="M235" s="42"/>
      <c r="O235" s="1" t="s">
        <v>131</v>
      </c>
      <c r="P235" s="4">
        <f>IF(O236="","",P229+600)</f>
        <v>660</v>
      </c>
      <c r="Q235" s="4">
        <f>IF(O236="","",Q214+45)</f>
        <v>2475</v>
      </c>
      <c r="Y235" s="42"/>
      <c r="AK235" s="42"/>
      <c r="AW235" s="42"/>
    </row>
    <row r="236" spans="1:49" x14ac:dyDescent="0.25">
      <c r="A236" s="42"/>
      <c r="C236" s="3">
        <f>IF(K175-2&gt;=1,1,"")</f>
        <v>1</v>
      </c>
      <c r="D236" s="4">
        <f>IF(C236="","",D235+45)</f>
        <v>705</v>
      </c>
      <c r="E236" s="4">
        <f>E235</f>
        <v>2475</v>
      </c>
      <c r="M236" s="42"/>
      <c r="O236" s="3">
        <f>IF(W175-2&gt;=1,1,"")</f>
        <v>1</v>
      </c>
      <c r="P236" s="4">
        <f>IF(O236="","",P235+45)</f>
        <v>705</v>
      </c>
      <c r="Q236" s="4">
        <f>Q235</f>
        <v>2475</v>
      </c>
      <c r="Y236" s="42"/>
      <c r="AK236" s="42"/>
      <c r="AW236" s="42"/>
    </row>
    <row r="237" spans="1:49" x14ac:dyDescent="0.25">
      <c r="A237" s="42"/>
      <c r="C237" s="1"/>
      <c r="D237" s="4">
        <f>D236</f>
        <v>705</v>
      </c>
      <c r="E237" s="4">
        <f>IF(C236="","",D$168-45+E$214)</f>
        <v>2675</v>
      </c>
      <c r="M237" s="42"/>
      <c r="O237" s="1"/>
      <c r="P237" s="4">
        <f>P236</f>
        <v>705</v>
      </c>
      <c r="Q237" s="4">
        <f>IF(O236="","",P$168-45+Q$214)</f>
        <v>2675</v>
      </c>
      <c r="Y237" s="42"/>
      <c r="AK237" s="42"/>
      <c r="AW237" s="42"/>
    </row>
    <row r="238" spans="1:49" x14ac:dyDescent="0.25">
      <c r="A238" s="42"/>
      <c r="C238" s="1"/>
      <c r="D238" s="4">
        <f>D235</f>
        <v>660</v>
      </c>
      <c r="E238" s="4">
        <f>E237</f>
        <v>2675</v>
      </c>
      <c r="M238" s="42"/>
      <c r="O238" s="1"/>
      <c r="P238" s="4">
        <f>P235</f>
        <v>660</v>
      </c>
      <c r="Q238" s="4">
        <f>Q237</f>
        <v>2675</v>
      </c>
      <c r="Y238" s="42"/>
      <c r="AK238" s="42"/>
      <c r="AW238" s="42"/>
    </row>
    <row r="239" spans="1:49" x14ac:dyDescent="0.25">
      <c r="A239" s="42"/>
      <c r="C239" s="1"/>
      <c r="D239" s="4">
        <f>D235</f>
        <v>660</v>
      </c>
      <c r="E239" s="4">
        <f>E235</f>
        <v>2475</v>
      </c>
      <c r="M239" s="42"/>
      <c r="O239" s="1"/>
      <c r="P239" s="4">
        <f>P235</f>
        <v>660</v>
      </c>
      <c r="Q239" s="4">
        <f>Q235</f>
        <v>2475</v>
      </c>
      <c r="Y239" s="42"/>
      <c r="AK239" s="42"/>
      <c r="AW239" s="42"/>
    </row>
    <row r="240" spans="1:49" x14ac:dyDescent="0.25">
      <c r="A240" s="42"/>
      <c r="C240" s="92"/>
      <c r="D240" s="93"/>
      <c r="E240" s="93"/>
      <c r="M240" s="42"/>
      <c r="O240" s="92"/>
      <c r="P240" s="93"/>
      <c r="Q240" s="93"/>
      <c r="Y240" s="42"/>
      <c r="AK240" s="42"/>
      <c r="AW240" s="42"/>
    </row>
    <row r="241" spans="1:49" x14ac:dyDescent="0.25">
      <c r="A241" s="42"/>
      <c r="C241" s="1" t="s">
        <v>132</v>
      </c>
      <c r="D241" s="4">
        <f>IF(C242="","",D235+600)</f>
        <v>1260</v>
      </c>
      <c r="E241" s="4">
        <f>IF(C242="","",45+E214)</f>
        <v>2475</v>
      </c>
      <c r="M241" s="42"/>
      <c r="O241" s="1" t="s">
        <v>132</v>
      </c>
      <c r="P241" s="4">
        <f>IF(O242="","",P235+600)</f>
        <v>1260</v>
      </c>
      <c r="Q241" s="4">
        <f>IF(O242="","",45+Q214)</f>
        <v>2475</v>
      </c>
      <c r="Y241" s="42"/>
      <c r="AK241" s="42"/>
      <c r="AW241" s="42"/>
    </row>
    <row r="242" spans="1:49" x14ac:dyDescent="0.25">
      <c r="A242" s="42"/>
      <c r="C242" s="3">
        <f>IF(K175-2&gt;=2,2,"")</f>
        <v>2</v>
      </c>
      <c r="D242" s="4">
        <f>IF(C242="","",D241+45)</f>
        <v>1305</v>
      </c>
      <c r="E242" s="4">
        <f>E241</f>
        <v>2475</v>
      </c>
      <c r="M242" s="42"/>
      <c r="O242" s="3">
        <f>IF(W175-2&gt;=2,2,"")</f>
        <v>2</v>
      </c>
      <c r="P242" s="4">
        <f>IF(O242="","",P241+45)</f>
        <v>1305</v>
      </c>
      <c r="Q242" s="4">
        <f>Q241</f>
        <v>2475</v>
      </c>
      <c r="Y242" s="42"/>
      <c r="AK242" s="42"/>
      <c r="AW242" s="42"/>
    </row>
    <row r="243" spans="1:49" x14ac:dyDescent="0.25">
      <c r="A243" s="42"/>
      <c r="C243" s="1"/>
      <c r="D243" s="4">
        <f>D242</f>
        <v>1305</v>
      </c>
      <c r="E243" s="4">
        <f>IF(C242="","",D$168-45+E$214)</f>
        <v>2675</v>
      </c>
      <c r="M243" s="42"/>
      <c r="O243" s="1"/>
      <c r="P243" s="4">
        <f>P242</f>
        <v>1305</v>
      </c>
      <c r="Q243" s="4">
        <f>IF(O242="","",P$168-45+Q$214)</f>
        <v>2675</v>
      </c>
      <c r="Y243" s="42"/>
      <c r="AK243" s="42"/>
      <c r="AW243" s="42"/>
    </row>
    <row r="244" spans="1:49" x14ac:dyDescent="0.25">
      <c r="A244" s="42"/>
      <c r="C244" s="1"/>
      <c r="D244" s="4">
        <f>D241</f>
        <v>1260</v>
      </c>
      <c r="E244" s="4">
        <f>E243</f>
        <v>2675</v>
      </c>
      <c r="M244" s="42"/>
      <c r="O244" s="1"/>
      <c r="P244" s="4">
        <f>P241</f>
        <v>1260</v>
      </c>
      <c r="Q244" s="4">
        <f>Q243</f>
        <v>2675</v>
      </c>
      <c r="Y244" s="42"/>
      <c r="AK244" s="42"/>
      <c r="AW244" s="42"/>
    </row>
    <row r="245" spans="1:49" x14ac:dyDescent="0.25">
      <c r="A245" s="42"/>
      <c r="C245" s="1"/>
      <c r="D245" s="4">
        <f>D241</f>
        <v>1260</v>
      </c>
      <c r="E245" s="4">
        <f>E241</f>
        <v>2475</v>
      </c>
      <c r="M245" s="42"/>
      <c r="O245" s="1"/>
      <c r="P245" s="4">
        <f>P241</f>
        <v>1260</v>
      </c>
      <c r="Q245" s="4">
        <f>Q241</f>
        <v>2475</v>
      </c>
      <c r="Y245" s="42"/>
      <c r="AK245" s="42"/>
      <c r="AW245" s="42"/>
    </row>
    <row r="246" spans="1:49" x14ac:dyDescent="0.25">
      <c r="A246" s="42"/>
      <c r="C246" s="92"/>
      <c r="D246" s="93"/>
      <c r="E246" s="93"/>
      <c r="M246" s="42"/>
      <c r="O246" s="92"/>
      <c r="P246" s="93"/>
      <c r="Q246" s="93"/>
      <c r="Y246" s="42"/>
      <c r="AK246" s="42"/>
      <c r="AW246" s="42"/>
    </row>
    <row r="247" spans="1:49" x14ac:dyDescent="0.25">
      <c r="A247" s="42"/>
      <c r="C247" s="1" t="s">
        <v>133</v>
      </c>
      <c r="D247" s="4" t="str">
        <f>IF(C248="","",D241+600)</f>
        <v/>
      </c>
      <c r="E247" s="4" t="str">
        <f>IF(C248="","",E$214+45)</f>
        <v/>
      </c>
      <c r="M247" s="42"/>
      <c r="O247" s="1" t="s">
        <v>133</v>
      </c>
      <c r="P247" s="4" t="str">
        <f>IF(O248="","",P241+600)</f>
        <v/>
      </c>
      <c r="Q247" s="4" t="str">
        <f>IF(O248="","",Q$214+45)</f>
        <v/>
      </c>
      <c r="Y247" s="42"/>
      <c r="AK247" s="42"/>
      <c r="AW247" s="42"/>
    </row>
    <row r="248" spans="1:49" x14ac:dyDescent="0.25">
      <c r="A248" s="42"/>
      <c r="C248" s="3" t="str">
        <f>IF(K175-2&gt;=3,3,"")</f>
        <v/>
      </c>
      <c r="D248" s="4" t="str">
        <f>IF(C248="","",D247+45)</f>
        <v/>
      </c>
      <c r="E248" s="4" t="str">
        <f>E247</f>
        <v/>
      </c>
      <c r="M248" s="42"/>
      <c r="O248" s="3" t="str">
        <f>IF(W175-2&gt;=3,3,"")</f>
        <v/>
      </c>
      <c r="P248" s="4" t="str">
        <f>IF(O248="","",P247+45)</f>
        <v/>
      </c>
      <c r="Q248" s="4" t="str">
        <f>Q247</f>
        <v/>
      </c>
      <c r="Y248" s="42"/>
      <c r="AK248" s="42"/>
      <c r="AW248" s="42"/>
    </row>
    <row r="249" spans="1:49" x14ac:dyDescent="0.25">
      <c r="A249" s="42"/>
      <c r="C249" s="1"/>
      <c r="D249" s="4" t="str">
        <f>D248</f>
        <v/>
      </c>
      <c r="E249" s="4" t="str">
        <f>IF(C248="","",D$168-45+E$214)</f>
        <v/>
      </c>
      <c r="M249" s="42"/>
      <c r="O249" s="1"/>
      <c r="P249" s="4" t="str">
        <f>P248</f>
        <v/>
      </c>
      <c r="Q249" s="4" t="str">
        <f>IF(O248="","",P$168-45+Q$214)</f>
        <v/>
      </c>
      <c r="Y249" s="42"/>
      <c r="AK249" s="42"/>
      <c r="AW249" s="42"/>
    </row>
    <row r="250" spans="1:49" x14ac:dyDescent="0.25">
      <c r="A250" s="42"/>
      <c r="C250" s="1"/>
      <c r="D250" s="4" t="str">
        <f>D247</f>
        <v/>
      </c>
      <c r="E250" s="4" t="str">
        <f>E249</f>
        <v/>
      </c>
      <c r="M250" s="42"/>
      <c r="O250" s="1"/>
      <c r="P250" s="4" t="str">
        <f>P247</f>
        <v/>
      </c>
      <c r="Q250" s="4" t="str">
        <f>Q249</f>
        <v/>
      </c>
      <c r="Y250" s="42"/>
      <c r="AK250" s="42"/>
      <c r="AW250" s="42"/>
    </row>
    <row r="251" spans="1:49" x14ac:dyDescent="0.25">
      <c r="A251" s="42"/>
      <c r="C251" s="1"/>
      <c r="D251" s="4" t="str">
        <f>D247</f>
        <v/>
      </c>
      <c r="E251" s="4" t="str">
        <f>E247</f>
        <v/>
      </c>
      <c r="M251" s="42"/>
      <c r="O251" s="1"/>
      <c r="P251" s="4" t="str">
        <f>P247</f>
        <v/>
      </c>
      <c r="Q251" s="4" t="str">
        <f>Q247</f>
        <v/>
      </c>
      <c r="Y251" s="42"/>
      <c r="AK251" s="42"/>
      <c r="AW251" s="42"/>
    </row>
    <row r="252" spans="1:49" x14ac:dyDescent="0.25">
      <c r="A252" s="42"/>
      <c r="C252" s="92"/>
      <c r="D252" s="93"/>
      <c r="E252" s="93"/>
      <c r="M252" s="42"/>
      <c r="O252" s="92"/>
      <c r="P252" s="93"/>
      <c r="Q252" s="93"/>
      <c r="Y252" s="42"/>
      <c r="AK252" s="42"/>
      <c r="AW252" s="42"/>
    </row>
    <row r="253" spans="1:49" x14ac:dyDescent="0.25">
      <c r="A253" s="42"/>
      <c r="C253" s="1" t="s">
        <v>134</v>
      </c>
      <c r="D253" s="4" t="str">
        <f>IF(C254="","",D247+600)</f>
        <v/>
      </c>
      <c r="E253" s="4" t="str">
        <f>IF(C254="","",E214+45)</f>
        <v/>
      </c>
      <c r="M253" s="42"/>
      <c r="O253" s="1" t="s">
        <v>134</v>
      </c>
      <c r="P253" s="4" t="str">
        <f>IF(O254="","",P247+600)</f>
        <v/>
      </c>
      <c r="Q253" s="4" t="str">
        <f>IF(O254="","",Q214+45)</f>
        <v/>
      </c>
      <c r="Y253" s="42"/>
      <c r="AK253" s="42"/>
      <c r="AW253" s="42"/>
    </row>
    <row r="254" spans="1:49" x14ac:dyDescent="0.25">
      <c r="A254" s="42"/>
      <c r="C254" s="3" t="str">
        <f>IF(K175-2&gt;=4,4,"")</f>
        <v/>
      </c>
      <c r="D254" s="4" t="str">
        <f>IF(C254="","",D253+45)</f>
        <v/>
      </c>
      <c r="E254" s="4" t="str">
        <f>E253</f>
        <v/>
      </c>
      <c r="M254" s="42"/>
      <c r="O254" s="3" t="str">
        <f>IF(W175-2&gt;=4,4,"")</f>
        <v/>
      </c>
      <c r="P254" s="4" t="str">
        <f>IF(O254="","",P253+45)</f>
        <v/>
      </c>
      <c r="Q254" s="4" t="str">
        <f>Q253</f>
        <v/>
      </c>
      <c r="Y254" s="42"/>
      <c r="AK254" s="42"/>
      <c r="AW254" s="42"/>
    </row>
    <row r="255" spans="1:49" x14ac:dyDescent="0.25">
      <c r="A255" s="42"/>
      <c r="C255" s="1"/>
      <c r="D255" s="4" t="str">
        <f>D254</f>
        <v/>
      </c>
      <c r="E255" s="4" t="str">
        <f>IF(C254="","",D$168-45+E$214)</f>
        <v/>
      </c>
      <c r="M255" s="42"/>
      <c r="O255" s="1"/>
      <c r="P255" s="4" t="str">
        <f>P254</f>
        <v/>
      </c>
      <c r="Q255" s="4" t="str">
        <f>IF(O254="","",P$168-45+Q$214)</f>
        <v/>
      </c>
      <c r="Y255" s="42"/>
      <c r="AK255" s="42"/>
      <c r="AW255" s="42"/>
    </row>
    <row r="256" spans="1:49" x14ac:dyDescent="0.25">
      <c r="A256" s="42"/>
      <c r="C256" s="1"/>
      <c r="D256" s="4" t="str">
        <f>D253</f>
        <v/>
      </c>
      <c r="E256" s="4" t="str">
        <f>E255</f>
        <v/>
      </c>
      <c r="M256" s="42"/>
      <c r="O256" s="1"/>
      <c r="P256" s="4" t="str">
        <f>P253</f>
        <v/>
      </c>
      <c r="Q256" s="4" t="str">
        <f>Q255</f>
        <v/>
      </c>
      <c r="Y256" s="42"/>
      <c r="AK256" s="42"/>
      <c r="AW256" s="42"/>
    </row>
    <row r="257" spans="1:49" x14ac:dyDescent="0.25">
      <c r="A257" s="42"/>
      <c r="C257" s="1"/>
      <c r="D257" s="4" t="str">
        <f>D253</f>
        <v/>
      </c>
      <c r="E257" s="4" t="str">
        <f>E253</f>
        <v/>
      </c>
      <c r="M257" s="42"/>
      <c r="O257" s="1"/>
      <c r="P257" s="4" t="str">
        <f>P253</f>
        <v/>
      </c>
      <c r="Q257" s="4" t="str">
        <f>Q253</f>
        <v/>
      </c>
      <c r="Y257" s="42"/>
      <c r="AK257" s="42"/>
      <c r="AW257" s="42"/>
    </row>
    <row r="258" spans="1:49" x14ac:dyDescent="0.25">
      <c r="A258" s="42"/>
      <c r="C258" s="92"/>
      <c r="D258" s="93"/>
      <c r="E258" s="93"/>
      <c r="M258" s="42"/>
      <c r="O258" s="92"/>
      <c r="P258" s="93"/>
      <c r="Q258" s="93"/>
      <c r="Y258" s="42"/>
      <c r="AK258" s="42"/>
      <c r="AW258" s="42"/>
    </row>
    <row r="259" spans="1:49" x14ac:dyDescent="0.25">
      <c r="A259" s="42"/>
      <c r="C259" s="1" t="s">
        <v>91</v>
      </c>
      <c r="D259" s="4">
        <f>D167-45+D214</f>
        <v>1515</v>
      </c>
      <c r="E259" s="4">
        <f>E214+45</f>
        <v>2475</v>
      </c>
      <c r="M259" s="42"/>
      <c r="O259" s="1" t="s">
        <v>91</v>
      </c>
      <c r="P259" s="4">
        <f>P167-45+P214</f>
        <v>1515</v>
      </c>
      <c r="Q259" s="4">
        <f>Q214+45</f>
        <v>2475</v>
      </c>
      <c r="Y259" s="42"/>
      <c r="AK259" s="42"/>
      <c r="AW259" s="42"/>
    </row>
    <row r="260" spans="1:49" x14ac:dyDescent="0.25">
      <c r="A260" s="42"/>
      <c r="C260" s="1"/>
      <c r="D260" s="4">
        <f>D259+45</f>
        <v>1560</v>
      </c>
      <c r="E260" s="4">
        <f>E259</f>
        <v>2475</v>
      </c>
      <c r="M260" s="42"/>
      <c r="O260" s="1"/>
      <c r="P260" s="4">
        <f>P259+45</f>
        <v>1560</v>
      </c>
      <c r="Q260" s="4">
        <f>Q259</f>
        <v>2475</v>
      </c>
      <c r="Y260" s="42"/>
      <c r="AK260" s="42"/>
      <c r="AW260" s="42"/>
    </row>
    <row r="261" spans="1:49" x14ac:dyDescent="0.25">
      <c r="A261" s="42"/>
      <c r="C261" s="1"/>
      <c r="D261" s="4">
        <f>D260</f>
        <v>1560</v>
      </c>
      <c r="E261" s="4">
        <f>D168-45+E214</f>
        <v>2675</v>
      </c>
      <c r="M261" s="42"/>
      <c r="O261" s="1"/>
      <c r="P261" s="4">
        <f>P260</f>
        <v>1560</v>
      </c>
      <c r="Q261" s="4">
        <f>P168-45+Q214</f>
        <v>2675</v>
      </c>
      <c r="Y261" s="42"/>
      <c r="AK261" s="42"/>
      <c r="AW261" s="42"/>
    </row>
    <row r="262" spans="1:49" x14ac:dyDescent="0.25">
      <c r="A262" s="42"/>
      <c r="C262" s="1"/>
      <c r="D262" s="4">
        <f>D259</f>
        <v>1515</v>
      </c>
      <c r="E262" s="4">
        <f>E261</f>
        <v>2675</v>
      </c>
      <c r="M262" s="42"/>
      <c r="O262" s="1"/>
      <c r="P262" s="4">
        <f>P259</f>
        <v>1515</v>
      </c>
      <c r="Q262" s="4">
        <f>Q261</f>
        <v>2675</v>
      </c>
      <c r="Y262" s="42"/>
      <c r="AK262" s="42"/>
      <c r="AW262" s="42"/>
    </row>
    <row r="263" spans="1:49" x14ac:dyDescent="0.25">
      <c r="A263" s="42"/>
      <c r="C263" s="1"/>
      <c r="D263" s="4">
        <f>D259</f>
        <v>1515</v>
      </c>
      <c r="E263" s="4">
        <f>E259</f>
        <v>2475</v>
      </c>
      <c r="M263" s="42"/>
      <c r="O263" s="1"/>
      <c r="P263" s="4">
        <f>P259</f>
        <v>1515</v>
      </c>
      <c r="Q263" s="4">
        <f>Q259</f>
        <v>2475</v>
      </c>
      <c r="Y263" s="42"/>
      <c r="AK263" s="42"/>
      <c r="AW263" s="42"/>
    </row>
    <row r="264" spans="1:49" x14ac:dyDescent="0.25">
      <c r="A264" s="42"/>
      <c r="C264" s="92"/>
      <c r="D264" s="93"/>
      <c r="E264" s="93"/>
      <c r="M264" s="42"/>
      <c r="O264" s="92"/>
      <c r="P264" s="93"/>
      <c r="Q264" s="93"/>
      <c r="Y264" s="42"/>
      <c r="AK264" s="42"/>
      <c r="AW264" s="42"/>
    </row>
    <row r="265" spans="1:49" x14ac:dyDescent="0.25">
      <c r="A265" s="42"/>
      <c r="C265" s="1" t="s">
        <v>92</v>
      </c>
      <c r="D265" s="4">
        <f>D214</f>
        <v>60</v>
      </c>
      <c r="E265" s="4">
        <f>E214</f>
        <v>2430</v>
      </c>
      <c r="M265" s="42"/>
      <c r="O265" s="1" t="s">
        <v>92</v>
      </c>
      <c r="P265" s="4">
        <f>P214</f>
        <v>60</v>
      </c>
      <c r="Q265" s="4">
        <f>Q214</f>
        <v>2430</v>
      </c>
      <c r="Y265" s="42"/>
      <c r="AK265" s="42"/>
      <c r="AW265" s="42"/>
    </row>
    <row r="266" spans="1:49" x14ac:dyDescent="0.25">
      <c r="A266" s="42"/>
      <c r="C266" s="1"/>
      <c r="D266" s="4">
        <f>D167+D214</f>
        <v>1560</v>
      </c>
      <c r="E266" s="4">
        <f>E265</f>
        <v>2430</v>
      </c>
      <c r="M266" s="42"/>
      <c r="O266" s="1"/>
      <c r="P266" s="4">
        <f>P167+P214</f>
        <v>1560</v>
      </c>
      <c r="Q266" s="4">
        <f>Q265</f>
        <v>2430</v>
      </c>
      <c r="Y266" s="42"/>
      <c r="AK266" s="42"/>
      <c r="AW266" s="42"/>
    </row>
    <row r="267" spans="1:49" x14ac:dyDescent="0.25">
      <c r="A267" s="42"/>
      <c r="C267" s="1"/>
      <c r="D267" s="4">
        <f>D266</f>
        <v>1560</v>
      </c>
      <c r="E267" s="4">
        <f>E266+45</f>
        <v>2475</v>
      </c>
      <c r="M267" s="42"/>
      <c r="O267" s="1"/>
      <c r="P267" s="4">
        <f>P266</f>
        <v>1560</v>
      </c>
      <c r="Q267" s="4">
        <f>Q266+45</f>
        <v>2475</v>
      </c>
      <c r="Y267" s="42"/>
      <c r="AK267" s="42"/>
      <c r="AW267" s="42"/>
    </row>
    <row r="268" spans="1:49" x14ac:dyDescent="0.25">
      <c r="A268" s="42"/>
      <c r="C268" s="1"/>
      <c r="D268" s="4">
        <f>D265</f>
        <v>60</v>
      </c>
      <c r="E268" s="4">
        <f>E267</f>
        <v>2475</v>
      </c>
      <c r="M268" s="42"/>
      <c r="O268" s="1"/>
      <c r="P268" s="4">
        <f>P265</f>
        <v>60</v>
      </c>
      <c r="Q268" s="4">
        <f>Q267</f>
        <v>2475</v>
      </c>
      <c r="Y268" s="42"/>
      <c r="AK268" s="42"/>
      <c r="AW268" s="42"/>
    </row>
    <row r="269" spans="1:49" x14ac:dyDescent="0.25">
      <c r="A269" s="42"/>
      <c r="C269" s="1"/>
      <c r="D269" s="4">
        <f>D265</f>
        <v>60</v>
      </c>
      <c r="E269" s="4">
        <f>E265</f>
        <v>2430</v>
      </c>
      <c r="M269" s="42"/>
      <c r="O269" s="1"/>
      <c r="P269" s="4">
        <f>P265</f>
        <v>60</v>
      </c>
      <c r="Q269" s="4">
        <f>Q265</f>
        <v>2430</v>
      </c>
      <c r="Y269" s="42"/>
      <c r="AK269" s="42"/>
      <c r="AW269" s="42"/>
    </row>
    <row r="270" spans="1:49" x14ac:dyDescent="0.25">
      <c r="A270" s="42"/>
      <c r="C270" s="92"/>
      <c r="D270" s="93"/>
      <c r="E270" s="93"/>
      <c r="M270" s="42"/>
      <c r="O270" s="92"/>
      <c r="P270" s="93"/>
      <c r="Q270" s="93"/>
      <c r="Y270" s="42"/>
      <c r="AK270" s="42"/>
      <c r="AW270" s="42"/>
    </row>
    <row r="271" spans="1:49" x14ac:dyDescent="0.25">
      <c r="A271" s="42"/>
      <c r="C271" s="1" t="s">
        <v>93</v>
      </c>
      <c r="D271" s="4">
        <f>D214</f>
        <v>60</v>
      </c>
      <c r="E271" s="4">
        <f>D168-45+E214</f>
        <v>2675</v>
      </c>
      <c r="M271" s="42"/>
      <c r="O271" s="1" t="s">
        <v>93</v>
      </c>
      <c r="P271" s="4">
        <f>P214</f>
        <v>60</v>
      </c>
      <c r="Q271" s="4">
        <f>P168-45+Q214</f>
        <v>2675</v>
      </c>
      <c r="Y271" s="42"/>
      <c r="AK271" s="42"/>
      <c r="AW271" s="42"/>
    </row>
    <row r="272" spans="1:49" x14ac:dyDescent="0.25">
      <c r="A272" s="42"/>
      <c r="C272" s="1"/>
      <c r="D272" s="4">
        <f>D167+D214</f>
        <v>1560</v>
      </c>
      <c r="E272" s="4">
        <f>E271</f>
        <v>2675</v>
      </c>
      <c r="M272" s="42"/>
      <c r="O272" s="1"/>
      <c r="P272" s="4">
        <f>P167+P214</f>
        <v>1560</v>
      </c>
      <c r="Q272" s="4">
        <f>Q271</f>
        <v>2675</v>
      </c>
      <c r="Y272" s="42"/>
      <c r="AK272" s="42"/>
      <c r="AW272" s="42"/>
    </row>
    <row r="273" spans="1:49" x14ac:dyDescent="0.25">
      <c r="A273" s="42"/>
      <c r="C273" s="1"/>
      <c r="D273" s="4">
        <f>D272</f>
        <v>1560</v>
      </c>
      <c r="E273" s="4">
        <f>E272+45</f>
        <v>2720</v>
      </c>
      <c r="M273" s="42"/>
      <c r="O273" s="1"/>
      <c r="P273" s="4">
        <f>P272</f>
        <v>1560</v>
      </c>
      <c r="Q273" s="4">
        <f>Q272+45</f>
        <v>2720</v>
      </c>
      <c r="Y273" s="42"/>
      <c r="AK273" s="42"/>
      <c r="AW273" s="42"/>
    </row>
    <row r="274" spans="1:49" x14ac:dyDescent="0.25">
      <c r="A274" s="42"/>
      <c r="C274" s="1"/>
      <c r="D274" s="4">
        <f>D271</f>
        <v>60</v>
      </c>
      <c r="E274" s="4">
        <f>E273</f>
        <v>2720</v>
      </c>
      <c r="M274" s="42"/>
      <c r="O274" s="1"/>
      <c r="P274" s="4">
        <f>P271</f>
        <v>60</v>
      </c>
      <c r="Q274" s="4">
        <f>Q273</f>
        <v>2720</v>
      </c>
      <c r="Y274" s="42"/>
      <c r="AK274" s="42"/>
      <c r="AW274" s="42"/>
    </row>
    <row r="275" spans="1:49" x14ac:dyDescent="0.25">
      <c r="A275" s="42"/>
      <c r="C275" s="1"/>
      <c r="D275" s="4">
        <f>D271</f>
        <v>60</v>
      </c>
      <c r="E275" s="4">
        <f>E271</f>
        <v>2675</v>
      </c>
      <c r="M275" s="42"/>
      <c r="O275" s="1"/>
      <c r="P275" s="4">
        <f>P271</f>
        <v>60</v>
      </c>
      <c r="Q275" s="4">
        <f>Q271</f>
        <v>2675</v>
      </c>
      <c r="Y275" s="42"/>
      <c r="AK275" s="42"/>
      <c r="AW275" s="42"/>
    </row>
    <row r="276" spans="1:49" x14ac:dyDescent="0.25">
      <c r="A276" s="42"/>
      <c r="C276" s="92"/>
      <c r="D276" s="93"/>
      <c r="E276" s="93"/>
      <c r="M276" s="42"/>
      <c r="O276" s="92"/>
      <c r="P276" s="93"/>
      <c r="Q276" s="93"/>
      <c r="Y276" s="42"/>
      <c r="AK276" s="42"/>
      <c r="AW276" s="42"/>
    </row>
    <row r="277" spans="1:49" x14ac:dyDescent="0.25">
      <c r="A277" s="42"/>
      <c r="C277" s="92"/>
      <c r="D277" s="93"/>
      <c r="E277" s="93"/>
      <c r="M277" s="42"/>
      <c r="O277" s="92"/>
      <c r="P277" s="93"/>
      <c r="Q277" s="93"/>
      <c r="Y277" s="42"/>
      <c r="AK277" s="42"/>
      <c r="AW277" s="42"/>
    </row>
    <row r="278" spans="1:49" x14ac:dyDescent="0.25">
      <c r="A278" s="42"/>
      <c r="C278" s="1" t="s">
        <v>94</v>
      </c>
      <c r="D278" s="4">
        <f>D214</f>
        <v>60</v>
      </c>
      <c r="E278" s="4">
        <f>-E215+E214</f>
        <v>2030</v>
      </c>
      <c r="M278" s="42"/>
      <c r="O278" s="1" t="s">
        <v>94</v>
      </c>
      <c r="P278" s="4">
        <f>P214</f>
        <v>60</v>
      </c>
      <c r="Q278" s="4">
        <f>-Q215+Q214</f>
        <v>2030</v>
      </c>
      <c r="Y278" s="42"/>
      <c r="AK278" s="42"/>
      <c r="AW278" s="42"/>
    </row>
    <row r="279" spans="1:49" x14ac:dyDescent="0.25">
      <c r="A279" s="42"/>
      <c r="C279" s="1"/>
      <c r="D279" s="4">
        <f>D167+D214</f>
        <v>1560</v>
      </c>
      <c r="E279" s="4">
        <f>-E215+E214</f>
        <v>2030</v>
      </c>
      <c r="M279" s="42"/>
      <c r="O279" s="1"/>
      <c r="P279" s="4">
        <f>P167+P214</f>
        <v>1560</v>
      </c>
      <c r="Q279" s="4">
        <f>-Q215+Q214</f>
        <v>2030</v>
      </c>
      <c r="Y279" s="42"/>
      <c r="AK279" s="42"/>
      <c r="AW279" s="42"/>
    </row>
    <row r="280" spans="1:49" x14ac:dyDescent="0.25">
      <c r="A280" s="42"/>
      <c r="C280" s="92"/>
      <c r="D280" s="93"/>
      <c r="E280" s="93"/>
      <c r="M280" s="42"/>
      <c r="O280" s="92"/>
      <c r="P280" s="93"/>
      <c r="Q280" s="93"/>
      <c r="Y280" s="42"/>
      <c r="AK280" s="42"/>
      <c r="AW280" s="42"/>
    </row>
    <row r="281" spans="1:49" x14ac:dyDescent="0.25">
      <c r="A281" s="42"/>
      <c r="C281" s="1" t="s">
        <v>95</v>
      </c>
      <c r="D281" s="4">
        <f>(D279-D278)/2+D278</f>
        <v>810</v>
      </c>
      <c r="E281" s="4">
        <f>E214-E215+E221</f>
        <v>2030</v>
      </c>
      <c r="M281" s="42"/>
      <c r="O281" s="1" t="s">
        <v>95</v>
      </c>
      <c r="P281" s="4">
        <f>(P279-P278)/2+P278</f>
        <v>810</v>
      </c>
      <c r="Q281" s="4">
        <f>Q214-Q215+Q221</f>
        <v>2030</v>
      </c>
      <c r="Y281" s="42"/>
      <c r="AK281" s="42"/>
      <c r="AW281" s="42"/>
    </row>
    <row r="282" spans="1:49" x14ac:dyDescent="0.25">
      <c r="A282" s="42"/>
      <c r="C282" s="1" t="str">
        <f>D167&amp;" mm"</f>
        <v>1500 mm</v>
      </c>
      <c r="D282" s="4">
        <f>D281+50</f>
        <v>860</v>
      </c>
      <c r="E282" s="4">
        <f>E281</f>
        <v>2030</v>
      </c>
      <c r="M282" s="42"/>
      <c r="O282" s="1" t="str">
        <f>P167&amp;" mm"</f>
        <v>1500 mm</v>
      </c>
      <c r="P282" s="4">
        <f>P281+50</f>
        <v>860</v>
      </c>
      <c r="Q282" s="4">
        <f>Q281</f>
        <v>2030</v>
      </c>
      <c r="Y282" s="42"/>
      <c r="AK282" s="42"/>
      <c r="AW282" s="42"/>
    </row>
    <row r="283" spans="1:49" x14ac:dyDescent="0.25">
      <c r="A283" s="42"/>
      <c r="C283" s="92"/>
      <c r="D283" s="93"/>
      <c r="E283" s="93"/>
      <c r="M283" s="42"/>
      <c r="O283" s="92"/>
      <c r="P283" s="93"/>
      <c r="Q283" s="93"/>
      <c r="Y283" s="42"/>
      <c r="AK283" s="42"/>
      <c r="AW283" s="42"/>
    </row>
    <row r="284" spans="1:49" x14ac:dyDescent="0.25">
      <c r="A284" s="42"/>
      <c r="C284" s="1" t="s">
        <v>96</v>
      </c>
      <c r="D284" s="4">
        <f>D216+D266</f>
        <v>1760</v>
      </c>
      <c r="E284" s="4">
        <f>E214</f>
        <v>2430</v>
      </c>
      <c r="M284" s="42"/>
      <c r="O284" s="1" t="s">
        <v>96</v>
      </c>
      <c r="P284" s="4">
        <f>P216+P266</f>
        <v>1710</v>
      </c>
      <c r="Q284" s="4">
        <f>Q214</f>
        <v>2430</v>
      </c>
      <c r="Y284" s="42"/>
      <c r="AK284" s="42"/>
      <c r="AW284" s="42"/>
    </row>
    <row r="285" spans="1:49" x14ac:dyDescent="0.25">
      <c r="A285" s="42"/>
      <c r="C285" s="1"/>
      <c r="D285" s="4">
        <f>D216+D266</f>
        <v>1760</v>
      </c>
      <c r="E285" s="4">
        <f>E214+D168</f>
        <v>2720</v>
      </c>
      <c r="M285" s="42"/>
      <c r="O285" s="1"/>
      <c r="P285" s="4">
        <f>P216+P266</f>
        <v>1710</v>
      </c>
      <c r="Q285" s="4">
        <f>Q214+P168</f>
        <v>2720</v>
      </c>
      <c r="Y285" s="42"/>
      <c r="AK285" s="42"/>
      <c r="AW285" s="42"/>
    </row>
    <row r="286" spans="1:49" x14ac:dyDescent="0.25">
      <c r="A286" s="42"/>
      <c r="C286" s="92"/>
      <c r="D286" s="93"/>
      <c r="E286" s="93"/>
      <c r="M286" s="42"/>
      <c r="O286" s="92"/>
      <c r="P286" s="93"/>
      <c r="Q286" s="93"/>
      <c r="Y286" s="42"/>
      <c r="AK286" s="42"/>
      <c r="AW286" s="42"/>
    </row>
    <row r="287" spans="1:49" x14ac:dyDescent="0.25">
      <c r="A287" s="42"/>
      <c r="C287" s="1" t="s">
        <v>97</v>
      </c>
      <c r="D287" s="4">
        <f>(D285-D284)/2+D284+D221</f>
        <v>1760</v>
      </c>
      <c r="E287" s="4">
        <f>(E285-E284)/2+E284</f>
        <v>2575</v>
      </c>
      <c r="M287" s="42"/>
      <c r="O287" s="1" t="s">
        <v>97</v>
      </c>
      <c r="P287" s="4">
        <f>(P285-P284)/2+P284+P221</f>
        <v>1710</v>
      </c>
      <c r="Q287" s="4">
        <f>(Q285-Q284)/2+Q284</f>
        <v>2575</v>
      </c>
      <c r="Y287" s="42"/>
      <c r="AK287" s="42"/>
      <c r="AW287" s="42"/>
    </row>
    <row r="288" spans="1:49" x14ac:dyDescent="0.25">
      <c r="A288" s="42"/>
      <c r="C288" s="1" t="str">
        <f>D168&amp;" mm"</f>
        <v>290 mm</v>
      </c>
      <c r="D288" s="4">
        <f>D287</f>
        <v>1760</v>
      </c>
      <c r="E288" s="4">
        <f>E287+50</f>
        <v>2625</v>
      </c>
      <c r="M288" s="42"/>
      <c r="O288" s="1" t="str">
        <f>P168&amp;" mm"</f>
        <v>290 mm</v>
      </c>
      <c r="P288" s="4">
        <f>P287</f>
        <v>1710</v>
      </c>
      <c r="Q288" s="4">
        <f>Q287+50</f>
        <v>2625</v>
      </c>
      <c r="Y288" s="42"/>
      <c r="AK288" s="42"/>
      <c r="AW288" s="42"/>
    </row>
    <row r="289" spans="1:49" x14ac:dyDescent="0.25">
      <c r="A289" s="42"/>
      <c r="C289" s="92"/>
      <c r="D289" s="93"/>
      <c r="E289" s="93"/>
      <c r="M289" s="42"/>
      <c r="O289" s="92"/>
      <c r="P289" s="93"/>
      <c r="Q289" s="93"/>
      <c r="Y289" s="42"/>
      <c r="AK289" s="42"/>
      <c r="AW289" s="42"/>
    </row>
    <row r="290" spans="1:49" x14ac:dyDescent="0.25">
      <c r="A290" s="42"/>
      <c r="C290" s="1" t="s">
        <v>98</v>
      </c>
      <c r="D290" s="4">
        <f>D223-D217</f>
        <v>33</v>
      </c>
      <c r="E290" s="4">
        <f>(E225-E223)/2+E223</f>
        <v>2462.5</v>
      </c>
      <c r="M290" s="42"/>
      <c r="O290" s="1" t="s">
        <v>98</v>
      </c>
      <c r="P290" s="4">
        <f>P223-P217</f>
        <v>33</v>
      </c>
      <c r="Q290" s="4">
        <f>(Q225-Q223)/2+Q223</f>
        <v>2462.5</v>
      </c>
      <c r="Y290" s="42"/>
      <c r="AK290" s="42"/>
      <c r="AW290" s="42"/>
    </row>
    <row r="291" spans="1:49" x14ac:dyDescent="0.25">
      <c r="A291" s="42"/>
      <c r="C291" s="1" t="str">
        <f>"Panneaux + "&amp;D169&amp;" mm"</f>
        <v>Panneaux + 27 mm</v>
      </c>
      <c r="D291" s="4">
        <f>D290</f>
        <v>33</v>
      </c>
      <c r="E291" s="4">
        <f>E290+50</f>
        <v>2512.5</v>
      </c>
      <c r="M291" s="42"/>
      <c r="O291" s="1" t="str">
        <f>"Panneaux + "&amp;P170&amp;" mm"</f>
        <v>Panneaux + 27 mm</v>
      </c>
      <c r="P291" s="4">
        <f>P290</f>
        <v>33</v>
      </c>
      <c r="Q291" s="4">
        <f>Q290+50</f>
        <v>2512.5</v>
      </c>
      <c r="Y291" s="42"/>
      <c r="AK291" s="42"/>
      <c r="AW291" s="42"/>
    </row>
    <row r="292" spans="1:49" x14ac:dyDescent="0.25">
      <c r="A292" s="42"/>
      <c r="C292" s="92"/>
      <c r="D292" s="93"/>
      <c r="E292" s="93"/>
      <c r="M292" s="42"/>
      <c r="O292" s="92"/>
      <c r="P292" s="93"/>
      <c r="Q292" s="93"/>
      <c r="Y292" s="42"/>
      <c r="AK292" s="42"/>
      <c r="AW292" s="42"/>
    </row>
    <row r="293" spans="1:49" x14ac:dyDescent="0.25">
      <c r="A293" s="42"/>
      <c r="C293" s="1" t="s">
        <v>99</v>
      </c>
      <c r="D293" s="4">
        <f>D218+D224</f>
        <v>1587</v>
      </c>
      <c r="E293" s="4">
        <f>E290</f>
        <v>2462.5</v>
      </c>
      <c r="M293" s="42"/>
      <c r="O293" s="1" t="s">
        <v>99</v>
      </c>
      <c r="P293" s="4">
        <f>P218+P224</f>
        <v>1587</v>
      </c>
      <c r="Q293" s="4">
        <f>Q290</f>
        <v>2462.5</v>
      </c>
      <c r="Y293" s="42"/>
      <c r="AK293" s="42"/>
      <c r="AW293" s="42"/>
    </row>
    <row r="294" spans="1:49" x14ac:dyDescent="0.25">
      <c r="A294" s="42"/>
      <c r="C294" s="1" t="str">
        <f>"Panneaux + "&amp;D170&amp;" mm"</f>
        <v>Panneaux + 27 mm</v>
      </c>
      <c r="D294" s="4">
        <f>D293</f>
        <v>1587</v>
      </c>
      <c r="E294" s="4">
        <f>E291</f>
        <v>2512.5</v>
      </c>
      <c r="M294" s="42"/>
      <c r="O294" s="1" t="str">
        <f>"Panneaux + "&amp;P169&amp;" mm"</f>
        <v>Panneaux + 27 mm</v>
      </c>
      <c r="P294" s="4">
        <f>P293</f>
        <v>1587</v>
      </c>
      <c r="Q294" s="4">
        <f>Q291</f>
        <v>2512.5</v>
      </c>
      <c r="Y294" s="42"/>
      <c r="AK294" s="42"/>
      <c r="AW294" s="42"/>
    </row>
    <row r="295" spans="1:49" x14ac:dyDescent="0.25">
      <c r="A295" s="42"/>
      <c r="C295" s="92"/>
      <c r="D295" s="93"/>
      <c r="E295" s="93"/>
      <c r="M295" s="42"/>
      <c r="O295" s="92"/>
      <c r="P295" s="93"/>
      <c r="Q295" s="93"/>
      <c r="Y295" s="42"/>
      <c r="AK295" s="42"/>
      <c r="AW295" s="42"/>
    </row>
    <row r="296" spans="1:49" x14ac:dyDescent="0.25">
      <c r="A296" s="42"/>
      <c r="C296" s="1" t="s">
        <v>100</v>
      </c>
      <c r="D296" s="4">
        <f>D299</f>
        <v>840</v>
      </c>
      <c r="E296" s="4">
        <f>E225+E219</f>
        <v>2760</v>
      </c>
      <c r="M296" s="42"/>
      <c r="O296" s="1" t="s">
        <v>100</v>
      </c>
      <c r="P296" s="4">
        <f>P299</f>
        <v>840</v>
      </c>
      <c r="Q296" s="4">
        <f>Q225+Q219</f>
        <v>2760</v>
      </c>
      <c r="Y296" s="42"/>
      <c r="AK296" s="42"/>
      <c r="AW296" s="42"/>
    </row>
    <row r="297" spans="1:49" x14ac:dyDescent="0.25">
      <c r="A297" s="42"/>
      <c r="C297" s="1" t="str">
        <f>"Panneaux + "&amp;D171&amp;" mm"</f>
        <v>Panneaux + 40 mm</v>
      </c>
      <c r="D297" s="4">
        <f>D300</f>
        <v>890</v>
      </c>
      <c r="E297" s="4">
        <f>E296</f>
        <v>2760</v>
      </c>
      <c r="M297" s="42"/>
      <c r="O297" s="1" t="str">
        <f>"Panneaux + "&amp;P171&amp;" mm"</f>
        <v>Panneaux + 40 mm</v>
      </c>
      <c r="P297" s="4">
        <f>P300</f>
        <v>890</v>
      </c>
      <c r="Q297" s="4">
        <f>Q296</f>
        <v>2760</v>
      </c>
      <c r="Y297" s="42"/>
      <c r="AK297" s="42"/>
      <c r="AW297" s="42"/>
    </row>
    <row r="298" spans="1:49" x14ac:dyDescent="0.25">
      <c r="A298" s="42"/>
      <c r="C298" s="92"/>
      <c r="D298" s="93"/>
      <c r="E298" s="93"/>
      <c r="M298" s="42"/>
      <c r="O298" s="92"/>
      <c r="P298" s="93"/>
      <c r="Q298" s="93"/>
      <c r="Y298" s="42"/>
      <c r="AK298" s="42"/>
      <c r="AW298" s="42"/>
    </row>
    <row r="299" spans="1:49" x14ac:dyDescent="0.25">
      <c r="A299" s="42"/>
      <c r="C299" s="1" t="s">
        <v>101</v>
      </c>
      <c r="D299" s="4">
        <f>D279/2+D278</f>
        <v>840</v>
      </c>
      <c r="E299" s="4">
        <f>E223+E220</f>
        <v>2165</v>
      </c>
      <c r="M299" s="42"/>
      <c r="O299" s="1" t="s">
        <v>101</v>
      </c>
      <c r="P299" s="4">
        <f>P279/2+P278</f>
        <v>840</v>
      </c>
      <c r="Q299" s="4">
        <f>Q223+Q220</f>
        <v>2165</v>
      </c>
      <c r="Y299" s="42"/>
      <c r="AK299" s="42"/>
      <c r="AW299" s="42"/>
    </row>
    <row r="300" spans="1:49" x14ac:dyDescent="0.25">
      <c r="A300" s="42"/>
      <c r="C300" s="1" t="str">
        <f>"Panneaux +"&amp;D172&amp;" mm"</f>
        <v>Panneaux +265 mm</v>
      </c>
      <c r="D300" s="4">
        <f>D299+50</f>
        <v>890</v>
      </c>
      <c r="E300" s="4">
        <f>E299</f>
        <v>2165</v>
      </c>
      <c r="M300" s="42"/>
      <c r="O300" s="1" t="str">
        <f>"Panneaux +"&amp;P172&amp;" mm"</f>
        <v>Panneaux +265 mm</v>
      </c>
      <c r="P300" s="4">
        <f>P299+50</f>
        <v>890</v>
      </c>
      <c r="Q300" s="4">
        <f>Q299</f>
        <v>2165</v>
      </c>
      <c r="Y300" s="42"/>
      <c r="AK300" s="42"/>
      <c r="AW300" s="42"/>
    </row>
    <row r="301" spans="1:49" x14ac:dyDescent="0.25">
      <c r="A301" s="42"/>
      <c r="M301" s="42"/>
      <c r="Y301" s="42"/>
      <c r="AK301" s="42"/>
      <c r="AW301" s="42"/>
    </row>
    <row r="302" spans="1:49" x14ac:dyDescent="0.25">
      <c r="A302" s="42"/>
      <c r="M302" s="42"/>
      <c r="Y302" s="42"/>
      <c r="AK302" s="42"/>
      <c r="AW302" s="42"/>
    </row>
    <row r="303" spans="1:49" x14ac:dyDescent="0.25">
      <c r="A303" s="42"/>
      <c r="M303" s="42"/>
      <c r="Y303" s="42"/>
      <c r="AK303" s="42"/>
      <c r="AW303" s="42"/>
    </row>
    <row r="304" spans="1:49" x14ac:dyDescent="0.25">
      <c r="A304" s="42"/>
      <c r="M304" s="42"/>
      <c r="Y304" s="42"/>
      <c r="AK304" s="42"/>
      <c r="AW304" s="42"/>
    </row>
    <row r="305" spans="1:49" x14ac:dyDescent="0.25">
      <c r="A305" s="42"/>
      <c r="M305" s="42"/>
      <c r="Y305" s="42"/>
      <c r="AK305" s="42"/>
      <c r="AW305" s="42"/>
    </row>
    <row r="306" spans="1:49" x14ac:dyDescent="0.25">
      <c r="A306" s="42"/>
      <c r="M306" s="42"/>
      <c r="Y306" s="42"/>
      <c r="AK306" s="42"/>
      <c r="AW306" s="42"/>
    </row>
    <row r="307" spans="1:49" ht="18.75" x14ac:dyDescent="0.3">
      <c r="A307" s="51"/>
      <c r="B307" s="6"/>
      <c r="C307" s="6"/>
      <c r="D307" s="42"/>
      <c r="E307" s="50"/>
      <c r="F307" s="42"/>
      <c r="G307" s="42"/>
      <c r="H307" s="42"/>
      <c r="I307" s="42"/>
      <c r="J307" s="51"/>
      <c r="K307" s="51"/>
      <c r="L307" s="51"/>
      <c r="M307" s="51"/>
      <c r="N307" s="51"/>
      <c r="O307" s="7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6"/>
      <c r="AA307" s="6"/>
      <c r="AB307" s="42"/>
      <c r="AC307" s="42"/>
      <c r="AD307" s="42"/>
      <c r="AE307" s="42"/>
      <c r="AF307" s="42"/>
      <c r="AG307" s="42"/>
      <c r="AH307" s="42"/>
      <c r="AI307" s="42"/>
      <c r="AJ307" s="42"/>
      <c r="AK307" s="51"/>
      <c r="AL307" s="6"/>
      <c r="AM307" s="6"/>
      <c r="AN307" s="42"/>
      <c r="AO307" s="42"/>
      <c r="AP307" s="42"/>
      <c r="AQ307" s="42"/>
      <c r="AR307" s="42"/>
      <c r="AS307" s="42"/>
      <c r="AT307" s="42"/>
      <c r="AU307" s="42"/>
      <c r="AV307" s="42"/>
      <c r="AW307" s="51"/>
    </row>
    <row r="308" spans="1:49" x14ac:dyDescent="0.25">
      <c r="A308" s="42"/>
      <c r="M308" s="42"/>
      <c r="O308" t="str">
        <f>"Chantier: "&amp;Acceuil!B1&amp;" - "&amp;Acceuil!$B$2</f>
        <v xml:space="preserve">Chantier:  - </v>
      </c>
      <c r="Y308" s="42"/>
      <c r="AK308" s="42"/>
      <c r="AM308" t="str">
        <f>"Chantier: "&amp;Acceuil!B1&amp;" - "&amp;Acceuil!$B$2</f>
        <v xml:space="preserve">Chantier:  - </v>
      </c>
      <c r="AW308" s="42"/>
    </row>
    <row r="309" spans="1:49" ht="15.75" thickBot="1" x14ac:dyDescent="0.3">
      <c r="A309" s="42"/>
      <c r="M309" s="42"/>
      <c r="Y309" s="42"/>
      <c r="AK309" s="42"/>
      <c r="AW309" s="42"/>
    </row>
    <row r="310" spans="1:49" ht="21.75" thickBot="1" x14ac:dyDescent="0.3">
      <c r="A310" s="42"/>
      <c r="M310" s="42"/>
      <c r="O310" s="232" t="str">
        <f>"Blocs sous "&amp;O4&amp;O312</f>
        <v xml:space="preserve">Blocs sous Fenêtre 150 / 90; sans VR; </v>
      </c>
      <c r="P310" s="233"/>
      <c r="Q310" s="233"/>
      <c r="R310" s="233"/>
      <c r="S310" s="233"/>
      <c r="T310" s="233"/>
      <c r="U310" s="233"/>
      <c r="V310" s="233"/>
      <c r="W310" s="234"/>
      <c r="Y310" s="42"/>
      <c r="AK310" s="42"/>
      <c r="AM310" s="232" t="str">
        <f>"Blocs sous "&amp;AM4&amp;AM312</f>
        <v xml:space="preserve">Blocs sous Fenêtre 90 / 80; avec VR; </v>
      </c>
      <c r="AN310" s="233"/>
      <c r="AO310" s="233"/>
      <c r="AP310" s="233"/>
      <c r="AQ310" s="233"/>
      <c r="AR310" s="233"/>
      <c r="AS310" s="233"/>
      <c r="AT310" s="233"/>
      <c r="AU310" s="234"/>
      <c r="AW310" s="42"/>
    </row>
    <row r="311" spans="1:49" ht="18.75" x14ac:dyDescent="0.3">
      <c r="A311" s="42"/>
      <c r="M311" s="42"/>
      <c r="O311" s="41"/>
      <c r="R311" s="52"/>
      <c r="S311" s="52"/>
      <c r="T311" s="52"/>
      <c r="U311" s="52"/>
      <c r="V311" s="52"/>
      <c r="W311" s="52"/>
      <c r="Y311" s="42"/>
      <c r="AK311" s="42"/>
      <c r="AM311" s="41"/>
      <c r="AP311" s="52"/>
      <c r="AQ311" s="52"/>
      <c r="AR311" s="52"/>
      <c r="AS311" s="52"/>
      <c r="AT311" s="52"/>
      <c r="AU311" s="52"/>
      <c r="AW311" s="42"/>
    </row>
    <row r="312" spans="1:49" ht="18.75" x14ac:dyDescent="0.3">
      <c r="A312" s="42"/>
      <c r="M312" s="42"/>
      <c r="O312" s="222"/>
      <c r="R312" s="52"/>
      <c r="S312" s="52"/>
      <c r="T312" s="52"/>
      <c r="U312" s="52"/>
      <c r="V312" s="52"/>
      <c r="W312" s="52"/>
      <c r="Y312" s="42"/>
      <c r="AK312" s="42"/>
      <c r="AM312" s="222"/>
      <c r="AP312" s="52"/>
      <c r="AQ312" s="52"/>
      <c r="AR312" s="52"/>
      <c r="AS312" s="52"/>
      <c r="AT312" s="52"/>
      <c r="AU312" s="52"/>
      <c r="AW312" s="42"/>
    </row>
    <row r="313" spans="1:49" ht="15.75" thickBot="1" x14ac:dyDescent="0.3">
      <c r="A313" s="42"/>
      <c r="M313" s="42"/>
      <c r="Y313" s="42"/>
      <c r="AK313" s="42"/>
      <c r="AW313" s="42"/>
    </row>
    <row r="314" spans="1:49" ht="18.75" x14ac:dyDescent="0.3">
      <c r="A314" s="42"/>
      <c r="M314" s="42"/>
      <c r="O314" s="214" t="s">
        <v>72</v>
      </c>
      <c r="P314" s="215">
        <f>P315*P9</f>
        <v>1</v>
      </c>
      <c r="Q314" s="52"/>
      <c r="R314" s="52"/>
      <c r="S314" s="52"/>
      <c r="T314" s="52"/>
      <c r="U314" s="52"/>
      <c r="Y314" s="42"/>
      <c r="AK314" s="42"/>
      <c r="AM314" s="214" t="s">
        <v>72</v>
      </c>
      <c r="AN314" s="215">
        <f>AN315*AN9</f>
        <v>1</v>
      </c>
      <c r="AO314" s="52"/>
      <c r="AP314" s="52"/>
      <c r="AQ314" s="52"/>
      <c r="AR314" s="52"/>
      <c r="AS314" s="52"/>
      <c r="AW314" s="42"/>
    </row>
    <row r="315" spans="1:49" ht="19.5" thickBot="1" x14ac:dyDescent="0.35">
      <c r="A315" s="42"/>
      <c r="M315" s="42"/>
      <c r="O315" s="213" t="s">
        <v>33</v>
      </c>
      <c r="P315" s="227">
        <v>1</v>
      </c>
      <c r="U315" s="52"/>
      <c r="Y315" s="42"/>
      <c r="AK315" s="42"/>
      <c r="AM315" s="213" t="s">
        <v>33</v>
      </c>
      <c r="AN315" s="227">
        <v>1</v>
      </c>
      <c r="AS315" s="52"/>
      <c r="AW315" s="42"/>
    </row>
    <row r="316" spans="1:49" ht="15.75" thickBot="1" x14ac:dyDescent="0.3">
      <c r="A316" s="42"/>
      <c r="M316" s="42"/>
      <c r="Y316" s="42"/>
      <c r="AK316" s="42"/>
      <c r="AW316" s="42"/>
    </row>
    <row r="317" spans="1:49" x14ac:dyDescent="0.25">
      <c r="A317" s="42"/>
      <c r="M317" s="42"/>
      <c r="O317" s="80"/>
      <c r="P317" s="79"/>
      <c r="Q317" s="81"/>
      <c r="V317" s="201" t="str">
        <f>"Poids unitaire: " &amp;ROUNDUP(((R333*T333*(10+9))+(P321*P322*18))/1000000,0)&amp;" Kg"</f>
        <v>Poids unitaire: 1 Kg</v>
      </c>
      <c r="Y317" s="42"/>
      <c r="AK317" s="42"/>
      <c r="AM317" s="80"/>
      <c r="AN317" s="79"/>
      <c r="AO317" s="81"/>
      <c r="AT317" s="201" t="str">
        <f>"Poids unitaire: " &amp;ROUNDUP(((AP333*AR333*(10+9))+(AN321*AN322*18))/1000000,0)&amp;" Kg"</f>
        <v>Poids unitaire: 1 Kg</v>
      </c>
      <c r="AW317" s="42"/>
    </row>
    <row r="318" spans="1:49" x14ac:dyDescent="0.25">
      <c r="A318" s="42"/>
      <c r="M318" s="42"/>
      <c r="O318" s="75" t="s">
        <v>57</v>
      </c>
      <c r="P318" s="60">
        <f>(V10-((P315+1)*60))/P315</f>
        <v>1500</v>
      </c>
      <c r="Q318" s="76" t="s">
        <v>1</v>
      </c>
      <c r="Y318" s="42"/>
      <c r="AK318" s="42"/>
      <c r="AM318" s="75" t="s">
        <v>57</v>
      </c>
      <c r="AN318" s="60">
        <f>(AT10-((AN315+1)*60))/AN315</f>
        <v>900</v>
      </c>
      <c r="AO318" s="76" t="s">
        <v>1</v>
      </c>
      <c r="AW318" s="42"/>
    </row>
    <row r="319" spans="1:49" x14ac:dyDescent="0.25">
      <c r="A319" s="42"/>
      <c r="M319" s="42"/>
      <c r="O319" s="75" t="s">
        <v>58</v>
      </c>
      <c r="P319" s="60">
        <f>P12-V11+280</f>
        <v>1120</v>
      </c>
      <c r="Q319" s="76" t="s">
        <v>1</v>
      </c>
      <c r="Y319" s="42"/>
      <c r="AK319" s="42"/>
      <c r="AM319" s="75" t="s">
        <v>58</v>
      </c>
      <c r="AN319" s="60">
        <f>AN13-AT11-AN168</f>
        <v>1220</v>
      </c>
      <c r="AO319" s="76" t="s">
        <v>1</v>
      </c>
      <c r="AW319" s="42"/>
    </row>
    <row r="320" spans="1:49" x14ac:dyDescent="0.25">
      <c r="A320" s="42"/>
      <c r="M320" s="42"/>
      <c r="O320" s="30" t="s">
        <v>59</v>
      </c>
      <c r="P320" s="60">
        <v>27</v>
      </c>
      <c r="Q320" s="76" t="s">
        <v>1</v>
      </c>
      <c r="Y320" s="42"/>
      <c r="AK320" s="42"/>
      <c r="AM320" s="30" t="s">
        <v>59</v>
      </c>
      <c r="AN320" s="60">
        <v>27</v>
      </c>
      <c r="AO320" s="76" t="s">
        <v>1</v>
      </c>
      <c r="AW320" s="42"/>
    </row>
    <row r="321" spans="1:49" ht="15" customHeight="1" x14ac:dyDescent="0.3">
      <c r="A321" s="42"/>
      <c r="M321" s="42"/>
      <c r="O321" s="30" t="s">
        <v>60</v>
      </c>
      <c r="P321" s="60">
        <v>27</v>
      </c>
      <c r="Q321" s="76" t="s">
        <v>1</v>
      </c>
      <c r="T321" s="52"/>
      <c r="U321" s="52"/>
      <c r="Y321" s="42"/>
      <c r="AK321" s="42"/>
      <c r="AM321" s="30" t="s">
        <v>60</v>
      </c>
      <c r="AN321" s="60">
        <v>27</v>
      </c>
      <c r="AO321" s="76" t="s">
        <v>1</v>
      </c>
      <c r="AR321" s="52"/>
      <c r="AS321" s="52"/>
      <c r="AW321" s="42"/>
    </row>
    <row r="322" spans="1:49" x14ac:dyDescent="0.25">
      <c r="A322" s="42"/>
      <c r="M322" s="42"/>
      <c r="O322" s="30" t="s">
        <v>61</v>
      </c>
      <c r="P322" s="60">
        <v>40</v>
      </c>
      <c r="Q322" s="76" t="s">
        <v>1</v>
      </c>
      <c r="Y322" s="42"/>
      <c r="AK322" s="42"/>
      <c r="AM322" s="30" t="s">
        <v>61</v>
      </c>
      <c r="AN322" s="60">
        <v>40</v>
      </c>
      <c r="AO322" s="76" t="s">
        <v>1</v>
      </c>
      <c r="AW322" s="42"/>
    </row>
    <row r="323" spans="1:49" ht="15.75" thickBot="1" x14ac:dyDescent="0.3">
      <c r="A323" s="42"/>
      <c r="M323" s="42"/>
      <c r="O323" s="32" t="s">
        <v>62</v>
      </c>
      <c r="P323" s="77">
        <v>40</v>
      </c>
      <c r="Q323" s="78" t="s">
        <v>1</v>
      </c>
      <c r="Y323" s="42"/>
      <c r="AK323" s="42"/>
      <c r="AM323" s="32" t="s">
        <v>62</v>
      </c>
      <c r="AN323" s="77">
        <v>40</v>
      </c>
      <c r="AO323" s="78" t="s">
        <v>1</v>
      </c>
      <c r="AW323" s="42"/>
    </row>
    <row r="324" spans="1:49" ht="15.75" thickBot="1" x14ac:dyDescent="0.3">
      <c r="A324" s="42"/>
      <c r="M324" s="42"/>
      <c r="Y324" s="42"/>
      <c r="AK324" s="42"/>
      <c r="AW324" s="42"/>
    </row>
    <row r="325" spans="1:49" x14ac:dyDescent="0.25">
      <c r="A325" s="42"/>
      <c r="M325" s="42"/>
      <c r="O325" s="61" t="s">
        <v>45</v>
      </c>
      <c r="P325" s="69"/>
      <c r="Q325" s="79" t="s">
        <v>47</v>
      </c>
      <c r="R325" s="70"/>
      <c r="S325" s="69"/>
      <c r="T325" s="79" t="s">
        <v>46</v>
      </c>
      <c r="U325" s="70"/>
      <c r="V325" s="62" t="s">
        <v>2</v>
      </c>
      <c r="W325" s="63" t="s">
        <v>3</v>
      </c>
      <c r="Y325" s="42"/>
      <c r="AK325" s="42"/>
      <c r="AM325" s="61" t="s">
        <v>45</v>
      </c>
      <c r="AN325" s="69"/>
      <c r="AO325" s="79" t="s">
        <v>47</v>
      </c>
      <c r="AP325" s="70"/>
      <c r="AQ325" s="69"/>
      <c r="AR325" s="79" t="s">
        <v>46</v>
      </c>
      <c r="AS325" s="70"/>
      <c r="AT325" s="62" t="s">
        <v>2</v>
      </c>
      <c r="AU325" s="63" t="s">
        <v>3</v>
      </c>
      <c r="AW325" s="42"/>
    </row>
    <row r="326" spans="1:49" x14ac:dyDescent="0.25">
      <c r="A326" s="42"/>
      <c r="M326" s="42"/>
      <c r="O326" s="64" t="s">
        <v>34</v>
      </c>
      <c r="P326" s="196">
        <v>45</v>
      </c>
      <c r="Q326" s="101" t="s">
        <v>5</v>
      </c>
      <c r="R326" s="199">
        <v>145</v>
      </c>
      <c r="S326" s="14"/>
      <c r="T326" s="101">
        <f>P319-90</f>
        <v>1030</v>
      </c>
      <c r="U326" s="15"/>
      <c r="V326" s="4">
        <f>W326*$P$163</f>
        <v>4</v>
      </c>
      <c r="W326" s="65">
        <f>ROUNDUP((P318-45)/600,0)+1</f>
        <v>4</v>
      </c>
      <c r="Y326" s="42"/>
      <c r="AK326" s="42"/>
      <c r="AM326" s="64" t="s">
        <v>34</v>
      </c>
      <c r="AN326" s="196">
        <v>45</v>
      </c>
      <c r="AO326" s="101" t="s">
        <v>5</v>
      </c>
      <c r="AP326" s="199">
        <v>145</v>
      </c>
      <c r="AQ326" s="14"/>
      <c r="AR326" s="101">
        <f>AN319-90</f>
        <v>1130</v>
      </c>
      <c r="AS326" s="15" t="s">
        <v>1</v>
      </c>
      <c r="AT326" s="4">
        <f>AU326*AN314</f>
        <v>3</v>
      </c>
      <c r="AU326" s="65">
        <f>ROUNDUP((AN318-45)/600,0)+1</f>
        <v>3</v>
      </c>
      <c r="AW326" s="42"/>
    </row>
    <row r="327" spans="1:49" ht="15.75" thickBot="1" x14ac:dyDescent="0.3">
      <c r="A327" s="42"/>
      <c r="M327" s="42"/>
      <c r="O327" s="66" t="s">
        <v>6</v>
      </c>
      <c r="P327" s="197">
        <v>45</v>
      </c>
      <c r="Q327" s="102" t="s">
        <v>5</v>
      </c>
      <c r="R327" s="200">
        <v>145</v>
      </c>
      <c r="S327" s="73"/>
      <c r="T327" s="102">
        <f>P318</f>
        <v>1500</v>
      </c>
      <c r="U327" s="74"/>
      <c r="V327" s="67">
        <f>W327*$P$163</f>
        <v>2</v>
      </c>
      <c r="W327" s="68">
        <f>2</f>
        <v>2</v>
      </c>
      <c r="Y327" s="42"/>
      <c r="AK327" s="42"/>
      <c r="AM327" s="66" t="s">
        <v>6</v>
      </c>
      <c r="AN327" s="197">
        <v>45</v>
      </c>
      <c r="AO327" s="102" t="s">
        <v>5</v>
      </c>
      <c r="AP327" s="200">
        <v>145</v>
      </c>
      <c r="AQ327" s="73"/>
      <c r="AR327" s="102">
        <f>AN318</f>
        <v>900</v>
      </c>
      <c r="AS327" s="74" t="s">
        <v>1</v>
      </c>
      <c r="AT327" s="67">
        <f>AU327*AN314</f>
        <v>2</v>
      </c>
      <c r="AU327" s="68">
        <f>2</f>
        <v>2</v>
      </c>
      <c r="AW327" s="42"/>
    </row>
    <row r="328" spans="1:49" ht="15.75" thickBot="1" x14ac:dyDescent="0.3">
      <c r="A328" s="42"/>
      <c r="M328" s="42"/>
      <c r="Y328" s="42"/>
      <c r="AK328" s="42"/>
      <c r="AW328" s="42"/>
    </row>
    <row r="329" spans="1:49" x14ac:dyDescent="0.25">
      <c r="A329" s="42"/>
      <c r="M329" s="42"/>
      <c r="O329" s="61" t="s">
        <v>45</v>
      </c>
      <c r="P329" s="25" t="s">
        <v>44</v>
      </c>
      <c r="Q329" s="175"/>
      <c r="R329" s="176"/>
      <c r="S329" s="176" t="s">
        <v>66</v>
      </c>
      <c r="T329" s="176"/>
      <c r="U329" s="177"/>
      <c r="V329" s="62" t="s">
        <v>2</v>
      </c>
      <c r="W329" s="63" t="s">
        <v>3</v>
      </c>
      <c r="Y329" s="42"/>
      <c r="AK329" s="42"/>
      <c r="AM329" s="61" t="s">
        <v>45</v>
      </c>
      <c r="AN329" s="25" t="s">
        <v>44</v>
      </c>
      <c r="AO329" s="175"/>
      <c r="AP329" s="176"/>
      <c r="AQ329" s="176" t="s">
        <v>66</v>
      </c>
      <c r="AR329" s="176"/>
      <c r="AS329" s="177"/>
      <c r="AT329" s="62" t="s">
        <v>2</v>
      </c>
      <c r="AU329" s="63" t="s">
        <v>3</v>
      </c>
      <c r="AW329" s="42"/>
    </row>
    <row r="330" spans="1:49" x14ac:dyDescent="0.25">
      <c r="A330" s="42"/>
      <c r="M330" s="42"/>
      <c r="O330" s="71" t="s">
        <v>64</v>
      </c>
      <c r="P330" s="2">
        <v>12</v>
      </c>
      <c r="Q330" s="14"/>
      <c r="R330" s="205">
        <f>P320+P321+P318</f>
        <v>1554</v>
      </c>
      <c r="S330" s="101" t="s">
        <v>5</v>
      </c>
      <c r="T330" s="202">
        <f>P323+P322+P319</f>
        <v>1200</v>
      </c>
      <c r="U330" s="101" t="s">
        <v>1</v>
      </c>
      <c r="V330" s="4">
        <f>W330*$P$163</f>
        <v>1</v>
      </c>
      <c r="W330" s="65">
        <v>1</v>
      </c>
      <c r="Y330" s="42"/>
      <c r="AK330" s="42"/>
      <c r="AM330" s="71" t="s">
        <v>64</v>
      </c>
      <c r="AN330" s="2">
        <v>12</v>
      </c>
      <c r="AO330" s="14"/>
      <c r="AP330" s="205">
        <f>AN320+AN321+AN318</f>
        <v>954</v>
      </c>
      <c r="AQ330" s="101" t="s">
        <v>5</v>
      </c>
      <c r="AR330" s="202">
        <f>AN323+AN322+AN319</f>
        <v>1300</v>
      </c>
      <c r="AS330" s="101" t="s">
        <v>1</v>
      </c>
      <c r="AT330" s="4">
        <f>AU330*AN314</f>
        <v>1</v>
      </c>
      <c r="AU330" s="65">
        <v>1</v>
      </c>
      <c r="AW330" s="42"/>
    </row>
    <row r="331" spans="1:49" ht="15.75" thickBot="1" x14ac:dyDescent="0.3">
      <c r="A331" s="42"/>
      <c r="M331" s="42"/>
      <c r="O331" s="72" t="s">
        <v>63</v>
      </c>
      <c r="P331" s="67" t="s">
        <v>71</v>
      </c>
      <c r="Q331" s="73"/>
      <c r="R331" s="206">
        <f>P320+P321+P318</f>
        <v>1554</v>
      </c>
      <c r="S331" s="102" t="s">
        <v>5</v>
      </c>
      <c r="T331" s="203">
        <f>P323+P322+P319</f>
        <v>1200</v>
      </c>
      <c r="U331" s="102" t="s">
        <v>1</v>
      </c>
      <c r="V331" s="67">
        <f>W331*$P$163</f>
        <v>1</v>
      </c>
      <c r="W331" s="68">
        <v>1</v>
      </c>
      <c r="Y331" s="42"/>
      <c r="AK331" s="42"/>
      <c r="AM331" s="72" t="s">
        <v>63</v>
      </c>
      <c r="AN331" s="67" t="s">
        <v>71</v>
      </c>
      <c r="AO331" s="73"/>
      <c r="AP331" s="206">
        <f>AN320+AN321+AN318</f>
        <v>954</v>
      </c>
      <c r="AQ331" s="102" t="s">
        <v>5</v>
      </c>
      <c r="AR331" s="203">
        <f>AN323+AN322+AN319</f>
        <v>1300</v>
      </c>
      <c r="AS331" s="102" t="s">
        <v>1</v>
      </c>
      <c r="AT331" s="67">
        <f>AU331*AN314</f>
        <v>1</v>
      </c>
      <c r="AU331" s="68">
        <v>1</v>
      </c>
      <c r="AW331" s="42"/>
    </row>
    <row r="332" spans="1:49" x14ac:dyDescent="0.25">
      <c r="A332" s="42"/>
      <c r="M332" s="42"/>
      <c r="Y332" s="42"/>
      <c r="AK332" s="42"/>
      <c r="AW332" s="42"/>
    </row>
    <row r="333" spans="1:49" x14ac:dyDescent="0.25">
      <c r="A333" s="42"/>
      <c r="M333" s="42"/>
      <c r="Y333" s="42"/>
      <c r="AK333" s="42"/>
      <c r="AW333" s="42"/>
    </row>
    <row r="334" spans="1:49" x14ac:dyDescent="0.25">
      <c r="A334" s="42"/>
      <c r="M334" s="42"/>
      <c r="Y334" s="42"/>
      <c r="AK334" s="42"/>
      <c r="AW334" s="42"/>
    </row>
    <row r="335" spans="1:49" x14ac:dyDescent="0.25">
      <c r="A335" s="42"/>
      <c r="M335" s="42"/>
      <c r="Y335" s="42"/>
      <c r="AK335" s="42"/>
      <c r="AW335" s="42"/>
    </row>
    <row r="336" spans="1:49" x14ac:dyDescent="0.25">
      <c r="A336" s="42"/>
      <c r="M336" s="42"/>
      <c r="Y336" s="42"/>
      <c r="AK336" s="42"/>
      <c r="AW336" s="42"/>
    </row>
    <row r="337" spans="1:49" x14ac:dyDescent="0.25">
      <c r="A337" s="42"/>
      <c r="M337" s="42"/>
      <c r="Y337" s="42"/>
      <c r="AK337" s="42"/>
      <c r="AW337" s="42"/>
    </row>
    <row r="338" spans="1:49" x14ac:dyDescent="0.25">
      <c r="A338" s="42"/>
      <c r="M338" s="42"/>
      <c r="Y338" s="42"/>
      <c r="AK338" s="42"/>
      <c r="AW338" s="42"/>
    </row>
    <row r="339" spans="1:49" x14ac:dyDescent="0.25">
      <c r="A339" s="42"/>
      <c r="M339" s="42"/>
      <c r="Y339" s="42"/>
      <c r="AK339" s="42"/>
      <c r="AW339" s="42"/>
    </row>
    <row r="340" spans="1:49" x14ac:dyDescent="0.25">
      <c r="A340" s="42"/>
      <c r="M340" s="42"/>
      <c r="Y340" s="42"/>
      <c r="AK340" s="42"/>
      <c r="AW340" s="42"/>
    </row>
    <row r="341" spans="1:49" x14ac:dyDescent="0.25">
      <c r="A341" s="42"/>
      <c r="M341" s="42"/>
      <c r="Y341" s="42"/>
      <c r="AK341" s="42"/>
      <c r="AW341" s="42"/>
    </row>
    <row r="342" spans="1:49" x14ac:dyDescent="0.25">
      <c r="A342" s="42"/>
      <c r="M342" s="42"/>
      <c r="Y342" s="42"/>
      <c r="AK342" s="42"/>
      <c r="AW342" s="42"/>
    </row>
    <row r="343" spans="1:49" x14ac:dyDescent="0.25">
      <c r="A343" s="42"/>
      <c r="M343" s="42"/>
      <c r="Y343" s="42"/>
      <c r="AK343" s="42"/>
      <c r="AW343" s="42"/>
    </row>
    <row r="344" spans="1:49" x14ac:dyDescent="0.25">
      <c r="A344" s="42"/>
      <c r="M344" s="42"/>
      <c r="Y344" s="42"/>
      <c r="AK344" s="42"/>
      <c r="AW344" s="42"/>
    </row>
    <row r="345" spans="1:49" x14ac:dyDescent="0.25">
      <c r="A345" s="42"/>
      <c r="M345" s="42"/>
      <c r="Y345" s="42"/>
      <c r="AK345" s="42"/>
      <c r="AW345" s="42"/>
    </row>
    <row r="346" spans="1:49" x14ac:dyDescent="0.25">
      <c r="A346" s="42"/>
      <c r="M346" s="42"/>
      <c r="Y346" s="42"/>
      <c r="AK346" s="42"/>
      <c r="AW346" s="42"/>
    </row>
    <row r="347" spans="1:49" x14ac:dyDescent="0.25">
      <c r="A347" s="42"/>
      <c r="M347" s="42"/>
      <c r="Y347" s="42"/>
      <c r="AK347" s="42"/>
      <c r="AW347" s="42"/>
    </row>
    <row r="348" spans="1:49" x14ac:dyDescent="0.25">
      <c r="A348" s="42"/>
      <c r="M348" s="42"/>
      <c r="Y348" s="42"/>
      <c r="AK348" s="42"/>
      <c r="AW348" s="42"/>
    </row>
    <row r="349" spans="1:49" x14ac:dyDescent="0.25">
      <c r="A349" s="42"/>
      <c r="M349" s="42"/>
      <c r="Y349" s="42"/>
      <c r="AK349" s="42"/>
      <c r="AW349" s="42"/>
    </row>
    <row r="350" spans="1:49" x14ac:dyDescent="0.25">
      <c r="A350" s="42"/>
      <c r="M350" s="42"/>
      <c r="Y350" s="42"/>
      <c r="AK350" s="42"/>
      <c r="AW350" s="42"/>
    </row>
    <row r="351" spans="1:49" x14ac:dyDescent="0.25">
      <c r="A351" s="42"/>
      <c r="M351" s="42"/>
      <c r="Y351" s="42"/>
      <c r="AK351" s="42"/>
      <c r="AW351" s="42"/>
    </row>
    <row r="352" spans="1:49" x14ac:dyDescent="0.25">
      <c r="A352" s="42"/>
      <c r="M352" s="42"/>
      <c r="Y352" s="42"/>
      <c r="AK352" s="42"/>
      <c r="AW352" s="42"/>
    </row>
    <row r="353" spans="1:49" x14ac:dyDescent="0.25">
      <c r="A353" s="42"/>
      <c r="M353" s="42"/>
      <c r="Y353" s="42"/>
      <c r="AK353" s="42"/>
      <c r="AW353" s="42"/>
    </row>
    <row r="354" spans="1:49" x14ac:dyDescent="0.25">
      <c r="A354" s="42"/>
      <c r="M354" s="42"/>
      <c r="Y354" s="42"/>
      <c r="AK354" s="42"/>
      <c r="AW354" s="42"/>
    </row>
    <row r="355" spans="1:49" x14ac:dyDescent="0.25">
      <c r="A355" s="42"/>
      <c r="M355" s="42"/>
      <c r="Y355" s="42"/>
      <c r="AK355" s="42"/>
      <c r="AW355" s="42"/>
    </row>
    <row r="356" spans="1:49" x14ac:dyDescent="0.25">
      <c r="A356" s="42"/>
      <c r="M356" s="42"/>
      <c r="Y356" s="42"/>
      <c r="AK356" s="42"/>
      <c r="AW356" s="42"/>
    </row>
    <row r="357" spans="1:49" x14ac:dyDescent="0.25">
      <c r="A357" s="42"/>
      <c r="M357" s="42"/>
      <c r="Y357" s="42"/>
      <c r="AK357" s="42"/>
      <c r="AW357" s="42"/>
    </row>
    <row r="358" spans="1:49" x14ac:dyDescent="0.25">
      <c r="A358" s="42"/>
      <c r="M358" s="42"/>
      <c r="Y358" s="42"/>
      <c r="AK358" s="42"/>
      <c r="AW358" s="42"/>
    </row>
    <row r="359" spans="1:49" x14ac:dyDescent="0.25">
      <c r="A359" s="42"/>
      <c r="M359" s="42"/>
      <c r="Y359" s="42"/>
      <c r="AK359" s="42"/>
      <c r="AW359" s="42"/>
    </row>
    <row r="360" spans="1:49" x14ac:dyDescent="0.25">
      <c r="A360" s="42"/>
      <c r="M360" s="42"/>
      <c r="Y360" s="42"/>
      <c r="AK360" s="42"/>
      <c r="AW360" s="42"/>
    </row>
    <row r="361" spans="1:49" x14ac:dyDescent="0.25">
      <c r="A361" s="42"/>
      <c r="M361" s="42"/>
      <c r="Y361" s="42"/>
      <c r="AK361" s="42"/>
      <c r="AW361" s="42"/>
    </row>
    <row r="362" spans="1:49" x14ac:dyDescent="0.25">
      <c r="A362" s="42"/>
      <c r="M362" s="42"/>
      <c r="Y362" s="42"/>
      <c r="AK362" s="42"/>
      <c r="AW362" s="42"/>
    </row>
    <row r="363" spans="1:49" x14ac:dyDescent="0.25">
      <c r="A363" s="42"/>
      <c r="B363" s="6"/>
      <c r="C363" s="6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6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6"/>
      <c r="AA363" s="6"/>
      <c r="AB363" s="42"/>
      <c r="AC363" s="42"/>
      <c r="AD363" s="42"/>
      <c r="AE363" s="42"/>
      <c r="AF363" s="42"/>
      <c r="AG363" s="42"/>
      <c r="AH363" s="42"/>
      <c r="AI363" s="42"/>
      <c r="AJ363" s="42"/>
      <c r="AK363" s="42"/>
      <c r="AL363" s="6"/>
      <c r="AM363" s="6"/>
      <c r="AN363" s="42"/>
      <c r="AO363" s="42"/>
      <c r="AP363" s="42"/>
      <c r="AQ363" s="42"/>
      <c r="AR363" s="42"/>
      <c r="AS363" s="42"/>
      <c r="AT363" s="42"/>
      <c r="AU363" s="42"/>
      <c r="AV363" s="42"/>
      <c r="AW363" s="42"/>
    </row>
    <row r="364" spans="1:49" x14ac:dyDescent="0.25">
      <c r="A364" s="42"/>
      <c r="M364" s="42"/>
      <c r="O364" s="1"/>
      <c r="P364" s="4" t="s">
        <v>37</v>
      </c>
      <c r="Q364" s="4" t="s">
        <v>38</v>
      </c>
      <c r="Y364" s="42"/>
      <c r="AK364" s="42"/>
      <c r="AM364" s="1"/>
      <c r="AN364" s="4" t="s">
        <v>37</v>
      </c>
      <c r="AO364" s="4" t="s">
        <v>38</v>
      </c>
      <c r="AW364" s="42"/>
    </row>
    <row r="365" spans="1:49" x14ac:dyDescent="0.25">
      <c r="A365" s="42"/>
      <c r="M365" s="42"/>
      <c r="O365" s="1" t="s">
        <v>110</v>
      </c>
      <c r="P365" s="4">
        <v>60</v>
      </c>
      <c r="Q365" s="4">
        <v>0</v>
      </c>
      <c r="Y365" s="42"/>
      <c r="AK365" s="42"/>
      <c r="AM365" s="1" t="s">
        <v>110</v>
      </c>
      <c r="AN365" s="4">
        <v>60</v>
      </c>
      <c r="AO365" s="4">
        <v>0</v>
      </c>
      <c r="AW365" s="42"/>
    </row>
    <row r="366" spans="1:49" x14ac:dyDescent="0.25">
      <c r="A366" s="42"/>
      <c r="M366" s="42"/>
      <c r="O366" s="1" t="s">
        <v>111</v>
      </c>
      <c r="P366" s="95"/>
      <c r="Q366" s="4">
        <v>250</v>
      </c>
      <c r="Y366" s="42"/>
      <c r="AK366" s="42"/>
      <c r="AM366" s="1" t="s">
        <v>111</v>
      </c>
      <c r="AN366" s="95"/>
      <c r="AO366" s="4">
        <v>250</v>
      </c>
      <c r="AW366" s="42"/>
    </row>
    <row r="367" spans="1:49" x14ac:dyDescent="0.25">
      <c r="A367" s="42"/>
      <c r="M367" s="42"/>
      <c r="O367" s="1" t="s">
        <v>112</v>
      </c>
      <c r="P367" s="4">
        <v>150</v>
      </c>
      <c r="Q367" s="95"/>
      <c r="Y367" s="42"/>
      <c r="AK367" s="42"/>
      <c r="AM367" s="1" t="s">
        <v>112</v>
      </c>
      <c r="AN367" s="4">
        <v>150</v>
      </c>
      <c r="AO367" s="95"/>
      <c r="AW367" s="42"/>
    </row>
    <row r="368" spans="1:49" x14ac:dyDescent="0.25">
      <c r="A368" s="42"/>
      <c r="M368" s="42"/>
      <c r="O368" s="1" t="s">
        <v>113</v>
      </c>
      <c r="P368" s="4">
        <v>0</v>
      </c>
      <c r="Q368" s="95"/>
      <c r="Y368" s="42"/>
      <c r="AK368" s="42"/>
      <c r="AM368" s="1" t="s">
        <v>113</v>
      </c>
      <c r="AN368" s="4">
        <v>0</v>
      </c>
      <c r="AO368" s="95"/>
      <c r="AW368" s="42"/>
    </row>
    <row r="369" spans="1:49" x14ac:dyDescent="0.25">
      <c r="A369" s="42"/>
      <c r="M369" s="42"/>
      <c r="O369" s="1" t="s">
        <v>114</v>
      </c>
      <c r="P369" s="4">
        <v>0</v>
      </c>
      <c r="Q369" s="95"/>
      <c r="Y369" s="42"/>
      <c r="AK369" s="42"/>
      <c r="AM369" s="1" t="s">
        <v>114</v>
      </c>
      <c r="AN369" s="4">
        <v>0</v>
      </c>
      <c r="AO369" s="95"/>
      <c r="AW369" s="42"/>
    </row>
    <row r="370" spans="1:49" x14ac:dyDescent="0.25">
      <c r="A370" s="42"/>
      <c r="M370" s="42"/>
      <c r="O370" s="1" t="s">
        <v>115</v>
      </c>
      <c r="P370" s="95"/>
      <c r="Q370" s="4">
        <v>0</v>
      </c>
      <c r="Y370" s="42"/>
      <c r="AK370" s="42"/>
      <c r="AM370" s="1" t="s">
        <v>115</v>
      </c>
      <c r="AN370" s="95"/>
      <c r="AO370" s="4">
        <v>0</v>
      </c>
      <c r="AW370" s="42"/>
    </row>
    <row r="371" spans="1:49" x14ac:dyDescent="0.25">
      <c r="A371" s="42"/>
      <c r="M371" s="42"/>
      <c r="O371" s="1" t="s">
        <v>116</v>
      </c>
      <c r="P371" s="95"/>
      <c r="Q371" s="4">
        <v>0</v>
      </c>
      <c r="Y371" s="42"/>
      <c r="AK371" s="42"/>
      <c r="AM371" s="1" t="s">
        <v>116</v>
      </c>
      <c r="AN371" s="95"/>
      <c r="AO371" s="4">
        <v>0</v>
      </c>
      <c r="AW371" s="42"/>
    </row>
    <row r="372" spans="1:49" x14ac:dyDescent="0.25">
      <c r="A372" s="42"/>
      <c r="M372" s="42"/>
      <c r="O372" s="1" t="s">
        <v>117</v>
      </c>
      <c r="P372" s="4">
        <v>0</v>
      </c>
      <c r="Q372" s="4">
        <v>0</v>
      </c>
      <c r="Y372" s="42"/>
      <c r="AK372" s="42"/>
      <c r="AM372" s="1" t="s">
        <v>117</v>
      </c>
      <c r="AN372" s="4">
        <v>0</v>
      </c>
      <c r="AO372" s="4">
        <v>0</v>
      </c>
      <c r="AW372" s="42"/>
    </row>
    <row r="373" spans="1:49" x14ac:dyDescent="0.25">
      <c r="A373" s="42"/>
      <c r="M373" s="42"/>
      <c r="O373" s="92"/>
      <c r="P373" s="93"/>
      <c r="Q373" s="93"/>
      <c r="Y373" s="42"/>
      <c r="AK373" s="42"/>
      <c r="AM373" s="92"/>
      <c r="AN373" s="93"/>
      <c r="AO373" s="93"/>
      <c r="AW373" s="42"/>
    </row>
    <row r="374" spans="1:49" x14ac:dyDescent="0.25">
      <c r="A374" s="42"/>
      <c r="M374" s="42"/>
      <c r="O374" s="1" t="s">
        <v>118</v>
      </c>
      <c r="P374" s="4">
        <f>P365-P320</f>
        <v>33</v>
      </c>
      <c r="Q374" s="4">
        <f>-P323+Q365</f>
        <v>-40</v>
      </c>
      <c r="Y374" s="42"/>
      <c r="AK374" s="42"/>
      <c r="AM374" s="1" t="s">
        <v>118</v>
      </c>
      <c r="AN374" s="4">
        <f>AN365-AN320</f>
        <v>33</v>
      </c>
      <c r="AO374" s="4">
        <f>-AN323+AO365</f>
        <v>-40</v>
      </c>
      <c r="AW374" s="42"/>
    </row>
    <row r="375" spans="1:49" x14ac:dyDescent="0.25">
      <c r="A375" s="42"/>
      <c r="M375" s="42"/>
      <c r="O375" s="1"/>
      <c r="P375" s="4">
        <f>P321+P318+P365</f>
        <v>1587</v>
      </c>
      <c r="Q375" s="4">
        <f>Q374</f>
        <v>-40</v>
      </c>
      <c r="Y375" s="42"/>
      <c r="AK375" s="42"/>
      <c r="AM375" s="1"/>
      <c r="AN375" s="4">
        <f>AN321+AN318+AN365</f>
        <v>987</v>
      </c>
      <c r="AO375" s="4">
        <f>AO374</f>
        <v>-40</v>
      </c>
      <c r="AW375" s="42"/>
    </row>
    <row r="376" spans="1:49" x14ac:dyDescent="0.25">
      <c r="A376" s="42"/>
      <c r="M376" s="42"/>
      <c r="O376" s="1"/>
      <c r="P376" s="4">
        <f>P375</f>
        <v>1587</v>
      </c>
      <c r="Q376" s="4">
        <f>P319+P322+Q365</f>
        <v>1160</v>
      </c>
      <c r="Y376" s="42"/>
      <c r="AK376" s="42"/>
      <c r="AM376" s="1"/>
      <c r="AN376" s="4">
        <f>AN375</f>
        <v>987</v>
      </c>
      <c r="AO376" s="4">
        <f>AN319+AN322+AO365</f>
        <v>1260</v>
      </c>
      <c r="AW376" s="42"/>
    </row>
    <row r="377" spans="1:49" x14ac:dyDescent="0.25">
      <c r="A377" s="42"/>
      <c r="M377" s="42"/>
      <c r="O377" s="1"/>
      <c r="P377" s="4">
        <f>P374</f>
        <v>33</v>
      </c>
      <c r="Q377" s="4">
        <f>Q376</f>
        <v>1160</v>
      </c>
      <c r="Y377" s="42"/>
      <c r="AK377" s="42"/>
      <c r="AM377" s="1"/>
      <c r="AN377" s="4">
        <f>AN374</f>
        <v>33</v>
      </c>
      <c r="AO377" s="4">
        <f>AO376</f>
        <v>1260</v>
      </c>
      <c r="AW377" s="42"/>
    </row>
    <row r="378" spans="1:49" x14ac:dyDescent="0.25">
      <c r="A378" s="42"/>
      <c r="M378" s="42"/>
      <c r="O378" s="1"/>
      <c r="P378" s="4">
        <f>P374</f>
        <v>33</v>
      </c>
      <c r="Q378" s="4">
        <f>Q374</f>
        <v>-40</v>
      </c>
      <c r="Y378" s="42"/>
      <c r="AK378" s="42"/>
      <c r="AM378" s="1"/>
      <c r="AN378" s="4">
        <f>AN374</f>
        <v>33</v>
      </c>
      <c r="AO378" s="4">
        <f>AO374</f>
        <v>-40</v>
      </c>
      <c r="AW378" s="42"/>
    </row>
    <row r="379" spans="1:49" x14ac:dyDescent="0.25">
      <c r="A379" s="42"/>
      <c r="M379" s="42"/>
      <c r="O379" s="92"/>
      <c r="P379" s="93"/>
      <c r="Q379" s="93"/>
      <c r="Y379" s="42"/>
      <c r="AK379" s="42"/>
      <c r="AM379" s="92"/>
      <c r="AN379" s="93"/>
      <c r="AO379" s="93"/>
      <c r="AW379" s="42"/>
    </row>
    <row r="380" spans="1:49" x14ac:dyDescent="0.25">
      <c r="A380" s="42"/>
      <c r="M380" s="42"/>
      <c r="O380" s="1" t="s">
        <v>119</v>
      </c>
      <c r="P380" s="4">
        <f>P365</f>
        <v>60</v>
      </c>
      <c r="Q380" s="4">
        <f>Q365+45</f>
        <v>45</v>
      </c>
      <c r="Y380" s="42"/>
      <c r="AK380" s="42"/>
      <c r="AM380" s="1" t="s">
        <v>119</v>
      </c>
      <c r="AN380" s="4">
        <f>AN$365</f>
        <v>60</v>
      </c>
      <c r="AO380" s="4">
        <f>AO$214+45</f>
        <v>45</v>
      </c>
      <c r="AW380" s="42"/>
    </row>
    <row r="381" spans="1:49" x14ac:dyDescent="0.25">
      <c r="A381" s="42"/>
      <c r="M381" s="42"/>
      <c r="O381" s="1"/>
      <c r="P381" s="4">
        <f>P380+45</f>
        <v>105</v>
      </c>
      <c r="Q381" s="4">
        <f>Q380</f>
        <v>45</v>
      </c>
      <c r="Y381" s="42"/>
      <c r="AK381" s="42"/>
      <c r="AM381" s="1"/>
      <c r="AN381" s="4">
        <f>AN380+45</f>
        <v>105</v>
      </c>
      <c r="AO381" s="4">
        <f>AO380</f>
        <v>45</v>
      </c>
      <c r="AW381" s="42"/>
    </row>
    <row r="382" spans="1:49" x14ac:dyDescent="0.25">
      <c r="A382" s="42"/>
      <c r="M382" s="42"/>
      <c r="O382" s="1"/>
      <c r="P382" s="4">
        <f>P381</f>
        <v>105</v>
      </c>
      <c r="Q382" s="4">
        <f>P$319-45+Q$365</f>
        <v>1075</v>
      </c>
      <c r="Y382" s="42"/>
      <c r="AK382" s="42"/>
      <c r="AM382" s="1"/>
      <c r="AN382" s="4">
        <f>AN381</f>
        <v>105</v>
      </c>
      <c r="AO382" s="4">
        <f>AN$319-45+AO$365</f>
        <v>1175</v>
      </c>
      <c r="AW382" s="42"/>
    </row>
    <row r="383" spans="1:49" x14ac:dyDescent="0.25">
      <c r="A383" s="42"/>
      <c r="M383" s="42"/>
      <c r="O383" s="1"/>
      <c r="P383" s="4">
        <f>P380</f>
        <v>60</v>
      </c>
      <c r="Q383" s="4">
        <f>Q382</f>
        <v>1075</v>
      </c>
      <c r="Y383" s="42"/>
      <c r="AK383" s="42"/>
      <c r="AM383" s="1"/>
      <c r="AN383" s="4">
        <f>AN380</f>
        <v>60</v>
      </c>
      <c r="AO383" s="4">
        <f>AO382</f>
        <v>1175</v>
      </c>
      <c r="AW383" s="42"/>
    </row>
    <row r="384" spans="1:49" x14ac:dyDescent="0.25">
      <c r="A384" s="42"/>
      <c r="M384" s="42"/>
      <c r="O384" s="1"/>
      <c r="P384" s="4">
        <f>P380</f>
        <v>60</v>
      </c>
      <c r="Q384" s="4">
        <f>Q380</f>
        <v>45</v>
      </c>
      <c r="Y384" s="42"/>
      <c r="AK384" s="42"/>
      <c r="AM384" s="1"/>
      <c r="AN384" s="4">
        <f>AN380</f>
        <v>60</v>
      </c>
      <c r="AO384" s="4">
        <f>AO380</f>
        <v>45</v>
      </c>
      <c r="AW384" s="42"/>
    </row>
    <row r="385" spans="1:49" x14ac:dyDescent="0.25">
      <c r="A385" s="42"/>
      <c r="M385" s="42"/>
      <c r="O385" s="92"/>
      <c r="P385" s="93"/>
      <c r="Q385" s="93"/>
      <c r="Y385" s="42"/>
      <c r="AK385" s="42"/>
      <c r="AM385" s="92"/>
      <c r="AN385" s="93"/>
      <c r="AO385" s="93"/>
      <c r="AW385" s="42"/>
    </row>
    <row r="386" spans="1:49" x14ac:dyDescent="0.25">
      <c r="A386" s="42"/>
      <c r="M386" s="42"/>
      <c r="O386" s="1" t="s">
        <v>135</v>
      </c>
      <c r="P386" s="4">
        <f>IF(O387="","",P380+600)</f>
        <v>660</v>
      </c>
      <c r="Q386" s="4">
        <f>IF(O387="","",Q365+45)</f>
        <v>45</v>
      </c>
      <c r="Y386" s="42"/>
      <c r="AK386" s="42"/>
      <c r="AM386" s="1" t="s">
        <v>135</v>
      </c>
      <c r="AN386" s="4">
        <f>IF(AM387="","",AN380+600)</f>
        <v>660</v>
      </c>
      <c r="AO386" s="4">
        <f>IF(AM387="","",AO365+45)</f>
        <v>45</v>
      </c>
      <c r="AW386" s="42"/>
    </row>
    <row r="387" spans="1:49" x14ac:dyDescent="0.25">
      <c r="A387" s="42"/>
      <c r="M387" s="42"/>
      <c r="O387" s="3">
        <f>IF(W326-2&gt;=1,1,"")</f>
        <v>1</v>
      </c>
      <c r="P387" s="4">
        <f>IF(O387="","",P386+45)</f>
        <v>705</v>
      </c>
      <c r="Q387" s="4">
        <f>Q386</f>
        <v>45</v>
      </c>
      <c r="Y387" s="42"/>
      <c r="AK387" s="42"/>
      <c r="AM387" s="3">
        <f>IF(AU326-2&gt;=1,1,"")</f>
        <v>1</v>
      </c>
      <c r="AN387" s="4">
        <f>IF(AM387="","",AN386+45)</f>
        <v>705</v>
      </c>
      <c r="AO387" s="4">
        <f>AO386</f>
        <v>45</v>
      </c>
      <c r="AW387" s="42"/>
    </row>
    <row r="388" spans="1:49" x14ac:dyDescent="0.25">
      <c r="A388" s="42"/>
      <c r="M388" s="42"/>
      <c r="O388" s="1"/>
      <c r="P388" s="4">
        <f>P387</f>
        <v>705</v>
      </c>
      <c r="Q388" s="4">
        <f>IF(O387="","",P$319-45+Q$365)</f>
        <v>1075</v>
      </c>
      <c r="Y388" s="42"/>
      <c r="AK388" s="42"/>
      <c r="AM388" s="1"/>
      <c r="AN388" s="4">
        <f>AN387</f>
        <v>705</v>
      </c>
      <c r="AO388" s="4">
        <f>IF(AM387="","",AN$319-45+AO$365)</f>
        <v>1175</v>
      </c>
      <c r="AW388" s="42"/>
    </row>
    <row r="389" spans="1:49" x14ac:dyDescent="0.25">
      <c r="A389" s="42"/>
      <c r="M389" s="42"/>
      <c r="O389" s="1"/>
      <c r="P389" s="4">
        <f>P386</f>
        <v>660</v>
      </c>
      <c r="Q389" s="4">
        <f>Q388</f>
        <v>1075</v>
      </c>
      <c r="Y389" s="42"/>
      <c r="AK389" s="42"/>
      <c r="AM389" s="1"/>
      <c r="AN389" s="4">
        <f>AN386</f>
        <v>660</v>
      </c>
      <c r="AO389" s="4">
        <f>AO388</f>
        <v>1175</v>
      </c>
      <c r="AW389" s="42"/>
    </row>
    <row r="390" spans="1:49" x14ac:dyDescent="0.25">
      <c r="A390" s="42"/>
      <c r="M390" s="42"/>
      <c r="O390" s="1"/>
      <c r="P390" s="4">
        <f>P386</f>
        <v>660</v>
      </c>
      <c r="Q390" s="4">
        <f>Q386</f>
        <v>45</v>
      </c>
      <c r="Y390" s="42"/>
      <c r="AK390" s="42"/>
      <c r="AM390" s="1"/>
      <c r="AN390" s="4">
        <f>AN386</f>
        <v>660</v>
      </c>
      <c r="AO390" s="4">
        <f>AO386</f>
        <v>45</v>
      </c>
      <c r="AW390" s="42"/>
    </row>
    <row r="391" spans="1:49" x14ac:dyDescent="0.25">
      <c r="A391" s="42"/>
      <c r="M391" s="42"/>
      <c r="O391" s="92"/>
      <c r="P391" s="93"/>
      <c r="Q391" s="93"/>
      <c r="Y391" s="42"/>
      <c r="AK391" s="42"/>
      <c r="AM391" s="92"/>
      <c r="AN391" s="93"/>
      <c r="AO391" s="93"/>
      <c r="AW391" s="42"/>
    </row>
    <row r="392" spans="1:49" x14ac:dyDescent="0.25">
      <c r="A392" s="42"/>
      <c r="M392" s="42"/>
      <c r="O392" s="1" t="s">
        <v>136</v>
      </c>
      <c r="P392" s="4">
        <f>IF(O393="","",P386+600)</f>
        <v>1260</v>
      </c>
      <c r="Q392" s="4">
        <f>IF(O393="","",45+Q365)</f>
        <v>45</v>
      </c>
      <c r="Y392" s="42"/>
      <c r="AK392" s="42"/>
      <c r="AM392" s="1" t="s">
        <v>136</v>
      </c>
      <c r="AN392" s="4" t="str">
        <f>IF(AM393="","",AN386+600)</f>
        <v/>
      </c>
      <c r="AO392" s="4" t="str">
        <f>IF(AM393="","",45+AO365)</f>
        <v/>
      </c>
      <c r="AW392" s="42"/>
    </row>
    <row r="393" spans="1:49" x14ac:dyDescent="0.25">
      <c r="A393" s="42"/>
      <c r="M393" s="42"/>
      <c r="O393" s="3">
        <f>IF(W326-2&gt;=2,2,"")</f>
        <v>2</v>
      </c>
      <c r="P393" s="4">
        <f>IF(O393="","",P392+45)</f>
        <v>1305</v>
      </c>
      <c r="Q393" s="4">
        <f>Q392</f>
        <v>45</v>
      </c>
      <c r="Y393" s="42"/>
      <c r="AK393" s="42"/>
      <c r="AM393" s="3" t="str">
        <f>IF(AU326-2&gt;=2,2,"")</f>
        <v/>
      </c>
      <c r="AN393" s="4" t="str">
        <f>IF(AM393="","",AN392+45)</f>
        <v/>
      </c>
      <c r="AO393" s="4" t="str">
        <f>AO392</f>
        <v/>
      </c>
      <c r="AW393" s="42"/>
    </row>
    <row r="394" spans="1:49" x14ac:dyDescent="0.25">
      <c r="A394" s="42"/>
      <c r="M394" s="42"/>
      <c r="O394" s="1"/>
      <c r="P394" s="4">
        <f>P393</f>
        <v>1305</v>
      </c>
      <c r="Q394" s="4">
        <f>IF(O393="","",P$319-45+Q$365)</f>
        <v>1075</v>
      </c>
      <c r="Y394" s="42"/>
      <c r="AK394" s="42"/>
      <c r="AM394" s="1"/>
      <c r="AN394" s="4" t="str">
        <f>AN393</f>
        <v/>
      </c>
      <c r="AO394" s="4" t="str">
        <f>IF(AM393="","",AN$319-45+AO$365)</f>
        <v/>
      </c>
      <c r="AW394" s="42"/>
    </row>
    <row r="395" spans="1:49" x14ac:dyDescent="0.25">
      <c r="A395" s="42"/>
      <c r="M395" s="42"/>
      <c r="O395" s="1"/>
      <c r="P395" s="4">
        <f>P392</f>
        <v>1260</v>
      </c>
      <c r="Q395" s="4">
        <f>Q394</f>
        <v>1075</v>
      </c>
      <c r="Y395" s="42"/>
      <c r="AK395" s="42"/>
      <c r="AM395" s="1"/>
      <c r="AN395" s="4" t="str">
        <f>AN392</f>
        <v/>
      </c>
      <c r="AO395" s="4" t="str">
        <f>AO394</f>
        <v/>
      </c>
      <c r="AW395" s="42"/>
    </row>
    <row r="396" spans="1:49" x14ac:dyDescent="0.25">
      <c r="A396" s="42"/>
      <c r="M396" s="42"/>
      <c r="O396" s="1"/>
      <c r="P396" s="4">
        <f>P392</f>
        <v>1260</v>
      </c>
      <c r="Q396" s="4">
        <f>Q392</f>
        <v>45</v>
      </c>
      <c r="Y396" s="42"/>
      <c r="AK396" s="42"/>
      <c r="AM396" s="1"/>
      <c r="AN396" s="4" t="str">
        <f>AN392</f>
        <v/>
      </c>
      <c r="AO396" s="4" t="str">
        <f>AO392</f>
        <v/>
      </c>
      <c r="AW396" s="42"/>
    </row>
    <row r="397" spans="1:49" x14ac:dyDescent="0.25">
      <c r="A397" s="42"/>
      <c r="M397" s="42"/>
      <c r="O397" s="92"/>
      <c r="P397" s="93"/>
      <c r="Q397" s="93"/>
      <c r="Y397" s="42"/>
      <c r="AK397" s="42"/>
      <c r="AM397" s="92"/>
      <c r="AN397" s="93"/>
      <c r="AO397" s="93"/>
      <c r="AW397" s="42"/>
    </row>
    <row r="398" spans="1:49" x14ac:dyDescent="0.25">
      <c r="A398" s="42"/>
      <c r="M398" s="42"/>
      <c r="O398" s="1" t="s">
        <v>137</v>
      </c>
      <c r="P398" s="4" t="str">
        <f>IF(O399="","",P392+600)</f>
        <v/>
      </c>
      <c r="Q398" s="4" t="str">
        <f>IF(O399="","",Q$365+45)</f>
        <v/>
      </c>
      <c r="Y398" s="42"/>
      <c r="AK398" s="42"/>
      <c r="AM398" s="1" t="s">
        <v>137</v>
      </c>
      <c r="AN398" s="4" t="str">
        <f>IF(AM399="","",AN392+600)</f>
        <v/>
      </c>
      <c r="AO398" s="4" t="str">
        <f>IF(AM399="","",AO$214+45)</f>
        <v/>
      </c>
      <c r="AW398" s="42"/>
    </row>
    <row r="399" spans="1:49" x14ac:dyDescent="0.25">
      <c r="A399" s="42"/>
      <c r="M399" s="42"/>
      <c r="O399" s="3" t="str">
        <f>IF(W326-2&gt;=3,3,"")</f>
        <v/>
      </c>
      <c r="P399" s="4" t="str">
        <f>IF(O399="","",P398+45)</f>
        <v/>
      </c>
      <c r="Q399" s="4" t="str">
        <f>Q398</f>
        <v/>
      </c>
      <c r="Y399" s="42"/>
      <c r="AK399" s="42"/>
      <c r="AM399" s="3" t="str">
        <f>IF(AU326-2&gt;=3,3,"")</f>
        <v/>
      </c>
      <c r="AN399" s="4" t="str">
        <f>IF(AM399="","",AN398+45)</f>
        <v/>
      </c>
      <c r="AO399" s="4" t="str">
        <f>AO398</f>
        <v/>
      </c>
      <c r="AW399" s="42"/>
    </row>
    <row r="400" spans="1:49" x14ac:dyDescent="0.25">
      <c r="A400" s="42"/>
      <c r="M400" s="42"/>
      <c r="O400" s="1"/>
      <c r="P400" s="4" t="str">
        <f>P399</f>
        <v/>
      </c>
      <c r="Q400" s="4" t="str">
        <f>IF(O399="","",P$319-45+Q$365)</f>
        <v/>
      </c>
      <c r="Y400" s="42"/>
      <c r="AK400" s="42"/>
      <c r="AM400" s="1"/>
      <c r="AN400" s="4" t="str">
        <f>AN399</f>
        <v/>
      </c>
      <c r="AO400" s="4" t="str">
        <f>IF(AM399="","",AN$319-45+AO$365)</f>
        <v/>
      </c>
      <c r="AW400" s="42"/>
    </row>
    <row r="401" spans="1:49" x14ac:dyDescent="0.25">
      <c r="A401" s="42"/>
      <c r="M401" s="42"/>
      <c r="O401" s="1"/>
      <c r="P401" s="4" t="str">
        <f>P398</f>
        <v/>
      </c>
      <c r="Q401" s="4" t="str">
        <f>Q400</f>
        <v/>
      </c>
      <c r="Y401" s="42"/>
      <c r="AK401" s="42"/>
      <c r="AM401" s="1"/>
      <c r="AN401" s="4" t="str">
        <f>AN398</f>
        <v/>
      </c>
      <c r="AO401" s="4" t="str">
        <f>AO400</f>
        <v/>
      </c>
      <c r="AW401" s="42"/>
    </row>
    <row r="402" spans="1:49" x14ac:dyDescent="0.25">
      <c r="A402" s="42"/>
      <c r="M402" s="42"/>
      <c r="O402" s="1"/>
      <c r="P402" s="4" t="str">
        <f>P398</f>
        <v/>
      </c>
      <c r="Q402" s="4" t="str">
        <f>Q398</f>
        <v/>
      </c>
      <c r="Y402" s="42"/>
      <c r="AK402" s="42"/>
      <c r="AM402" s="1"/>
      <c r="AN402" s="4" t="str">
        <f>AN398</f>
        <v/>
      </c>
      <c r="AO402" s="4" t="str">
        <f>AO398</f>
        <v/>
      </c>
      <c r="AW402" s="42"/>
    </row>
    <row r="403" spans="1:49" x14ac:dyDescent="0.25">
      <c r="A403" s="42"/>
      <c r="M403" s="42"/>
      <c r="O403" s="92"/>
      <c r="P403" s="93"/>
      <c r="Q403" s="93"/>
      <c r="Y403" s="42"/>
      <c r="AK403" s="42"/>
      <c r="AM403" s="92"/>
      <c r="AN403" s="93"/>
      <c r="AO403" s="93"/>
      <c r="AW403" s="42"/>
    </row>
    <row r="404" spans="1:49" x14ac:dyDescent="0.25">
      <c r="A404" s="42"/>
      <c r="M404" s="42"/>
      <c r="O404" s="1" t="s">
        <v>138</v>
      </c>
      <c r="P404" s="4" t="str">
        <f>IF(O405="","",P398+600)</f>
        <v/>
      </c>
      <c r="Q404" s="4" t="str">
        <f>IF(O405="","",Q365+45)</f>
        <v/>
      </c>
      <c r="Y404" s="42"/>
      <c r="AK404" s="42"/>
      <c r="AM404" s="1" t="s">
        <v>138</v>
      </c>
      <c r="AN404" s="4" t="str">
        <f>IF(AM405="","",AN398+600)</f>
        <v/>
      </c>
      <c r="AO404" s="4" t="str">
        <f>IF(AM405="","",AO365+45)</f>
        <v/>
      </c>
      <c r="AW404" s="42"/>
    </row>
    <row r="405" spans="1:49" x14ac:dyDescent="0.25">
      <c r="A405" s="42"/>
      <c r="M405" s="42"/>
      <c r="O405" s="3" t="str">
        <f>IF(W326-2&gt;=4,4,"")</f>
        <v/>
      </c>
      <c r="P405" s="4" t="str">
        <f>IF(O405="","",P404+45)</f>
        <v/>
      </c>
      <c r="Q405" s="4" t="str">
        <f>Q404</f>
        <v/>
      </c>
      <c r="Y405" s="42"/>
      <c r="AK405" s="42"/>
      <c r="AM405" s="3" t="str">
        <f>IF(AU326-2&gt;=4,4,"")</f>
        <v/>
      </c>
      <c r="AN405" s="4" t="str">
        <f>IF(AM405="","",AN404+45)</f>
        <v/>
      </c>
      <c r="AO405" s="4" t="str">
        <f>AO404</f>
        <v/>
      </c>
      <c r="AW405" s="42"/>
    </row>
    <row r="406" spans="1:49" x14ac:dyDescent="0.25">
      <c r="A406" s="42"/>
      <c r="M406" s="42"/>
      <c r="O406" s="1"/>
      <c r="P406" s="4" t="str">
        <f>P405</f>
        <v/>
      </c>
      <c r="Q406" s="4" t="str">
        <f>IF(O405="","",P$319-45+Q$365)</f>
        <v/>
      </c>
      <c r="Y406" s="42"/>
      <c r="AK406" s="42"/>
      <c r="AM406" s="1"/>
      <c r="AN406" s="4" t="str">
        <f>AN405</f>
        <v/>
      </c>
      <c r="AO406" s="4" t="str">
        <f>IF(AM405="","",AN$319-45+AO$365)</f>
        <v/>
      </c>
      <c r="AW406" s="42"/>
    </row>
    <row r="407" spans="1:49" x14ac:dyDescent="0.25">
      <c r="A407" s="42"/>
      <c r="M407" s="42"/>
      <c r="O407" s="1"/>
      <c r="P407" s="4" t="str">
        <f>P404</f>
        <v/>
      </c>
      <c r="Q407" s="4" t="str">
        <f>Q406</f>
        <v/>
      </c>
      <c r="Y407" s="42"/>
      <c r="AK407" s="42"/>
      <c r="AM407" s="1"/>
      <c r="AN407" s="4" t="str">
        <f>AN404</f>
        <v/>
      </c>
      <c r="AO407" s="4" t="str">
        <f>AO406</f>
        <v/>
      </c>
      <c r="AW407" s="42"/>
    </row>
    <row r="408" spans="1:49" x14ac:dyDescent="0.25">
      <c r="A408" s="42"/>
      <c r="M408" s="42"/>
      <c r="O408" s="1"/>
      <c r="P408" s="4" t="str">
        <f>P404</f>
        <v/>
      </c>
      <c r="Q408" s="4" t="str">
        <f>Q404</f>
        <v/>
      </c>
      <c r="Y408" s="42"/>
      <c r="AK408" s="42"/>
      <c r="AM408" s="1"/>
      <c r="AN408" s="4" t="str">
        <f>AN404</f>
        <v/>
      </c>
      <c r="AO408" s="4" t="str">
        <f>AO404</f>
        <v/>
      </c>
      <c r="AW408" s="42"/>
    </row>
    <row r="409" spans="1:49" x14ac:dyDescent="0.25">
      <c r="A409" s="42"/>
      <c r="M409" s="42"/>
      <c r="O409" s="92"/>
      <c r="P409" s="93"/>
      <c r="Q409" s="93"/>
      <c r="Y409" s="42"/>
      <c r="AK409" s="42"/>
      <c r="AM409" s="92"/>
      <c r="AN409" s="93"/>
      <c r="AO409" s="93"/>
      <c r="AW409" s="42"/>
    </row>
    <row r="410" spans="1:49" x14ac:dyDescent="0.25">
      <c r="A410" s="42"/>
      <c r="M410" s="42"/>
      <c r="O410" s="1" t="s">
        <v>120</v>
      </c>
      <c r="P410" s="4">
        <f>P318-45+P365</f>
        <v>1515</v>
      </c>
      <c r="Q410" s="4">
        <f>Q365+45</f>
        <v>45</v>
      </c>
      <c r="Y410" s="42"/>
      <c r="AK410" s="42"/>
      <c r="AM410" s="1" t="s">
        <v>120</v>
      </c>
      <c r="AN410" s="4">
        <f>AN318-45+AN365</f>
        <v>915</v>
      </c>
      <c r="AO410" s="4">
        <f>AO365+45</f>
        <v>45</v>
      </c>
      <c r="AW410" s="42"/>
    </row>
    <row r="411" spans="1:49" x14ac:dyDescent="0.25">
      <c r="A411" s="42"/>
      <c r="M411" s="42"/>
      <c r="O411" s="1"/>
      <c r="P411" s="4">
        <f>P410+45</f>
        <v>1560</v>
      </c>
      <c r="Q411" s="4">
        <f>Q410</f>
        <v>45</v>
      </c>
      <c r="Y411" s="42"/>
      <c r="AK411" s="42"/>
      <c r="AM411" s="1"/>
      <c r="AN411" s="4">
        <f>AN410+45</f>
        <v>960</v>
      </c>
      <c r="AO411" s="4">
        <f>AO410</f>
        <v>45</v>
      </c>
      <c r="AW411" s="42"/>
    </row>
    <row r="412" spans="1:49" x14ac:dyDescent="0.25">
      <c r="A412" s="42"/>
      <c r="M412" s="42"/>
      <c r="O412" s="1"/>
      <c r="P412" s="4">
        <f>P411</f>
        <v>1560</v>
      </c>
      <c r="Q412" s="4">
        <f>P319-45+Q365</f>
        <v>1075</v>
      </c>
      <c r="Y412" s="42"/>
      <c r="AK412" s="42"/>
      <c r="AM412" s="1"/>
      <c r="AN412" s="4">
        <f>AN411</f>
        <v>960</v>
      </c>
      <c r="AO412" s="4">
        <f>AN319-45+AO365</f>
        <v>1175</v>
      </c>
      <c r="AW412" s="42"/>
    </row>
    <row r="413" spans="1:49" x14ac:dyDescent="0.25">
      <c r="A413" s="42"/>
      <c r="M413" s="42"/>
      <c r="O413" s="1"/>
      <c r="P413" s="4">
        <f>P410</f>
        <v>1515</v>
      </c>
      <c r="Q413" s="4">
        <f>Q412</f>
        <v>1075</v>
      </c>
      <c r="Y413" s="42"/>
      <c r="AK413" s="42"/>
      <c r="AM413" s="1"/>
      <c r="AN413" s="4">
        <f>AN410</f>
        <v>915</v>
      </c>
      <c r="AO413" s="4">
        <f>AO412</f>
        <v>1175</v>
      </c>
      <c r="AW413" s="42"/>
    </row>
    <row r="414" spans="1:49" x14ac:dyDescent="0.25">
      <c r="A414" s="42"/>
      <c r="M414" s="42"/>
      <c r="O414" s="1"/>
      <c r="P414" s="4">
        <f>P410</f>
        <v>1515</v>
      </c>
      <c r="Q414" s="4">
        <f>Q410</f>
        <v>45</v>
      </c>
      <c r="Y414" s="42"/>
      <c r="AK414" s="42"/>
      <c r="AM414" s="1"/>
      <c r="AN414" s="4">
        <f>AN410</f>
        <v>915</v>
      </c>
      <c r="AO414" s="4">
        <f>AO410</f>
        <v>45</v>
      </c>
      <c r="AW414" s="42"/>
    </row>
    <row r="415" spans="1:49" x14ac:dyDescent="0.25">
      <c r="A415" s="42"/>
      <c r="M415" s="42"/>
      <c r="O415" s="92"/>
      <c r="P415" s="93"/>
      <c r="Q415" s="93"/>
      <c r="Y415" s="42"/>
      <c r="AK415" s="42"/>
      <c r="AM415" s="92"/>
      <c r="AN415" s="93"/>
      <c r="AO415" s="93"/>
      <c r="AW415" s="42"/>
    </row>
    <row r="416" spans="1:49" x14ac:dyDescent="0.25">
      <c r="A416" s="42"/>
      <c r="M416" s="42"/>
      <c r="O416" s="1" t="s">
        <v>121</v>
      </c>
      <c r="P416" s="4">
        <f>P365</f>
        <v>60</v>
      </c>
      <c r="Q416" s="4">
        <f>Q365</f>
        <v>0</v>
      </c>
      <c r="Y416" s="42"/>
      <c r="AK416" s="42"/>
      <c r="AM416" s="1" t="s">
        <v>121</v>
      </c>
      <c r="AN416" s="4">
        <f>AN365</f>
        <v>60</v>
      </c>
      <c r="AO416" s="4">
        <f>AO365</f>
        <v>0</v>
      </c>
      <c r="AW416" s="42"/>
    </row>
    <row r="417" spans="1:49" x14ac:dyDescent="0.25">
      <c r="A417" s="42"/>
      <c r="M417" s="42"/>
      <c r="O417" s="1"/>
      <c r="P417" s="4">
        <f>P318+P365</f>
        <v>1560</v>
      </c>
      <c r="Q417" s="4">
        <f>Q416</f>
        <v>0</v>
      </c>
      <c r="Y417" s="42"/>
      <c r="AK417" s="42"/>
      <c r="AM417" s="1"/>
      <c r="AN417" s="4">
        <f>AN318+AN365</f>
        <v>960</v>
      </c>
      <c r="AO417" s="4">
        <f>AO416</f>
        <v>0</v>
      </c>
      <c r="AW417" s="42"/>
    </row>
    <row r="418" spans="1:49" x14ac:dyDescent="0.25">
      <c r="A418" s="42"/>
      <c r="M418" s="42"/>
      <c r="O418" s="1"/>
      <c r="P418" s="4">
        <f>P417</f>
        <v>1560</v>
      </c>
      <c r="Q418" s="4">
        <f>Q417+45</f>
        <v>45</v>
      </c>
      <c r="Y418" s="42"/>
      <c r="AK418" s="42"/>
      <c r="AM418" s="1"/>
      <c r="AN418" s="4">
        <f>AN417</f>
        <v>960</v>
      </c>
      <c r="AO418" s="4">
        <f>AO417+45</f>
        <v>45</v>
      </c>
      <c r="AW418" s="42"/>
    </row>
    <row r="419" spans="1:49" x14ac:dyDescent="0.25">
      <c r="A419" s="42"/>
      <c r="M419" s="42"/>
      <c r="O419" s="1"/>
      <c r="P419" s="4">
        <f>P416</f>
        <v>60</v>
      </c>
      <c r="Q419" s="4">
        <f>Q418</f>
        <v>45</v>
      </c>
      <c r="Y419" s="42"/>
      <c r="AK419" s="42"/>
      <c r="AM419" s="1"/>
      <c r="AN419" s="4">
        <f>AN416</f>
        <v>60</v>
      </c>
      <c r="AO419" s="4">
        <f>AO418</f>
        <v>45</v>
      </c>
      <c r="AW419" s="42"/>
    </row>
    <row r="420" spans="1:49" x14ac:dyDescent="0.25">
      <c r="A420" s="42"/>
      <c r="M420" s="42"/>
      <c r="O420" s="1"/>
      <c r="P420" s="4">
        <f>P416</f>
        <v>60</v>
      </c>
      <c r="Q420" s="4">
        <f>Q416</f>
        <v>0</v>
      </c>
      <c r="Y420" s="42"/>
      <c r="AK420" s="42"/>
      <c r="AM420" s="1"/>
      <c r="AN420" s="4">
        <f>AN416</f>
        <v>60</v>
      </c>
      <c r="AO420" s="4">
        <f>AO416</f>
        <v>0</v>
      </c>
      <c r="AW420" s="42"/>
    </row>
    <row r="421" spans="1:49" x14ac:dyDescent="0.25">
      <c r="A421" s="42"/>
      <c r="M421" s="42"/>
      <c r="O421" s="92"/>
      <c r="P421" s="93"/>
      <c r="Q421" s="93"/>
      <c r="Y421" s="42"/>
      <c r="AK421" s="42"/>
      <c r="AM421" s="92"/>
      <c r="AN421" s="93"/>
      <c r="AO421" s="93"/>
      <c r="AW421" s="42"/>
    </row>
    <row r="422" spans="1:49" x14ac:dyDescent="0.25">
      <c r="A422" s="42"/>
      <c r="M422" s="42"/>
      <c r="O422" s="1" t="s">
        <v>122</v>
      </c>
      <c r="P422" s="4">
        <f>P365</f>
        <v>60</v>
      </c>
      <c r="Q422" s="4">
        <f>P319-45+Q365</f>
        <v>1075</v>
      </c>
      <c r="Y422" s="42"/>
      <c r="AK422" s="42"/>
      <c r="AM422" s="1" t="s">
        <v>122</v>
      </c>
      <c r="AN422" s="4">
        <f>AN365</f>
        <v>60</v>
      </c>
      <c r="AO422" s="4">
        <f>AN319-45+AO365</f>
        <v>1175</v>
      </c>
      <c r="AW422" s="42"/>
    </row>
    <row r="423" spans="1:49" x14ac:dyDescent="0.25">
      <c r="A423" s="42"/>
      <c r="M423" s="42"/>
      <c r="O423" s="1"/>
      <c r="P423" s="4">
        <f>P318+P365</f>
        <v>1560</v>
      </c>
      <c r="Q423" s="4">
        <f>Q422</f>
        <v>1075</v>
      </c>
      <c r="Y423" s="42"/>
      <c r="AK423" s="42"/>
      <c r="AM423" s="1"/>
      <c r="AN423" s="4">
        <f>AN318+AN365</f>
        <v>960</v>
      </c>
      <c r="AO423" s="4">
        <f>AO422</f>
        <v>1175</v>
      </c>
      <c r="AW423" s="42"/>
    </row>
    <row r="424" spans="1:49" x14ac:dyDescent="0.25">
      <c r="A424" s="42"/>
      <c r="M424" s="42"/>
      <c r="O424" s="1"/>
      <c r="P424" s="4">
        <f>P423</f>
        <v>1560</v>
      </c>
      <c r="Q424" s="4">
        <f>Q423+45</f>
        <v>1120</v>
      </c>
      <c r="Y424" s="42"/>
      <c r="AK424" s="42"/>
      <c r="AM424" s="1"/>
      <c r="AN424" s="4">
        <f>AN423</f>
        <v>960</v>
      </c>
      <c r="AO424" s="4">
        <f>AO423+45</f>
        <v>1220</v>
      </c>
      <c r="AW424" s="42"/>
    </row>
    <row r="425" spans="1:49" x14ac:dyDescent="0.25">
      <c r="A425" s="42"/>
      <c r="M425" s="42"/>
      <c r="O425" s="1"/>
      <c r="P425" s="4">
        <f>P422</f>
        <v>60</v>
      </c>
      <c r="Q425" s="4">
        <f>Q424</f>
        <v>1120</v>
      </c>
      <c r="Y425" s="42"/>
      <c r="AK425" s="42"/>
      <c r="AM425" s="1"/>
      <c r="AN425" s="4">
        <f>AN422</f>
        <v>60</v>
      </c>
      <c r="AO425" s="4">
        <f>AO424</f>
        <v>1220</v>
      </c>
      <c r="AW425" s="42"/>
    </row>
    <row r="426" spans="1:49" x14ac:dyDescent="0.25">
      <c r="A426" s="42"/>
      <c r="M426" s="42"/>
      <c r="O426" s="1"/>
      <c r="P426" s="4">
        <f>P422</f>
        <v>60</v>
      </c>
      <c r="Q426" s="4">
        <f>Q422</f>
        <v>1075</v>
      </c>
      <c r="Y426" s="42"/>
      <c r="AK426" s="42"/>
      <c r="AM426" s="1"/>
      <c r="AN426" s="4">
        <f>AN422</f>
        <v>60</v>
      </c>
      <c r="AO426" s="4">
        <f>AO422</f>
        <v>1175</v>
      </c>
      <c r="AW426" s="42"/>
    </row>
    <row r="427" spans="1:49" x14ac:dyDescent="0.25">
      <c r="A427" s="42"/>
      <c r="M427" s="42"/>
      <c r="O427" s="92"/>
      <c r="P427" s="93"/>
      <c r="Q427" s="93"/>
      <c r="Y427" s="42"/>
      <c r="AK427" s="42"/>
      <c r="AM427" s="92"/>
      <c r="AN427" s="93"/>
      <c r="AO427" s="93"/>
      <c r="AW427" s="42"/>
    </row>
    <row r="428" spans="1:49" x14ac:dyDescent="0.25">
      <c r="A428" s="42"/>
      <c r="M428" s="42"/>
      <c r="O428" s="92"/>
      <c r="P428" s="93"/>
      <c r="Q428" s="93"/>
      <c r="Y428" s="42"/>
      <c r="AK428" s="42"/>
      <c r="AM428" s="92"/>
      <c r="AN428" s="93"/>
      <c r="AO428" s="93"/>
      <c r="AW428" s="42"/>
    </row>
    <row r="429" spans="1:49" x14ac:dyDescent="0.25">
      <c r="A429" s="42"/>
      <c r="M429" s="42"/>
      <c r="O429" s="1" t="s">
        <v>123</v>
      </c>
      <c r="P429" s="4">
        <f>P365</f>
        <v>60</v>
      </c>
      <c r="Q429" s="4">
        <f>-Q366+Q365</f>
        <v>-250</v>
      </c>
      <c r="Y429" s="42"/>
      <c r="AK429" s="42"/>
      <c r="AM429" s="1" t="s">
        <v>123</v>
      </c>
      <c r="AN429" s="4">
        <f>AN365</f>
        <v>60</v>
      </c>
      <c r="AO429" s="4">
        <f>-AO366+AO365</f>
        <v>-250</v>
      </c>
      <c r="AW429" s="42"/>
    </row>
    <row r="430" spans="1:49" x14ac:dyDescent="0.25">
      <c r="A430" s="42"/>
      <c r="M430" s="42"/>
      <c r="O430" s="1"/>
      <c r="P430" s="4">
        <f>P318+P365</f>
        <v>1560</v>
      </c>
      <c r="Q430" s="4">
        <f>-Q366+Q365</f>
        <v>-250</v>
      </c>
      <c r="Y430" s="42"/>
      <c r="AK430" s="42"/>
      <c r="AM430" s="1"/>
      <c r="AN430" s="4">
        <f>AN318+AN365</f>
        <v>960</v>
      </c>
      <c r="AO430" s="4">
        <f>-AO366+AO365</f>
        <v>-250</v>
      </c>
      <c r="AW430" s="42"/>
    </row>
    <row r="431" spans="1:49" x14ac:dyDescent="0.25">
      <c r="A431" s="42"/>
      <c r="M431" s="42"/>
      <c r="O431" s="92"/>
      <c r="P431" s="93"/>
      <c r="Q431" s="93"/>
      <c r="Y431" s="42"/>
      <c r="AK431" s="42"/>
      <c r="AM431" s="92"/>
      <c r="AN431" s="93"/>
      <c r="AO431" s="93"/>
      <c r="AW431" s="42"/>
    </row>
    <row r="432" spans="1:49" x14ac:dyDescent="0.25">
      <c r="A432" s="42"/>
      <c r="M432" s="42"/>
      <c r="O432" s="1" t="s">
        <v>124</v>
      </c>
      <c r="P432" s="4">
        <f>(P430-P429)/2+P429</f>
        <v>810</v>
      </c>
      <c r="Q432" s="4">
        <f>Q365-Q366+Q372</f>
        <v>-250</v>
      </c>
      <c r="Y432" s="42"/>
      <c r="AK432" s="42"/>
      <c r="AM432" s="1" t="s">
        <v>124</v>
      </c>
      <c r="AN432" s="4">
        <f>(AN430-AN429)/2+AN429</f>
        <v>510</v>
      </c>
      <c r="AO432" s="4">
        <f>AO365-AO366+AO372</f>
        <v>-250</v>
      </c>
      <c r="AW432" s="42"/>
    </row>
    <row r="433" spans="1:49" x14ac:dyDescent="0.25">
      <c r="A433" s="42"/>
      <c r="M433" s="42"/>
      <c r="O433" s="1" t="str">
        <f>P318&amp;" mm"</f>
        <v>1500 mm</v>
      </c>
      <c r="P433" s="4">
        <f>P432+50</f>
        <v>860</v>
      </c>
      <c r="Q433" s="4">
        <f>Q432</f>
        <v>-250</v>
      </c>
      <c r="Y433" s="42"/>
      <c r="AK433" s="42"/>
      <c r="AM433" s="1" t="str">
        <f>AN318&amp;" mm"</f>
        <v>900 mm</v>
      </c>
      <c r="AN433" s="4">
        <f>AN432+50</f>
        <v>560</v>
      </c>
      <c r="AO433" s="4">
        <f>AO432</f>
        <v>-250</v>
      </c>
      <c r="AW433" s="42"/>
    </row>
    <row r="434" spans="1:49" x14ac:dyDescent="0.25">
      <c r="A434" s="42"/>
      <c r="M434" s="42"/>
      <c r="O434" s="92"/>
      <c r="P434" s="93"/>
      <c r="Q434" s="93"/>
      <c r="Y434" s="42"/>
      <c r="AK434" s="42"/>
      <c r="AM434" s="92"/>
      <c r="AN434" s="93"/>
      <c r="AO434" s="93"/>
      <c r="AW434" s="42"/>
    </row>
    <row r="435" spans="1:49" x14ac:dyDescent="0.25">
      <c r="A435" s="42"/>
      <c r="M435" s="42"/>
      <c r="O435" s="1" t="s">
        <v>125</v>
      </c>
      <c r="P435" s="4">
        <f>P367+P417</f>
        <v>1710</v>
      </c>
      <c r="Q435" s="4">
        <f>Q365</f>
        <v>0</v>
      </c>
      <c r="Y435" s="42"/>
      <c r="AK435" s="42"/>
      <c r="AM435" s="1" t="s">
        <v>125</v>
      </c>
      <c r="AN435" s="4">
        <f>AN367+AN417</f>
        <v>1110</v>
      </c>
      <c r="AO435" s="4">
        <f>AO365</f>
        <v>0</v>
      </c>
      <c r="AW435" s="42"/>
    </row>
    <row r="436" spans="1:49" x14ac:dyDescent="0.25">
      <c r="A436" s="42"/>
      <c r="M436" s="42"/>
      <c r="O436" s="1"/>
      <c r="P436" s="4">
        <f>P367+P417</f>
        <v>1710</v>
      </c>
      <c r="Q436" s="4">
        <f>Q365+P319</f>
        <v>1120</v>
      </c>
      <c r="Y436" s="42"/>
      <c r="AK436" s="42"/>
      <c r="AM436" s="1"/>
      <c r="AN436" s="4">
        <f>AN367+AN417</f>
        <v>1110</v>
      </c>
      <c r="AO436" s="4">
        <f>AO365+AN319</f>
        <v>1220</v>
      </c>
      <c r="AW436" s="42"/>
    </row>
    <row r="437" spans="1:49" x14ac:dyDescent="0.25">
      <c r="A437" s="42"/>
      <c r="M437" s="42"/>
      <c r="O437" s="92"/>
      <c r="P437" s="93"/>
      <c r="Q437" s="93"/>
      <c r="Y437" s="42"/>
      <c r="AK437" s="42"/>
      <c r="AM437" s="92"/>
      <c r="AN437" s="93"/>
      <c r="AO437" s="93"/>
      <c r="AW437" s="42"/>
    </row>
    <row r="438" spans="1:49" x14ac:dyDescent="0.25">
      <c r="A438" s="42"/>
      <c r="M438" s="42"/>
      <c r="O438" s="1" t="s">
        <v>126</v>
      </c>
      <c r="P438" s="4">
        <f>(P436-P435)/2+P435+P372</f>
        <v>1710</v>
      </c>
      <c r="Q438" s="4">
        <f>(Q436-Q435)/2+Q435</f>
        <v>560</v>
      </c>
      <c r="Y438" s="42"/>
      <c r="AK438" s="42"/>
      <c r="AM438" s="1" t="s">
        <v>126</v>
      </c>
      <c r="AN438" s="4">
        <f>(AN436-AN435)/2+AN435+AN372</f>
        <v>1110</v>
      </c>
      <c r="AO438" s="4">
        <f>(AO436-AO435)/2+AO435</f>
        <v>610</v>
      </c>
      <c r="AW438" s="42"/>
    </row>
    <row r="439" spans="1:49" x14ac:dyDescent="0.25">
      <c r="A439" s="42"/>
      <c r="M439" s="42"/>
      <c r="O439" s="1" t="str">
        <f>P319&amp;" mm"</f>
        <v>1120 mm</v>
      </c>
      <c r="P439" s="4">
        <f>P438</f>
        <v>1710</v>
      </c>
      <c r="Q439" s="4">
        <f>Q438+50</f>
        <v>610</v>
      </c>
      <c r="Y439" s="42"/>
      <c r="AK439" s="42"/>
      <c r="AM439" s="1" t="str">
        <f>AN319&amp;" mm"</f>
        <v>1220 mm</v>
      </c>
      <c r="AN439" s="4">
        <f>AN438</f>
        <v>1110</v>
      </c>
      <c r="AO439" s="4">
        <f>AO438+50</f>
        <v>660</v>
      </c>
      <c r="AW439" s="42"/>
    </row>
    <row r="440" spans="1:49" x14ac:dyDescent="0.25">
      <c r="A440" s="42"/>
      <c r="M440" s="42"/>
      <c r="O440" s="92"/>
      <c r="P440" s="93"/>
      <c r="Q440" s="93"/>
      <c r="Y440" s="42"/>
      <c r="AK440" s="42"/>
      <c r="AM440" s="92"/>
      <c r="AN440" s="93"/>
      <c r="AO440" s="93"/>
      <c r="AW440" s="42"/>
    </row>
    <row r="441" spans="1:49" x14ac:dyDescent="0.25">
      <c r="A441" s="42"/>
      <c r="M441" s="42"/>
      <c r="O441" s="1" t="s">
        <v>127</v>
      </c>
      <c r="P441" s="4">
        <f>P374-P368</f>
        <v>33</v>
      </c>
      <c r="Q441" s="4">
        <f>(Q376-Q374)/2+Q374</f>
        <v>560</v>
      </c>
      <c r="Y441" s="42"/>
      <c r="AK441" s="42"/>
      <c r="AM441" s="1" t="s">
        <v>127</v>
      </c>
      <c r="AN441" s="4">
        <f>AN374-AN368</f>
        <v>33</v>
      </c>
      <c r="AO441" s="4">
        <f>(AO376-AO374)/2+AO374</f>
        <v>610</v>
      </c>
      <c r="AW441" s="42"/>
    </row>
    <row r="442" spans="1:49" x14ac:dyDescent="0.25">
      <c r="A442" s="42"/>
      <c r="M442" s="42"/>
      <c r="O442" s="1" t="str">
        <f>"Panneaux + "&amp;P320&amp;" mm"</f>
        <v>Panneaux + 27 mm</v>
      </c>
      <c r="P442" s="4">
        <f>P441</f>
        <v>33</v>
      </c>
      <c r="Q442" s="4">
        <f>Q441+50</f>
        <v>610</v>
      </c>
      <c r="Y442" s="42"/>
      <c r="AK442" s="42"/>
      <c r="AM442" s="1" t="str">
        <f>"Panneaux + "&amp;AN320&amp;" mm"</f>
        <v>Panneaux + 27 mm</v>
      </c>
      <c r="AN442" s="4">
        <f>AN441</f>
        <v>33</v>
      </c>
      <c r="AO442" s="4">
        <f>AO441+50</f>
        <v>660</v>
      </c>
      <c r="AW442" s="42"/>
    </row>
    <row r="443" spans="1:49" x14ac:dyDescent="0.25">
      <c r="A443" s="42"/>
      <c r="M443" s="42"/>
      <c r="O443" s="92"/>
      <c r="P443" s="93"/>
      <c r="Q443" s="93"/>
      <c r="Y443" s="42"/>
      <c r="AK443" s="42"/>
      <c r="AM443" s="92"/>
      <c r="AN443" s="93"/>
      <c r="AO443" s="93"/>
      <c r="AW443" s="42"/>
    </row>
    <row r="444" spans="1:49" x14ac:dyDescent="0.25">
      <c r="A444" s="42"/>
      <c r="M444" s="42"/>
      <c r="O444" s="1" t="s">
        <v>128</v>
      </c>
      <c r="P444" s="4">
        <f>P369+P375</f>
        <v>1587</v>
      </c>
      <c r="Q444" s="4">
        <f>Q441</f>
        <v>560</v>
      </c>
      <c r="Y444" s="42"/>
      <c r="AK444" s="42"/>
      <c r="AM444" s="1" t="s">
        <v>128</v>
      </c>
      <c r="AN444" s="4">
        <f>AN369+AN375</f>
        <v>987</v>
      </c>
      <c r="AO444" s="4">
        <f>AO441</f>
        <v>610</v>
      </c>
      <c r="AW444" s="42"/>
    </row>
    <row r="445" spans="1:49" x14ac:dyDescent="0.25">
      <c r="A445" s="42"/>
      <c r="M445" s="42"/>
      <c r="O445" s="1" t="str">
        <f>"Panneaux + "&amp;P321&amp;" mm"</f>
        <v>Panneaux + 27 mm</v>
      </c>
      <c r="P445" s="4">
        <f>P444</f>
        <v>1587</v>
      </c>
      <c r="Q445" s="4">
        <f>Q442</f>
        <v>610</v>
      </c>
      <c r="Y445" s="42"/>
      <c r="AK445" s="42"/>
      <c r="AM445" s="1" t="str">
        <f>"Panneaux + "&amp;AN321&amp;" mm"</f>
        <v>Panneaux + 27 mm</v>
      </c>
      <c r="AN445" s="4">
        <f>AN444</f>
        <v>987</v>
      </c>
      <c r="AO445" s="4">
        <f>AO442</f>
        <v>660</v>
      </c>
      <c r="AW445" s="42"/>
    </row>
    <row r="446" spans="1:49" x14ac:dyDescent="0.25">
      <c r="A446" s="42"/>
      <c r="M446" s="42"/>
      <c r="O446" s="92"/>
      <c r="P446" s="93"/>
      <c r="Q446" s="93"/>
      <c r="Y446" s="42"/>
      <c r="AK446" s="42"/>
      <c r="AM446" s="92"/>
      <c r="AN446" s="93"/>
      <c r="AO446" s="93"/>
      <c r="AW446" s="42"/>
    </row>
    <row r="447" spans="1:49" x14ac:dyDescent="0.25">
      <c r="A447" s="42"/>
      <c r="M447" s="42"/>
      <c r="O447" s="1" t="s">
        <v>129</v>
      </c>
      <c r="P447" s="4">
        <f>P450</f>
        <v>840</v>
      </c>
      <c r="Q447" s="4">
        <f>Q376+Q370</f>
        <v>1160</v>
      </c>
      <c r="Y447" s="42"/>
      <c r="AK447" s="42"/>
      <c r="AM447" s="1" t="s">
        <v>129</v>
      </c>
      <c r="AN447" s="4">
        <f>AN450</f>
        <v>540</v>
      </c>
      <c r="AO447" s="4">
        <f>AO376+AO370</f>
        <v>1260</v>
      </c>
      <c r="AW447" s="42"/>
    </row>
    <row r="448" spans="1:49" x14ac:dyDescent="0.25">
      <c r="A448" s="42"/>
      <c r="M448" s="42"/>
      <c r="O448" s="1" t="str">
        <f>"Panneaux + "&amp;P322&amp;" mm"</f>
        <v>Panneaux + 40 mm</v>
      </c>
      <c r="P448" s="4">
        <f>P451</f>
        <v>890</v>
      </c>
      <c r="Q448" s="4">
        <f>Q447</f>
        <v>1160</v>
      </c>
      <c r="Y448" s="42"/>
      <c r="AK448" s="42"/>
      <c r="AM448" s="1" t="str">
        <f>"Panneaux + "&amp;AN322&amp;" mm"</f>
        <v>Panneaux + 40 mm</v>
      </c>
      <c r="AN448" s="4">
        <f>AN451</f>
        <v>590</v>
      </c>
      <c r="AO448" s="4">
        <f>AO447</f>
        <v>1260</v>
      </c>
      <c r="AW448" s="42"/>
    </row>
    <row r="449" spans="1:49" x14ac:dyDescent="0.25">
      <c r="A449" s="42"/>
      <c r="M449" s="42"/>
      <c r="O449" s="92"/>
      <c r="P449" s="93"/>
      <c r="Q449" s="93"/>
      <c r="Y449" s="42"/>
      <c r="AK449" s="42"/>
      <c r="AM449" s="92"/>
      <c r="AN449" s="93"/>
      <c r="AO449" s="93"/>
      <c r="AW449" s="42"/>
    </row>
    <row r="450" spans="1:49" x14ac:dyDescent="0.25">
      <c r="A450" s="42"/>
      <c r="M450" s="42"/>
      <c r="O450" s="1" t="s">
        <v>130</v>
      </c>
      <c r="P450" s="4">
        <f>P430/2+P429</f>
        <v>840</v>
      </c>
      <c r="Q450" s="4">
        <f>Q374+Q371</f>
        <v>-40</v>
      </c>
      <c r="Y450" s="42"/>
      <c r="AK450" s="42"/>
      <c r="AM450" s="1" t="s">
        <v>130</v>
      </c>
      <c r="AN450" s="4">
        <f>AN430/2+AN429</f>
        <v>540</v>
      </c>
      <c r="AO450" s="4">
        <f>AO374+AO371</f>
        <v>-40</v>
      </c>
      <c r="AW450" s="42"/>
    </row>
    <row r="451" spans="1:49" x14ac:dyDescent="0.25">
      <c r="A451" s="42"/>
      <c r="M451" s="42"/>
      <c r="O451" s="1" t="str">
        <f>"Panneaux + "&amp;P323&amp;" mm"</f>
        <v>Panneaux + 40 mm</v>
      </c>
      <c r="P451" s="4">
        <f>P450+50</f>
        <v>890</v>
      </c>
      <c r="Q451" s="4">
        <f>Q450</f>
        <v>-40</v>
      </c>
      <c r="Y451" s="42"/>
      <c r="AK451" s="42"/>
      <c r="AM451" s="1" t="str">
        <f>"Panneaux + "&amp;AN323&amp;" mm"</f>
        <v>Panneaux + 40 mm</v>
      </c>
      <c r="AN451" s="4">
        <f>AN450+50</f>
        <v>590</v>
      </c>
      <c r="AO451" s="4">
        <f>AO450</f>
        <v>-40</v>
      </c>
      <c r="AW451" s="42"/>
    </row>
    <row r="452" spans="1:49" x14ac:dyDescent="0.25">
      <c r="A452" s="42"/>
      <c r="B452" s="6"/>
      <c r="C452" s="6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6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6"/>
      <c r="AA452" s="6"/>
      <c r="AB452" s="42"/>
      <c r="AC452" s="42"/>
      <c r="AD452" s="42"/>
      <c r="AE452" s="42"/>
      <c r="AF452" s="42"/>
      <c r="AG452" s="42"/>
      <c r="AH452" s="42"/>
      <c r="AI452" s="42"/>
      <c r="AJ452" s="42"/>
      <c r="AK452" s="42"/>
      <c r="AL452" s="6"/>
      <c r="AM452" s="6"/>
      <c r="AN452" s="42"/>
      <c r="AO452" s="42"/>
      <c r="AP452" s="42"/>
      <c r="AQ452" s="42"/>
      <c r="AR452" s="42"/>
      <c r="AS452" s="42"/>
      <c r="AT452" s="42"/>
      <c r="AU452" s="42"/>
      <c r="AV452" s="42"/>
      <c r="AW452" s="42"/>
    </row>
  </sheetData>
  <mergeCells count="14">
    <mergeCell ref="C159:K159"/>
    <mergeCell ref="O159:W159"/>
    <mergeCell ref="AA159:AI159"/>
    <mergeCell ref="AM159:AU159"/>
    <mergeCell ref="O310:W310"/>
    <mergeCell ref="AM310:AU310"/>
    <mergeCell ref="C4:K4"/>
    <mergeCell ref="O4:W4"/>
    <mergeCell ref="AA4:AI4"/>
    <mergeCell ref="AM4:AU4"/>
    <mergeCell ref="J8:K9"/>
    <mergeCell ref="V8:W9"/>
    <mergeCell ref="AH8:AI9"/>
    <mergeCell ref="AT8:AU9"/>
  </mergeCells>
  <dataValidations count="1">
    <dataValidation type="list" allowBlank="1" showInputMessage="1" showErrorMessage="1" sqref="D14:D15 AB14" xr:uid="{2283207D-7B1F-4780-B589-5E98CFA15F1E}">
      <formula1>"non,oui"</formula1>
    </dataValidation>
  </dataValidations>
  <pageMargins left="0.25" right="0.25" top="0.75" bottom="0.75" header="0.3" footer="0.3"/>
  <pageSetup paperSize="9" scale="1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0752601-6083-473a-a84d-075c6926e982">
      <Terms xmlns="http://schemas.microsoft.com/office/infopath/2007/PartnerControls"/>
    </lcf76f155ced4ddcb4097134ff3c332f>
    <TaxCatchAll xmlns="ee7dce0d-8719-4337-90f6-d06a689934e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08189B04B41948835A04CDF7664B98" ma:contentTypeVersion="19" ma:contentTypeDescription="Crée un document." ma:contentTypeScope="" ma:versionID="c5ebc79a3d927da1c92deda4f9562bdf">
  <xsd:schema xmlns:xsd="http://www.w3.org/2001/XMLSchema" xmlns:xs="http://www.w3.org/2001/XMLSchema" xmlns:p="http://schemas.microsoft.com/office/2006/metadata/properties" xmlns:ns2="00752601-6083-473a-a84d-075c6926e982" xmlns:ns3="ee7dce0d-8719-4337-90f6-d06a689934e4" targetNamespace="http://schemas.microsoft.com/office/2006/metadata/properties" ma:root="true" ma:fieldsID="7819901b1c61059add383d051dd012fd" ns2:_="" ns3:_="">
    <xsd:import namespace="00752601-6083-473a-a84d-075c6926e982"/>
    <xsd:import namespace="ee7dce0d-8719-4337-90f6-d06a689934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752601-6083-473a-a84d-075c6926e9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abd8494-92dc-4ec8-925a-6444d54931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0d-8719-4337-90f6-d06a689934e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91814a5d-ebd5-4d0e-aed3-35c62593ddcd}" ma:internalName="TaxCatchAll" ma:showField="CatchAllData" ma:web="ee7dce0d-8719-4337-90f6-d06a689934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ABE6B6-9852-4FF5-9DB6-8F1569E9E317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  <ds:schemaRef ds:uri="http://purl.org/dc/terms/"/>
    <ds:schemaRef ds:uri="ee7dce0d-8719-4337-90f6-d06a689934e4"/>
    <ds:schemaRef ds:uri="00752601-6083-473a-a84d-075c6926e98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62451D5-12DD-4805-813C-C082045F6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752601-6083-473a-a84d-075c6926e982"/>
    <ds:schemaRef ds:uri="ee7dce0d-8719-4337-90f6-d06a689934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2FA589-47C1-44E1-A215-60B3093A89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Ensemble</vt:lpstr>
      <vt:lpstr>Ensemble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BE2 SOCAB</cp:lastModifiedBy>
  <dcterms:created xsi:type="dcterms:W3CDTF">2023-11-07T07:02:49Z</dcterms:created>
  <dcterms:modified xsi:type="dcterms:W3CDTF">2023-11-10T10:39:59Z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0x0101008408189B04B41948835A04CDF7664B98</vt:lpwstr>
  </property>
  <property fmtid="{D5CDD505-2E9C-101B-9397-08002B2CF9AE}" pid="3" name="MediaServiceImageTags">
    <vt:lpwstr/>
  </property>
</Properties>
</file>