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_Dépense" sheetId="31" r:id="rId10"/>
  </sheets>
  <functionGroups/>
  <definedNames>
    <definedName name="_xlnm._FilterDatabase" localSheetId="2" hidden="1">Crédit_Débit!$A$3:$I$51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24519"/>
  <pivotCaches>
    <pivotCache cacheId="7" r:id="rId11"/>
  </pivotCaches>
</workbook>
</file>

<file path=xl/calcChain.xml><?xml version="1.0" encoding="utf-8"?>
<calcChain xmlns="http://schemas.openxmlformats.org/spreadsheetml/2006/main">
  <c r="J51" i="7"/>
  <c r="K51"/>
  <c r="J50"/>
  <c r="K50"/>
  <c r="J49"/>
  <c r="K49"/>
  <c r="J48"/>
  <c r="K48"/>
  <c r="J47"/>
  <c r="K47"/>
  <c r="J46"/>
  <c r="K46"/>
  <c r="J45"/>
  <c r="K45"/>
  <c r="J44"/>
  <c r="K44"/>
  <c r="J43"/>
  <c r="K43"/>
  <c r="J21"/>
  <c r="K21"/>
  <c r="J42"/>
  <c r="K42"/>
  <c r="J41"/>
  <c r="K41"/>
  <c r="J38"/>
  <c r="K38"/>
  <c r="J37"/>
  <c r="K37"/>
  <c r="J40"/>
  <c r="K40"/>
  <c r="J39"/>
  <c r="K39"/>
  <c r="J36"/>
  <c r="K36"/>
  <c r="J35"/>
  <c r="K35"/>
  <c r="J34"/>
  <c r="K34"/>
  <c r="J33"/>
  <c r="K33"/>
  <c r="J32"/>
  <c r="K32"/>
  <c r="J31"/>
  <c r="K31"/>
  <c r="J30"/>
  <c r="K30"/>
  <c r="J20"/>
  <c r="K20"/>
  <c r="J29"/>
  <c r="K29"/>
  <c r="J7" i="32"/>
  <c r="J28" i="7"/>
  <c r="K28"/>
  <c r="J19"/>
  <c r="K19"/>
  <c r="J18"/>
  <c r="K18"/>
  <c r="J15" l="1"/>
  <c r="K15"/>
  <c r="J14"/>
  <c r="K14"/>
  <c r="J12"/>
  <c r="K12"/>
  <c r="J11"/>
  <c r="K11"/>
  <c r="J7"/>
  <c r="K7"/>
  <c r="J27"/>
  <c r="K27"/>
  <c r="J26"/>
  <c r="K26"/>
  <c r="J25"/>
  <c r="K25"/>
  <c r="J24"/>
  <c r="K24"/>
  <c r="J23"/>
  <c r="K23"/>
  <c r="J22"/>
  <c r="K22"/>
  <c r="J6" i="32"/>
  <c r="J17" i="7"/>
  <c r="K17"/>
  <c r="J5" i="32"/>
  <c r="J16" i="7"/>
  <c r="K16"/>
  <c r="J4" i="32"/>
  <c r="J13" i="7"/>
  <c r="K13"/>
  <c r="J3" i="32"/>
  <c r="J10" i="7"/>
  <c r="K10"/>
  <c r="J2" i="32"/>
  <c r="J9" i="7"/>
  <c r="K9"/>
  <c r="J4"/>
  <c r="K4"/>
  <c r="J8"/>
  <c r="K8"/>
  <c r="J6"/>
  <c r="K6"/>
  <c r="J5" l="1"/>
  <c r="K5"/>
  <c r="S4" i="27" l="1"/>
  <c r="T4"/>
  <c r="U4"/>
  <c r="V4"/>
  <c r="W4"/>
  <c r="X4"/>
  <c r="Y4"/>
  <c r="Z4"/>
  <c r="AA4"/>
  <c r="AB4"/>
  <c r="AC4"/>
  <c r="R4"/>
  <c r="E4"/>
  <c r="X2"/>
  <c r="T2"/>
  <c r="W2"/>
  <c r="AA2"/>
  <c r="U2"/>
  <c r="S2"/>
  <c r="AB2"/>
  <c r="R2"/>
  <c r="Y2"/>
  <c r="AC2"/>
  <c r="Z2"/>
  <c r="V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L4" i="7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9"/>
            <color indexed="81"/>
            <rFont val="Tahoma"/>
            <family val="2"/>
          </rPr>
          <t>Cette colonne pourra être masquée</t>
        </r>
      </text>
    </comment>
  </commentList>
</comments>
</file>

<file path=xl/comments2.xml><?xml version="1.0" encoding="utf-8"?>
<comments xmlns="http://schemas.openxmlformats.org/spreadsheetml/2006/main">
  <authors>
    <author>PC-HP</author>
  </authors>
  <commentList>
    <comment ref="A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<sst xmlns="http://schemas.openxmlformats.org/spreadsheetml/2006/main" count="683" uniqueCount="250">
  <si>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</si>
  <si>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</si>
  <si>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</si>
  <si>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</si>
  <si>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</si>
  <si>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</si>
  <si>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</si>
  <si>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</si>
  <si>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</si>
  <si>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</si>
  <si>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</si>
  <si>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</si>
  <si>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</si>
  <si>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</si>
  <si>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</si>
  <si>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</si>
  <si>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</si>
  <si>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</si>
  <si>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</si>
  <si>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</si>
  <si>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</si>
  <si>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</si>
  <si>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</si>
  <si>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</si>
  <si>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</si>
  <si>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</si>
  <si>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</si>
  <si>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</si>
  <si>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</si>
  <si>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</si>
  <si>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</si>
  <si>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Alimentation festif</t>
  </si>
  <si>
    <t>Dépenses de santé</t>
  </si>
  <si>
    <t>Dentiste</t>
  </si>
  <si>
    <t>Pharmacie</t>
  </si>
  <si>
    <t>Emploi</t>
  </si>
  <si>
    <t>Salaire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</si>
  <si>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</si>
  <si>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</si>
  <si>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</si>
  <si>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</si>
  <si>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</si>
  <si>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</si>
  <si>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</si>
  <si>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</si>
  <si>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</si>
  <si>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</si>
  <si>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</si>
  <si>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</si>
  <si>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</si>
  <si>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</si>
  <si>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</si>
  <si>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</si>
  <si>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</si>
  <si>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</si>
  <si>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</si>
  <si>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</si>
  <si>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</si>
  <si>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</si>
  <si>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</si>
  <si>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</si>
  <si>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</si>
  <si>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</si>
  <si>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</si>
  <si>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</si>
  <si>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</si>
  <si>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</si>
  <si>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</si>
  <si>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</si>
  <si>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</si>
  <si>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</si>
  <si>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</si>
  <si>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</si>
  <si>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</si>
  <si>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</si>
  <si>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</si>
  <si>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</si>
  <si>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</si>
  <si>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</si>
  <si>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</si>
  <si>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</si>
  <si>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</si>
  <si>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</si>
  <si>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</si>
  <si>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</si>
  <si>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</si>
  <si>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</si>
  <si>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</si>
  <si>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</si>
  <si>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</si>
  <si>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</si>
  <si>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</si>
  <si>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</si>
  <si>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</si>
  <si>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</si>
  <si>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</si>
  <si>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</si>
  <si>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</si>
  <si>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</si>
  <si>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</si>
  <si>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</si>
  <si>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</si>
  <si>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</si>
  <si>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</si>
  <si>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</si>
  <si>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</si>
  <si>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</si>
  <si>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</si>
  <si>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</si>
  <si>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</si>
  <si>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</si>
  <si>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</si>
  <si>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</si>
  <si>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</si>
  <si>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</si>
  <si>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</si>
  <si>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</si>
  <si>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Inscrite</t>
  </si>
  <si>
    <t>XYX</t>
  </si>
  <si>
    <t>CA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</si>
  <si>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</si>
  <si>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</si>
  <si>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</si>
  <si>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</si>
  <si>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</si>
  <si>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</si>
  <si>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</si>
  <si>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</si>
  <si>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</si>
  <si>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</si>
  <si>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</si>
  <si>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</si>
  <si>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</si>
  <si>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</si>
  <si>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</si>
  <si>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</si>
  <si>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</si>
  <si>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</si>
  <si>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</si>
  <si>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</si>
  <si>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</si>
  <si>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</si>
  <si>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</si>
  <si>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</si>
  <si>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</si>
  <si>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</si>
  <si>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</si>
  <si>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</si>
  <si>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</si>
  <si>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</si>
  <si>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</si>
  <si>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</si>
  <si>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</si>
  <si>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</si>
  <si>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</si>
  <si>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</si>
  <si>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</si>
  <si>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</si>
  <si>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</si>
  <si>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</si>
  <si>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</si>
  <si>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</si>
  <si>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</si>
  <si>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</si>
  <si>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</si>
  <si>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</si>
  <si>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</si>
  <si>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</si>
  <si>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</si>
  <si>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</si>
  <si>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</si>
  <si>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Sans Plomb 95</t>
  </si>
  <si>
    <t>Sans Plomb 98</t>
  </si>
  <si>
    <t>Sans Plomb 95 E10</t>
  </si>
  <si>
    <t>GPL</t>
  </si>
  <si>
    <t>Gasoil</t>
  </si>
  <si>
    <t>306 - fx1111</t>
  </si>
  <si>
    <t>Id (transfert ou carb)</t>
  </si>
  <si>
    <t>IdCarburant</t>
  </si>
  <si>
    <t>IdTransfert</t>
  </si>
  <si>
    <t>Véhicule1</t>
  </si>
  <si>
    <t>Véhicule2</t>
  </si>
  <si>
    <t>Véhicule3</t>
  </si>
  <si>
    <t>N° chèque</t>
  </si>
  <si>
    <t>10</t>
  </si>
  <si>
    <t>Solde Réel / Banque</t>
  </si>
  <si>
    <t>Années</t>
  </si>
  <si>
    <t>2015</t>
  </si>
  <si>
    <t>(vide)</t>
  </si>
  <si>
    <t>Test 4</t>
  </si>
  <si>
    <t>azazaza</t>
  </si>
  <si>
    <t>Hygiène, soin modifie</t>
  </si>
  <si>
    <t>Habitation 2</t>
  </si>
  <si>
    <t>a1</t>
  </si>
  <si>
    <t>a2</t>
  </si>
  <si>
    <t>aaaa</t>
  </si>
  <si>
    <t>aazaz</t>
  </si>
  <si>
    <t>YYY - Compte Courant - lib modifié</t>
  </si>
  <si>
    <t>janv</t>
  </si>
  <si>
    <t>Banques</t>
  </si>
  <si>
    <t>Non</t>
  </si>
  <si>
    <t>XXX - Compte Courants</t>
  </si>
  <si>
    <t>bbbb</t>
  </si>
  <si>
    <t>Ajout du compte</t>
  </si>
  <si>
    <t>C41</t>
  </si>
  <si>
    <t>C42</t>
  </si>
  <si>
    <t>333,33</t>
  </si>
  <si>
    <t>C47</t>
  </si>
  <si>
    <t>C48</t>
  </si>
  <si>
    <t>444,44</t>
  </si>
  <si>
    <t>45,45</t>
  </si>
  <si>
    <t>C49</t>
  </si>
  <si>
    <t>555,55</t>
  </si>
  <si>
    <t>54,54</t>
  </si>
  <si>
    <t>bbb</t>
  </si>
  <si>
    <t>févr</t>
  </si>
  <si>
    <t>Ferrari</t>
  </si>
  <si>
    <t>Lonborghini</t>
  </si>
  <si>
    <t>Porsche - XF9999</t>
  </si>
  <si>
    <t>Assurance 3</t>
  </si>
  <si>
    <t>TD60</t>
  </si>
  <si>
    <t>Transfert init</t>
  </si>
  <si>
    <t>TC60</t>
  </si>
  <si>
    <t>TD62</t>
  </si>
  <si>
    <t>Copie 12 (crédit)</t>
  </si>
  <si>
    <t>TC62</t>
  </si>
  <si>
    <t>TD63</t>
  </si>
  <si>
    <t>TC63</t>
  </si>
  <si>
    <t>C56</t>
  </si>
  <si>
    <t>3333,44</t>
  </si>
  <si>
    <t>2222,22</t>
  </si>
  <si>
    <t>56,56</t>
  </si>
  <si>
    <t>TD64</t>
  </si>
  <si>
    <t>TC64</t>
  </si>
  <si>
    <t>TD65</t>
  </si>
  <si>
    <t>TC65</t>
  </si>
  <si>
    <t>TD66</t>
  </si>
  <si>
    <t>TC66</t>
  </si>
  <si>
    <t>TD67</t>
  </si>
  <si>
    <t>22,22</t>
  </si>
  <si>
    <t>TD68</t>
  </si>
  <si>
    <t>Crédit / Débit</t>
  </si>
  <si>
    <t>TD69</t>
  </si>
  <si>
    <t>TC69</t>
  </si>
  <si>
    <t>TD70</t>
  </si>
  <si>
    <t>TC70</t>
  </si>
  <si>
    <t>TD72</t>
  </si>
  <si>
    <t>TC72</t>
  </si>
  <si>
    <t>TD73</t>
  </si>
  <si>
    <t>TC73</t>
  </si>
</sst>
</file>

<file path=xl/styles.xml><?xml version="1.0" encoding="utf-8"?>
<styleSheet xmlns="http://schemas.openxmlformats.org/spreadsheetml/2006/main">
  <numFmts count="9">
    <numFmt numFmtId="164" formatCode="&quot;€&quot;#,##0.00_);[Red]\(&quot;€&quot;#,##0.00\)"/>
    <numFmt numFmtId="165" formatCode="[$-40C]d\-mmm\-yy;@"/>
    <numFmt numFmtId="166" formatCode="#,##0.00\ &quot;€&quot;"/>
    <numFmt numFmtId="167" formatCode="#,##0.00\ _€"/>
    <numFmt numFmtId="168" formatCode="[$-F800]dddd\,\ mmmm\ dd\,\ yyyy"/>
    <numFmt numFmtId="169" formatCode="#,##0.000\ &quot;€&quot;"/>
    <numFmt numFmtId="170" formatCode="#,##0.00&quot; Km&quot;"/>
    <numFmt numFmtId="171" formatCode="#,##0.00&quot; l&quot;"/>
    <numFmt numFmtId="172" formatCode="dd/mm/yy;@"/>
  </numFmts>
  <fonts count="22">
    <font>
      <sz val="10"/>
      <name val="Arial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8"/>
      <color theme="1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  <font>
      <sz val="10"/>
      <name val="Wingdings 2"/>
      <family val="1"/>
      <charset val="2"/>
    </font>
    <font>
      <sz val="10"/>
      <name val="Wingdings 2"/>
    </font>
  </fonts>
  <fills count="2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67">
    <xf numFmtId="0" fontId="0" fillId="0" borderId="0" xfId="0"/>
    <xf numFmtId="0" fontId="0" fillId="0" borderId="0" xfId="0" pivotButton="1"/>
    <xf numFmtId="0" fontId="0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5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Alignment="1">
      <alignment vertical="top" wrapText="1"/>
    </xf>
    <xf numFmtId="165" fontId="2" fillId="0" borderId="0" xfId="0" applyNumberFormat="1" applyFont="1" applyFill="1" applyAlignment="1">
      <alignment vertical="top" wrapText="1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3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6" fontId="0" fillId="0" borderId="0" xfId="0" applyNumberFormat="1"/>
    <xf numFmtId="166" fontId="3" fillId="0" borderId="0" xfId="0" applyNumberFormat="1" applyFont="1" applyFill="1" applyAlignment="1">
      <alignment horizontal="center" vertical="center"/>
    </xf>
    <xf numFmtId="0" fontId="0" fillId="11" borderId="0" xfId="0" applyNumberFormat="1" applyFill="1"/>
    <xf numFmtId="0" fontId="2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3" fillId="0" borderId="1" xfId="0" applyNumberFormat="1" applyFont="1" applyBorder="1" applyAlignment="1">
      <alignment vertical="center"/>
    </xf>
    <xf numFmtId="167" fontId="5" fillId="0" borderId="2" xfId="0" applyNumberFormat="1" applyFont="1" applyBorder="1" applyAlignment="1" applyProtection="1">
      <alignment vertical="center"/>
      <protection locked="0"/>
    </xf>
    <xf numFmtId="166" fontId="3" fillId="0" borderId="1" xfId="0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13" borderId="14" xfId="0" applyFont="1" applyFill="1" applyBorder="1"/>
    <xf numFmtId="0" fontId="7" fillId="13" borderId="17" xfId="0" applyFont="1" applyFill="1" applyBorder="1"/>
    <xf numFmtId="0" fontId="7" fillId="14" borderId="21" xfId="0" applyFont="1" applyFill="1" applyBorder="1" applyAlignment="1">
      <alignment horizontal="center" vertical="center" wrapText="1"/>
    </xf>
    <xf numFmtId="0" fontId="7" fillId="15" borderId="21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7" fillId="16" borderId="25" xfId="0" applyFont="1" applyFill="1" applyBorder="1" applyAlignment="1">
      <alignment horizontal="center" vertical="center" wrapText="1"/>
    </xf>
    <xf numFmtId="0" fontId="7" fillId="16" borderId="27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/>
    </xf>
    <xf numFmtId="16" fontId="10" fillId="0" borderId="33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6" fontId="10" fillId="0" borderId="35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3" fillId="0" borderId="40" xfId="0" applyFont="1" applyBorder="1" applyAlignment="1">
      <alignment vertical="top" wrapText="1"/>
    </xf>
    <xf numFmtId="0" fontId="13" fillId="0" borderId="13" xfId="0" applyFont="1" applyBorder="1" applyAlignment="1">
      <alignment vertical="top" wrapText="1"/>
    </xf>
    <xf numFmtId="0" fontId="2" fillId="0" borderId="0" xfId="0" applyFont="1"/>
    <xf numFmtId="0" fontId="2" fillId="0" borderId="3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3" fillId="0" borderId="5" xfId="0" applyNumberFormat="1" applyFont="1" applyFill="1" applyBorder="1" applyAlignment="1">
      <alignment horizontal="center" vertical="center"/>
    </xf>
    <xf numFmtId="166" fontId="3" fillId="0" borderId="7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2" fillId="12" borderId="0" xfId="0" applyFont="1" applyFill="1"/>
    <xf numFmtId="0" fontId="1" fillId="0" borderId="0" xfId="0" applyNumberFormat="1" applyFont="1" applyFill="1" applyAlignment="1">
      <alignment vertical="top" wrapText="1"/>
    </xf>
    <xf numFmtId="172" fontId="1" fillId="0" borderId="0" xfId="0" applyNumberFormat="1" applyFont="1" applyFill="1" applyAlignment="1">
      <alignment vertical="top" wrapText="1"/>
    </xf>
    <xf numFmtId="0" fontId="2" fillId="0" borderId="0" xfId="0" applyFont="1" applyBorder="1" applyAlignment="1">
      <alignment vertical="top" wrapText="1"/>
    </xf>
    <xf numFmtId="166" fontId="2" fillId="0" borderId="0" xfId="0" applyNumberFormat="1" applyFont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165" fontId="2" fillId="0" borderId="0" xfId="0" applyNumberFormat="1" applyFont="1" applyBorder="1"/>
    <xf numFmtId="166" fontId="2" fillId="0" borderId="0" xfId="0" applyNumberFormat="1" applyFont="1" applyBorder="1"/>
    <xf numFmtId="170" fontId="2" fillId="0" borderId="0" xfId="0" applyNumberFormat="1" applyFont="1" applyBorder="1"/>
    <xf numFmtId="171" fontId="2" fillId="0" borderId="0" xfId="0" applyNumberFormat="1" applyFont="1" applyBorder="1"/>
    <xf numFmtId="169" fontId="2" fillId="0" borderId="0" xfId="0" applyNumberFormat="1" applyFont="1" applyBorder="1"/>
    <xf numFmtId="0" fontId="2" fillId="0" borderId="0" xfId="0" applyNumberFormat="1" applyFont="1" applyBorder="1"/>
    <xf numFmtId="0" fontId="2" fillId="0" borderId="0" xfId="0" applyFont="1" applyAlignment="1">
      <alignment vertical="top" wrapText="1"/>
    </xf>
    <xf numFmtId="166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166" fontId="2" fillId="20" borderId="0" xfId="0" applyNumberFormat="1" applyFont="1" applyFill="1" applyBorder="1" applyAlignment="1">
      <alignment vertical="top" wrapText="1"/>
    </xf>
    <xf numFmtId="164" fontId="2" fillId="20" borderId="0" xfId="0" applyNumberFormat="1" applyFont="1" applyFill="1" applyBorder="1" applyAlignment="1">
      <alignment vertical="top" wrapText="1"/>
    </xf>
    <xf numFmtId="0" fontId="2" fillId="12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168" fontId="2" fillId="12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9" fillId="4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172" fontId="2" fillId="0" borderId="0" xfId="0" applyNumberFormat="1" applyFont="1" applyAlignment="1">
      <alignment horizontal="center" vertical="top" wrapText="1"/>
    </xf>
    <xf numFmtId="172" fontId="2" fillId="0" borderId="0" xfId="0" applyNumberFormat="1" applyFont="1" applyBorder="1" applyAlignment="1">
      <alignment vertical="top" wrapText="1"/>
    </xf>
    <xf numFmtId="165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top"/>
    </xf>
    <xf numFmtId="172" fontId="2" fillId="0" borderId="0" xfId="0" applyNumberFormat="1" applyFont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0" fontId="2" fillId="0" borderId="0" xfId="0" applyNumberFormat="1" applyFont="1" applyAlignment="1">
      <alignment vertical="top" wrapText="1"/>
    </xf>
    <xf numFmtId="0" fontId="2" fillId="0" borderId="0" xfId="0" applyNumberFormat="1" applyFont="1" applyAlignment="1">
      <alignment vertical="top"/>
    </xf>
    <xf numFmtId="166" fontId="2" fillId="0" borderId="0" xfId="0" applyNumberFormat="1" applyFont="1"/>
    <xf numFmtId="0" fontId="2" fillId="0" borderId="0" xfId="0" applyFont="1" applyAlignment="1"/>
    <xf numFmtId="0" fontId="2" fillId="0" borderId="0" xfId="0" applyNumberFormat="1" applyFont="1" applyAlignment="1"/>
    <xf numFmtId="165" fontId="2" fillId="0" borderId="0" xfId="0" applyNumberFormat="1" applyFont="1"/>
    <xf numFmtId="170" fontId="2" fillId="0" borderId="0" xfId="0" applyNumberFormat="1" applyFont="1"/>
    <xf numFmtId="171" fontId="2" fillId="0" borderId="0" xfId="0" applyNumberFormat="1" applyFont="1"/>
    <xf numFmtId="169" fontId="2" fillId="0" borderId="0" xfId="0" applyNumberFormat="1" applyFont="1"/>
    <xf numFmtId="0" fontId="0" fillId="0" borderId="0" xfId="0" applyFont="1" applyBorder="1" applyAlignment="1">
      <alignment vertical="top" wrapText="1"/>
    </xf>
    <xf numFmtId="172" fontId="0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6" fontId="0" fillId="0" borderId="0" xfId="0" applyNumberFormat="1" applyFont="1" applyBorder="1" applyAlignment="1">
      <alignment vertical="top" wrapText="1"/>
    </xf>
    <xf numFmtId="0" fontId="0" fillId="0" borderId="0" xfId="0" applyNumberFormat="1" applyFont="1" applyBorder="1" applyAlignment="1">
      <alignment vertical="top" wrapText="1"/>
    </xf>
    <xf numFmtId="0" fontId="0" fillId="0" borderId="0" xfId="0" applyNumberFormat="1" applyFont="1" applyBorder="1" applyAlignment="1">
      <alignment vertical="top"/>
    </xf>
    <xf numFmtId="164" fontId="0" fillId="0" borderId="0" xfId="0" applyNumberFormat="1" applyFont="1" applyBorder="1" applyAlignment="1">
      <alignment vertical="top" wrapText="1"/>
    </xf>
    <xf numFmtId="164" fontId="20" fillId="0" borderId="0" xfId="0" applyNumberFormat="1" applyFont="1" applyBorder="1" applyAlignment="1" applyProtection="1">
      <alignment horizontal="center" vertical="center" wrapText="1"/>
      <protection locked="0"/>
    </xf>
    <xf numFmtId="164" fontId="20" fillId="0" borderId="0" xfId="0" applyNumberFormat="1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2" fillId="17" borderId="0" xfId="0" applyFont="1" applyFill="1" applyAlignment="1">
      <alignment horizontal="center" vertical="center" wrapText="1"/>
    </xf>
    <xf numFmtId="0" fontId="2" fillId="18" borderId="43" xfId="0" applyFont="1" applyFill="1" applyBorder="1" applyAlignment="1">
      <alignment horizontal="center"/>
    </xf>
    <xf numFmtId="0" fontId="2" fillId="18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3" fillId="0" borderId="41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6" fillId="13" borderId="13" xfId="0" applyFont="1" applyFill="1" applyBorder="1" applyAlignment="1">
      <alignment horizontal="center" vertical="center"/>
    </xf>
    <xf numFmtId="0" fontId="6" fillId="13" borderId="14" xfId="0" applyFont="1" applyFill="1" applyBorder="1" applyAlignment="1">
      <alignment horizontal="center" vertical="center"/>
    </xf>
    <xf numFmtId="0" fontId="6" fillId="13" borderId="15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116">
    <dxf>
      <font>
        <condense val="0"/>
        <extend val="0"/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64" formatCode="&quot;€&quot;#,##0.00_);[Red]\(&quot;€&quot;#,##0.00\)"/>
      <alignment horizontal="center" vertical="center" textRotation="0" wrapText="1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5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5" formatCode="[$-40C]d\-mmm\-yy;@"/>
      <alignment horizontal="general" vertical="top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72" formatCode="dd/mm/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  <xdr:twoCellAnchor>
    <xdr:from>
      <xdr:col>1</xdr:col>
      <xdr:colOff>190501</xdr:colOff>
      <xdr:row>0</xdr:row>
      <xdr:rowOff>38100</xdr:rowOff>
    </xdr:from>
    <xdr:to>
      <xdr:col>2</xdr:col>
      <xdr:colOff>628650</xdr:colOff>
      <xdr:row>0</xdr:row>
      <xdr:rowOff>419100</xdr:rowOff>
    </xdr:to>
    <xdr:sp macro="[0]!mensuel" textlink="">
      <xdr:nvSpPr>
        <xdr:cNvPr id="10" name="Rectangle 9"/>
        <xdr:cNvSpPr/>
      </xdr:nvSpPr>
      <xdr:spPr bwMode="auto">
        <a:xfrm>
          <a:off x="1790701" y="38100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1</xdr:row>
      <xdr:rowOff>76200</xdr:rowOff>
    </xdr:from>
    <xdr:to>
      <xdr:col>6</xdr:col>
      <xdr:colOff>57149</xdr:colOff>
      <xdr:row>3</xdr:row>
      <xdr:rowOff>133350</xdr:rowOff>
    </xdr:to>
    <xdr:sp macro="[0]!GestionRubriques" textlink="">
      <xdr:nvSpPr>
        <xdr:cNvPr id="2" name="Rectangle 1"/>
        <xdr:cNvSpPr/>
      </xdr:nvSpPr>
      <xdr:spPr bwMode="auto">
        <a:xfrm>
          <a:off x="5591175" y="238125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[0]!AffichSupprCompte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[0]!AffichModifCompte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xdr:twoCellAnchor>
    <xdr:from>
      <xdr:col>5</xdr:col>
      <xdr:colOff>352425</xdr:colOff>
      <xdr:row>13</xdr:row>
      <xdr:rowOff>152400</xdr:rowOff>
    </xdr:from>
    <xdr:to>
      <xdr:col>5</xdr:col>
      <xdr:colOff>1152524</xdr:colOff>
      <xdr:row>16</xdr:row>
      <xdr:rowOff>47624</xdr:rowOff>
    </xdr:to>
    <xdr:sp macro="[0]!modMAJ.transfert_total_version" textlink="">
      <xdr:nvSpPr>
        <xdr:cNvPr id="5" name="Rectangle 4"/>
        <xdr:cNvSpPr/>
      </xdr:nvSpPr>
      <xdr:spPr bwMode="auto">
        <a:xfrm>
          <a:off x="5476875" y="225742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Mise à jour de version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modMensua_Ajout.AffichMensua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[0]!AffichMensua_Modif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[0]!Mensua_SupprLigne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[0]!Mensu_Copier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C-HP" refreshedDate="42359.503532523151" createdVersion="3" refreshedVersion="3" minRefreshableVersion="3" recordCount="47">
  <cacheSource type="worksheet">
    <worksheetSource ref="A3:O1048576" sheet="Crédit_Débit"/>
  </cacheSource>
  <cacheFields count="16">
    <cacheField name="Compte" numFmtId="0">
      <sharedItems containsBlank="1" count="16">
        <s v="bbbb"/>
        <s v="XXX - Livret caisse d'Epargne"/>
        <s v="YYY - Compte Courant"/>
        <s v="YYY - Monnaie"/>
        <s v="XXX - Compte Courants"/>
        <s v="XXX - Livret Compte courant"/>
        <s v="XXX - Compte Courant"/>
        <s v="XXX - Monnaie"/>
        <s v="YYY - Livret Epargne"/>
        <m/>
        <s v="Carte bancaire" u="1"/>
        <s v="XYX - Compte Joint" u="1"/>
        <s v="YYY - Compte Courant - lib modifié" u="1"/>
        <s v="Compte" u="1"/>
        <s v="azazaza" u="1"/>
        <s v="nouveau" u="1"/>
      </sharedItems>
    </cacheField>
    <cacheField name="Date" numFmtId="172">
      <sharedItems containsNonDate="0" containsDate="1" containsString="0" containsBlank="1" minDate="2000-01-01T00:00:00" maxDate="2015-02-19T00:00:00" count="30">
        <d v="2000-01-01T00:00:00"/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9T00:00:00"/>
        <d v="2015-01-10T00:00:00"/>
        <d v="2015-01-1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m/>
      </sharedItems>
      <fieldGroup par="15" base="1">
        <rangePr autoStart="0" groupBy="months" startDate="2015-01-01T00:00:00" endDate="2015-02-19T00:00:00"/>
        <groupItems count="14">
          <s v="&lt;01/01/2015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2/2015"/>
        </groupItems>
      </fieldGroup>
    </cacheField>
    <cacheField name="Type d'opération" numFmtId="165">
      <sharedItems containsBlank="1"/>
    </cacheField>
    <cacheField name="Tiers" numFmtId="0">
      <sharedItems containsBlank="1"/>
    </cacheField>
    <cacheField name="Libellés principaux" numFmtId="0">
      <sharedItems containsBlank="1" count="15">
        <m/>
        <s v="Courses"/>
        <s v="Banques"/>
        <s v="Voiture"/>
        <s v="Transfert"/>
        <s v="Cadeaux"/>
        <s v="Emploi"/>
        <s v="Dépenses de santé"/>
        <s v="Habitation 2"/>
        <s v="Loisirs" u="1"/>
        <s v="Habitation" u="1"/>
        <s v="Vélo" u="1"/>
        <s v="Assurance" u="1"/>
        <s v="Banque" u="1"/>
        <s v="Transport en commun" u="1"/>
      </sharedItems>
    </cacheField>
    <cacheField name="Libellés secondaires" numFmtId="0">
      <sharedItems containsBlank="1" count="36">
        <m/>
        <s v="Alimentation festif"/>
        <s v="Carte bancaire"/>
        <s v="Alimentation, boisson"/>
        <s v="Hygiène, soin modifie"/>
        <s v="Carburant"/>
        <s v="XXX - Livret Compte courant"/>
        <s v="YYY - Compte Courant"/>
        <s v="Noël autre"/>
        <s v="Salaire"/>
        <s v="Dentiste"/>
        <s v="Téléphone mobile"/>
        <s v="YYY - Monnaie"/>
        <s v="XXX - Monnaie"/>
        <s v="XXX - Compte Courant"/>
        <s v="Achat" u="1"/>
        <s v="Noël Famille" u="1"/>
        <s v="Equipement maison" u="1"/>
        <s v="Généraliste" u="1"/>
        <s v="XXX - Livret caisse d'Epargne" u="1"/>
        <s v="Entretien" u="1"/>
        <s v="Hygiène, soin" u="1"/>
        <s v="Bricolage" u="1"/>
        <s v="Film en DVD" u="1"/>
        <s v="Alimentation" u="1"/>
        <s v="XYX - Compte Joint" u="1"/>
        <s v="Bus" u="1"/>
        <s v="EDF" u="1"/>
        <s v="YYY - Compte Courant - lib modifié" u="1"/>
        <s v="Assurance" u="1"/>
        <s v="Généralistes" u="1"/>
        <s v="YYY - Livret Epargne" u="1"/>
        <s v="Covoiturage" u="1"/>
        <s v="Assurance vie" u="1"/>
        <s v="Assurance juridique" u="1"/>
        <s v="Sport" u="1"/>
      </sharedItems>
    </cacheField>
    <cacheField name="Solde Réel / Banque" numFmtId="0">
      <sharedItems containsNonDate="0" containsBlank="1" count="2">
        <m/>
        <s v="P" u="1"/>
      </sharedItems>
    </cacheField>
    <cacheField name="Crédit" numFmtId="166">
      <sharedItems containsBlank="1" containsMixedTypes="1" containsNumber="1" minValue="11.11" maxValue="7373.73"/>
    </cacheField>
    <cacheField name="Débit" numFmtId="166">
      <sharedItems containsString="0" containsBlank="1" containsNumber="1" minValue="-1111.1099999999999" maxValue="2000"/>
    </cacheField>
    <cacheField name="Solde Courant" numFmtId="166">
      <sharedItems containsString="0" containsBlank="1" containsNumber="1" minValue="-1111.1099999999999" maxValue="7373.73"/>
    </cacheField>
    <cacheField name="Crédit / Débit" numFmtId="0">
      <sharedItems containsBlank="1"/>
    </cacheField>
    <cacheField name="Solde Cumulé" numFmtId="0">
      <sharedItems containsString="0" containsBlank="1" containsNumber="1" minValue="30" maxValue="19935.580000000002"/>
    </cacheField>
    <cacheField name="Note" numFmtId="0">
      <sharedItems containsBlank="1" containsMixedTypes="1" containsNumber="1" containsInteger="1" minValue="22" maxValue="42005"/>
    </cacheField>
    <cacheField name="N° chèque" numFmtId="0">
      <sharedItems containsNonDate="0" containsString="0" containsBlank="1"/>
    </cacheField>
    <cacheField name="Id (transfert ou carb)" numFmtId="0">
      <sharedItems containsBlank="1"/>
    </cacheField>
    <cacheField name="Années" numFmtId="0" databaseField="0">
      <fieldGroup base="1">
        <rangePr autoStart="0" groupBy="years" startDate="2015-01-01T00:00:00" endDate="2015-02-19T00:00:00"/>
        <groupItems count="3">
          <s v="&lt;01/01/2015"/>
          <s v="2015"/>
          <s v="&gt;19/02/20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x v="0"/>
    <m/>
    <m/>
    <x v="0"/>
    <x v="0"/>
    <x v="0"/>
    <m/>
    <n v="30"/>
    <n v="30"/>
    <s v="Débit"/>
    <n v="30"/>
    <s v="Ajout du compte"/>
    <m/>
    <m/>
  </r>
  <r>
    <x v="1"/>
    <x v="1"/>
    <s v="Carte Bancaire"/>
    <s v="Biocoop"/>
    <x v="1"/>
    <x v="1"/>
    <x v="0"/>
    <m/>
    <n v="2000"/>
    <n v="2000"/>
    <s v="Débit"/>
    <n v="2030"/>
    <s v="aazaz"/>
    <m/>
    <m/>
  </r>
  <r>
    <x v="2"/>
    <x v="1"/>
    <s v="Chèque"/>
    <s v="Blanchisserie"/>
    <x v="2"/>
    <x v="2"/>
    <x v="0"/>
    <m/>
    <n v="-22"/>
    <n v="-22"/>
    <s v="Débit"/>
    <n v="2008"/>
    <n v="22"/>
    <m/>
    <m/>
  </r>
  <r>
    <x v="3"/>
    <x v="1"/>
    <s v="Carte Bancaire"/>
    <s v="Boulangerie"/>
    <x v="1"/>
    <x v="3"/>
    <x v="0"/>
    <m/>
    <n v="-120"/>
    <n v="-120"/>
    <s v="Débit"/>
    <n v="1888"/>
    <n v="42005"/>
    <m/>
    <m/>
  </r>
  <r>
    <x v="4"/>
    <x v="2"/>
    <s v="Carte Bancaire"/>
    <s v="Carrefour"/>
    <x v="1"/>
    <x v="4"/>
    <x v="0"/>
    <m/>
    <n v="-55"/>
    <n v="-55"/>
    <s v="Débit"/>
    <n v="1833"/>
    <m/>
    <m/>
    <m/>
  </r>
  <r>
    <x v="2"/>
    <x v="3"/>
    <s v="Carte Bancaire"/>
    <s v="Blanchisserie"/>
    <x v="3"/>
    <x v="5"/>
    <x v="0"/>
    <m/>
    <n v="-11.11"/>
    <n v="-11.11"/>
    <s v="Débit"/>
    <n v="1821.89"/>
    <m/>
    <m/>
    <s v="C41"/>
  </r>
  <r>
    <x v="2"/>
    <x v="4"/>
    <s v="Carte Bancaire"/>
    <s v="Biocoop"/>
    <x v="3"/>
    <x v="5"/>
    <x v="0"/>
    <m/>
    <n v="-22.22"/>
    <n v="-22.22"/>
    <s v="Débit"/>
    <n v="1799.67"/>
    <m/>
    <m/>
    <s v="C42"/>
  </r>
  <r>
    <x v="2"/>
    <x v="4"/>
    <s v="Carte Bancaire"/>
    <s v="Biocoop"/>
    <x v="4"/>
    <x v="6"/>
    <x v="0"/>
    <m/>
    <n v="-11.11"/>
    <n v="-11.11"/>
    <s v="Débit"/>
    <n v="1788.5600000000002"/>
    <s v="Transfert init"/>
    <m/>
    <s v="TD60"/>
  </r>
  <r>
    <x v="5"/>
    <x v="4"/>
    <s v="Versement"/>
    <s v="Biocoop"/>
    <x v="4"/>
    <x v="7"/>
    <x v="0"/>
    <n v="11.11"/>
    <m/>
    <n v="11.11"/>
    <s v="Crédit"/>
    <n v="1799.67"/>
    <s v="Transfert init"/>
    <m/>
    <s v="TC60"/>
  </r>
  <r>
    <x v="2"/>
    <x v="5"/>
    <s v="Prélèvement"/>
    <s v="Blanchisserie"/>
    <x v="3"/>
    <x v="5"/>
    <x v="0"/>
    <m/>
    <n v="-33.33"/>
    <n v="-33.33"/>
    <s v="Débit"/>
    <n v="1766.3400000000001"/>
    <m/>
    <m/>
    <s v="C47"/>
  </r>
  <r>
    <x v="2"/>
    <x v="5"/>
    <s v="Carte Bancaire"/>
    <s v="Biocoop"/>
    <x v="4"/>
    <x v="6"/>
    <x v="0"/>
    <m/>
    <n v="-11.11"/>
    <n v="-11.11"/>
    <s v="Débit"/>
    <n v="1755.2300000000002"/>
    <s v="Copie 12 (crédit)"/>
    <m/>
    <s v="TD62"/>
  </r>
  <r>
    <x v="5"/>
    <x v="5"/>
    <s v="Versement"/>
    <s v="Biocoop"/>
    <x v="4"/>
    <x v="7"/>
    <x v="0"/>
    <n v="11.11"/>
    <m/>
    <n v="11.11"/>
    <s v="Crédit"/>
    <n v="1766.3400000000001"/>
    <s v="Copie 12 (crédit)"/>
    <m/>
    <s v="TC62"/>
  </r>
  <r>
    <x v="2"/>
    <x v="6"/>
    <s v="Carte Bancaire"/>
    <s v="Carrefour"/>
    <x v="3"/>
    <x v="5"/>
    <x v="0"/>
    <m/>
    <n v="-44.44"/>
    <n v="-44.44"/>
    <s v="Débit"/>
    <n v="1721.9"/>
    <m/>
    <m/>
    <s v="C48"/>
  </r>
  <r>
    <x v="6"/>
    <x v="7"/>
    <s v="Carte Bancaire"/>
    <s v="Coiffeur MCO"/>
    <x v="3"/>
    <x v="5"/>
    <x v="0"/>
    <m/>
    <n v="-55.55"/>
    <n v="-55.55"/>
    <s v="Débit"/>
    <n v="1666.3500000000001"/>
    <m/>
    <m/>
    <s v="C49"/>
  </r>
  <r>
    <x v="2"/>
    <x v="8"/>
    <s v="Carte Bancaire"/>
    <s v="Biocoop"/>
    <x v="4"/>
    <x v="6"/>
    <x v="0"/>
    <m/>
    <n v="-12.12"/>
    <n v="-12.12"/>
    <s v="Débit"/>
    <n v="1654.2300000000002"/>
    <s v="Copie 12 (crédit)"/>
    <m/>
    <s v="TD63"/>
  </r>
  <r>
    <x v="5"/>
    <x v="8"/>
    <s v="Versement"/>
    <s v="Biocoop"/>
    <x v="4"/>
    <x v="7"/>
    <x v="0"/>
    <n v="12.12"/>
    <m/>
    <n v="12.12"/>
    <s v="Crédit"/>
    <n v="1666.3500000000001"/>
    <s v="Copie 12 (crédit)"/>
    <m/>
    <s v="TC63"/>
  </r>
  <r>
    <x v="2"/>
    <x v="9"/>
    <s v="Carte Bancaire"/>
    <s v="LCL"/>
    <x v="1"/>
    <x v="4"/>
    <x v="0"/>
    <s v="3333,44"/>
    <m/>
    <n v="3333.44"/>
    <s v="Crédit"/>
    <n v="4999.79"/>
    <m/>
    <m/>
    <m/>
  </r>
  <r>
    <x v="2"/>
    <x v="10"/>
    <s v="Versement"/>
    <s v="Boucherie Tavernie"/>
    <x v="1"/>
    <x v="4"/>
    <x v="0"/>
    <n v="7373.73"/>
    <m/>
    <n v="7373.73"/>
    <s v="Crédit"/>
    <n v="12373.52"/>
    <m/>
    <m/>
    <m/>
  </r>
  <r>
    <x v="2"/>
    <x v="11"/>
    <s v="Carte Bancaire"/>
    <s v="Travail"/>
    <x v="5"/>
    <x v="8"/>
    <x v="0"/>
    <m/>
    <n v="-100"/>
    <n v="-100"/>
    <s v="Débit"/>
    <n v="12273.52"/>
    <m/>
    <m/>
    <m/>
  </r>
  <r>
    <x v="6"/>
    <x v="12"/>
    <s v="Monnaie"/>
    <s v="Ma Jardinerie"/>
    <x v="2"/>
    <x v="2"/>
    <x v="0"/>
    <m/>
    <n v="-110"/>
    <n v="-110"/>
    <s v="Débit"/>
    <n v="12163.52"/>
    <m/>
    <m/>
    <m/>
  </r>
  <r>
    <x v="3"/>
    <x v="13"/>
    <s v="Carte Bancaire"/>
    <s v="Boulangerie"/>
    <x v="1"/>
    <x v="3"/>
    <x v="0"/>
    <m/>
    <n v="-120"/>
    <n v="-120"/>
    <s v="Débit"/>
    <n v="12043.52"/>
    <m/>
    <m/>
    <m/>
  </r>
  <r>
    <x v="7"/>
    <x v="14"/>
    <s v="Monnaie"/>
    <s v="Marché"/>
    <x v="6"/>
    <x v="9"/>
    <x v="0"/>
    <m/>
    <n v="-130"/>
    <n v="-130"/>
    <s v="Débit"/>
    <n v="11913.52"/>
    <m/>
    <m/>
    <m/>
  </r>
  <r>
    <x v="6"/>
    <x v="15"/>
    <s v="E-carte bleu"/>
    <s v="Cora"/>
    <x v="7"/>
    <x v="10"/>
    <x v="0"/>
    <m/>
    <n v="-140"/>
    <n v="-140"/>
    <s v="Débit"/>
    <n v="11773.52"/>
    <m/>
    <m/>
    <m/>
  </r>
  <r>
    <x v="2"/>
    <x v="16"/>
    <s v="Carte Bancaire"/>
    <s v="Go Sport"/>
    <x v="1"/>
    <x v="1"/>
    <x v="0"/>
    <m/>
    <n v="-155.55000000000001"/>
    <n v="-155.55000000000001"/>
    <s v="Débit"/>
    <n v="11617.970000000001"/>
    <m/>
    <m/>
    <m/>
  </r>
  <r>
    <x v="6"/>
    <x v="17"/>
    <s v="E-carte bleu"/>
    <s v="Ferme Ligny"/>
    <x v="3"/>
    <x v="5"/>
    <x v="0"/>
    <m/>
    <n v="-22.23"/>
    <n v="-22.23"/>
    <s v="Débit"/>
    <n v="11595.740000000002"/>
    <m/>
    <m/>
    <s v="C56"/>
  </r>
  <r>
    <x v="6"/>
    <x v="18"/>
    <s v="E-carte bleu"/>
    <s v="Cora"/>
    <x v="7"/>
    <x v="10"/>
    <x v="0"/>
    <m/>
    <n v="-145"/>
    <n v="-145"/>
    <s v="Débit"/>
    <n v="11450.740000000002"/>
    <m/>
    <m/>
    <m/>
  </r>
  <r>
    <x v="2"/>
    <x v="19"/>
    <s v="Versement"/>
    <s v="Divers"/>
    <x v="5"/>
    <x v="8"/>
    <x v="0"/>
    <m/>
    <n v="-1111.1099999999999"/>
    <n v="-1111.1099999999999"/>
    <s v="Débit"/>
    <n v="10339.630000000001"/>
    <m/>
    <m/>
    <m/>
  </r>
  <r>
    <x v="8"/>
    <x v="20"/>
    <s v="Carte Bancaire"/>
    <s v="XXX"/>
    <x v="7"/>
    <x v="10"/>
    <x v="0"/>
    <s v="2222,22"/>
    <m/>
    <n v="2222.2199999999998"/>
    <s v="Crédit"/>
    <n v="12561.85"/>
    <m/>
    <m/>
    <m/>
  </r>
  <r>
    <x v="2"/>
    <x v="21"/>
    <s v="Carte Bancaire"/>
    <s v="E.Leclerc"/>
    <x v="8"/>
    <x v="11"/>
    <x v="0"/>
    <s v="56,56"/>
    <n v="-56.56"/>
    <n v="0"/>
    <s v="Crédit"/>
    <n v="12561.85"/>
    <m/>
    <m/>
    <m/>
  </r>
  <r>
    <x v="2"/>
    <x v="22"/>
    <s v="Virement"/>
    <s v="Lidl"/>
    <x v="4"/>
    <x v="12"/>
    <x v="0"/>
    <m/>
    <n v="-40"/>
    <n v="-40"/>
    <s v="Débit"/>
    <n v="12521.85"/>
    <m/>
    <m/>
    <s v="TD64"/>
  </r>
  <r>
    <x v="3"/>
    <x v="22"/>
    <s v="Versement"/>
    <s v="Lidl"/>
    <x v="4"/>
    <x v="7"/>
    <x v="0"/>
    <n v="40"/>
    <m/>
    <n v="40"/>
    <s v="Crédit"/>
    <n v="12561.85"/>
    <m/>
    <m/>
    <s v="TC64"/>
  </r>
  <r>
    <x v="2"/>
    <x v="23"/>
    <s v="Carte Bancaire"/>
    <s v="Biocoop"/>
    <x v="4"/>
    <x v="6"/>
    <x v="0"/>
    <m/>
    <n v="-22.22"/>
    <n v="-22.22"/>
    <s v="Débit"/>
    <n v="12539.630000000001"/>
    <s v="Transfert init"/>
    <m/>
    <s v="TD65"/>
  </r>
  <r>
    <x v="5"/>
    <x v="23"/>
    <s v="Versement"/>
    <s v="Biocoop"/>
    <x v="4"/>
    <x v="7"/>
    <x v="0"/>
    <n v="22.22"/>
    <m/>
    <n v="22.22"/>
    <s v="Crédit"/>
    <n v="12561.85"/>
    <s v="Transfert init"/>
    <m/>
    <s v="TC65"/>
  </r>
  <r>
    <x v="2"/>
    <x v="23"/>
    <s v="Virement"/>
    <s v="Biocoop"/>
    <x v="4"/>
    <x v="6"/>
    <x v="0"/>
    <s v="22,22"/>
    <m/>
    <n v="22.22"/>
    <s v="Crédit"/>
    <n v="12584.07"/>
    <s v="Transfert init"/>
    <m/>
    <s v="TD67"/>
  </r>
  <r>
    <x v="5"/>
    <x v="23"/>
    <s v="Versement"/>
    <s v="Biocoop"/>
    <x v="4"/>
    <x v="7"/>
    <x v="0"/>
    <m/>
    <n v="-22.22"/>
    <n v="-22.22"/>
    <s v="Débit"/>
    <n v="12561.85"/>
    <s v="Transfert init"/>
    <m/>
    <s v="TD67"/>
  </r>
  <r>
    <x v="6"/>
    <x v="24"/>
    <s v="Virement"/>
    <s v="Lidl"/>
    <x v="4"/>
    <x v="13"/>
    <x v="0"/>
    <m/>
    <n v="-50"/>
    <n v="-50"/>
    <s v="Débit"/>
    <n v="12511.85"/>
    <m/>
    <m/>
    <s v="TD66"/>
  </r>
  <r>
    <x v="7"/>
    <x v="24"/>
    <s v="Versement"/>
    <s v="Lidl"/>
    <x v="4"/>
    <x v="14"/>
    <x v="0"/>
    <n v="50"/>
    <m/>
    <n v="50"/>
    <s v="Crédit"/>
    <n v="12561.85"/>
    <m/>
    <m/>
    <s v="TC66"/>
  </r>
  <r>
    <x v="7"/>
    <x v="24"/>
    <s v="Versement"/>
    <s v="Lidl"/>
    <x v="4"/>
    <x v="14"/>
    <x v="0"/>
    <n v="55"/>
    <m/>
    <n v="55"/>
    <s v="Crédit"/>
    <n v="12616.85"/>
    <m/>
    <m/>
    <s v="TD68"/>
  </r>
  <r>
    <x v="6"/>
    <x v="24"/>
    <s v="Virement"/>
    <s v="Lidl"/>
    <x v="4"/>
    <x v="13"/>
    <x v="0"/>
    <m/>
    <n v="-55"/>
    <n v="-55"/>
    <s v="Débit"/>
    <n v="12561.85"/>
    <m/>
    <m/>
    <s v="TD68"/>
  </r>
  <r>
    <x v="2"/>
    <x v="25"/>
    <s v="Versement"/>
    <s v="Boucherie Tavernie"/>
    <x v="1"/>
    <x v="4"/>
    <x v="0"/>
    <n v="7373.73"/>
    <m/>
    <n v="7373.73"/>
    <s v="Crédit"/>
    <n v="19935.580000000002"/>
    <m/>
    <m/>
    <m/>
  </r>
  <r>
    <x v="2"/>
    <x v="26"/>
    <s v="Virement"/>
    <s v="Biocoop"/>
    <x v="4"/>
    <x v="12"/>
    <x v="0"/>
    <m/>
    <n v="-30"/>
    <n v="-30"/>
    <s v="Débit"/>
    <n v="19905.580000000002"/>
    <m/>
    <m/>
    <s v="TD69"/>
  </r>
  <r>
    <x v="3"/>
    <x v="26"/>
    <s v="Versement"/>
    <s v="Biocoop"/>
    <x v="4"/>
    <x v="7"/>
    <x v="0"/>
    <n v="30"/>
    <m/>
    <n v="30"/>
    <s v="Crédit"/>
    <n v="19935.580000000002"/>
    <m/>
    <m/>
    <s v="TC69"/>
  </r>
  <r>
    <x v="2"/>
    <x v="27"/>
    <s v="Virement"/>
    <s v="Biocoop"/>
    <x v="4"/>
    <x v="12"/>
    <x v="0"/>
    <m/>
    <n v="-35"/>
    <n v="-35"/>
    <s v="Débit"/>
    <n v="19900.580000000002"/>
    <m/>
    <m/>
    <s v="TD70"/>
  </r>
  <r>
    <x v="3"/>
    <x v="27"/>
    <s v="Versement"/>
    <s v="Biocoop"/>
    <x v="4"/>
    <x v="7"/>
    <x v="0"/>
    <n v="35"/>
    <m/>
    <n v="35"/>
    <s v="Crédit"/>
    <n v="19935.580000000002"/>
    <m/>
    <m/>
    <s v="TC70"/>
  </r>
  <r>
    <x v="2"/>
    <x v="28"/>
    <s v="Versement"/>
    <s v="Biocoop"/>
    <x v="4"/>
    <x v="12"/>
    <x v="0"/>
    <m/>
    <n v="-40"/>
    <n v="-40"/>
    <s v="Débit"/>
    <n v="19895.580000000002"/>
    <m/>
    <m/>
    <s v="TD71"/>
  </r>
  <r>
    <x v="3"/>
    <x v="28"/>
    <s v="Virement"/>
    <s v="Biocoop"/>
    <x v="4"/>
    <x v="7"/>
    <x v="0"/>
    <n v="40"/>
    <m/>
    <n v="40"/>
    <s v="Crédit"/>
    <n v="19935.580000000002"/>
    <m/>
    <m/>
    <s v="TC71"/>
  </r>
  <r>
    <x v="9"/>
    <x v="29"/>
    <m/>
    <m/>
    <x v="0"/>
    <x v="0"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C10" firstHeaderRow="1" firstDataRow="2" firstDataCol="1"/>
  <pivotFields count="16">
    <pivotField axis="axisRow" compact="0" showAll="0">
      <items count="17">
        <item h="1" x="9"/>
        <item x="2"/>
        <item x="8"/>
        <item x="3"/>
        <item x="6"/>
        <item x="1"/>
        <item x="5"/>
        <item x="7"/>
        <item m="1" x="11"/>
        <item h="1" m="1" x="13"/>
        <item h="1" m="1" x="10"/>
        <item h="1" m="1" x="15"/>
        <item h="1" m="1" x="14"/>
        <item h="1" m="1" x="12"/>
        <item h="1" x="0"/>
        <item h="1" x="4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axis="axisCol" compact="0" showAll="0" defaultSubtotal="0">
      <items count="2">
        <item m="1" x="1"/>
        <item x="0"/>
      </items>
    </pivotField>
    <pivotField compact="0" showAll="0"/>
    <pivotField compact="0" showAll="0"/>
    <pivotField dataField="1"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>
      <items count="3">
        <item x="0"/>
        <item x="1"/>
        <item x="2"/>
      </items>
    </pivotField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6"/>
  </colFields>
  <colItems count="2">
    <i>
      <x v="1"/>
    </i>
    <i t="grand">
      <x/>
    </i>
  </colItems>
  <dataFields count="1">
    <dataField name="Somme de Solde Courant" fld="9" baseField="0" baseItem="0"/>
  </dataFields>
  <formats count="1">
    <format dxfId="115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E28" firstHeaderRow="1" firstDataRow="3" firstDataCol="2" rowPageCount="1" colPageCount="1"/>
  <pivotFields count="16">
    <pivotField axis="axisPage" compact="0" showAll="0">
      <items count="17">
        <item x="6"/>
        <item x="1"/>
        <item x="5"/>
        <item x="7"/>
        <item m="1" x="11"/>
        <item x="2"/>
        <item x="8"/>
        <item x="3"/>
        <item x="9"/>
        <item m="1" x="13"/>
        <item m="1" x="10"/>
        <item m="1" x="15"/>
        <item m="1" x="14"/>
        <item m="1" x="12"/>
        <item x="0"/>
        <item x="4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6">
        <item m="1" x="12"/>
        <item x="1"/>
        <item x="6"/>
        <item m="1" x="10"/>
        <item m="1" x="9"/>
        <item x="4"/>
        <item x="0"/>
        <item m="1" x="13"/>
        <item m="1" x="14"/>
        <item x="3"/>
        <item m="1" x="11"/>
        <item x="7"/>
        <item x="5"/>
        <item x="8"/>
        <item x="2"/>
        <item t="default"/>
      </items>
    </pivotField>
    <pivotField axis="axisRow" compact="0" showAll="0">
      <items count="37">
        <item m="1" x="24"/>
        <item x="3"/>
        <item m="1" x="33"/>
        <item m="1" x="22"/>
        <item m="1" x="27"/>
        <item m="1" x="17"/>
        <item m="1" x="21"/>
        <item x="9"/>
        <item x="11"/>
        <item x="7"/>
        <item m="1" x="31"/>
        <item x="0"/>
        <item m="1" x="35"/>
        <item x="6"/>
        <item m="1" x="25"/>
        <item x="2"/>
        <item m="1" x="29"/>
        <item x="14"/>
        <item x="12"/>
        <item x="13"/>
        <item m="1" x="23"/>
        <item m="1" x="34"/>
        <item m="1" x="26"/>
        <item x="5"/>
        <item m="1" x="20"/>
        <item m="1" x="18"/>
        <item m="1" x="16"/>
        <item m="1" x="19"/>
        <item m="1" x="15"/>
        <item x="8"/>
        <item m="1" x="32"/>
        <item x="4"/>
        <item x="1"/>
        <item m="1" x="28"/>
        <item m="1" x="30"/>
        <item x="10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0"/>
        <item x="1"/>
        <item x="2"/>
      </items>
    </pivotField>
  </pivotFields>
  <rowFields count="2">
    <field x="4"/>
    <field x="5"/>
  </rowFields>
  <rowItems count="23">
    <i>
      <x v="1"/>
    </i>
    <i r="1">
      <x v="1"/>
    </i>
    <i r="1">
      <x v="31"/>
    </i>
    <i r="1">
      <x v="32"/>
    </i>
    <i>
      <x v="2"/>
    </i>
    <i r="1">
      <x v="7"/>
    </i>
    <i>
      <x v="5"/>
    </i>
    <i r="1">
      <x v="9"/>
    </i>
    <i r="1">
      <x v="13"/>
    </i>
    <i r="1">
      <x v="17"/>
    </i>
    <i r="1">
      <x v="18"/>
    </i>
    <i r="1">
      <x v="19"/>
    </i>
    <i>
      <x v="9"/>
    </i>
    <i r="1">
      <x v="23"/>
    </i>
    <i>
      <x v="11"/>
    </i>
    <i r="1">
      <x v="35"/>
    </i>
    <i>
      <x v="12"/>
    </i>
    <i r="1">
      <x v="29"/>
    </i>
    <i>
      <x v="13"/>
    </i>
    <i r="1">
      <x v="8"/>
    </i>
    <i>
      <x v="14"/>
    </i>
    <i r="1">
      <x v="15"/>
    </i>
    <i t="grand">
      <x/>
    </i>
  </rowItems>
  <colFields count="2">
    <field x="15"/>
    <field x="1"/>
  </colFields>
  <colItems count="3">
    <i>
      <x v="1"/>
      <x v="1"/>
    </i>
    <i r="1">
      <x v="2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51" totalsRowShown="0" headerRowDxfId="114" dataDxfId="113">
  <autoFilter ref="A3:O51"/>
  <sortState ref="A4:O51">
    <sortCondition ref="B3:B51"/>
  </sortState>
  <tableColumns count="15">
    <tableColumn id="1" name="Compte" dataDxfId="112" totalsRowDxfId="111"/>
    <tableColumn id="3" name="Date" dataDxfId="110"/>
    <tableColumn id="8" name="Type d'opération" dataDxfId="109" totalsRowDxfId="108"/>
    <tableColumn id="4" name="Tiers" dataDxfId="107" totalsRowDxfId="106"/>
    <tableColumn id="5" name="Libellés principaux" dataDxfId="105" totalsRowDxfId="104"/>
    <tableColumn id="9" name="Libellés secondaires" dataDxfId="103" totalsRowDxfId="102"/>
    <tableColumn id="10" name="Solde Réel / Banque" dataDxfId="101" totalsRowDxfId="100"/>
    <tableColumn id="2" name="Crédit" dataDxfId="99" totalsRowDxfId="98"/>
    <tableColumn id="6" name="Débit" dataDxfId="97" totalsRowDxfId="96"/>
    <tableColumn id="12" name="Solde Courant" dataDxfId="95" totalsRowDxfId="94">
      <calculatedColumnFormula>Tableau1[[#This Row],[Crédit]]+Tableau1[[#This Row],[Débit]]</calculatedColumnFormula>
    </tableColumn>
    <tableColumn id="11" name="Crédit / Débit" dataDxfId="93" totalsRowDxfId="92">
      <calculatedColumnFormula>IF(Tableau1[[#This Row],[Crédit]]&lt;&gt;"","Crédit",IF(Tableau1[[#This Row],[Débit]]&lt;&gt;"","Débit",""))</calculatedColumnFormula>
    </tableColumn>
    <tableColumn id="13" name="Solde Cumulé" dataDxfId="91" totalsRowDxfId="90">
      <calculatedColumnFormula>IF(A3="Compte",Tableau1[[#This Row],[Solde Courant]],L3+Tableau1[[#This Row],[Solde Courant]])</calculatedColumnFormula>
    </tableColumn>
    <tableColumn id="18" name="Note" dataDxfId="89" totalsRowDxfId="88"/>
    <tableColumn id="17" name="N° chèque" dataDxfId="87" totalsRowDxfId="86"/>
    <tableColumn id="7" name="Id (transfert ou carb)" dataDxfId="85" totalsRowDxfId="8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7" totalsRowShown="0" headerRowDxfId="70" dataDxfId="68" headerRowBorderDxfId="69" tableBorderDxfId="67" totalsRowBorderDxfId="66">
  <autoFilter ref="A2:S7"/>
  <sortState ref="A3:S25">
    <sortCondition ref="B2:B25"/>
  </sortState>
  <tableColumns count="19">
    <tableColumn id="1" name="Compte"/>
    <tableColumn id="2" name="Date" dataDxfId="65"/>
    <tableColumn id="3" name="Type d'opération" dataDxfId="64"/>
    <tableColumn id="4" name="Tiers" dataDxfId="63"/>
    <tableColumn id="5" name="Libellés principaux" dataDxfId="62"/>
    <tableColumn id="6" name="Libellés secondaires" dataDxfId="61"/>
    <tableColumn id="9" name="Opération" dataDxfId="60"/>
    <tableColumn id="7" name="Janvier" dataDxfId="59"/>
    <tableColumn id="8" name="Février" dataDxfId="58"/>
    <tableColumn id="10" name="Mars" dataDxfId="57"/>
    <tableColumn id="11" name="Avril" dataDxfId="56"/>
    <tableColumn id="12" name="Mai" dataDxfId="55"/>
    <tableColumn id="13" name="Juin" dataDxfId="54"/>
    <tableColumn id="14" name="Juillet" dataDxfId="53"/>
    <tableColumn id="15" name="Août" dataDxfId="52"/>
    <tableColumn id="16" name="Septembre" dataDxfId="51"/>
    <tableColumn id="17" name="Octobre" dataDxfId="50"/>
    <tableColumn id="18" name="Novembre" dataDxfId="49"/>
    <tableColumn id="19" name="Décembre" dataDxfId="48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7" totalsRowShown="0" headerRowDxfId="46" dataDxfId="45">
  <autoFilter ref="A1:L7"/>
  <tableColumns count="12">
    <tableColumn id="1" name="Date" dataDxfId="44"/>
    <tableColumn id="8" name="Conducteur" dataDxfId="43"/>
    <tableColumn id="9" name="Voiture" dataDxfId="42"/>
    <tableColumn id="2" name="Tiers" dataDxfId="41"/>
    <tableColumn id="3" name="Débit" dataDxfId="40"/>
    <tableColumn id="4" name="Distance parcourue" dataDxfId="39"/>
    <tableColumn id="11" name="Carburant" dataDxfId="38"/>
    <tableColumn id="5" name="Litre" dataDxfId="37"/>
    <tableColumn id="6" name="Tarif du litre" dataDxfId="36"/>
    <tableColumn id="7" name="Litre/100Km" dataDxfId="35">
      <calculatedColumnFormula>Tableau4[[#This Row],[Distance parcourue]]/100</calculatedColumnFormula>
    </tableColumn>
    <tableColumn id="10" name="Note" dataDxfId="34"/>
    <tableColumn id="12" name="IdCarburant" dataDxfId="3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2" dataDxfId="30" headerRowBorderDxfId="31" tableBorderDxfId="29">
  <autoFilter ref="A3:AC4"/>
  <tableColumns count="29">
    <tableColumn id="1" name="Compte" dataDxfId="28"/>
    <tableColumn id="2" name="Tiers" dataDxfId="27"/>
    <tableColumn id="3" name="Libellés principaux" dataDxfId="26"/>
    <tableColumn id="4" name="Libellés secondaires" dataDxfId="25"/>
    <tableColumn id="29" name="Total budgété">
      <calculatedColumnFormula>SUM(Tableau3[[#This Row],[Janvier]:[Décembre]])</calculatedColumnFormula>
    </tableColumn>
    <tableColumn id="5" name="Janvier" dataDxfId="24"/>
    <tableColumn id="6" name="Février" dataDxfId="23"/>
    <tableColumn id="7" name="Mars" dataDxfId="22"/>
    <tableColumn id="8" name="Avril" dataDxfId="21"/>
    <tableColumn id="9" name="Mai" dataDxfId="20"/>
    <tableColumn id="10" name="Juin" dataDxfId="19"/>
    <tableColumn id="11" name="Juillet" dataDxfId="18"/>
    <tableColumn id="12" name="Août" dataDxfId="17"/>
    <tableColumn id="13" name="Septembre" dataDxfId="16"/>
    <tableColumn id="14" name="Octobre" dataDxfId="15"/>
    <tableColumn id="15" name="Novembre" dataDxfId="14"/>
    <tableColumn id="16" name="Décembre" dataDxfId="13"/>
    <tableColumn id="17" name="Janvier1" dataDxfId="12">
      <calculatedColumnFormula>F4-SUMPRODUCT((Libellés_principaux=$C4)*(Libellés_secondaires=$D4)*(Débit))</calculatedColumnFormula>
    </tableColumn>
    <tableColumn id="18" name="Février2" dataDxfId="11">
      <calculatedColumnFormula>G4-SUMPRODUCT((Libellés_principaux=$C4)*(Libellés_secondaires=$D4)*(Débit))</calculatedColumnFormula>
    </tableColumn>
    <tableColumn id="19" name="Mars3" dataDxfId="10">
      <calculatedColumnFormula>H4-SUMPRODUCT((Libellés_principaux=$C4)*(Libellés_secondaires=$D4)*(Débit))</calculatedColumnFormula>
    </tableColumn>
    <tableColumn id="20" name="Avril4" dataDxfId="9">
      <calculatedColumnFormula>I4-SUMPRODUCT((Libellés_principaux=$C4)*(Libellés_secondaires=$D4)*(Débit))</calculatedColumnFormula>
    </tableColumn>
    <tableColumn id="21" name="Mai5" dataDxfId="8">
      <calculatedColumnFormula>J4-SUMPRODUCT((Libellés_principaux=$C4)*(Libellés_secondaires=$D4)*(Débit))</calculatedColumnFormula>
    </tableColumn>
    <tableColumn id="22" name="Juin6" dataDxfId="7">
      <calculatedColumnFormula>K4-SUMPRODUCT((Libellés_principaux=$C4)*(Libellés_secondaires=$D4)*(Débit))</calculatedColumnFormula>
    </tableColumn>
    <tableColumn id="23" name="Juillet7" dataDxfId="6">
      <calculatedColumnFormula>L4-SUMPRODUCT((Libellés_principaux=$C4)*(Libellés_secondaires=$D4)*(Débit))</calculatedColumnFormula>
    </tableColumn>
    <tableColumn id="24" name="Août8" dataDxfId="5">
      <calculatedColumnFormula>M4-SUMPRODUCT((Libellés_principaux=$C4)*(Libellés_secondaires=$D4)*(Débit))</calculatedColumnFormula>
    </tableColumn>
    <tableColumn id="25" name="Septembre9" dataDxfId="4">
      <calculatedColumnFormula>N4-SUMPRODUCT((Libellés_principaux=$C4)*(Libellés_secondaires=$D4)*(Débit))</calculatedColumnFormula>
    </tableColumn>
    <tableColumn id="26" name="Octobre10" dataDxfId="3">
      <calculatedColumnFormula>O4-SUMPRODUCT((Libellés_principaux=$C4)*(Libellés_secondaires=$D4)*(Débit))</calculatedColumnFormula>
    </tableColumn>
    <tableColumn id="27" name="Novembre11" dataDxfId="2">
      <calculatedColumnFormula>P4-SUMPRODUCT((Libellés_principaux=$C4)*(Libellés_secondaires=$D4)*(Débit))</calculatedColumnFormula>
    </tableColumn>
    <tableColumn id="28" name="Décembre12" dataDxfId="1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C10"/>
  <sheetViews>
    <sheetView workbookViewId="0">
      <selection activeCell="H2" sqref="H2"/>
    </sheetView>
  </sheetViews>
  <sheetFormatPr baseColWidth="10" defaultRowHeight="12.75"/>
  <cols>
    <col min="1" max="1" width="25" bestFit="1" customWidth="1"/>
    <col min="2" max="2" width="22.140625" bestFit="1" customWidth="1"/>
    <col min="3" max="3" width="11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3">
      <c r="A1" s="1" t="s">
        <v>116</v>
      </c>
      <c r="B1" s="1" t="s">
        <v>185</v>
      </c>
    </row>
    <row r="2" spans="1:3">
      <c r="A2" s="1" t="s">
        <v>2</v>
      </c>
      <c r="B2" t="s">
        <v>188</v>
      </c>
      <c r="C2" t="s">
        <v>120</v>
      </c>
    </row>
    <row r="3" spans="1:3">
      <c r="A3" t="s">
        <v>14</v>
      </c>
      <c r="B3" s="16">
        <v>16401.8</v>
      </c>
      <c r="C3" s="21">
        <v>16401.8</v>
      </c>
    </row>
    <row r="4" spans="1:3">
      <c r="A4" t="s">
        <v>73</v>
      </c>
      <c r="B4" s="16">
        <v>2222.2199999999998</v>
      </c>
      <c r="C4" s="21">
        <v>2222.2199999999998</v>
      </c>
    </row>
    <row r="5" spans="1:3">
      <c r="A5" t="s">
        <v>96</v>
      </c>
      <c r="B5" s="16">
        <v>-95</v>
      </c>
      <c r="C5" s="21">
        <v>-95</v>
      </c>
    </row>
    <row r="6" spans="1:3">
      <c r="A6" t="s">
        <v>13</v>
      </c>
      <c r="B6" s="16">
        <v>-577.78</v>
      </c>
      <c r="C6" s="21">
        <v>-577.78</v>
      </c>
    </row>
    <row r="7" spans="1:3">
      <c r="A7" t="s">
        <v>15</v>
      </c>
      <c r="B7" s="16">
        <v>2000</v>
      </c>
      <c r="C7" s="21">
        <v>2000</v>
      </c>
    </row>
    <row r="8" spans="1:3">
      <c r="A8" t="s">
        <v>16</v>
      </c>
      <c r="B8" s="16">
        <v>34.339999999999996</v>
      </c>
      <c r="C8" s="21">
        <v>34.339999999999996</v>
      </c>
    </row>
    <row r="9" spans="1:3">
      <c r="A9" t="s">
        <v>95</v>
      </c>
      <c r="B9" s="16">
        <v>-25</v>
      </c>
      <c r="C9" s="21">
        <v>-25</v>
      </c>
    </row>
    <row r="10" spans="1:3">
      <c r="A10" t="s">
        <v>120</v>
      </c>
      <c r="B10" s="16">
        <v>19960.580000000002</v>
      </c>
      <c r="C10" s="16">
        <v>19960.580000000002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/>
  <dimension ref="A1:E28"/>
  <sheetViews>
    <sheetView workbookViewId="0">
      <selection activeCell="G19" sqref="G19"/>
    </sheetView>
  </sheetViews>
  <sheetFormatPr baseColWidth="10" defaultRowHeight="12.75"/>
  <cols>
    <col min="1" max="1" width="24.7109375" bestFit="1" customWidth="1"/>
    <col min="2" max="2" width="24" bestFit="1" customWidth="1"/>
    <col min="3" max="4" width="10" customWidth="1"/>
    <col min="5" max="8" width="13.140625" bestFit="1" customWidth="1"/>
    <col min="9" max="10" width="10" bestFit="1" customWidth="1"/>
    <col min="11" max="11" width="13.140625" bestFit="1" customWidth="1"/>
    <col min="12" max="12" width="10" bestFit="1" customWidth="1"/>
    <col min="13" max="13" width="13.140625" bestFit="1" customWidth="1"/>
    <col min="14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1" t="s">
        <v>2</v>
      </c>
      <c r="B1" t="s">
        <v>113</v>
      </c>
    </row>
    <row r="3" spans="1:5">
      <c r="A3" s="1" t="s">
        <v>116</v>
      </c>
      <c r="C3" s="1" t="s">
        <v>186</v>
      </c>
      <c r="D3" s="1" t="s">
        <v>0</v>
      </c>
    </row>
    <row r="4" spans="1:5">
      <c r="C4" t="s">
        <v>187</v>
      </c>
      <c r="E4" t="s">
        <v>8</v>
      </c>
    </row>
    <row r="5" spans="1:5">
      <c r="A5" s="1" t="s">
        <v>18</v>
      </c>
      <c r="B5" s="1" t="s">
        <v>19</v>
      </c>
      <c r="C5" t="s">
        <v>198</v>
      </c>
      <c r="D5" t="s">
        <v>215</v>
      </c>
    </row>
    <row r="6" spans="1:5">
      <c r="A6" t="s">
        <v>29</v>
      </c>
      <c r="C6" s="16">
        <v>12532.17</v>
      </c>
      <c r="D6" s="16">
        <v>7098.1799999999994</v>
      </c>
      <c r="E6" s="16">
        <v>19630.350000000002</v>
      </c>
    </row>
    <row r="7" spans="1:5">
      <c r="B7" t="s">
        <v>30</v>
      </c>
      <c r="C7" s="16">
        <v>-120</v>
      </c>
      <c r="D7" s="16">
        <v>-120</v>
      </c>
      <c r="E7" s="16">
        <v>-240</v>
      </c>
    </row>
    <row r="8" spans="1:5">
      <c r="B8" t="s">
        <v>191</v>
      </c>
      <c r="C8" s="16">
        <v>10652.17</v>
      </c>
      <c r="D8" s="16">
        <v>7373.73</v>
      </c>
      <c r="E8" s="16">
        <v>18025.900000000001</v>
      </c>
    </row>
    <row r="9" spans="1:5">
      <c r="B9" t="s">
        <v>31</v>
      </c>
      <c r="C9" s="16">
        <v>2000</v>
      </c>
      <c r="D9" s="16">
        <v>-155.55000000000001</v>
      </c>
      <c r="E9" s="16">
        <v>1844.45</v>
      </c>
    </row>
    <row r="10" spans="1:5">
      <c r="A10" t="s">
        <v>35</v>
      </c>
      <c r="C10" s="16"/>
      <c r="D10" s="16">
        <v>-130</v>
      </c>
      <c r="E10" s="16">
        <v>-130</v>
      </c>
    </row>
    <row r="11" spans="1:5">
      <c r="B11" t="s">
        <v>36</v>
      </c>
      <c r="C11" s="16"/>
      <c r="D11" s="16">
        <v>-130</v>
      </c>
      <c r="E11" s="16">
        <v>-130</v>
      </c>
    </row>
    <row r="12" spans="1:5">
      <c r="A12" t="s">
        <v>101</v>
      </c>
      <c r="C12" s="16">
        <v>0</v>
      </c>
      <c r="D12" s="16">
        <v>0</v>
      </c>
      <c r="E12" s="16">
        <v>0</v>
      </c>
    </row>
    <row r="13" spans="1:5">
      <c r="B13" t="s">
        <v>14</v>
      </c>
      <c r="C13" s="16">
        <v>34.339999999999996</v>
      </c>
      <c r="D13" s="16">
        <v>145</v>
      </c>
      <c r="E13" s="16">
        <v>179.34</v>
      </c>
    </row>
    <row r="14" spans="1:5">
      <c r="B14" t="s">
        <v>16</v>
      </c>
      <c r="C14" s="16">
        <v>-34.339999999999996</v>
      </c>
      <c r="D14" s="16">
        <v>0</v>
      </c>
      <c r="E14" s="16">
        <v>-34.339999999999996</v>
      </c>
    </row>
    <row r="15" spans="1:5">
      <c r="B15" t="s">
        <v>13</v>
      </c>
      <c r="C15" s="16"/>
      <c r="D15" s="16">
        <v>105</v>
      </c>
      <c r="E15" s="16">
        <v>105</v>
      </c>
    </row>
    <row r="16" spans="1:5">
      <c r="B16" t="s">
        <v>96</v>
      </c>
      <c r="C16" s="16"/>
      <c r="D16" s="16">
        <v>-145</v>
      </c>
      <c r="E16" s="16">
        <v>-145</v>
      </c>
    </row>
    <row r="17" spans="1:5">
      <c r="B17" t="s">
        <v>95</v>
      </c>
      <c r="C17" s="16"/>
      <c r="D17" s="16">
        <v>-105</v>
      </c>
      <c r="E17" s="16">
        <v>-105</v>
      </c>
    </row>
    <row r="18" spans="1:5">
      <c r="A18" t="s">
        <v>67</v>
      </c>
      <c r="C18" s="16">
        <v>-166.64999999999998</v>
      </c>
      <c r="D18" s="16">
        <v>-22.23</v>
      </c>
      <c r="E18" s="16">
        <v>-188.87999999999997</v>
      </c>
    </row>
    <row r="19" spans="1:5">
      <c r="B19" t="s">
        <v>68</v>
      </c>
      <c r="C19" s="16">
        <v>-166.64999999999998</v>
      </c>
      <c r="D19" s="16">
        <v>-22.23</v>
      </c>
      <c r="E19" s="16">
        <v>-188.87999999999997</v>
      </c>
    </row>
    <row r="20" spans="1:5">
      <c r="A20" t="s">
        <v>32</v>
      </c>
      <c r="C20" s="16"/>
      <c r="D20" s="16">
        <v>1937.2199999999998</v>
      </c>
      <c r="E20" s="16">
        <v>1937.2199999999998</v>
      </c>
    </row>
    <row r="21" spans="1:5">
      <c r="B21" t="s">
        <v>33</v>
      </c>
      <c r="C21" s="16"/>
      <c r="D21" s="16">
        <v>1937.2199999999998</v>
      </c>
      <c r="E21" s="16">
        <v>1937.2199999999998</v>
      </c>
    </row>
    <row r="22" spans="1:5">
      <c r="A22" t="s">
        <v>24</v>
      </c>
      <c r="C22" s="16"/>
      <c r="D22" s="16">
        <v>-1211.1099999999999</v>
      </c>
      <c r="E22" s="16">
        <v>-1211.1099999999999</v>
      </c>
    </row>
    <row r="23" spans="1:5">
      <c r="B23" t="s">
        <v>26</v>
      </c>
      <c r="C23" s="16"/>
      <c r="D23" s="16">
        <v>-1211.1099999999999</v>
      </c>
      <c r="E23" s="16">
        <v>-1211.1099999999999</v>
      </c>
    </row>
    <row r="24" spans="1:5">
      <c r="A24" t="s">
        <v>192</v>
      </c>
      <c r="C24" s="16"/>
      <c r="D24" s="16">
        <v>0</v>
      </c>
      <c r="E24" s="16">
        <v>0</v>
      </c>
    </row>
    <row r="25" spans="1:5">
      <c r="B25" t="s">
        <v>39</v>
      </c>
      <c r="C25" s="16"/>
      <c r="D25" s="16">
        <v>0</v>
      </c>
      <c r="E25" s="16">
        <v>0</v>
      </c>
    </row>
    <row r="26" spans="1:5">
      <c r="A26" t="s">
        <v>199</v>
      </c>
      <c r="C26" s="16">
        <v>-22</v>
      </c>
      <c r="D26" s="16">
        <v>-110</v>
      </c>
      <c r="E26" s="16">
        <v>-132</v>
      </c>
    </row>
    <row r="27" spans="1:5">
      <c r="B27" t="s">
        <v>23</v>
      </c>
      <c r="C27" s="16">
        <v>-22</v>
      </c>
      <c r="D27" s="16">
        <v>-110</v>
      </c>
      <c r="E27" s="16">
        <v>-132</v>
      </c>
    </row>
    <row r="28" spans="1:5">
      <c r="A28" t="s">
        <v>8</v>
      </c>
      <c r="C28" s="16">
        <v>12343.52</v>
      </c>
      <c r="D28" s="16">
        <v>7562.06</v>
      </c>
      <c r="E28" s="16">
        <v>19905.580000000002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/>
  <dimension ref="A1:O51"/>
  <sheetViews>
    <sheetView tabSelected="1" zoomScale="85" zoomScaleNormal="85" workbookViewId="0">
      <pane ySplit="3" topLeftCell="A4" activePane="bottomLeft" state="frozen"/>
      <selection pane="bottomLeft" activeCell="A51" sqref="A51"/>
    </sheetView>
  </sheetViews>
  <sheetFormatPr baseColWidth="10" defaultColWidth="11.42578125" defaultRowHeight="12.75"/>
  <cols>
    <col min="1" max="1" width="25.7109375" style="79" bestFit="1" customWidth="1"/>
    <col min="2" max="2" width="8.140625" style="116" bestFit="1" customWidth="1"/>
    <col min="3" max="3" width="14.28515625" style="117" bestFit="1" customWidth="1"/>
    <col min="4" max="4" width="20" style="79" bestFit="1" customWidth="1"/>
    <col min="5" max="5" width="17.140625" style="79" bestFit="1" customWidth="1"/>
    <col min="6" max="6" width="24.5703125" style="79" bestFit="1" customWidth="1"/>
    <col min="7" max="7" width="14.5703125" style="136" bestFit="1" customWidth="1"/>
    <col min="8" max="8" width="9.7109375" style="120" bestFit="1" customWidth="1"/>
    <col min="9" max="9" width="10.42578125" style="80" bestFit="1" customWidth="1"/>
    <col min="10" max="10" width="17" style="80" bestFit="1" customWidth="1"/>
    <col min="11" max="11" width="10.5703125" style="60" bestFit="1" customWidth="1"/>
    <col min="12" max="12" width="11" style="121" bestFit="1" customWidth="1"/>
    <col min="13" max="13" width="20" style="121" customWidth="1"/>
    <col min="14" max="14" width="11.42578125" style="122"/>
    <col min="15" max="15" width="15.85546875" style="79" customWidth="1"/>
    <col min="16" max="16384" width="11.42578125" style="79"/>
  </cols>
  <sheetData>
    <row r="1" spans="1:15" ht="36.75" customHeight="1">
      <c r="A1" s="110"/>
      <c r="B1" s="111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1:15" ht="36.75" customHeight="1">
      <c r="A2" s="137" t="s">
        <v>73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15" s="6" customFormat="1" ht="25.5">
      <c r="A3" s="6" t="s">
        <v>2</v>
      </c>
      <c r="B3" s="69" t="s">
        <v>0</v>
      </c>
      <c r="C3" s="7" t="s">
        <v>88</v>
      </c>
      <c r="D3" s="6" t="s">
        <v>1</v>
      </c>
      <c r="E3" s="6" t="s">
        <v>18</v>
      </c>
      <c r="F3" s="6" t="s">
        <v>19</v>
      </c>
      <c r="G3" s="6" t="s">
        <v>185</v>
      </c>
      <c r="H3" s="6" t="s">
        <v>11</v>
      </c>
      <c r="I3" s="6" t="s">
        <v>12</v>
      </c>
      <c r="J3" s="6" t="s">
        <v>114</v>
      </c>
      <c r="K3" s="6" t="s">
        <v>241</v>
      </c>
      <c r="L3" s="6" t="s">
        <v>157</v>
      </c>
      <c r="M3" s="6" t="s">
        <v>10</v>
      </c>
      <c r="N3" s="68" t="s">
        <v>183</v>
      </c>
      <c r="O3" s="68" t="s">
        <v>177</v>
      </c>
    </row>
    <row r="4" spans="1:15">
      <c r="A4" s="70" t="s">
        <v>202</v>
      </c>
      <c r="B4" s="112">
        <v>36526</v>
      </c>
      <c r="C4" s="113"/>
      <c r="D4" s="70"/>
      <c r="E4" s="70"/>
      <c r="F4" s="70"/>
      <c r="G4" s="134"/>
      <c r="H4" s="71"/>
      <c r="I4" s="71">
        <v>30</v>
      </c>
      <c r="J4" s="71">
        <f>Tableau1[[#This Row],[Crédit]]+Tableau1[[#This Row],[Débit]]</f>
        <v>30</v>
      </c>
      <c r="K4" s="114" t="str">
        <f>IF(Tableau1[[#This Row],[Crédit]]&lt;&gt;"","Crédit",IF(Tableau1[[#This Row],[Débit]]&lt;&gt;"","Débit",""))</f>
        <v>Débit</v>
      </c>
      <c r="L4" s="115">
        <f>IF(A3="Compte",Tableau1[[#This Row],[Solde Courant]],L3+Tableau1[[#This Row],[Solde Courant]])</f>
        <v>30</v>
      </c>
      <c r="M4" s="72" t="s">
        <v>203</v>
      </c>
      <c r="N4" s="115"/>
      <c r="O4" s="72"/>
    </row>
    <row r="5" spans="1:15">
      <c r="A5" s="79" t="s">
        <v>15</v>
      </c>
      <c r="B5" s="116">
        <v>42005</v>
      </c>
      <c r="C5" s="117" t="s">
        <v>139</v>
      </c>
      <c r="D5" s="79" t="s">
        <v>75</v>
      </c>
      <c r="E5" s="79" t="s">
        <v>29</v>
      </c>
      <c r="F5" s="79" t="s">
        <v>31</v>
      </c>
      <c r="G5" s="135"/>
      <c r="H5" s="80"/>
      <c r="I5" s="80">
        <v>2000</v>
      </c>
      <c r="J5" s="80">
        <f>Tableau1[[#This Row],[Crédit]]+Tableau1[[#This Row],[Débit]]</f>
        <v>2000</v>
      </c>
      <c r="K5" s="118" t="str">
        <f>IF(Tableau1[[#This Row],[Crédit]]&lt;&gt;"","Crédit",IF(Tableau1[[#This Row],[Débit]]&lt;&gt;"","Débit",""))</f>
        <v>Débit</v>
      </c>
      <c r="L5" s="119">
        <f>IF(A4="Compte",Tableau1[[#This Row],[Solde Courant]],L4+Tableau1[[#This Row],[Solde Courant]])</f>
        <v>2030</v>
      </c>
      <c r="M5" s="81" t="s">
        <v>196</v>
      </c>
      <c r="N5" s="119"/>
      <c r="O5" s="81"/>
    </row>
    <row r="6" spans="1:15">
      <c r="A6" s="70" t="s">
        <v>14</v>
      </c>
      <c r="B6" s="112">
        <v>42005</v>
      </c>
      <c r="C6" s="113" t="s">
        <v>89</v>
      </c>
      <c r="D6" s="70" t="s">
        <v>76</v>
      </c>
      <c r="E6" s="70" t="s">
        <v>199</v>
      </c>
      <c r="F6" s="70" t="s">
        <v>23</v>
      </c>
      <c r="G6" s="134"/>
      <c r="H6" s="71"/>
      <c r="I6" s="71">
        <v>-22</v>
      </c>
      <c r="J6" s="71">
        <f>Tableau1[[#This Row],[Crédit]]+Tableau1[[#This Row],[Débit]]</f>
        <v>-22</v>
      </c>
      <c r="K6" s="114" t="str">
        <f>IF(Tableau1[[#This Row],[Crédit]]&lt;&gt;"","Crédit",IF(Tableau1[[#This Row],[Débit]]&lt;&gt;"","Débit",""))</f>
        <v>Débit</v>
      </c>
      <c r="L6" s="115">
        <f>IF(A5="Compte",Tableau1[[#This Row],[Solde Courant]],L5+Tableau1[[#This Row],[Solde Courant]])</f>
        <v>2008</v>
      </c>
      <c r="M6" s="72">
        <v>22</v>
      </c>
      <c r="N6" s="115"/>
      <c r="O6" s="72"/>
    </row>
    <row r="7" spans="1:15">
      <c r="A7" s="79" t="s">
        <v>96</v>
      </c>
      <c r="B7" s="116">
        <v>42005</v>
      </c>
      <c r="C7" s="117" t="s">
        <v>139</v>
      </c>
      <c r="D7" s="79" t="s">
        <v>78</v>
      </c>
      <c r="E7" s="79" t="s">
        <v>29</v>
      </c>
      <c r="F7" s="79" t="s">
        <v>30</v>
      </c>
      <c r="G7" s="135"/>
      <c r="H7" s="80"/>
      <c r="I7" s="80">
        <v>-120</v>
      </c>
      <c r="J7" s="80">
        <f>Tableau1[[#This Row],[Crédit]]+Tableau1[[#This Row],[Débit]]</f>
        <v>-120</v>
      </c>
      <c r="K7" s="118" t="str">
        <f>IF(Tableau1[[#This Row],[Crédit]]&lt;&gt;"","Crédit",IF(Tableau1[[#This Row],[Débit]]&lt;&gt;"","Débit",""))</f>
        <v>Débit</v>
      </c>
      <c r="L7" s="119">
        <f>IF(A6="Compte",Tableau1[[#This Row],[Solde Courant]],L6+Tableau1[[#This Row],[Solde Courant]])</f>
        <v>1888</v>
      </c>
      <c r="M7" s="81">
        <v>42005</v>
      </c>
      <c r="N7" s="119"/>
      <c r="O7" s="81"/>
    </row>
    <row r="8" spans="1:15">
      <c r="A8" s="70" t="s">
        <v>201</v>
      </c>
      <c r="B8" s="112">
        <v>42006</v>
      </c>
      <c r="C8" s="113" t="s">
        <v>139</v>
      </c>
      <c r="D8" s="70" t="s">
        <v>79</v>
      </c>
      <c r="E8" s="70" t="s">
        <v>29</v>
      </c>
      <c r="F8" s="70" t="s">
        <v>191</v>
      </c>
      <c r="G8" s="134"/>
      <c r="H8" s="71"/>
      <c r="I8" s="71">
        <v>-55</v>
      </c>
      <c r="J8" s="71">
        <f>Tableau1[[#This Row],[Crédit]]+Tableau1[[#This Row],[Débit]]</f>
        <v>-55</v>
      </c>
      <c r="K8" s="114" t="str">
        <f>IF(Tableau1[[#This Row],[Crédit]]&lt;&gt;"","Crédit",IF(Tableau1[[#This Row],[Débit]]&lt;&gt;"","Débit",""))</f>
        <v>Débit</v>
      </c>
      <c r="L8" s="115">
        <f>IF(A7="Compte",Tableau1[[#This Row],[Solde Courant]],L7+Tableau1[[#This Row],[Solde Courant]])</f>
        <v>1833</v>
      </c>
      <c r="M8" s="72"/>
      <c r="N8" s="115"/>
      <c r="O8" s="72"/>
    </row>
    <row r="9" spans="1:15">
      <c r="A9" s="70" t="s">
        <v>14</v>
      </c>
      <c r="B9" s="112">
        <v>42007</v>
      </c>
      <c r="C9" s="113" t="s">
        <v>139</v>
      </c>
      <c r="D9" s="70" t="s">
        <v>76</v>
      </c>
      <c r="E9" s="70" t="s">
        <v>67</v>
      </c>
      <c r="F9" s="70" t="s">
        <v>68</v>
      </c>
      <c r="G9" s="134"/>
      <c r="H9" s="71"/>
      <c r="I9" s="71">
        <v>-11.11</v>
      </c>
      <c r="J9" s="71">
        <f>Tableau1[[#This Row],[Crédit]]+Tableau1[[#This Row],[Débit]]</f>
        <v>-11.11</v>
      </c>
      <c r="K9" s="114" t="str">
        <f>IF(Tableau1[[#This Row],[Crédit]]&lt;&gt;"","Crédit",IF(Tableau1[[#This Row],[Débit]]&lt;&gt;"","Débit",""))</f>
        <v>Débit</v>
      </c>
      <c r="L9" s="115">
        <f>IF(A8="Compte",Tableau1[[#This Row],[Solde Courant]],L8+Tableau1[[#This Row],[Solde Courant]])</f>
        <v>1821.89</v>
      </c>
      <c r="M9" s="72"/>
      <c r="N9" s="115"/>
      <c r="O9" s="72" t="s">
        <v>204</v>
      </c>
    </row>
    <row r="10" spans="1:15">
      <c r="A10" s="70" t="s">
        <v>14</v>
      </c>
      <c r="B10" s="112">
        <v>42008</v>
      </c>
      <c r="C10" s="113" t="s">
        <v>139</v>
      </c>
      <c r="D10" s="70" t="s">
        <v>75</v>
      </c>
      <c r="E10" s="70" t="s">
        <v>67</v>
      </c>
      <c r="F10" s="70" t="s">
        <v>68</v>
      </c>
      <c r="G10" s="134"/>
      <c r="H10" s="71"/>
      <c r="I10" s="71">
        <v>-22.22</v>
      </c>
      <c r="J10" s="71">
        <f>Tableau1[[#This Row],[Crédit]]+Tableau1[[#This Row],[Débit]]</f>
        <v>-22.22</v>
      </c>
      <c r="K10" s="114" t="str">
        <f>IF(Tableau1[[#This Row],[Crédit]]&lt;&gt;"","Crédit",IF(Tableau1[[#This Row],[Débit]]&lt;&gt;"","Débit",""))</f>
        <v>Débit</v>
      </c>
      <c r="L10" s="115">
        <f>IF(A9="Compte",Tableau1[[#This Row],[Solde Courant]],L9+Tableau1[[#This Row],[Solde Courant]])</f>
        <v>1799.67</v>
      </c>
      <c r="M10" s="72"/>
      <c r="N10" s="115"/>
      <c r="O10" s="72" t="s">
        <v>205</v>
      </c>
    </row>
    <row r="11" spans="1:15">
      <c r="A11" s="79" t="s">
        <v>14</v>
      </c>
      <c r="B11" s="116">
        <v>42008</v>
      </c>
      <c r="C11" s="117" t="s">
        <v>139</v>
      </c>
      <c r="D11" s="79" t="s">
        <v>75</v>
      </c>
      <c r="E11" s="79" t="s">
        <v>101</v>
      </c>
      <c r="F11" s="79" t="s">
        <v>16</v>
      </c>
      <c r="G11" s="135"/>
      <c r="H11" s="80"/>
      <c r="I11" s="80">
        <v>-11.11</v>
      </c>
      <c r="J11" s="80">
        <f>Tableau1[[#This Row],[Crédit]]+Tableau1[[#This Row],[Débit]]</f>
        <v>-11.11</v>
      </c>
      <c r="K11" s="118" t="str">
        <f>IF(Tableau1[[#This Row],[Crédit]]&lt;&gt;"","Crédit",IF(Tableau1[[#This Row],[Débit]]&lt;&gt;"","Débit",""))</f>
        <v>Débit</v>
      </c>
      <c r="L11" s="119">
        <f>IF(A10="Compte",Tableau1[[#This Row],[Solde Courant]],L10+Tableau1[[#This Row],[Solde Courant]])</f>
        <v>1788.5600000000002</v>
      </c>
      <c r="M11" s="81" t="s">
        <v>221</v>
      </c>
      <c r="N11" s="119"/>
      <c r="O11" s="81" t="s">
        <v>220</v>
      </c>
    </row>
    <row r="12" spans="1:15">
      <c r="A12" s="79" t="s">
        <v>16</v>
      </c>
      <c r="B12" s="116">
        <v>42008</v>
      </c>
      <c r="C12" s="117" t="s">
        <v>90</v>
      </c>
      <c r="D12" s="79" t="s">
        <v>75</v>
      </c>
      <c r="E12" s="79" t="s">
        <v>101</v>
      </c>
      <c r="F12" s="79" t="s">
        <v>14</v>
      </c>
      <c r="G12" s="135"/>
      <c r="H12" s="80">
        <v>11.11</v>
      </c>
      <c r="J12" s="80">
        <f>Tableau1[[#This Row],[Crédit]]+Tableau1[[#This Row],[Débit]]</f>
        <v>11.11</v>
      </c>
      <c r="K12" s="118" t="str">
        <f>IF(Tableau1[[#This Row],[Crédit]]&lt;&gt;"","Crédit",IF(Tableau1[[#This Row],[Débit]]&lt;&gt;"","Débit",""))</f>
        <v>Crédit</v>
      </c>
      <c r="L12" s="119">
        <f>IF(A11="Compte",Tableau1[[#This Row],[Solde Courant]],L11+Tableau1[[#This Row],[Solde Courant]])</f>
        <v>1799.67</v>
      </c>
      <c r="M12" s="81" t="s">
        <v>221</v>
      </c>
      <c r="N12" s="119"/>
      <c r="O12" s="81" t="s">
        <v>222</v>
      </c>
    </row>
    <row r="13" spans="1:15">
      <c r="A13" s="70" t="s">
        <v>14</v>
      </c>
      <c r="B13" s="112">
        <v>42009</v>
      </c>
      <c r="C13" s="113" t="s">
        <v>92</v>
      </c>
      <c r="D13" s="70" t="s">
        <v>76</v>
      </c>
      <c r="E13" s="70" t="s">
        <v>67</v>
      </c>
      <c r="F13" s="70" t="s">
        <v>68</v>
      </c>
      <c r="G13" s="134"/>
      <c r="H13" s="71"/>
      <c r="I13" s="71">
        <v>-33.33</v>
      </c>
      <c r="J13" s="71">
        <f>Tableau1[[#This Row],[Crédit]]+Tableau1[[#This Row],[Débit]]</f>
        <v>-33.33</v>
      </c>
      <c r="K13" s="114" t="str">
        <f>IF(Tableau1[[#This Row],[Crédit]]&lt;&gt;"","Crédit",IF(Tableau1[[#This Row],[Débit]]&lt;&gt;"","Débit",""))</f>
        <v>Débit</v>
      </c>
      <c r="L13" s="115">
        <f>IF(A12="Compte",Tableau1[[#This Row],[Solde Courant]],L12+Tableau1[[#This Row],[Solde Courant]])</f>
        <v>1766.3400000000001</v>
      </c>
      <c r="M13" s="72"/>
      <c r="N13" s="115"/>
      <c r="O13" s="72" t="s">
        <v>207</v>
      </c>
    </row>
    <row r="14" spans="1:15">
      <c r="A14" s="79" t="s">
        <v>14</v>
      </c>
      <c r="B14" s="116">
        <v>42009</v>
      </c>
      <c r="C14" s="117" t="s">
        <v>139</v>
      </c>
      <c r="D14" s="79" t="s">
        <v>75</v>
      </c>
      <c r="E14" s="79" t="s">
        <v>101</v>
      </c>
      <c r="F14" s="79" t="s">
        <v>16</v>
      </c>
      <c r="G14" s="135"/>
      <c r="H14" s="80"/>
      <c r="I14" s="80">
        <v>-11.11</v>
      </c>
      <c r="J14" s="80">
        <f>Tableau1[[#This Row],[Crédit]]+Tableau1[[#This Row],[Débit]]</f>
        <v>-11.11</v>
      </c>
      <c r="K14" s="118" t="str">
        <f>IF(Tableau1[[#This Row],[Crédit]]&lt;&gt;"","Crédit",IF(Tableau1[[#This Row],[Débit]]&lt;&gt;"","Débit",""))</f>
        <v>Débit</v>
      </c>
      <c r="L14" s="115">
        <f>IF(A13="Compte",Tableau1[[#This Row],[Solde Courant]],L13+Tableau1[[#This Row],[Solde Courant]])</f>
        <v>1755.2300000000002</v>
      </c>
      <c r="M14" s="81" t="s">
        <v>224</v>
      </c>
      <c r="N14" s="119"/>
      <c r="O14" s="81" t="s">
        <v>223</v>
      </c>
    </row>
    <row r="15" spans="1:15">
      <c r="A15" s="79" t="s">
        <v>16</v>
      </c>
      <c r="B15" s="116">
        <v>42009</v>
      </c>
      <c r="C15" s="117" t="s">
        <v>90</v>
      </c>
      <c r="D15" s="79" t="s">
        <v>75</v>
      </c>
      <c r="E15" s="79" t="s">
        <v>101</v>
      </c>
      <c r="F15" s="79" t="s">
        <v>14</v>
      </c>
      <c r="G15" s="135"/>
      <c r="H15" s="80">
        <v>11.11</v>
      </c>
      <c r="J15" s="80">
        <f>Tableau1[[#This Row],[Crédit]]+Tableau1[[#This Row],[Débit]]</f>
        <v>11.11</v>
      </c>
      <c r="K15" s="118" t="str">
        <f>IF(Tableau1[[#This Row],[Crédit]]&lt;&gt;"","Crédit",IF(Tableau1[[#This Row],[Débit]]&lt;&gt;"","Débit",""))</f>
        <v>Crédit</v>
      </c>
      <c r="L15" s="115">
        <f>IF(A14="Compte",Tableau1[[#This Row],[Solde Courant]],L14+Tableau1[[#This Row],[Solde Courant]])</f>
        <v>1766.3400000000001</v>
      </c>
      <c r="M15" s="81" t="s">
        <v>224</v>
      </c>
      <c r="N15" s="119"/>
      <c r="O15" s="81" t="s">
        <v>225</v>
      </c>
    </row>
    <row r="16" spans="1:15">
      <c r="A16" s="70" t="s">
        <v>14</v>
      </c>
      <c r="B16" s="112">
        <v>42010</v>
      </c>
      <c r="C16" s="113" t="s">
        <v>139</v>
      </c>
      <c r="D16" s="70" t="s">
        <v>79</v>
      </c>
      <c r="E16" s="70" t="s">
        <v>67</v>
      </c>
      <c r="F16" s="70" t="s">
        <v>68</v>
      </c>
      <c r="G16" s="134"/>
      <c r="H16" s="71"/>
      <c r="I16" s="71">
        <v>-44.44</v>
      </c>
      <c r="J16" s="71">
        <f>Tableau1[[#This Row],[Crédit]]+Tableau1[[#This Row],[Débit]]</f>
        <v>-44.44</v>
      </c>
      <c r="K16" s="114" t="str">
        <f>IF(Tableau1[[#This Row],[Crédit]]&lt;&gt;"","Crédit",IF(Tableau1[[#This Row],[Débit]]&lt;&gt;"","Débit",""))</f>
        <v>Débit</v>
      </c>
      <c r="L16" s="115">
        <f>IF(A15="Compte",Tableau1[[#This Row],[Solde Courant]],L15+Tableau1[[#This Row],[Solde Courant]])</f>
        <v>1721.9</v>
      </c>
      <c r="M16" s="72"/>
      <c r="N16" s="115"/>
      <c r="O16" s="72" t="s">
        <v>208</v>
      </c>
    </row>
    <row r="17" spans="1:15">
      <c r="A17" s="70" t="s">
        <v>13</v>
      </c>
      <c r="B17" s="112">
        <v>42011</v>
      </c>
      <c r="C17" s="113" t="s">
        <v>139</v>
      </c>
      <c r="D17" s="70" t="s">
        <v>80</v>
      </c>
      <c r="E17" s="70" t="s">
        <v>67</v>
      </c>
      <c r="F17" s="70" t="s">
        <v>68</v>
      </c>
      <c r="G17" s="134"/>
      <c r="H17" s="71"/>
      <c r="I17" s="71">
        <v>-55.55</v>
      </c>
      <c r="J17" s="71">
        <f>Tableau1[[#This Row],[Crédit]]+Tableau1[[#This Row],[Débit]]</f>
        <v>-55.55</v>
      </c>
      <c r="K17" s="114" t="str">
        <f>IF(Tableau1[[#This Row],[Crédit]]&lt;&gt;"","Crédit",IF(Tableau1[[#This Row],[Débit]]&lt;&gt;"","Débit",""))</f>
        <v>Débit</v>
      </c>
      <c r="L17" s="115">
        <f>IF(A16="Compte",Tableau1[[#This Row],[Solde Courant]],L16+Tableau1[[#This Row],[Solde Courant]])</f>
        <v>1666.3500000000001</v>
      </c>
      <c r="M17" s="72"/>
      <c r="N17" s="115"/>
      <c r="O17" s="72" t="s">
        <v>211</v>
      </c>
    </row>
    <row r="18" spans="1:15">
      <c r="A18" s="70" t="s">
        <v>14</v>
      </c>
      <c r="B18" s="112">
        <v>42013</v>
      </c>
      <c r="C18" s="113" t="s">
        <v>139</v>
      </c>
      <c r="D18" s="70" t="s">
        <v>75</v>
      </c>
      <c r="E18" s="70" t="s">
        <v>101</v>
      </c>
      <c r="F18" s="70" t="s">
        <v>16</v>
      </c>
      <c r="G18" s="134"/>
      <c r="H18" s="71"/>
      <c r="I18" s="71">
        <v>-12.12</v>
      </c>
      <c r="J18" s="71">
        <f>Tableau1[[#This Row],[Crédit]]+Tableau1[[#This Row],[Débit]]</f>
        <v>-12.12</v>
      </c>
      <c r="K18" s="114" t="str">
        <f>IF(Tableau1[[#This Row],[Crédit]]&lt;&gt;"","Crédit",IF(Tableau1[[#This Row],[Débit]]&lt;&gt;"","Débit",""))</f>
        <v>Débit</v>
      </c>
      <c r="L18" s="115">
        <f>IF(A17="Compte",Tableau1[[#This Row],[Solde Courant]],L17+Tableau1[[#This Row],[Solde Courant]])</f>
        <v>1654.2300000000002</v>
      </c>
      <c r="M18" s="72" t="s">
        <v>224</v>
      </c>
      <c r="N18" s="115"/>
      <c r="O18" s="72" t="s">
        <v>226</v>
      </c>
    </row>
    <row r="19" spans="1:15">
      <c r="A19" s="70" t="s">
        <v>16</v>
      </c>
      <c r="B19" s="112">
        <v>42013</v>
      </c>
      <c r="C19" s="113" t="s">
        <v>90</v>
      </c>
      <c r="D19" s="70" t="s">
        <v>75</v>
      </c>
      <c r="E19" s="70" t="s">
        <v>101</v>
      </c>
      <c r="F19" s="70" t="s">
        <v>14</v>
      </c>
      <c r="G19" s="134"/>
      <c r="H19" s="71">
        <v>12.12</v>
      </c>
      <c r="I19" s="71"/>
      <c r="J19" s="71">
        <f>Tableau1[[#This Row],[Crédit]]+Tableau1[[#This Row],[Débit]]</f>
        <v>12.12</v>
      </c>
      <c r="K19" s="114" t="str">
        <f>IF(Tableau1[[#This Row],[Crédit]]&lt;&gt;"","Crédit",IF(Tableau1[[#This Row],[Débit]]&lt;&gt;"","Débit",""))</f>
        <v>Crédit</v>
      </c>
      <c r="L19" s="115">
        <f>IF(A18="Compte",Tableau1[[#This Row],[Solde Courant]],L18+Tableau1[[#This Row],[Solde Courant]])</f>
        <v>1666.3500000000001</v>
      </c>
      <c r="M19" s="72" t="s">
        <v>224</v>
      </c>
      <c r="N19" s="115"/>
      <c r="O19" s="72" t="s">
        <v>227</v>
      </c>
    </row>
    <row r="20" spans="1:15">
      <c r="A20" s="70" t="s">
        <v>14</v>
      </c>
      <c r="B20" s="112">
        <v>42014</v>
      </c>
      <c r="C20" s="113" t="s">
        <v>139</v>
      </c>
      <c r="D20" s="70" t="s">
        <v>84</v>
      </c>
      <c r="E20" s="70" t="s">
        <v>29</v>
      </c>
      <c r="F20" s="70" t="s">
        <v>191</v>
      </c>
      <c r="G20" s="134"/>
      <c r="H20" s="71" t="s">
        <v>229</v>
      </c>
      <c r="I20" s="71"/>
      <c r="J20" s="71">
        <f>Tableau1[[#This Row],[Crédit]]+Tableau1[[#This Row],[Débit]]</f>
        <v>3333.44</v>
      </c>
      <c r="K20" s="114" t="str">
        <f>IF(Tableau1[[#This Row],[Crédit]]&lt;&gt;"","Crédit",IF(Tableau1[[#This Row],[Débit]]&lt;&gt;"","Débit",""))</f>
        <v>Crédit</v>
      </c>
      <c r="L20" s="115">
        <f>IF(A19="Compte",Tableau1[[#This Row],[Solde Courant]],L19+Tableau1[[#This Row],[Solde Courant]])</f>
        <v>4999.79</v>
      </c>
      <c r="M20" s="72"/>
      <c r="N20" s="115"/>
      <c r="O20" s="72"/>
    </row>
    <row r="21" spans="1:15">
      <c r="A21" s="70" t="s">
        <v>14</v>
      </c>
      <c r="B21" s="112">
        <v>42015</v>
      </c>
      <c r="C21" s="113" t="s">
        <v>90</v>
      </c>
      <c r="D21" s="70" t="s">
        <v>77</v>
      </c>
      <c r="E21" s="70" t="s">
        <v>29</v>
      </c>
      <c r="F21" s="70" t="s">
        <v>191</v>
      </c>
      <c r="G21" s="134"/>
      <c r="H21" s="71">
        <v>7373.73</v>
      </c>
      <c r="I21" s="71"/>
      <c r="J21" s="71">
        <f>Tableau1[[#This Row],[Crédit]]+Tableau1[[#This Row],[Débit]]</f>
        <v>7373.73</v>
      </c>
      <c r="K21" s="114" t="str">
        <f>IF(Tableau1[[#This Row],[Crédit]]&lt;&gt;"","Crédit",IF(Tableau1[[#This Row],[Débit]]&lt;&gt;"","Débit",""))</f>
        <v>Crédit</v>
      </c>
      <c r="L21" s="115">
        <f>IF(A20="Compte",Tableau1[[#This Row],[Solde Courant]],L20+Tableau1[[#This Row],[Solde Courant]])</f>
        <v>12373.52</v>
      </c>
      <c r="M21" s="72"/>
      <c r="N21" s="115"/>
      <c r="O21" s="72"/>
    </row>
    <row r="22" spans="1:15">
      <c r="A22" s="70" t="s">
        <v>14</v>
      </c>
      <c r="B22" s="112">
        <v>42036</v>
      </c>
      <c r="C22" s="113" t="s">
        <v>139</v>
      </c>
      <c r="D22" s="70" t="s">
        <v>170</v>
      </c>
      <c r="E22" s="70" t="s">
        <v>24</v>
      </c>
      <c r="F22" s="70" t="s">
        <v>26</v>
      </c>
      <c r="G22" s="134"/>
      <c r="H22" s="71"/>
      <c r="I22" s="71">
        <v>-100</v>
      </c>
      <c r="J22" s="71">
        <f>Tableau1[[#This Row],[Crédit]]+Tableau1[[#This Row],[Débit]]</f>
        <v>-100</v>
      </c>
      <c r="K22" s="114" t="str">
        <f>IF(Tableau1[[#This Row],[Crédit]]&lt;&gt;"","Crédit",IF(Tableau1[[#This Row],[Débit]]&lt;&gt;"","Débit",""))</f>
        <v>Débit</v>
      </c>
      <c r="L22" s="115">
        <f>IF(A21="Compte",Tableau1[[#This Row],[Solde Courant]],L21+Tableau1[[#This Row],[Solde Courant]])</f>
        <v>12273.52</v>
      </c>
      <c r="M22" s="72"/>
      <c r="N22" s="115"/>
      <c r="O22" s="72"/>
    </row>
    <row r="23" spans="1:15">
      <c r="A23" s="70" t="s">
        <v>13</v>
      </c>
      <c r="B23" s="112">
        <v>42037</v>
      </c>
      <c r="C23" s="113" t="s">
        <v>94</v>
      </c>
      <c r="D23" s="70" t="s">
        <v>86</v>
      </c>
      <c r="E23" s="70" t="s">
        <v>199</v>
      </c>
      <c r="F23" s="70" t="s">
        <v>23</v>
      </c>
      <c r="G23" s="134"/>
      <c r="H23" s="71"/>
      <c r="I23" s="71">
        <v>-110</v>
      </c>
      <c r="J23" s="71">
        <f>Tableau1[[#This Row],[Crédit]]+Tableau1[[#This Row],[Débit]]</f>
        <v>-110</v>
      </c>
      <c r="K23" s="114" t="str">
        <f>IF(Tableau1[[#This Row],[Crédit]]&lt;&gt;"","Crédit",IF(Tableau1[[#This Row],[Débit]]&lt;&gt;"","Débit",""))</f>
        <v>Débit</v>
      </c>
      <c r="L23" s="115">
        <f>IF(A22="Compte",Tableau1[[#This Row],[Solde Courant]],L22+Tableau1[[#This Row],[Solde Courant]])</f>
        <v>12163.52</v>
      </c>
      <c r="M23" s="72"/>
      <c r="N23" s="115"/>
      <c r="O23" s="72"/>
    </row>
    <row r="24" spans="1:15">
      <c r="A24" s="70" t="s">
        <v>96</v>
      </c>
      <c r="B24" s="112">
        <v>42038</v>
      </c>
      <c r="C24" s="113" t="s">
        <v>139</v>
      </c>
      <c r="D24" s="70" t="s">
        <v>78</v>
      </c>
      <c r="E24" s="70" t="s">
        <v>29</v>
      </c>
      <c r="F24" s="70" t="s">
        <v>30</v>
      </c>
      <c r="G24" s="134"/>
      <c r="H24" s="71"/>
      <c r="I24" s="71">
        <v>-120</v>
      </c>
      <c r="J24" s="71">
        <f>Tableau1[[#This Row],[Crédit]]+Tableau1[[#This Row],[Débit]]</f>
        <v>-120</v>
      </c>
      <c r="K24" s="114" t="str">
        <f>IF(Tableau1[[#This Row],[Crédit]]&lt;&gt;"","Crédit",IF(Tableau1[[#This Row],[Débit]]&lt;&gt;"","Débit",""))</f>
        <v>Débit</v>
      </c>
      <c r="L24" s="115">
        <f>IF(A23="Compte",Tableau1[[#This Row],[Solde Courant]],L23+Tableau1[[#This Row],[Solde Courant]])</f>
        <v>12043.52</v>
      </c>
      <c r="M24" s="72"/>
      <c r="N24" s="115"/>
      <c r="O24" s="72"/>
    </row>
    <row r="25" spans="1:15">
      <c r="A25" s="70" t="s">
        <v>95</v>
      </c>
      <c r="B25" s="112">
        <v>42039</v>
      </c>
      <c r="C25" s="113" t="s">
        <v>94</v>
      </c>
      <c r="D25" s="70" t="s">
        <v>87</v>
      </c>
      <c r="E25" s="70" t="s">
        <v>35</v>
      </c>
      <c r="F25" s="70" t="s">
        <v>36</v>
      </c>
      <c r="G25" s="134"/>
      <c r="H25" s="71"/>
      <c r="I25" s="71">
        <v>-130</v>
      </c>
      <c r="J25" s="71">
        <f>Tableau1[[#This Row],[Crédit]]+Tableau1[[#This Row],[Débit]]</f>
        <v>-130</v>
      </c>
      <c r="K25" s="114" t="str">
        <f>IF(Tableau1[[#This Row],[Crédit]]&lt;&gt;"","Crédit",IF(Tableau1[[#This Row],[Débit]]&lt;&gt;"","Débit",""))</f>
        <v>Débit</v>
      </c>
      <c r="L25" s="115">
        <f>IF(A24="Compte",Tableau1[[#This Row],[Solde Courant]],L24+Tableau1[[#This Row],[Solde Courant]])</f>
        <v>11913.52</v>
      </c>
      <c r="M25" s="72"/>
      <c r="N25" s="115"/>
      <c r="O25" s="72"/>
    </row>
    <row r="26" spans="1:15">
      <c r="A26" s="70" t="s">
        <v>13</v>
      </c>
      <c r="B26" s="112">
        <v>42040</v>
      </c>
      <c r="C26" s="113" t="s">
        <v>93</v>
      </c>
      <c r="D26" s="70" t="s">
        <v>81</v>
      </c>
      <c r="E26" s="70" t="s">
        <v>32</v>
      </c>
      <c r="F26" s="70" t="s">
        <v>33</v>
      </c>
      <c r="G26" s="134"/>
      <c r="H26" s="71"/>
      <c r="I26" s="71">
        <v>-140</v>
      </c>
      <c r="J26" s="71">
        <f>Tableau1[[#This Row],[Crédit]]+Tableau1[[#This Row],[Débit]]</f>
        <v>-140</v>
      </c>
      <c r="K26" s="114" t="str">
        <f>IF(Tableau1[[#This Row],[Crédit]]&lt;&gt;"","Crédit",IF(Tableau1[[#This Row],[Débit]]&lt;&gt;"","Débit",""))</f>
        <v>Débit</v>
      </c>
      <c r="L26" s="115">
        <f>IF(A25="Compte",Tableau1[[#This Row],[Solde Courant]],L25+Tableau1[[#This Row],[Solde Courant]])</f>
        <v>11773.52</v>
      </c>
      <c r="M26" s="72"/>
      <c r="N26" s="115"/>
      <c r="O26" s="72"/>
    </row>
    <row r="27" spans="1:15">
      <c r="A27" s="70" t="s">
        <v>14</v>
      </c>
      <c r="B27" s="112">
        <v>42041</v>
      </c>
      <c r="C27" s="113" t="s">
        <v>139</v>
      </c>
      <c r="D27" s="70" t="s">
        <v>83</v>
      </c>
      <c r="E27" s="70" t="s">
        <v>29</v>
      </c>
      <c r="F27" s="70" t="s">
        <v>31</v>
      </c>
      <c r="G27" s="134"/>
      <c r="H27" s="71"/>
      <c r="I27" s="71">
        <v>-155.55000000000001</v>
      </c>
      <c r="J27" s="71">
        <f>Tableau1[[#This Row],[Crédit]]+Tableau1[[#This Row],[Débit]]</f>
        <v>-155.55000000000001</v>
      </c>
      <c r="K27" s="114" t="str">
        <f>IF(Tableau1[[#This Row],[Crédit]]&lt;&gt;"","Crédit",IF(Tableau1[[#This Row],[Débit]]&lt;&gt;"","Débit",""))</f>
        <v>Débit</v>
      </c>
      <c r="L27" s="115">
        <f>IF(A26="Compte",Tableau1[[#This Row],[Solde Courant]],L26+Tableau1[[#This Row],[Solde Courant]])</f>
        <v>11617.970000000001</v>
      </c>
      <c r="M27" s="72"/>
      <c r="N27" s="115"/>
      <c r="O27" s="72"/>
    </row>
    <row r="28" spans="1:15">
      <c r="A28" s="70" t="s">
        <v>13</v>
      </c>
      <c r="B28" s="112">
        <v>42042</v>
      </c>
      <c r="C28" s="113" t="s">
        <v>93</v>
      </c>
      <c r="D28" s="70" t="s">
        <v>82</v>
      </c>
      <c r="E28" s="70" t="s">
        <v>67</v>
      </c>
      <c r="F28" s="70" t="s">
        <v>68</v>
      </c>
      <c r="G28" s="134"/>
      <c r="H28" s="71"/>
      <c r="I28" s="71">
        <v>-22.23</v>
      </c>
      <c r="J28" s="71">
        <f>Tableau1[[#This Row],[Crédit]]+Tableau1[[#This Row],[Débit]]</f>
        <v>-22.23</v>
      </c>
      <c r="K28" s="114" t="str">
        <f>IF(Tableau1[[#This Row],[Crédit]]&lt;&gt;"","Crédit",IF(Tableau1[[#This Row],[Débit]]&lt;&gt;"","Débit",""))</f>
        <v>Débit</v>
      </c>
      <c r="L28" s="115">
        <f>IF(A27="Compte",Tableau1[[#This Row],[Solde Courant]],L27+Tableau1[[#This Row],[Solde Courant]])</f>
        <v>11595.740000000002</v>
      </c>
      <c r="M28" s="72"/>
      <c r="N28" s="115"/>
      <c r="O28" s="72" t="s">
        <v>228</v>
      </c>
    </row>
    <row r="29" spans="1:15">
      <c r="A29" s="70" t="s">
        <v>13</v>
      </c>
      <c r="B29" s="112">
        <v>42043</v>
      </c>
      <c r="C29" s="113" t="s">
        <v>93</v>
      </c>
      <c r="D29" s="70" t="s">
        <v>81</v>
      </c>
      <c r="E29" s="70" t="s">
        <v>32</v>
      </c>
      <c r="F29" s="70" t="s">
        <v>33</v>
      </c>
      <c r="G29" s="134"/>
      <c r="H29" s="71"/>
      <c r="I29" s="71">
        <v>-145</v>
      </c>
      <c r="J29" s="71">
        <f>Tableau1[[#This Row],[Crédit]]+Tableau1[[#This Row],[Débit]]</f>
        <v>-145</v>
      </c>
      <c r="K29" s="114" t="str">
        <f>IF(Tableau1[[#This Row],[Crédit]]&lt;&gt;"","Crédit",IF(Tableau1[[#This Row],[Débit]]&lt;&gt;"","Débit",""))</f>
        <v>Débit</v>
      </c>
      <c r="L29" s="115">
        <f>IF(A28="Compte",Tableau1[[#This Row],[Solde Courant]],L28+Tableau1[[#This Row],[Solde Courant]])</f>
        <v>11450.740000000002</v>
      </c>
      <c r="M29" s="72"/>
      <c r="N29" s="115"/>
      <c r="O29" s="72"/>
    </row>
    <row r="30" spans="1:15">
      <c r="A30" s="70" t="s">
        <v>14</v>
      </c>
      <c r="B30" s="112">
        <v>42044</v>
      </c>
      <c r="C30" s="113" t="s">
        <v>90</v>
      </c>
      <c r="D30" s="70" t="s">
        <v>3</v>
      </c>
      <c r="E30" s="70" t="s">
        <v>24</v>
      </c>
      <c r="F30" s="70" t="s">
        <v>26</v>
      </c>
      <c r="G30" s="134"/>
      <c r="H30" s="71"/>
      <c r="I30" s="71">
        <v>-1111.1099999999999</v>
      </c>
      <c r="J30" s="71">
        <f>Tableau1[[#This Row],[Crédit]]+Tableau1[[#This Row],[Débit]]</f>
        <v>-1111.1099999999999</v>
      </c>
      <c r="K30" s="114" t="str">
        <f>IF(Tableau1[[#This Row],[Crédit]]&lt;&gt;"","Crédit",IF(Tableau1[[#This Row],[Débit]]&lt;&gt;"","Débit",""))</f>
        <v>Débit</v>
      </c>
      <c r="L30" s="115">
        <f>IF(A29="Compte",Tableau1[[#This Row],[Solde Courant]],L29+Tableau1[[#This Row],[Solde Courant]])</f>
        <v>10339.630000000001</v>
      </c>
      <c r="M30" s="72"/>
      <c r="N30" s="115"/>
      <c r="O30" s="72"/>
    </row>
    <row r="31" spans="1:15">
      <c r="A31" s="70" t="s">
        <v>73</v>
      </c>
      <c r="B31" s="112">
        <v>42045</v>
      </c>
      <c r="C31" s="113" t="s">
        <v>139</v>
      </c>
      <c r="D31" s="70" t="s">
        <v>100</v>
      </c>
      <c r="E31" s="70" t="s">
        <v>32</v>
      </c>
      <c r="F31" s="70" t="s">
        <v>33</v>
      </c>
      <c r="G31" s="134"/>
      <c r="H31" s="82" t="s">
        <v>230</v>
      </c>
      <c r="I31" s="71"/>
      <c r="J31" s="71">
        <f>Tableau1[[#This Row],[Crédit]]+Tableau1[[#This Row],[Débit]]</f>
        <v>2222.2199999999998</v>
      </c>
      <c r="K31" s="114" t="str">
        <f>IF(Tableau1[[#This Row],[Crédit]]&lt;&gt;"","Crédit",IF(Tableau1[[#This Row],[Débit]]&lt;&gt;"","Débit",""))</f>
        <v>Crédit</v>
      </c>
      <c r="L31" s="115">
        <f>IF(A30="Compte",Tableau1[[#This Row],[Solde Courant]],L30+Tableau1[[#This Row],[Solde Courant]])</f>
        <v>12561.85</v>
      </c>
      <c r="M31" s="72"/>
      <c r="N31" s="115"/>
      <c r="O31" s="72"/>
    </row>
    <row r="32" spans="1:15">
      <c r="A32" s="70" t="s">
        <v>14</v>
      </c>
      <c r="B32" s="112">
        <v>42046</v>
      </c>
      <c r="C32" s="113" t="s">
        <v>139</v>
      </c>
      <c r="D32" s="70" t="s">
        <v>74</v>
      </c>
      <c r="E32" s="70" t="s">
        <v>192</v>
      </c>
      <c r="F32" s="70" t="s">
        <v>39</v>
      </c>
      <c r="G32" s="134"/>
      <c r="H32" s="82" t="s">
        <v>231</v>
      </c>
      <c r="I32" s="82">
        <v>-56.56</v>
      </c>
      <c r="J32" s="71">
        <f>Tableau1[[#This Row],[Crédit]]+Tableau1[[#This Row],[Débit]]</f>
        <v>0</v>
      </c>
      <c r="K32" s="114" t="str">
        <f>IF(Tableau1[[#This Row],[Crédit]]&lt;&gt;"","Crédit",IF(Tableau1[[#This Row],[Débit]]&lt;&gt;"","Débit",""))</f>
        <v>Crédit</v>
      </c>
      <c r="L32" s="115">
        <f>IF(A31="Compte",Tableau1[[#This Row],[Solde Courant]],L31+Tableau1[[#This Row],[Solde Courant]])</f>
        <v>12561.85</v>
      </c>
      <c r="M32" s="72"/>
      <c r="N32" s="115"/>
      <c r="O32" s="72"/>
    </row>
    <row r="33" spans="1:15">
      <c r="A33" s="70" t="s">
        <v>14</v>
      </c>
      <c r="B33" s="112">
        <v>42047</v>
      </c>
      <c r="C33" s="113" t="s">
        <v>91</v>
      </c>
      <c r="D33" s="70" t="s">
        <v>85</v>
      </c>
      <c r="E33" s="70" t="s">
        <v>101</v>
      </c>
      <c r="F33" s="70" t="s">
        <v>96</v>
      </c>
      <c r="G33" s="134"/>
      <c r="H33" s="71"/>
      <c r="I33" s="71">
        <v>-40</v>
      </c>
      <c r="J33" s="71">
        <f>Tableau1[[#This Row],[Crédit]]+Tableau1[[#This Row],[Débit]]</f>
        <v>-40</v>
      </c>
      <c r="K33" s="114" t="str">
        <f>IF(Tableau1[[#This Row],[Crédit]]&lt;&gt;"","Crédit",IF(Tableau1[[#This Row],[Débit]]&lt;&gt;"","Débit",""))</f>
        <v>Débit</v>
      </c>
      <c r="L33" s="115">
        <f>IF(A32="Compte",Tableau1[[#This Row],[Solde Courant]],L32+Tableau1[[#This Row],[Solde Courant]])</f>
        <v>12521.85</v>
      </c>
      <c r="M33" s="72"/>
      <c r="N33" s="115"/>
      <c r="O33" s="72" t="s">
        <v>232</v>
      </c>
    </row>
    <row r="34" spans="1:15">
      <c r="A34" s="70" t="s">
        <v>96</v>
      </c>
      <c r="B34" s="112">
        <v>42047</v>
      </c>
      <c r="C34" s="113" t="s">
        <v>90</v>
      </c>
      <c r="D34" s="70" t="s">
        <v>85</v>
      </c>
      <c r="E34" s="70" t="s">
        <v>101</v>
      </c>
      <c r="F34" s="70" t="s">
        <v>14</v>
      </c>
      <c r="G34" s="134"/>
      <c r="H34" s="71">
        <v>40</v>
      </c>
      <c r="I34" s="71"/>
      <c r="J34" s="71">
        <f>Tableau1[[#This Row],[Crédit]]+Tableau1[[#This Row],[Débit]]</f>
        <v>40</v>
      </c>
      <c r="K34" s="114" t="str">
        <f>IF(Tableau1[[#This Row],[Crédit]]&lt;&gt;"","Crédit",IF(Tableau1[[#This Row],[Débit]]&lt;&gt;"","Débit",""))</f>
        <v>Crédit</v>
      </c>
      <c r="L34" s="115">
        <f>IF(A33="Compte",Tableau1[[#This Row],[Solde Courant]],L33+Tableau1[[#This Row],[Solde Courant]])</f>
        <v>12561.85</v>
      </c>
      <c r="M34" s="72"/>
      <c r="N34" s="115"/>
      <c r="O34" s="72" t="s">
        <v>233</v>
      </c>
    </row>
    <row r="35" spans="1:15">
      <c r="A35" s="70" t="s">
        <v>14</v>
      </c>
      <c r="B35" s="112">
        <v>42048</v>
      </c>
      <c r="C35" s="113" t="s">
        <v>139</v>
      </c>
      <c r="D35" s="70" t="s">
        <v>75</v>
      </c>
      <c r="E35" s="70" t="s">
        <v>101</v>
      </c>
      <c r="F35" s="70" t="s">
        <v>16</v>
      </c>
      <c r="G35" s="134"/>
      <c r="H35" s="71"/>
      <c r="I35" s="71">
        <v>-22.22</v>
      </c>
      <c r="J35" s="71">
        <f>Tableau1[[#This Row],[Crédit]]+Tableau1[[#This Row],[Débit]]</f>
        <v>-22.22</v>
      </c>
      <c r="K35" s="114" t="str">
        <f>IF(Tableau1[[#This Row],[Crédit]]&lt;&gt;"","Crédit",IF(Tableau1[[#This Row],[Débit]]&lt;&gt;"","Débit",""))</f>
        <v>Débit</v>
      </c>
      <c r="L35" s="115">
        <f>IF(A34="Compte",Tableau1[[#This Row],[Solde Courant]],L34+Tableau1[[#This Row],[Solde Courant]])</f>
        <v>12539.630000000001</v>
      </c>
      <c r="M35" s="72" t="s">
        <v>221</v>
      </c>
      <c r="N35" s="115"/>
      <c r="O35" s="72" t="s">
        <v>234</v>
      </c>
    </row>
    <row r="36" spans="1:15">
      <c r="A36" s="70" t="s">
        <v>16</v>
      </c>
      <c r="B36" s="112">
        <v>42048</v>
      </c>
      <c r="C36" s="113" t="s">
        <v>90</v>
      </c>
      <c r="D36" s="70" t="s">
        <v>75</v>
      </c>
      <c r="E36" s="70" t="s">
        <v>101</v>
      </c>
      <c r="F36" s="70" t="s">
        <v>14</v>
      </c>
      <c r="G36" s="134"/>
      <c r="H36" s="71">
        <v>22.22</v>
      </c>
      <c r="I36" s="71"/>
      <c r="J36" s="71">
        <f>Tableau1[[#This Row],[Crédit]]+Tableau1[[#This Row],[Débit]]</f>
        <v>22.22</v>
      </c>
      <c r="K36" s="114" t="str">
        <f>IF(Tableau1[[#This Row],[Crédit]]&lt;&gt;"","Crédit",IF(Tableau1[[#This Row],[Débit]]&lt;&gt;"","Débit",""))</f>
        <v>Crédit</v>
      </c>
      <c r="L36" s="115">
        <f>IF(A35="Compte",Tableau1[[#This Row],[Solde Courant]],L35+Tableau1[[#This Row],[Solde Courant]])</f>
        <v>12561.85</v>
      </c>
      <c r="M36" s="72" t="s">
        <v>221</v>
      </c>
      <c r="N36" s="115"/>
      <c r="O36" s="72" t="s">
        <v>235</v>
      </c>
    </row>
    <row r="37" spans="1:15">
      <c r="A37" s="70" t="s">
        <v>14</v>
      </c>
      <c r="B37" s="112">
        <v>42048</v>
      </c>
      <c r="C37" s="113" t="s">
        <v>91</v>
      </c>
      <c r="D37" s="70" t="s">
        <v>75</v>
      </c>
      <c r="E37" s="70" t="s">
        <v>101</v>
      </c>
      <c r="F37" s="70" t="s">
        <v>16</v>
      </c>
      <c r="G37" s="134"/>
      <c r="H37" s="82" t="s">
        <v>239</v>
      </c>
      <c r="I37" s="71"/>
      <c r="J37" s="71">
        <f>Tableau1[[#This Row],[Crédit]]+Tableau1[[#This Row],[Débit]]</f>
        <v>22.22</v>
      </c>
      <c r="K37" s="114" t="str">
        <f>IF(Tableau1[[#This Row],[Crédit]]&lt;&gt;"","Crédit",IF(Tableau1[[#This Row],[Débit]]&lt;&gt;"","Débit",""))</f>
        <v>Crédit</v>
      </c>
      <c r="L37" s="115">
        <f>IF(A36="Compte",Tableau1[[#This Row],[Solde Courant]],L36+Tableau1[[#This Row],[Solde Courant]])</f>
        <v>12584.07</v>
      </c>
      <c r="M37" s="72" t="s">
        <v>221</v>
      </c>
      <c r="N37" s="115"/>
      <c r="O37" s="83" t="s">
        <v>238</v>
      </c>
    </row>
    <row r="38" spans="1:15">
      <c r="A38" s="70" t="s">
        <v>16</v>
      </c>
      <c r="B38" s="112">
        <v>42048</v>
      </c>
      <c r="C38" s="113" t="s">
        <v>90</v>
      </c>
      <c r="D38" s="70" t="s">
        <v>75</v>
      </c>
      <c r="E38" s="70" t="s">
        <v>101</v>
      </c>
      <c r="F38" s="70" t="s">
        <v>14</v>
      </c>
      <c r="G38" s="134"/>
      <c r="H38" s="71"/>
      <c r="I38" s="82">
        <v>-22.22</v>
      </c>
      <c r="J38" s="71">
        <f>Tableau1[[#This Row],[Crédit]]+Tableau1[[#This Row],[Débit]]</f>
        <v>-22.22</v>
      </c>
      <c r="K38" s="114" t="str">
        <f>IF(Tableau1[[#This Row],[Crédit]]&lt;&gt;"","Crédit",IF(Tableau1[[#This Row],[Débit]]&lt;&gt;"","Débit",""))</f>
        <v>Débit</v>
      </c>
      <c r="L38" s="115">
        <f>IF(A37="Compte",Tableau1[[#This Row],[Solde Courant]],L37+Tableau1[[#This Row],[Solde Courant]])</f>
        <v>12561.85</v>
      </c>
      <c r="M38" s="72" t="s">
        <v>221</v>
      </c>
      <c r="N38" s="115"/>
      <c r="O38" s="83" t="s">
        <v>238</v>
      </c>
    </row>
    <row r="39" spans="1:15">
      <c r="A39" s="70" t="s">
        <v>13</v>
      </c>
      <c r="B39" s="112">
        <v>42049</v>
      </c>
      <c r="C39" s="113" t="s">
        <v>91</v>
      </c>
      <c r="D39" s="70" t="s">
        <v>85</v>
      </c>
      <c r="E39" s="70" t="s">
        <v>101</v>
      </c>
      <c r="F39" s="70" t="s">
        <v>95</v>
      </c>
      <c r="G39" s="134"/>
      <c r="H39" s="71"/>
      <c r="I39" s="71">
        <v>-50</v>
      </c>
      <c r="J39" s="71">
        <f>Tableau1[[#This Row],[Crédit]]+Tableau1[[#This Row],[Débit]]</f>
        <v>-50</v>
      </c>
      <c r="K39" s="114" t="str">
        <f>IF(Tableau1[[#This Row],[Crédit]]&lt;&gt;"","Crédit",IF(Tableau1[[#This Row],[Débit]]&lt;&gt;"","Débit",""))</f>
        <v>Débit</v>
      </c>
      <c r="L39" s="115">
        <f>IF(A38="Compte",Tableau1[[#This Row],[Solde Courant]],L38+Tableau1[[#This Row],[Solde Courant]])</f>
        <v>12511.85</v>
      </c>
      <c r="M39" s="72"/>
      <c r="N39" s="115"/>
      <c r="O39" s="72" t="s">
        <v>236</v>
      </c>
    </row>
    <row r="40" spans="1:15">
      <c r="A40" s="70" t="s">
        <v>95</v>
      </c>
      <c r="B40" s="112">
        <v>42049</v>
      </c>
      <c r="C40" s="113" t="s">
        <v>90</v>
      </c>
      <c r="D40" s="70" t="s">
        <v>85</v>
      </c>
      <c r="E40" s="70" t="s">
        <v>101</v>
      </c>
      <c r="F40" s="70" t="s">
        <v>13</v>
      </c>
      <c r="G40" s="134"/>
      <c r="H40" s="71">
        <v>50</v>
      </c>
      <c r="I40" s="71"/>
      <c r="J40" s="71">
        <f>Tableau1[[#This Row],[Crédit]]+Tableau1[[#This Row],[Débit]]</f>
        <v>50</v>
      </c>
      <c r="K40" s="114" t="str">
        <f>IF(Tableau1[[#This Row],[Crédit]]&lt;&gt;"","Crédit",IF(Tableau1[[#This Row],[Débit]]&lt;&gt;"","Débit",""))</f>
        <v>Crédit</v>
      </c>
      <c r="L40" s="115">
        <f>IF(A39="Compte",Tableau1[[#This Row],[Solde Courant]],L39+Tableau1[[#This Row],[Solde Courant]])</f>
        <v>12561.85</v>
      </c>
      <c r="M40" s="72"/>
      <c r="N40" s="115"/>
      <c r="O40" s="72" t="s">
        <v>237</v>
      </c>
    </row>
    <row r="41" spans="1:15">
      <c r="A41" s="70" t="s">
        <v>95</v>
      </c>
      <c r="B41" s="112">
        <v>42049</v>
      </c>
      <c r="C41" s="113" t="s">
        <v>90</v>
      </c>
      <c r="D41" s="70" t="s">
        <v>85</v>
      </c>
      <c r="E41" s="70" t="s">
        <v>101</v>
      </c>
      <c r="F41" s="70" t="s">
        <v>13</v>
      </c>
      <c r="G41" s="134"/>
      <c r="H41" s="71">
        <v>55</v>
      </c>
      <c r="I41" s="71"/>
      <c r="J41" s="71">
        <f>Tableau1[[#This Row],[Crédit]]+Tableau1[[#This Row],[Débit]]</f>
        <v>55</v>
      </c>
      <c r="K41" s="114" t="str">
        <f>IF(Tableau1[[#This Row],[Crédit]]&lt;&gt;"","Crédit",IF(Tableau1[[#This Row],[Débit]]&lt;&gt;"","Débit",""))</f>
        <v>Crédit</v>
      </c>
      <c r="L41" s="115">
        <f>IF(A40="Compte",Tableau1[[#This Row],[Solde Courant]],L40+Tableau1[[#This Row],[Solde Courant]])</f>
        <v>12616.85</v>
      </c>
      <c r="M41" s="72"/>
      <c r="N41" s="115"/>
      <c r="O41" s="72" t="s">
        <v>240</v>
      </c>
    </row>
    <row r="42" spans="1:15">
      <c r="A42" s="70" t="s">
        <v>13</v>
      </c>
      <c r="B42" s="112">
        <v>42049</v>
      </c>
      <c r="C42" s="113" t="s">
        <v>91</v>
      </c>
      <c r="D42" s="70" t="s">
        <v>85</v>
      </c>
      <c r="E42" s="70" t="s">
        <v>101</v>
      </c>
      <c r="F42" s="70" t="s">
        <v>95</v>
      </c>
      <c r="G42" s="134"/>
      <c r="H42" s="71"/>
      <c r="I42" s="71">
        <v>-55</v>
      </c>
      <c r="J42" s="71">
        <f>Tableau1[[#This Row],[Crédit]]+Tableau1[[#This Row],[Débit]]</f>
        <v>-55</v>
      </c>
      <c r="K42" s="114" t="str">
        <f>IF(Tableau1[[#This Row],[Crédit]]&lt;&gt;"","Crédit",IF(Tableau1[[#This Row],[Débit]]&lt;&gt;"","Débit",""))</f>
        <v>Débit</v>
      </c>
      <c r="L42" s="115">
        <f>IF(A41="Compte",Tableau1[[#This Row],[Solde Courant]],L41+Tableau1[[#This Row],[Solde Courant]])</f>
        <v>12561.85</v>
      </c>
      <c r="M42" s="72"/>
      <c r="N42" s="115"/>
      <c r="O42" s="72" t="s">
        <v>240</v>
      </c>
    </row>
    <row r="43" spans="1:15">
      <c r="A43" s="70" t="s">
        <v>14</v>
      </c>
      <c r="B43" s="112">
        <v>42050</v>
      </c>
      <c r="C43" s="113" t="s">
        <v>90</v>
      </c>
      <c r="D43" s="70" t="s">
        <v>77</v>
      </c>
      <c r="E43" s="70" t="s">
        <v>29</v>
      </c>
      <c r="F43" s="70" t="s">
        <v>191</v>
      </c>
      <c r="G43" s="134"/>
      <c r="H43" s="71">
        <v>7373.73</v>
      </c>
      <c r="I43" s="71"/>
      <c r="J43" s="71">
        <f>Tableau1[[#This Row],[Crédit]]+Tableau1[[#This Row],[Débit]]</f>
        <v>7373.73</v>
      </c>
      <c r="K43" s="114" t="str">
        <f>IF(Tableau1[[#This Row],[Crédit]]&lt;&gt;"","Crédit",IF(Tableau1[[#This Row],[Débit]]&lt;&gt;"","Débit",""))</f>
        <v>Crédit</v>
      </c>
      <c r="L43" s="115">
        <f>IF(A42="Compte",Tableau1[[#This Row],[Solde Courant]],L42+Tableau1[[#This Row],[Solde Courant]])</f>
        <v>19935.580000000002</v>
      </c>
      <c r="M43" s="72"/>
      <c r="N43" s="115"/>
      <c r="O43" s="72"/>
    </row>
    <row r="44" spans="1:15">
      <c r="A44" s="127" t="s">
        <v>14</v>
      </c>
      <c r="B44" s="128">
        <v>42051</v>
      </c>
      <c r="C44" s="129" t="s">
        <v>91</v>
      </c>
      <c r="D44" s="127" t="s">
        <v>75</v>
      </c>
      <c r="E44" s="127" t="s">
        <v>101</v>
      </c>
      <c r="F44" s="127" t="s">
        <v>96</v>
      </c>
      <c r="G44" s="134"/>
      <c r="H44" s="130"/>
      <c r="I44" s="130">
        <v>-30</v>
      </c>
      <c r="J44" s="130">
        <f>Tableau1[[#This Row],[Crédit]]+Tableau1[[#This Row],[Débit]]</f>
        <v>-30</v>
      </c>
      <c r="K44" s="131" t="str">
        <f>IF(Tableau1[[#This Row],[Crédit]]&lt;&gt;"","Crédit",IF(Tableau1[[#This Row],[Débit]]&lt;&gt;"","Débit",""))</f>
        <v>Débit</v>
      </c>
      <c r="L44" s="132">
        <f>IF(A43="Compte",Tableau1[[#This Row],[Solde Courant]],L43+Tableau1[[#This Row],[Solde Courant]])</f>
        <v>19905.580000000002</v>
      </c>
      <c r="M44" s="133"/>
      <c r="N44" s="132"/>
      <c r="O44" s="133" t="s">
        <v>242</v>
      </c>
    </row>
    <row r="45" spans="1:15">
      <c r="A45" s="127" t="s">
        <v>96</v>
      </c>
      <c r="B45" s="128">
        <v>42051</v>
      </c>
      <c r="C45" s="129" t="s">
        <v>90</v>
      </c>
      <c r="D45" s="127" t="s">
        <v>75</v>
      </c>
      <c r="E45" s="127" t="s">
        <v>101</v>
      </c>
      <c r="F45" s="127" t="s">
        <v>14</v>
      </c>
      <c r="G45" s="134"/>
      <c r="H45" s="130">
        <v>30</v>
      </c>
      <c r="I45" s="130"/>
      <c r="J45" s="130">
        <f>Tableau1[[#This Row],[Crédit]]+Tableau1[[#This Row],[Débit]]</f>
        <v>30</v>
      </c>
      <c r="K45" s="131" t="str">
        <f>IF(Tableau1[[#This Row],[Crédit]]&lt;&gt;"","Crédit",IF(Tableau1[[#This Row],[Débit]]&lt;&gt;"","Débit",""))</f>
        <v>Crédit</v>
      </c>
      <c r="L45" s="132">
        <f>IF(A44="Compte",Tableau1[[#This Row],[Solde Courant]],L44+Tableau1[[#This Row],[Solde Courant]])</f>
        <v>19935.580000000002</v>
      </c>
      <c r="M45" s="133"/>
      <c r="N45" s="132"/>
      <c r="O45" s="133" t="s">
        <v>243</v>
      </c>
    </row>
    <row r="46" spans="1:15">
      <c r="A46" s="127" t="s">
        <v>14</v>
      </c>
      <c r="B46" s="128">
        <v>42052</v>
      </c>
      <c r="C46" s="129" t="s">
        <v>91</v>
      </c>
      <c r="D46" s="127" t="s">
        <v>75</v>
      </c>
      <c r="E46" s="127" t="s">
        <v>101</v>
      </c>
      <c r="F46" s="127" t="s">
        <v>96</v>
      </c>
      <c r="G46" s="134"/>
      <c r="H46" s="130"/>
      <c r="I46" s="130">
        <v>-35</v>
      </c>
      <c r="J46" s="130">
        <f>Tableau1[[#This Row],[Crédit]]+Tableau1[[#This Row],[Débit]]</f>
        <v>-35</v>
      </c>
      <c r="K46" s="131" t="str">
        <f>IF(Tableau1[[#This Row],[Crédit]]&lt;&gt;"","Crédit",IF(Tableau1[[#This Row],[Débit]]&lt;&gt;"","Débit",""))</f>
        <v>Débit</v>
      </c>
      <c r="L46" s="132">
        <f>IF(A45="Compte",Tableau1[[#This Row],[Solde Courant]],L45+Tableau1[[#This Row],[Solde Courant]])</f>
        <v>19900.580000000002</v>
      </c>
      <c r="M46" s="133"/>
      <c r="N46" s="132"/>
      <c r="O46" s="133" t="s">
        <v>244</v>
      </c>
    </row>
    <row r="47" spans="1:15">
      <c r="A47" s="127" t="s">
        <v>96</v>
      </c>
      <c r="B47" s="128">
        <v>42052</v>
      </c>
      <c r="C47" s="129" t="s">
        <v>90</v>
      </c>
      <c r="D47" s="127" t="s">
        <v>75</v>
      </c>
      <c r="E47" s="127" t="s">
        <v>101</v>
      </c>
      <c r="F47" s="127" t="s">
        <v>14</v>
      </c>
      <c r="G47" s="134"/>
      <c r="H47" s="130">
        <v>35</v>
      </c>
      <c r="I47" s="130"/>
      <c r="J47" s="130">
        <f>Tableau1[[#This Row],[Crédit]]+Tableau1[[#This Row],[Débit]]</f>
        <v>35</v>
      </c>
      <c r="K47" s="131" t="str">
        <f>IF(Tableau1[[#This Row],[Crédit]]&lt;&gt;"","Crédit",IF(Tableau1[[#This Row],[Débit]]&lt;&gt;"","Débit",""))</f>
        <v>Crédit</v>
      </c>
      <c r="L47" s="132">
        <f>IF(A46="Compte",Tableau1[[#This Row],[Solde Courant]],L46+Tableau1[[#This Row],[Solde Courant]])</f>
        <v>19935.580000000002</v>
      </c>
      <c r="M47" s="133"/>
      <c r="N47" s="132"/>
      <c r="O47" s="133" t="s">
        <v>245</v>
      </c>
    </row>
    <row r="48" spans="1:15">
      <c r="A48" s="127" t="s">
        <v>14</v>
      </c>
      <c r="B48" s="128">
        <v>42053</v>
      </c>
      <c r="C48" s="129" t="s">
        <v>93</v>
      </c>
      <c r="D48" s="127" t="s">
        <v>77</v>
      </c>
      <c r="E48" s="127" t="s">
        <v>101</v>
      </c>
      <c r="F48" s="127" t="s">
        <v>96</v>
      </c>
      <c r="G48" s="166"/>
      <c r="H48" s="130"/>
      <c r="I48" s="130">
        <v>-10</v>
      </c>
      <c r="J48" s="130">
        <f>Tableau1[[#This Row],[Crédit]]+Tableau1[[#This Row],[Débit]]</f>
        <v>-10</v>
      </c>
      <c r="K48" s="131" t="str">
        <f>IF(Tableau1[[#This Row],[Crédit]]&lt;&gt;"","Crédit",IF(Tableau1[[#This Row],[Débit]]&lt;&gt;"","Débit",""))</f>
        <v>Débit</v>
      </c>
      <c r="L48" s="132">
        <f>IF(A47="Compte",Tableau1[[#This Row],[Solde Courant]],L47+Tableau1[[#This Row],[Solde Courant]])</f>
        <v>19925.580000000002</v>
      </c>
      <c r="M48" s="133"/>
      <c r="N48" s="132"/>
      <c r="O48" s="133" t="s">
        <v>246</v>
      </c>
    </row>
    <row r="49" spans="1:15">
      <c r="A49" s="127" t="s">
        <v>96</v>
      </c>
      <c r="B49" s="128">
        <v>42053</v>
      </c>
      <c r="C49" s="129" t="s">
        <v>93</v>
      </c>
      <c r="D49" s="127" t="s">
        <v>77</v>
      </c>
      <c r="E49" s="127" t="s">
        <v>101</v>
      </c>
      <c r="F49" s="127" t="s">
        <v>14</v>
      </c>
      <c r="G49" s="166"/>
      <c r="H49" s="130">
        <v>10</v>
      </c>
      <c r="I49" s="130"/>
      <c r="J49" s="130">
        <f>Tableau1[[#This Row],[Crédit]]+Tableau1[[#This Row],[Débit]]</f>
        <v>10</v>
      </c>
      <c r="K49" s="131" t="str">
        <f>IF(Tableau1[[#This Row],[Crédit]]&lt;&gt;"","Crédit",IF(Tableau1[[#This Row],[Débit]]&lt;&gt;"","Débit",""))</f>
        <v>Crédit</v>
      </c>
      <c r="L49" s="132">
        <f>IF(A48="Compte",Tableau1[[#This Row],[Solde Courant]],L48+Tableau1[[#This Row],[Solde Courant]])</f>
        <v>19935.580000000002</v>
      </c>
      <c r="M49" s="133"/>
      <c r="N49" s="132"/>
      <c r="O49" s="133" t="s">
        <v>247</v>
      </c>
    </row>
    <row r="50" spans="1:15">
      <c r="A50" s="127" t="s">
        <v>14</v>
      </c>
      <c r="B50" s="128">
        <v>42054</v>
      </c>
      <c r="C50" s="129" t="s">
        <v>93</v>
      </c>
      <c r="D50" s="127" t="s">
        <v>77</v>
      </c>
      <c r="E50" s="127" t="s">
        <v>101</v>
      </c>
      <c r="F50" s="127" t="s">
        <v>96</v>
      </c>
      <c r="G50" s="166"/>
      <c r="H50" s="130"/>
      <c r="I50" s="130">
        <v>-15</v>
      </c>
      <c r="J50" s="130">
        <f>Tableau1[[#This Row],[Crédit]]+Tableau1[[#This Row],[Débit]]</f>
        <v>-15</v>
      </c>
      <c r="K50" s="131" t="str">
        <f>IF(Tableau1[[#This Row],[Crédit]]&lt;&gt;"","Crédit",IF(Tableau1[[#This Row],[Débit]]&lt;&gt;"","Débit",""))</f>
        <v>Débit</v>
      </c>
      <c r="L50" s="132">
        <f>IF(A49="Compte",Tableau1[[#This Row],[Solde Courant]],L49+Tableau1[[#This Row],[Solde Courant]])</f>
        <v>19920.580000000002</v>
      </c>
      <c r="M50" s="133"/>
      <c r="N50" s="132"/>
      <c r="O50" s="133" t="s">
        <v>248</v>
      </c>
    </row>
    <row r="51" spans="1:15">
      <c r="A51" s="127" t="s">
        <v>96</v>
      </c>
      <c r="B51" s="128">
        <v>42054</v>
      </c>
      <c r="C51" s="129" t="s">
        <v>93</v>
      </c>
      <c r="D51" s="127" t="s">
        <v>77</v>
      </c>
      <c r="E51" s="127" t="s">
        <v>101</v>
      </c>
      <c r="F51" s="127" t="s">
        <v>14</v>
      </c>
      <c r="G51" s="166"/>
      <c r="H51" s="130">
        <v>15</v>
      </c>
      <c r="I51" s="130"/>
      <c r="J51" s="130">
        <f>Tableau1[[#This Row],[Crédit]]+Tableau1[[#This Row],[Débit]]</f>
        <v>15</v>
      </c>
      <c r="K51" s="131" t="str">
        <f>IF(Tableau1[[#This Row],[Crédit]]&lt;&gt;"","Crédit",IF(Tableau1[[#This Row],[Débit]]&lt;&gt;"","Débit",""))</f>
        <v>Crédit</v>
      </c>
      <c r="L51" s="132">
        <f>IF(A50="Compte",Tableau1[[#This Row],[Solde Courant]],L50+Tableau1[[#This Row],[Solde Courant]])</f>
        <v>19935.580000000002</v>
      </c>
      <c r="M51" s="133"/>
      <c r="N51" s="132"/>
      <c r="O51" s="133" t="s">
        <v>249</v>
      </c>
    </row>
  </sheetData>
  <sheetProtection sheet="1" objects="1" scenarios="1" sort="0" autoFilter="0"/>
  <sortState ref="A2:N771">
    <sortCondition ref="B1"/>
  </sortState>
  <dataConsolidate/>
  <mergeCells count="1">
    <mergeCell ref="A2:O2"/>
  </mergeCells>
  <conditionalFormatting sqref="I48:J1048576 H4:J51">
    <cfRule type="cellIs" dxfId="0" priority="46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/>
  <dimension ref="A1:AW17"/>
  <sheetViews>
    <sheetView workbookViewId="0">
      <selection activeCell="B6" sqref="B6"/>
    </sheetView>
  </sheetViews>
  <sheetFormatPr baseColWidth="10" defaultRowHeight="11.25"/>
  <cols>
    <col min="1" max="2" width="15.85546875" style="106" bestFit="1" customWidth="1"/>
    <col min="3" max="3" width="15.5703125" style="106" bestFit="1" customWidth="1"/>
    <col min="4" max="4" width="14.85546875" style="106" bestFit="1" customWidth="1"/>
    <col min="5" max="5" width="15.5703125" style="106" bestFit="1" customWidth="1"/>
    <col min="6" max="6" width="20" style="106" bestFit="1" customWidth="1"/>
    <col min="7" max="7" width="19.7109375" style="106" bestFit="1" customWidth="1"/>
    <col min="8" max="8" width="10.5703125" style="106" bestFit="1" customWidth="1"/>
    <col min="9" max="9" width="13.42578125" style="106" bestFit="1" customWidth="1"/>
    <col min="10" max="10" width="9.42578125" style="106" customWidth="1"/>
    <col min="11" max="11" width="6.7109375" style="106" bestFit="1" customWidth="1"/>
    <col min="12" max="12" width="7.85546875" style="106" bestFit="1" customWidth="1"/>
    <col min="13" max="13" width="15.42578125" style="106" bestFit="1" customWidth="1"/>
    <col min="14" max="16384" width="11.42578125" style="106"/>
  </cols>
  <sheetData>
    <row r="1" spans="1:49">
      <c r="A1" s="104" t="s">
        <v>18</v>
      </c>
      <c r="B1" s="105" t="s">
        <v>19</v>
      </c>
    </row>
    <row r="2" spans="1:49">
      <c r="A2" s="107" t="s">
        <v>219</v>
      </c>
      <c r="B2" s="108" t="s">
        <v>20</v>
      </c>
      <c r="C2" s="108" t="s">
        <v>21</v>
      </c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/>
      <c r="P2" s="109"/>
      <c r="Q2" s="109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</row>
    <row r="3" spans="1:49">
      <c r="A3" s="108" t="s">
        <v>199</v>
      </c>
      <c r="B3" s="108" t="s">
        <v>23</v>
      </c>
      <c r="C3" s="108" t="s">
        <v>6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9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</row>
    <row r="4" spans="1:49">
      <c r="A4" s="109" t="s">
        <v>24</v>
      </c>
      <c r="B4" s="109" t="s">
        <v>25</v>
      </c>
      <c r="C4" s="109" t="s">
        <v>26</v>
      </c>
      <c r="D4" s="109" t="s">
        <v>27</v>
      </c>
      <c r="E4" s="109" t="s">
        <v>28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</row>
    <row r="5" spans="1:49">
      <c r="A5" s="109" t="s">
        <v>29</v>
      </c>
      <c r="B5" s="109" t="s">
        <v>30</v>
      </c>
      <c r="C5" s="109" t="s">
        <v>191</v>
      </c>
      <c r="D5" s="109" t="s">
        <v>31</v>
      </c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</row>
    <row r="6" spans="1:49">
      <c r="A6" s="109" t="s">
        <v>32</v>
      </c>
      <c r="B6" s="109" t="s">
        <v>33</v>
      </c>
      <c r="C6" s="109" t="s">
        <v>34</v>
      </c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</row>
    <row r="7" spans="1:49">
      <c r="A7" s="109" t="s">
        <v>35</v>
      </c>
      <c r="B7" s="109" t="s">
        <v>36</v>
      </c>
      <c r="C7" s="109" t="s">
        <v>4</v>
      </c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8"/>
      <c r="P7" s="109"/>
      <c r="Q7" s="109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</row>
    <row r="8" spans="1:49">
      <c r="A8" s="109" t="s">
        <v>192</v>
      </c>
      <c r="B8" s="109" t="s">
        <v>37</v>
      </c>
      <c r="C8" s="109" t="s">
        <v>38</v>
      </c>
      <c r="D8" s="109" t="s">
        <v>39</v>
      </c>
      <c r="E8" s="109" t="s">
        <v>40</v>
      </c>
      <c r="F8" s="109" t="s">
        <v>6</v>
      </c>
      <c r="G8" s="109" t="s">
        <v>41</v>
      </c>
      <c r="H8" s="109" t="s">
        <v>42</v>
      </c>
      <c r="I8" s="109"/>
      <c r="J8" s="109"/>
      <c r="K8" s="109"/>
      <c r="L8" s="109"/>
      <c r="M8" s="109"/>
      <c r="N8" s="108"/>
      <c r="O8" s="108"/>
      <c r="P8" s="109"/>
      <c r="Q8" s="109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</row>
    <row r="9" spans="1:49">
      <c r="A9" s="109" t="s">
        <v>9</v>
      </c>
      <c r="B9" s="109" t="s">
        <v>43</v>
      </c>
      <c r="C9" s="109" t="s">
        <v>44</v>
      </c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</row>
    <row r="10" spans="1:49">
      <c r="A10" s="109" t="s">
        <v>7</v>
      </c>
      <c r="B10" s="109" t="s">
        <v>45</v>
      </c>
      <c r="C10" s="109" t="s">
        <v>46</v>
      </c>
      <c r="D10" s="109" t="s">
        <v>47</v>
      </c>
      <c r="E10" s="109" t="s">
        <v>48</v>
      </c>
      <c r="F10" s="109" t="s">
        <v>55</v>
      </c>
      <c r="G10" s="109" t="s">
        <v>50</v>
      </c>
      <c r="H10" s="109" t="s">
        <v>5</v>
      </c>
      <c r="I10" s="109" t="s">
        <v>51</v>
      </c>
      <c r="J10" s="109" t="s">
        <v>52</v>
      </c>
      <c r="K10" s="109" t="s">
        <v>53</v>
      </c>
      <c r="L10" s="109" t="s">
        <v>54</v>
      </c>
      <c r="M10" s="109" t="s">
        <v>49</v>
      </c>
      <c r="N10" s="109" t="s">
        <v>56</v>
      </c>
      <c r="O10" s="109"/>
      <c r="P10" s="109"/>
      <c r="Q10" s="109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</row>
    <row r="11" spans="1:49">
      <c r="A11" s="109" t="s">
        <v>57</v>
      </c>
      <c r="B11" s="109" t="s">
        <v>58</v>
      </c>
      <c r="C11" s="109" t="s">
        <v>59</v>
      </c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  <c r="AT11" s="108"/>
      <c r="AU11" s="108"/>
      <c r="AV11" s="108"/>
      <c r="AW11" s="108"/>
    </row>
    <row r="12" spans="1:49">
      <c r="A12" s="109" t="s">
        <v>60</v>
      </c>
      <c r="B12" s="109" t="s">
        <v>61</v>
      </c>
      <c r="C12" s="109" t="s">
        <v>62</v>
      </c>
      <c r="D12" s="109" t="s">
        <v>63</v>
      </c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</row>
    <row r="13" spans="1:49">
      <c r="A13" s="108" t="s">
        <v>64</v>
      </c>
      <c r="B13" s="108" t="s">
        <v>65</v>
      </c>
      <c r="C13" s="108" t="s">
        <v>66</v>
      </c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9"/>
      <c r="P13" s="109"/>
      <c r="Q13" s="109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108"/>
      <c r="AU13" s="108"/>
      <c r="AV13" s="108"/>
      <c r="AW13" s="108"/>
    </row>
    <row r="14" spans="1:49" s="108" customFormat="1">
      <c r="A14" s="109" t="s">
        <v>67</v>
      </c>
      <c r="B14" s="109" t="s">
        <v>65</v>
      </c>
      <c r="C14" s="109" t="s">
        <v>6</v>
      </c>
      <c r="D14" s="109" t="s">
        <v>68</v>
      </c>
      <c r="E14" s="109" t="s">
        <v>69</v>
      </c>
      <c r="F14" s="109" t="s">
        <v>66</v>
      </c>
      <c r="G14" s="109" t="s">
        <v>70</v>
      </c>
      <c r="H14" s="109" t="s">
        <v>71</v>
      </c>
      <c r="I14" s="109" t="s">
        <v>72</v>
      </c>
      <c r="J14" s="109"/>
      <c r="K14" s="109"/>
      <c r="L14" s="109"/>
      <c r="M14" s="109"/>
      <c r="N14" s="109"/>
      <c r="O14" s="109"/>
      <c r="P14" s="109"/>
      <c r="Q14" s="109"/>
    </row>
    <row r="15" spans="1:49" s="108" customFormat="1">
      <c r="A15" s="108" t="s">
        <v>195</v>
      </c>
      <c r="B15" s="106" t="s">
        <v>193</v>
      </c>
      <c r="C15" s="106" t="s">
        <v>194</v>
      </c>
      <c r="D15" s="106"/>
      <c r="E15" s="106"/>
    </row>
    <row r="16" spans="1:49" s="108" customFormat="1">
      <c r="A16" s="108" t="s">
        <v>214</v>
      </c>
      <c r="E16" s="106"/>
      <c r="F16" s="106"/>
    </row>
    <row r="17" s="108" customFormat="1"/>
  </sheetData>
  <conditionalFormatting sqref="A2:A1048576">
    <cfRule type="expression" dxfId="83" priority="9">
      <formula>A2&lt;&gt;""</formula>
    </cfRule>
  </conditionalFormatting>
  <conditionalFormatting sqref="B2:XFD1048576">
    <cfRule type="expression" dxfId="82" priority="4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/>
  <dimension ref="A1:G26"/>
  <sheetViews>
    <sheetView workbookViewId="0">
      <selection activeCell="C10" sqref="C10"/>
    </sheetView>
  </sheetViews>
  <sheetFormatPr baseColWidth="10" defaultRowHeight="12.75"/>
  <cols>
    <col min="1" max="1" width="20" style="60" customWidth="1"/>
    <col min="2" max="2" width="18.28515625" style="60" bestFit="1" customWidth="1"/>
    <col min="3" max="3" width="28.140625" style="60" bestFit="1" customWidth="1"/>
    <col min="4" max="16384" width="11.42578125" style="60"/>
  </cols>
  <sheetData>
    <row r="1" spans="1:7">
      <c r="A1" s="101" t="s">
        <v>1</v>
      </c>
      <c r="B1" s="138" t="s">
        <v>165</v>
      </c>
      <c r="C1" s="139"/>
    </row>
    <row r="2" spans="1:7">
      <c r="A2" s="102" t="s">
        <v>75</v>
      </c>
      <c r="B2" s="67" t="s">
        <v>166</v>
      </c>
      <c r="C2" s="67" t="s">
        <v>167</v>
      </c>
    </row>
    <row r="3" spans="1:7">
      <c r="A3" s="102" t="s">
        <v>76</v>
      </c>
      <c r="B3" s="60" t="s">
        <v>100</v>
      </c>
      <c r="C3" s="60" t="s">
        <v>218</v>
      </c>
      <c r="D3" s="60" t="s">
        <v>189</v>
      </c>
    </row>
    <row r="4" spans="1:7">
      <c r="A4" s="102" t="s">
        <v>77</v>
      </c>
      <c r="B4" s="60" t="s">
        <v>163</v>
      </c>
      <c r="C4" s="60" t="s">
        <v>169</v>
      </c>
      <c r="D4" s="60" t="s">
        <v>176</v>
      </c>
      <c r="E4" s="60" t="s">
        <v>180</v>
      </c>
      <c r="F4" s="60" t="s">
        <v>181</v>
      </c>
      <c r="G4" s="60" t="s">
        <v>182</v>
      </c>
    </row>
    <row r="5" spans="1:7">
      <c r="A5" s="102" t="s">
        <v>78</v>
      </c>
      <c r="C5" s="60" t="s">
        <v>216</v>
      </c>
    </row>
    <row r="6" spans="1:7">
      <c r="A6" s="102" t="s">
        <v>79</v>
      </c>
      <c r="C6" s="60" t="s">
        <v>217</v>
      </c>
    </row>
    <row r="7" spans="1:7">
      <c r="A7" s="102" t="s">
        <v>80</v>
      </c>
    </row>
    <row r="8" spans="1:7">
      <c r="A8" s="102" t="s">
        <v>81</v>
      </c>
    </row>
    <row r="9" spans="1:7">
      <c r="A9" s="102" t="s">
        <v>3</v>
      </c>
    </row>
    <row r="10" spans="1:7">
      <c r="A10" s="102" t="s">
        <v>74</v>
      </c>
    </row>
    <row r="11" spans="1:7">
      <c r="A11" s="102" t="s">
        <v>82</v>
      </c>
    </row>
    <row r="12" spans="1:7">
      <c r="A12" s="102" t="s">
        <v>83</v>
      </c>
    </row>
    <row r="13" spans="1:7">
      <c r="A13" s="102" t="s">
        <v>84</v>
      </c>
    </row>
    <row r="14" spans="1:7">
      <c r="A14" s="102" t="s">
        <v>85</v>
      </c>
    </row>
    <row r="15" spans="1:7">
      <c r="A15" s="102" t="s">
        <v>86</v>
      </c>
    </row>
    <row r="16" spans="1:7">
      <c r="A16" s="102" t="s">
        <v>87</v>
      </c>
    </row>
    <row r="17" spans="1:1">
      <c r="A17" s="102" t="s">
        <v>100</v>
      </c>
    </row>
    <row r="18" spans="1:1">
      <c r="A18" s="102" t="s">
        <v>5</v>
      </c>
    </row>
    <row r="19" spans="1:1">
      <c r="A19" s="103" t="s">
        <v>170</v>
      </c>
    </row>
    <row r="20" spans="1:1">
      <c r="A20" s="98"/>
    </row>
    <row r="21" spans="1:1">
      <c r="A21" s="98"/>
    </row>
    <row r="22" spans="1:1">
      <c r="A22" s="98"/>
    </row>
    <row r="23" spans="1:1">
      <c r="A23" s="98"/>
    </row>
    <row r="24" spans="1:1">
      <c r="A24" s="98"/>
    </row>
    <row r="25" spans="1:1">
      <c r="A25" s="98"/>
    </row>
    <row r="26" spans="1:1">
      <c r="A26" s="98"/>
    </row>
  </sheetData>
  <mergeCells count="1">
    <mergeCell ref="B1:C1"/>
  </mergeCells>
  <conditionalFormatting sqref="A2:A1048576">
    <cfRule type="expression" dxfId="81" priority="11">
      <formula>A2&lt;&gt;""</formula>
    </cfRule>
  </conditionalFormatting>
  <conditionalFormatting sqref="B3:C4 B9:C1048576 E4:G4 B5:B8">
    <cfRule type="expression" dxfId="80" priority="12">
      <formula>B3&lt;&gt;""</formula>
    </cfRule>
  </conditionalFormatting>
  <conditionalFormatting sqref="D4">
    <cfRule type="expression" dxfId="79" priority="6">
      <formula>D4&lt;&gt;""</formula>
    </cfRule>
  </conditionalFormatting>
  <conditionalFormatting sqref="D3">
    <cfRule type="expression" dxfId="78" priority="5">
      <formula>D3&lt;&gt;""</formula>
    </cfRule>
  </conditionalFormatting>
  <conditionalFormatting sqref="C3:C1048576">
    <cfRule type="expression" dxfId="77" priority="2">
      <formula>$C$3</formula>
    </cfRule>
  </conditionalFormatting>
  <conditionalFormatting sqref="C5:C6">
    <cfRule type="expression" dxfId="76" priority="1">
      <formula>C5&lt;&gt;""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J25"/>
  <sheetViews>
    <sheetView workbookViewId="0">
      <selection activeCell="C27" sqref="C27"/>
    </sheetView>
  </sheetViews>
  <sheetFormatPr baseColWidth="10" defaultRowHeight="12.75"/>
  <cols>
    <col min="1" max="1" width="30.42578125" style="92" bestFit="1" customWidth="1"/>
    <col min="2" max="2" width="16.7109375" style="92" bestFit="1" customWidth="1"/>
    <col min="3" max="4" width="11.42578125" style="92"/>
    <col min="5" max="5" width="14.42578125" style="92" bestFit="1" customWidth="1"/>
    <col min="6" max="6" width="29.42578125" style="92" customWidth="1"/>
    <col min="7" max="7" width="25" style="92" customWidth="1"/>
    <col min="8" max="8" width="17.7109375" style="92" bestFit="1" customWidth="1"/>
    <col min="9" max="9" width="10.42578125" style="92" bestFit="1" customWidth="1"/>
    <col min="10" max="16384" width="11.42578125" style="92"/>
  </cols>
  <sheetData>
    <row r="1" spans="1:10">
      <c r="A1" s="89" t="s">
        <v>2</v>
      </c>
      <c r="B1" s="89" t="s">
        <v>137</v>
      </c>
      <c r="C1" s="140" t="s">
        <v>112</v>
      </c>
      <c r="D1" s="140"/>
      <c r="E1" s="97" t="s">
        <v>88</v>
      </c>
      <c r="F1" s="84" t="s">
        <v>121</v>
      </c>
      <c r="G1" s="84" t="s">
        <v>17</v>
      </c>
      <c r="H1" s="90" t="s">
        <v>68</v>
      </c>
      <c r="I1" s="91" t="s">
        <v>178</v>
      </c>
      <c r="J1" s="91" t="s">
        <v>179</v>
      </c>
    </row>
    <row r="2" spans="1:10">
      <c r="A2" s="98" t="s">
        <v>14</v>
      </c>
      <c r="B2" s="99">
        <v>23</v>
      </c>
      <c r="C2" s="85" t="s">
        <v>98</v>
      </c>
      <c r="D2" s="86" t="s">
        <v>117</v>
      </c>
      <c r="E2" s="100" t="s">
        <v>139</v>
      </c>
      <c r="F2" s="141" t="s">
        <v>122</v>
      </c>
      <c r="G2" s="142" t="s">
        <v>200</v>
      </c>
      <c r="H2" s="92" t="s">
        <v>171</v>
      </c>
      <c r="I2" s="93">
        <v>57</v>
      </c>
      <c r="J2" s="93">
        <v>74</v>
      </c>
    </row>
    <row r="3" spans="1:10">
      <c r="A3" s="94" t="s">
        <v>73</v>
      </c>
      <c r="B3" s="99" t="s">
        <v>136</v>
      </c>
      <c r="C3" s="85" t="s">
        <v>99</v>
      </c>
      <c r="D3" s="86" t="s">
        <v>117</v>
      </c>
      <c r="E3" s="100" t="s">
        <v>89</v>
      </c>
      <c r="F3" s="141"/>
      <c r="G3" s="143"/>
      <c r="H3" s="92" t="s">
        <v>173</v>
      </c>
    </row>
    <row r="4" spans="1:10">
      <c r="A4" s="95" t="s">
        <v>96</v>
      </c>
      <c r="B4" s="99" t="s">
        <v>136</v>
      </c>
      <c r="C4" s="85" t="s">
        <v>102</v>
      </c>
      <c r="D4" s="86" t="s">
        <v>117</v>
      </c>
      <c r="E4" s="100" t="s">
        <v>90</v>
      </c>
      <c r="F4" s="87" t="s">
        <v>138</v>
      </c>
      <c r="G4" s="88">
        <f ca="1">TODAY()</f>
        <v>42359</v>
      </c>
      <c r="H4" s="92" t="s">
        <v>172</v>
      </c>
    </row>
    <row r="5" spans="1:10">
      <c r="A5" s="94" t="s">
        <v>13</v>
      </c>
      <c r="B5" s="99">
        <v>110</v>
      </c>
      <c r="C5" s="85" t="s">
        <v>103</v>
      </c>
      <c r="D5" s="86" t="s">
        <v>117</v>
      </c>
      <c r="E5" s="100" t="s">
        <v>91</v>
      </c>
      <c r="H5" s="92" t="s">
        <v>174</v>
      </c>
    </row>
    <row r="6" spans="1:10">
      <c r="A6" s="95" t="s">
        <v>15</v>
      </c>
      <c r="B6" s="99" t="s">
        <v>136</v>
      </c>
      <c r="C6" s="85" t="s">
        <v>104</v>
      </c>
      <c r="D6" s="86" t="s">
        <v>117</v>
      </c>
      <c r="E6" s="100" t="s">
        <v>92</v>
      </c>
      <c r="H6" s="92" t="s">
        <v>175</v>
      </c>
    </row>
    <row r="7" spans="1:10">
      <c r="A7" s="94" t="s">
        <v>16</v>
      </c>
      <c r="B7" s="99" t="s">
        <v>136</v>
      </c>
      <c r="C7" s="85" t="s">
        <v>105</v>
      </c>
      <c r="D7" s="86" t="s">
        <v>123</v>
      </c>
      <c r="E7" s="92" t="s">
        <v>93</v>
      </c>
    </row>
    <row r="8" spans="1:10">
      <c r="A8" s="95" t="s">
        <v>95</v>
      </c>
      <c r="B8" s="99" t="s">
        <v>136</v>
      </c>
      <c r="C8" s="85" t="s">
        <v>106</v>
      </c>
      <c r="D8" s="86" t="s">
        <v>123</v>
      </c>
      <c r="E8" s="92" t="s">
        <v>94</v>
      </c>
    </row>
    <row r="9" spans="1:10">
      <c r="A9" s="95" t="s">
        <v>17</v>
      </c>
      <c r="B9" s="99" t="s">
        <v>184</v>
      </c>
      <c r="C9" s="85" t="s">
        <v>107</v>
      </c>
      <c r="D9" s="86" t="s">
        <v>123</v>
      </c>
    </row>
    <row r="10" spans="1:10">
      <c r="A10" s="98" t="s">
        <v>190</v>
      </c>
      <c r="B10" s="98">
        <v>99999</v>
      </c>
      <c r="C10" s="85" t="s">
        <v>108</v>
      </c>
      <c r="D10" s="86" t="s">
        <v>123</v>
      </c>
      <c r="E10" s="98"/>
    </row>
    <row r="11" spans="1:10">
      <c r="A11" s="98" t="s">
        <v>197</v>
      </c>
      <c r="B11" s="98">
        <v>23</v>
      </c>
      <c r="C11" s="85" t="s">
        <v>109</v>
      </c>
      <c r="D11" s="86" t="s">
        <v>123</v>
      </c>
      <c r="E11" s="98"/>
    </row>
    <row r="12" spans="1:10">
      <c r="A12" s="98" t="s">
        <v>201</v>
      </c>
      <c r="B12" s="98">
        <v>120</v>
      </c>
      <c r="C12" s="85" t="s">
        <v>110</v>
      </c>
      <c r="D12" s="86" t="s">
        <v>123</v>
      </c>
      <c r="E12" s="96"/>
    </row>
    <row r="13" spans="1:10">
      <c r="A13" s="98" t="s">
        <v>202</v>
      </c>
      <c r="B13" s="98" t="s">
        <v>136</v>
      </c>
      <c r="C13" s="85" t="s">
        <v>111</v>
      </c>
      <c r="D13" s="86" t="s">
        <v>123</v>
      </c>
    </row>
    <row r="14" spans="1:10">
      <c r="A14" s="98"/>
      <c r="B14" s="98"/>
      <c r="E14" s="98"/>
    </row>
    <row r="15" spans="1:10">
      <c r="A15" s="98"/>
      <c r="B15" s="98"/>
      <c r="E15" s="98"/>
    </row>
    <row r="16" spans="1:10">
      <c r="A16" s="98"/>
      <c r="B16" s="98"/>
      <c r="E16" s="98"/>
    </row>
    <row r="17" spans="1:5">
      <c r="A17" s="98"/>
      <c r="B17" s="98"/>
      <c r="E17" s="98"/>
    </row>
    <row r="18" spans="1:5">
      <c r="A18" s="98"/>
      <c r="B18" s="98"/>
      <c r="E18" s="98"/>
    </row>
    <row r="19" spans="1:5">
      <c r="E19" s="98"/>
    </row>
    <row r="20" spans="1:5">
      <c r="E20" s="98"/>
    </row>
    <row r="21" spans="1:5">
      <c r="E21" s="98"/>
    </row>
    <row r="22" spans="1:5">
      <c r="E22" s="98"/>
    </row>
    <row r="23" spans="1:5">
      <c r="E23" s="98"/>
    </row>
    <row r="24" spans="1:5">
      <c r="B24" s="98"/>
      <c r="E24" s="98"/>
    </row>
    <row r="25" spans="1:5">
      <c r="E25" s="98"/>
    </row>
  </sheetData>
  <mergeCells count="3">
    <mergeCell ref="C1:D1"/>
    <mergeCell ref="F2:F3"/>
    <mergeCell ref="G2:G3"/>
  </mergeCells>
  <conditionalFormatting sqref="A2:B1048576">
    <cfRule type="expression" dxfId="75" priority="1">
      <formula>A2&lt;&gt;""</formula>
    </cfRule>
  </conditionalFormatting>
  <conditionalFormatting sqref="E10:E1048576 E2:E8">
    <cfRule type="expression" dxfId="74" priority="8">
      <formula>E2&lt;&gt;""</formula>
    </cfRule>
  </conditionalFormatting>
  <conditionalFormatting sqref="H2:H1048576">
    <cfRule type="expression" dxfId="73" priority="9">
      <formula>H2&lt;&gt;""</formula>
    </cfRule>
  </conditionalFormatting>
  <conditionalFormatting sqref="D2:D1048576">
    <cfRule type="cellIs" dxfId="72" priority="2" operator="equal">
      <formula>"Non Inscrite"</formula>
    </cfRule>
    <cfRule type="cellIs" dxfId="71" priority="3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7"/>
  <sheetViews>
    <sheetView zoomScale="85" zoomScaleNormal="85" workbookViewId="0">
      <pane ySplit="2" topLeftCell="A3" activePane="bottomLeft" state="frozen"/>
      <selection pane="bottomLeft" activeCell="R5" sqref="R5"/>
    </sheetView>
  </sheetViews>
  <sheetFormatPr baseColWidth="10" defaultRowHeight="12.75"/>
  <cols>
    <col min="1" max="1" width="20.140625" bestFit="1" customWidth="1"/>
    <col min="2" max="2" width="7.42578125" style="18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63" customWidth="1"/>
    <col min="7" max="7" width="12.85546875" bestFit="1" customWidth="1"/>
    <col min="8" max="17" width="11.42578125" style="66"/>
    <col min="18" max="19" width="11.42578125" style="19"/>
  </cols>
  <sheetData>
    <row r="1" spans="1:19" ht="39" customHeight="1">
      <c r="A1" s="144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</row>
    <row r="2" spans="1:19" ht="25.5">
      <c r="A2" s="13" t="s">
        <v>2</v>
      </c>
      <c r="B2" s="14" t="s">
        <v>0</v>
      </c>
      <c r="C2" s="14" t="s">
        <v>88</v>
      </c>
      <c r="D2" s="13" t="s">
        <v>1</v>
      </c>
      <c r="E2" s="13" t="s">
        <v>18</v>
      </c>
      <c r="F2" s="13" t="s">
        <v>19</v>
      </c>
      <c r="G2" s="13" t="s">
        <v>97</v>
      </c>
      <c r="H2" s="2" t="s">
        <v>98</v>
      </c>
      <c r="I2" s="8" t="s">
        <v>99</v>
      </c>
      <c r="J2" s="15" t="s">
        <v>102</v>
      </c>
      <c r="K2" s="15" t="s">
        <v>103</v>
      </c>
      <c r="L2" s="15" t="s">
        <v>104</v>
      </c>
      <c r="M2" s="15" t="s">
        <v>105</v>
      </c>
      <c r="N2" s="15" t="s">
        <v>106</v>
      </c>
      <c r="O2" s="15" t="s">
        <v>107</v>
      </c>
      <c r="P2" s="15" t="s">
        <v>108</v>
      </c>
      <c r="Q2" s="15" t="s">
        <v>109</v>
      </c>
      <c r="R2" s="15" t="s">
        <v>110</v>
      </c>
      <c r="S2" s="15" t="s">
        <v>111</v>
      </c>
    </row>
    <row r="3" spans="1:19">
      <c r="A3" s="3" t="s">
        <v>14</v>
      </c>
      <c r="B3" s="17">
        <v>1</v>
      </c>
      <c r="C3" s="4" t="s">
        <v>92</v>
      </c>
      <c r="D3" s="5" t="s">
        <v>118</v>
      </c>
      <c r="E3" s="5" t="s">
        <v>101</v>
      </c>
      <c r="F3" s="62" t="s">
        <v>17</v>
      </c>
      <c r="G3" s="5" t="s">
        <v>12</v>
      </c>
      <c r="H3" s="29">
        <v>-110</v>
      </c>
      <c r="I3" s="29">
        <v>-120</v>
      </c>
      <c r="J3" s="29">
        <v>-130</v>
      </c>
      <c r="K3" s="29">
        <v>-140</v>
      </c>
      <c r="L3" s="29">
        <v>-150</v>
      </c>
      <c r="M3" s="29">
        <v>-160</v>
      </c>
      <c r="N3" s="29">
        <v>-170</v>
      </c>
      <c r="O3" s="29">
        <v>-180</v>
      </c>
      <c r="P3" s="29">
        <v>-190</v>
      </c>
      <c r="Q3" s="29">
        <v>-200</v>
      </c>
      <c r="R3" s="29">
        <v>-200</v>
      </c>
      <c r="S3" s="20"/>
    </row>
    <row r="4" spans="1:19">
      <c r="A4" s="3" t="s">
        <v>13</v>
      </c>
      <c r="B4" s="17">
        <v>1</v>
      </c>
      <c r="C4" s="4" t="s">
        <v>92</v>
      </c>
      <c r="D4" s="5" t="s">
        <v>118</v>
      </c>
      <c r="E4" s="5" t="s">
        <v>101</v>
      </c>
      <c r="F4" s="62" t="s">
        <v>17</v>
      </c>
      <c r="G4" s="11" t="s">
        <v>12</v>
      </c>
      <c r="H4" s="29">
        <v>-111</v>
      </c>
      <c r="I4" s="64">
        <v>-121</v>
      </c>
      <c r="J4" s="29">
        <v>-131</v>
      </c>
      <c r="K4" s="29">
        <v>-141</v>
      </c>
      <c r="L4" s="29">
        <v>-151</v>
      </c>
      <c r="M4" s="29">
        <v>-161</v>
      </c>
      <c r="N4" s="29">
        <v>-171</v>
      </c>
      <c r="O4" s="29">
        <v>-181</v>
      </c>
      <c r="P4" s="29">
        <v>-191</v>
      </c>
      <c r="Q4" s="29">
        <v>-201</v>
      </c>
      <c r="R4" s="29">
        <v>-201</v>
      </c>
      <c r="S4" s="20"/>
    </row>
    <row r="5" spans="1:19">
      <c r="A5" s="3" t="s">
        <v>14</v>
      </c>
      <c r="B5" s="17">
        <v>2</v>
      </c>
      <c r="C5" s="4" t="s">
        <v>91</v>
      </c>
      <c r="D5" s="5" t="s">
        <v>84</v>
      </c>
      <c r="E5" s="5" t="s">
        <v>67</v>
      </c>
      <c r="F5" s="62" t="s">
        <v>68</v>
      </c>
      <c r="G5" s="5" t="s">
        <v>12</v>
      </c>
      <c r="H5" s="29">
        <v>-210</v>
      </c>
      <c r="I5" s="29">
        <v>-220</v>
      </c>
      <c r="J5" s="29">
        <v>-230</v>
      </c>
      <c r="K5" s="29">
        <v>-240</v>
      </c>
      <c r="L5" s="29">
        <v>-250</v>
      </c>
      <c r="M5" s="29">
        <v>-260</v>
      </c>
      <c r="N5" s="29">
        <v>-270</v>
      </c>
      <c r="O5" s="29">
        <v>-280</v>
      </c>
      <c r="P5" s="29">
        <v>-290</v>
      </c>
      <c r="Q5" s="29">
        <v>-300</v>
      </c>
      <c r="R5" s="29">
        <v>-300</v>
      </c>
      <c r="S5" s="20"/>
    </row>
    <row r="6" spans="1:19">
      <c r="A6" s="3" t="s">
        <v>14</v>
      </c>
      <c r="B6" s="17">
        <v>3</v>
      </c>
      <c r="C6" s="4" t="s">
        <v>90</v>
      </c>
      <c r="D6" s="5" t="s">
        <v>119</v>
      </c>
      <c r="E6" s="5" t="s">
        <v>22</v>
      </c>
      <c r="F6" s="62" t="s">
        <v>6</v>
      </c>
      <c r="G6" s="5" t="s">
        <v>11</v>
      </c>
      <c r="H6" s="29">
        <v>310</v>
      </c>
      <c r="I6" s="64">
        <v>320</v>
      </c>
      <c r="J6" s="29">
        <v>330</v>
      </c>
      <c r="K6" s="64">
        <v>340</v>
      </c>
      <c r="L6" s="29">
        <v>350</v>
      </c>
      <c r="M6" s="64">
        <v>360</v>
      </c>
      <c r="N6" s="29">
        <v>370</v>
      </c>
      <c r="O6" s="64">
        <v>380</v>
      </c>
      <c r="P6" s="29">
        <v>390</v>
      </c>
      <c r="Q6" s="64">
        <v>400</v>
      </c>
      <c r="R6" s="64">
        <v>400</v>
      </c>
      <c r="S6" s="20"/>
    </row>
    <row r="7" spans="1:19">
      <c r="A7" s="9" t="s">
        <v>14</v>
      </c>
      <c r="B7" s="17">
        <v>4</v>
      </c>
      <c r="C7" s="10" t="s">
        <v>91</v>
      </c>
      <c r="D7" s="11" t="s">
        <v>115</v>
      </c>
      <c r="E7" s="11" t="s">
        <v>35</v>
      </c>
      <c r="F7" s="62" t="s">
        <v>36</v>
      </c>
      <c r="G7" s="11" t="s">
        <v>11</v>
      </c>
      <c r="H7" s="65">
        <v>410</v>
      </c>
      <c r="I7" s="65">
        <v>420</v>
      </c>
      <c r="J7" s="65">
        <v>430</v>
      </c>
      <c r="K7" s="65">
        <v>440</v>
      </c>
      <c r="L7" s="65">
        <v>450</v>
      </c>
      <c r="M7" s="65">
        <v>460</v>
      </c>
      <c r="N7" s="65">
        <v>470</v>
      </c>
      <c r="O7" s="65">
        <v>480</v>
      </c>
      <c r="P7" s="65">
        <v>490</v>
      </c>
      <c r="Q7" s="65">
        <v>500</v>
      </c>
      <c r="R7" s="65">
        <v>500</v>
      </c>
      <c r="S7" s="20"/>
    </row>
  </sheetData>
  <sheetProtection sort="0" autoFilter="0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L7"/>
  <sheetViews>
    <sheetView workbookViewId="0">
      <selection activeCell="G6" sqref="G6"/>
    </sheetView>
  </sheetViews>
  <sheetFormatPr baseColWidth="10" defaultRowHeight="12.75"/>
  <cols>
    <col min="1" max="1" width="9.85546875" style="123" bestFit="1" customWidth="1"/>
    <col min="2" max="2" width="14.140625" style="123" bestFit="1" customWidth="1"/>
    <col min="3" max="3" width="14.7109375" style="123" bestFit="1" customWidth="1"/>
    <col min="4" max="4" width="11.42578125" style="60"/>
    <col min="5" max="5" width="9.7109375" style="120" bestFit="1" customWidth="1"/>
    <col min="6" max="6" width="21" style="124" bestFit="1" customWidth="1"/>
    <col min="7" max="7" width="17.7109375" style="124" bestFit="1" customWidth="1"/>
    <col min="8" max="8" width="7.42578125" style="125" bestFit="1" customWidth="1"/>
    <col min="9" max="9" width="14.42578125" style="126" bestFit="1" customWidth="1"/>
    <col min="10" max="10" width="14" style="60" bestFit="1" customWidth="1"/>
    <col min="11" max="16384" width="11.42578125" style="60"/>
  </cols>
  <sheetData>
    <row r="1" spans="1:12">
      <c r="A1" s="60" t="s">
        <v>0</v>
      </c>
      <c r="B1" s="60" t="s">
        <v>164</v>
      </c>
      <c r="C1" s="60" t="s">
        <v>67</v>
      </c>
      <c r="D1" s="60" t="s">
        <v>1</v>
      </c>
      <c r="E1" s="60" t="s">
        <v>12</v>
      </c>
      <c r="F1" s="60" t="s">
        <v>161</v>
      </c>
      <c r="G1" s="60" t="s">
        <v>68</v>
      </c>
      <c r="H1" s="60" t="s">
        <v>159</v>
      </c>
      <c r="I1" s="60" t="s">
        <v>160</v>
      </c>
      <c r="J1" s="60" t="s">
        <v>162</v>
      </c>
      <c r="K1" s="60" t="s">
        <v>10</v>
      </c>
      <c r="L1" s="60" t="s">
        <v>178</v>
      </c>
    </row>
    <row r="2" spans="1:12">
      <c r="A2" s="73">
        <v>42007</v>
      </c>
      <c r="B2" s="73" t="s">
        <v>100</v>
      </c>
      <c r="C2" s="73" t="s">
        <v>168</v>
      </c>
      <c r="D2" s="12" t="s">
        <v>76</v>
      </c>
      <c r="E2" s="74">
        <v>-11.11</v>
      </c>
      <c r="F2" s="75">
        <v>111.11</v>
      </c>
      <c r="G2" s="75" t="s">
        <v>171</v>
      </c>
      <c r="H2" s="76">
        <v>12.12</v>
      </c>
      <c r="I2" s="77">
        <v>1.1220000000000001</v>
      </c>
      <c r="J2" s="78">
        <f>Tableau4[[#This Row],[Distance parcourue]]/100</f>
        <v>1.1111</v>
      </c>
      <c r="K2" s="12"/>
      <c r="L2" s="12" t="s">
        <v>204</v>
      </c>
    </row>
    <row r="3" spans="1:12">
      <c r="A3" s="73">
        <v>42008</v>
      </c>
      <c r="B3" s="73" t="s">
        <v>100</v>
      </c>
      <c r="C3" s="73" t="s">
        <v>168</v>
      </c>
      <c r="D3" s="12" t="s">
        <v>75</v>
      </c>
      <c r="E3" s="74">
        <v>-22.22</v>
      </c>
      <c r="F3" s="75">
        <v>222.22</v>
      </c>
      <c r="G3" s="75" t="s">
        <v>171</v>
      </c>
      <c r="H3" s="76">
        <v>23.23</v>
      </c>
      <c r="I3" s="77">
        <v>2.2320000000000002</v>
      </c>
      <c r="J3" s="78">
        <f>Tableau4[[#This Row],[Distance parcourue]]/100</f>
        <v>2.2222</v>
      </c>
      <c r="K3" s="12"/>
      <c r="L3" s="12" t="s">
        <v>205</v>
      </c>
    </row>
    <row r="4" spans="1:12">
      <c r="A4" s="73">
        <v>42009</v>
      </c>
      <c r="B4" s="73" t="s">
        <v>100</v>
      </c>
      <c r="C4" s="73" t="s">
        <v>168</v>
      </c>
      <c r="D4" s="12" t="s">
        <v>76</v>
      </c>
      <c r="E4" s="74">
        <v>-33.33</v>
      </c>
      <c r="F4" s="75" t="s">
        <v>206</v>
      </c>
      <c r="G4" s="75" t="s">
        <v>171</v>
      </c>
      <c r="H4" s="76">
        <v>34.340000000000003</v>
      </c>
      <c r="I4" s="77">
        <v>3344</v>
      </c>
      <c r="J4" s="78">
        <f>Tableau4[[#This Row],[Distance parcourue]]/100</f>
        <v>3.3332999999999999</v>
      </c>
      <c r="K4" s="12"/>
      <c r="L4" s="12" t="s">
        <v>207</v>
      </c>
    </row>
    <row r="5" spans="1:12">
      <c r="A5" s="73">
        <v>42010</v>
      </c>
      <c r="B5" s="73" t="s">
        <v>100</v>
      </c>
      <c r="C5" s="73" t="s">
        <v>168</v>
      </c>
      <c r="D5" s="12" t="s">
        <v>79</v>
      </c>
      <c r="E5" s="74">
        <v>-44.44</v>
      </c>
      <c r="F5" s="75" t="s">
        <v>209</v>
      </c>
      <c r="G5" s="75" t="s">
        <v>171</v>
      </c>
      <c r="H5" s="76" t="s">
        <v>210</v>
      </c>
      <c r="I5" s="77">
        <v>4454</v>
      </c>
      <c r="J5" s="78">
        <f>Tableau4[[#This Row],[Distance parcourue]]/100</f>
        <v>4.4443999999999999</v>
      </c>
      <c r="K5" s="12"/>
      <c r="L5" s="12" t="s">
        <v>208</v>
      </c>
    </row>
    <row r="6" spans="1:12">
      <c r="A6" s="73">
        <v>42011</v>
      </c>
      <c r="B6" s="73" t="s">
        <v>100</v>
      </c>
      <c r="C6" s="73" t="s">
        <v>168</v>
      </c>
      <c r="D6" s="12" t="s">
        <v>80</v>
      </c>
      <c r="E6" s="74">
        <v>-55.55</v>
      </c>
      <c r="F6" s="75" t="s">
        <v>212</v>
      </c>
      <c r="G6" s="75" t="s">
        <v>171</v>
      </c>
      <c r="H6" s="76" t="s">
        <v>213</v>
      </c>
      <c r="I6" s="77">
        <v>5454</v>
      </c>
      <c r="J6" s="78">
        <f>Tableau4[[#This Row],[Distance parcourue]]/100</f>
        <v>5.5554999999999994</v>
      </c>
      <c r="K6" s="12"/>
      <c r="L6" s="12" t="s">
        <v>211</v>
      </c>
    </row>
    <row r="7" spans="1:12">
      <c r="A7" s="73">
        <v>42042</v>
      </c>
      <c r="B7" s="73" t="s">
        <v>100</v>
      </c>
      <c r="C7" s="73" t="s">
        <v>218</v>
      </c>
      <c r="D7" s="12" t="s">
        <v>82</v>
      </c>
      <c r="E7" s="74">
        <v>-22.23</v>
      </c>
      <c r="F7" s="75">
        <v>222.22</v>
      </c>
      <c r="G7" s="75" t="s">
        <v>171</v>
      </c>
      <c r="H7" s="76">
        <v>23.23</v>
      </c>
      <c r="I7" s="77">
        <v>2.2320000000000002</v>
      </c>
      <c r="J7" s="78">
        <f>Tableau4[[#This Row],[Distance parcourue]]/100</f>
        <v>2.2222</v>
      </c>
      <c r="K7" s="12"/>
      <c r="L7" s="12" t="s">
        <v>228</v>
      </c>
    </row>
  </sheetData>
  <sheetProtection sort="0" autoFilter="0"/>
  <conditionalFormatting sqref="E2:E1048576">
    <cfRule type="cellIs" dxfId="47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topLeftCell="H1" workbookViewId="0">
      <selection activeCell="K45" sqref="K4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44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5"/>
      <c r="R1" s="26">
        <v>1</v>
      </c>
      <c r="S1" s="26">
        <v>2</v>
      </c>
      <c r="T1" s="26">
        <v>3</v>
      </c>
      <c r="U1" s="26">
        <v>4</v>
      </c>
      <c r="V1" s="26">
        <v>5</v>
      </c>
      <c r="W1" s="26">
        <v>6</v>
      </c>
      <c r="X1" s="26">
        <v>7</v>
      </c>
      <c r="Y1" s="26">
        <v>8</v>
      </c>
      <c r="Z1" s="26">
        <v>9</v>
      </c>
      <c r="AA1" s="26">
        <v>10</v>
      </c>
      <c r="AB1" s="26">
        <v>11</v>
      </c>
      <c r="AC1" s="26">
        <v>12</v>
      </c>
    </row>
    <row r="2" spans="1:29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7"/>
      <c r="R2" s="27" t="e">
        <f ca="1">SUM(INDIRECT("R4:R"&amp;COUNTA($C:$C)+3))</f>
        <v>#NAME?</v>
      </c>
      <c r="S2" s="27" t="e">
        <f ca="1">SUM(INDIRECT("S4:S"&amp;COUNTA($C:$C)+3))</f>
        <v>#NAME?</v>
      </c>
      <c r="T2" s="27" t="e">
        <f ca="1">SUM(INDIRECT("T4:T"&amp;COUNTA($C:$C)+3))</f>
        <v>#NAME?</v>
      </c>
      <c r="U2" s="27" t="e">
        <f ca="1">SUM(INDIRECT("U4:U"&amp;COUNTA($C:$C)+3))</f>
        <v>#NAME?</v>
      </c>
      <c r="V2" s="27" t="e">
        <f ca="1">SUM(INDIRECT("V4:V"&amp;COUNTA($C:$C)+3))</f>
        <v>#NAME?</v>
      </c>
      <c r="W2" s="27" t="e">
        <f ca="1">SUM(INDIRECT("W4:W"&amp;COUNTA($C:$C)+3))</f>
        <v>#NAME?</v>
      </c>
      <c r="X2" s="27" t="e">
        <f ca="1">SUM(INDIRECT("X4:X"&amp;COUNTA($C:$C)+3))</f>
        <v>#NAME?</v>
      </c>
      <c r="Y2" s="27" t="e">
        <f ca="1">SUM(INDIRECT("Y4:Y"&amp;COUNTA($C:$C)+3))</f>
        <v>#NAME?</v>
      </c>
      <c r="Z2" s="27" t="e">
        <f ca="1">SUM(INDIRECT("Z4:Z"&amp;COUNTA($C:$C)+3))</f>
        <v>#NAME?</v>
      </c>
      <c r="AA2" s="27" t="e">
        <f ca="1">SUM(INDIRECT("AA4:AA"&amp;COUNTA($C:$C)+3))</f>
        <v>#NAME?</v>
      </c>
      <c r="AB2" s="27" t="e">
        <f ca="1">SUM(INDIRECT("AB4:AB"&amp;COUNTA($C:$C)+3))</f>
        <v>#NAME?</v>
      </c>
      <c r="AC2" s="27" t="e">
        <f ca="1">SUM(INDIRECT("AC4:AC"&amp;COUNTA($C:$C)+3))</f>
        <v>#NAME?</v>
      </c>
    </row>
    <row r="3" spans="1:29" ht="25.5">
      <c r="A3" s="61" t="s">
        <v>2</v>
      </c>
      <c r="B3" s="22" t="s">
        <v>1</v>
      </c>
      <c r="C3" s="61" t="s">
        <v>18</v>
      </c>
      <c r="D3" s="22" t="s">
        <v>19</v>
      </c>
      <c r="E3" s="22" t="s">
        <v>158</v>
      </c>
      <c r="F3" s="23" t="s">
        <v>98</v>
      </c>
      <c r="G3" s="23" t="s">
        <v>99</v>
      </c>
      <c r="H3" s="24" t="s">
        <v>102</v>
      </c>
      <c r="I3" s="24" t="s">
        <v>103</v>
      </c>
      <c r="J3" s="24" t="s">
        <v>104</v>
      </c>
      <c r="K3" s="24" t="s">
        <v>105</v>
      </c>
      <c r="L3" s="24" t="s">
        <v>106</v>
      </c>
      <c r="M3" s="24" t="s">
        <v>107</v>
      </c>
      <c r="N3" s="24" t="s">
        <v>108</v>
      </c>
      <c r="O3" s="24" t="s">
        <v>109</v>
      </c>
      <c r="P3" s="24" t="s">
        <v>110</v>
      </c>
      <c r="Q3" s="24" t="s">
        <v>111</v>
      </c>
      <c r="R3" s="25" t="s">
        <v>125</v>
      </c>
      <c r="S3" s="25" t="s">
        <v>124</v>
      </c>
      <c r="T3" s="25" t="s">
        <v>126</v>
      </c>
      <c r="U3" s="25" t="s">
        <v>127</v>
      </c>
      <c r="V3" s="25" t="s">
        <v>128</v>
      </c>
      <c r="W3" s="25" t="s">
        <v>129</v>
      </c>
      <c r="X3" s="25" t="s">
        <v>130</v>
      </c>
      <c r="Y3" s="25" t="s">
        <v>131</v>
      </c>
      <c r="Z3" s="25" t="s">
        <v>132</v>
      </c>
      <c r="AA3" s="25" t="s">
        <v>133</v>
      </c>
      <c r="AB3" s="25" t="s">
        <v>134</v>
      </c>
      <c r="AC3" s="25" t="s">
        <v>135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28" t="e">
        <f t="shared" ref="R4:AC4" ca="1" si="0">F4-SUMPRODUCT((Libellés_principaux=$C4)*(Libellés_secondaires=$D4)*(Débit))</f>
        <v>#NAME?</v>
      </c>
      <c r="S4" s="28" t="e">
        <f t="shared" ca="1" si="0"/>
        <v>#NAME?</v>
      </c>
      <c r="T4" s="28" t="e">
        <f t="shared" ca="1" si="0"/>
        <v>#NAME?</v>
      </c>
      <c r="U4" s="28" t="e">
        <f t="shared" ca="1" si="0"/>
        <v>#NAME?</v>
      </c>
      <c r="V4" s="28" t="e">
        <f t="shared" ca="1" si="0"/>
        <v>#NAME?</v>
      </c>
      <c r="W4" s="28" t="e">
        <f t="shared" ca="1" si="0"/>
        <v>#NAME?</v>
      </c>
      <c r="X4" s="28" t="e">
        <f t="shared" ca="1" si="0"/>
        <v>#NAME?</v>
      </c>
      <c r="Y4" s="28" t="e">
        <f t="shared" ca="1" si="0"/>
        <v>#NAME?</v>
      </c>
      <c r="Z4" s="28" t="e">
        <f t="shared" ca="1" si="0"/>
        <v>#NAME?</v>
      </c>
      <c r="AA4" s="28" t="e">
        <f t="shared" ca="1" si="0"/>
        <v>#NAME?</v>
      </c>
      <c r="AB4" s="28" t="e">
        <f t="shared" ca="1" si="0"/>
        <v>#NAME?</v>
      </c>
      <c r="AC4" s="28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R2" sqref="R1:R1048576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44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1:20" ht="21" thickBot="1">
      <c r="A2" s="156" t="s">
        <v>154</v>
      </c>
      <c r="B2" s="157"/>
      <c r="C2" s="157"/>
      <c r="D2" s="157"/>
      <c r="E2" s="157"/>
      <c r="F2" s="157"/>
      <c r="G2" s="157"/>
      <c r="H2" s="157"/>
      <c r="I2" s="158"/>
      <c r="J2" s="30" t="s">
        <v>156</v>
      </c>
      <c r="K2" s="31"/>
      <c r="L2" s="31"/>
      <c r="M2" s="31"/>
      <c r="N2" s="31"/>
      <c r="O2" s="31"/>
      <c r="P2" s="31"/>
      <c r="Q2" s="31"/>
      <c r="R2" s="31"/>
      <c r="S2" s="31"/>
      <c r="T2" s="32"/>
    </row>
    <row r="3" spans="1:20" ht="21" thickBot="1">
      <c r="A3" s="159" t="s">
        <v>155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1"/>
      <c r="S3" s="162" t="s">
        <v>140</v>
      </c>
      <c r="T3" s="163"/>
    </row>
    <row r="4" spans="1:20" ht="29.25" thickBot="1">
      <c r="A4" s="33" t="s">
        <v>141</v>
      </c>
      <c r="B4" s="164">
        <v>700</v>
      </c>
      <c r="C4" s="165"/>
      <c r="D4" s="33" t="s">
        <v>142</v>
      </c>
      <c r="E4" s="164">
        <v>200</v>
      </c>
      <c r="F4" s="165"/>
      <c r="G4" s="33" t="s">
        <v>3</v>
      </c>
      <c r="H4" s="164">
        <v>150</v>
      </c>
      <c r="I4" s="165"/>
      <c r="J4" s="33" t="s">
        <v>143</v>
      </c>
      <c r="K4" s="164">
        <v>120</v>
      </c>
      <c r="L4" s="165"/>
      <c r="M4" s="33" t="s">
        <v>144</v>
      </c>
      <c r="N4" s="164">
        <v>0</v>
      </c>
      <c r="O4" s="165"/>
      <c r="P4" s="33" t="s">
        <v>145</v>
      </c>
      <c r="Q4" s="164">
        <v>0</v>
      </c>
      <c r="R4" s="165"/>
      <c r="S4" s="34" t="s">
        <v>146</v>
      </c>
      <c r="T4" s="35">
        <f>SUM(T6:T16)</f>
        <v>0</v>
      </c>
    </row>
    <row r="5" spans="1:20" ht="29.25" thickBot="1">
      <c r="A5" s="36" t="s">
        <v>147</v>
      </c>
      <c r="B5" s="152">
        <f>B4-C17</f>
        <v>700</v>
      </c>
      <c r="C5" s="153"/>
      <c r="D5" s="37" t="s">
        <v>147</v>
      </c>
      <c r="E5" s="154">
        <f>E4-F17</f>
        <v>200</v>
      </c>
      <c r="F5" s="155"/>
      <c r="G5" s="37" t="s">
        <v>147</v>
      </c>
      <c r="H5" s="154">
        <f>H4-I17</f>
        <v>150</v>
      </c>
      <c r="I5" s="155"/>
      <c r="J5" s="37" t="s">
        <v>147</v>
      </c>
      <c r="K5" s="154">
        <f>K4-L17</f>
        <v>120</v>
      </c>
      <c r="L5" s="155"/>
      <c r="M5" s="37" t="s">
        <v>147</v>
      </c>
      <c r="N5" s="154">
        <f>N4-O17</f>
        <v>0</v>
      </c>
      <c r="O5" s="155"/>
      <c r="P5" s="37" t="s">
        <v>147</v>
      </c>
      <c r="Q5" s="154">
        <f>Q4-R17</f>
        <v>0</v>
      </c>
      <c r="R5" s="155"/>
      <c r="S5" s="38" t="s">
        <v>148</v>
      </c>
      <c r="T5" s="39" t="s">
        <v>149</v>
      </c>
    </row>
    <row r="6" spans="1:20" ht="18.75" thickBot="1">
      <c r="A6" s="38" t="s">
        <v>148</v>
      </c>
      <c r="B6" s="40" t="s">
        <v>150</v>
      </c>
      <c r="C6" s="39" t="s">
        <v>151</v>
      </c>
      <c r="D6" s="38" t="s">
        <v>148</v>
      </c>
      <c r="E6" s="40" t="s">
        <v>150</v>
      </c>
      <c r="F6" s="39" t="s">
        <v>151</v>
      </c>
      <c r="G6" s="38" t="s">
        <v>148</v>
      </c>
      <c r="H6" s="40" t="s">
        <v>150</v>
      </c>
      <c r="I6" s="39" t="s">
        <v>151</v>
      </c>
      <c r="J6" s="38" t="s">
        <v>148</v>
      </c>
      <c r="K6" s="40" t="s">
        <v>150</v>
      </c>
      <c r="L6" s="39" t="s">
        <v>151</v>
      </c>
      <c r="M6" s="38" t="s">
        <v>148</v>
      </c>
      <c r="N6" s="40" t="s">
        <v>150</v>
      </c>
      <c r="O6" s="39" t="s">
        <v>151</v>
      </c>
      <c r="P6" s="38" t="s">
        <v>148</v>
      </c>
      <c r="Q6" s="40" t="s">
        <v>150</v>
      </c>
      <c r="R6" s="39" t="s">
        <v>151</v>
      </c>
      <c r="S6" s="41"/>
      <c r="T6" s="42"/>
    </row>
    <row r="7" spans="1:20" ht="18">
      <c r="A7" s="43"/>
      <c r="B7" s="44"/>
      <c r="C7" s="42"/>
      <c r="D7" s="43"/>
      <c r="E7" s="44"/>
      <c r="F7" s="42"/>
      <c r="G7" s="43"/>
      <c r="H7" s="44"/>
      <c r="I7" s="42"/>
      <c r="J7" s="43"/>
      <c r="K7" s="44"/>
      <c r="L7" s="42"/>
      <c r="M7" s="43"/>
      <c r="N7" s="44"/>
      <c r="O7" s="42"/>
      <c r="P7" s="43"/>
      <c r="Q7" s="44"/>
      <c r="R7" s="42"/>
      <c r="S7" s="41"/>
      <c r="T7" s="42"/>
    </row>
    <row r="8" spans="1:20" ht="18">
      <c r="A8" s="45"/>
      <c r="B8" s="46"/>
      <c r="C8" s="47"/>
      <c r="D8" s="45"/>
      <c r="E8" s="46"/>
      <c r="F8" s="47"/>
      <c r="G8" s="45"/>
      <c r="H8" s="46"/>
      <c r="I8" s="47"/>
      <c r="J8" s="45"/>
      <c r="K8" s="46"/>
      <c r="L8" s="47"/>
      <c r="M8" s="45"/>
      <c r="N8" s="46"/>
      <c r="O8" s="47"/>
      <c r="P8" s="45"/>
      <c r="Q8" s="46"/>
      <c r="R8" s="47"/>
      <c r="S8" s="48"/>
      <c r="T8" s="47"/>
    </row>
    <row r="9" spans="1:20" ht="18">
      <c r="A9" s="45"/>
      <c r="B9" s="46"/>
      <c r="C9" s="47"/>
      <c r="D9" s="45"/>
      <c r="E9" s="46"/>
      <c r="F9" s="47"/>
      <c r="G9" s="45"/>
      <c r="H9" s="46"/>
      <c r="I9" s="47"/>
      <c r="J9" s="45"/>
      <c r="K9" s="46"/>
      <c r="L9" s="47"/>
      <c r="M9" s="45"/>
      <c r="N9" s="46"/>
      <c r="O9" s="47"/>
      <c r="P9" s="45"/>
      <c r="Q9" s="46"/>
      <c r="R9" s="47"/>
      <c r="S9" s="48"/>
      <c r="T9" s="47"/>
    </row>
    <row r="10" spans="1:20" ht="18">
      <c r="A10" s="45"/>
      <c r="B10" s="46"/>
      <c r="C10" s="47"/>
      <c r="D10" s="45"/>
      <c r="E10" s="46"/>
      <c r="F10" s="47"/>
      <c r="G10" s="45"/>
      <c r="H10" s="46"/>
      <c r="I10" s="47"/>
      <c r="J10" s="45"/>
      <c r="K10" s="46"/>
      <c r="L10" s="47"/>
      <c r="M10" s="45"/>
      <c r="N10" s="46"/>
      <c r="O10" s="47"/>
      <c r="P10" s="45"/>
      <c r="Q10" s="46"/>
      <c r="R10" s="47"/>
      <c r="S10" s="48"/>
      <c r="T10" s="47"/>
    </row>
    <row r="11" spans="1:20" ht="18">
      <c r="A11" s="45"/>
      <c r="B11" s="46"/>
      <c r="C11" s="47"/>
      <c r="D11" s="45"/>
      <c r="E11" s="46"/>
      <c r="F11" s="47"/>
      <c r="G11" s="45"/>
      <c r="H11" s="46"/>
      <c r="I11" s="47"/>
      <c r="J11" s="45"/>
      <c r="K11" s="46"/>
      <c r="L11" s="47"/>
      <c r="M11" s="45"/>
      <c r="N11" s="46"/>
      <c r="O11" s="47"/>
      <c r="P11" s="45"/>
      <c r="Q11" s="46"/>
      <c r="R11" s="47"/>
      <c r="S11" s="48"/>
      <c r="T11" s="47"/>
    </row>
    <row r="12" spans="1:20" ht="18">
      <c r="A12" s="45"/>
      <c r="B12" s="46"/>
      <c r="C12" s="47"/>
      <c r="D12" s="45"/>
      <c r="E12" s="46"/>
      <c r="F12" s="47"/>
      <c r="G12" s="45"/>
      <c r="H12" s="46"/>
      <c r="I12" s="47"/>
      <c r="J12" s="45"/>
      <c r="K12" s="46"/>
      <c r="L12" s="47"/>
      <c r="M12" s="45"/>
      <c r="N12" s="46"/>
      <c r="O12" s="47"/>
      <c r="P12" s="45"/>
      <c r="Q12" s="46"/>
      <c r="R12" s="47"/>
      <c r="S12" s="48"/>
      <c r="T12" s="47"/>
    </row>
    <row r="13" spans="1:20" ht="18">
      <c r="A13" s="48"/>
      <c r="B13" s="46"/>
      <c r="C13" s="47"/>
      <c r="D13" s="48"/>
      <c r="E13" s="46"/>
      <c r="F13" s="47"/>
      <c r="G13" s="48"/>
      <c r="H13" s="46"/>
      <c r="I13" s="47"/>
      <c r="J13" s="48"/>
      <c r="K13" s="46"/>
      <c r="L13" s="47"/>
      <c r="M13" s="48"/>
      <c r="N13" s="46"/>
      <c r="O13" s="47"/>
      <c r="P13" s="48"/>
      <c r="Q13" s="46"/>
      <c r="R13" s="47"/>
      <c r="S13" s="48"/>
      <c r="T13" s="47"/>
    </row>
    <row r="14" spans="1:20" ht="18">
      <c r="A14" s="48"/>
      <c r="B14" s="46"/>
      <c r="C14" s="47"/>
      <c r="D14" s="48"/>
      <c r="E14" s="46"/>
      <c r="F14" s="47"/>
      <c r="G14" s="48"/>
      <c r="H14" s="46"/>
      <c r="I14" s="47"/>
      <c r="J14" s="48"/>
      <c r="K14" s="46"/>
      <c r="L14" s="47"/>
      <c r="M14" s="48"/>
      <c r="N14" s="46"/>
      <c r="O14" s="47"/>
      <c r="P14" s="48"/>
      <c r="Q14" s="46"/>
      <c r="R14" s="47"/>
      <c r="S14" s="48"/>
      <c r="T14" s="47"/>
    </row>
    <row r="15" spans="1:20" ht="18">
      <c r="A15" s="48"/>
      <c r="B15" s="46"/>
      <c r="C15" s="47"/>
      <c r="D15" s="48"/>
      <c r="E15" s="46"/>
      <c r="F15" s="47"/>
      <c r="G15" s="48"/>
      <c r="H15" s="46"/>
      <c r="I15" s="47"/>
      <c r="J15" s="48"/>
      <c r="K15" s="46"/>
      <c r="L15" s="47"/>
      <c r="M15" s="48"/>
      <c r="N15" s="46"/>
      <c r="O15" s="47"/>
      <c r="P15" s="48"/>
      <c r="Q15" s="46"/>
      <c r="R15" s="47"/>
      <c r="S15" s="48"/>
      <c r="T15" s="47"/>
    </row>
    <row r="16" spans="1:20" ht="18.75" thickBot="1">
      <c r="A16" s="49"/>
      <c r="B16" s="50"/>
      <c r="C16" s="51"/>
      <c r="D16" s="49"/>
      <c r="E16" s="50"/>
      <c r="F16" s="51"/>
      <c r="G16" s="49"/>
      <c r="H16" s="50"/>
      <c r="I16" s="51"/>
      <c r="J16" s="49"/>
      <c r="K16" s="50"/>
      <c r="L16" s="51"/>
      <c r="M16" s="49"/>
      <c r="N16" s="50"/>
      <c r="O16" s="51"/>
      <c r="P16" s="49"/>
      <c r="Q16" s="50"/>
      <c r="R16" s="51"/>
      <c r="S16" s="52"/>
      <c r="T16" s="53"/>
    </row>
    <row r="17" spans="1:20" ht="29.25" thickBot="1">
      <c r="A17" s="54" t="str">
        <f>"Total "&amp;A4</f>
        <v>Total Achats divers</v>
      </c>
      <c r="B17" s="55">
        <f>SUM(B7:B16)</f>
        <v>0</v>
      </c>
      <c r="C17" s="56">
        <f t="array" ref="C17">SUMPRODUCT((IF(B7:B16=0,C7:C16,B7:B16))*1)</f>
        <v>0</v>
      </c>
      <c r="D17" s="54" t="str">
        <f>"Total "&amp;D4</f>
        <v>Total Habillement</v>
      </c>
      <c r="E17" s="55">
        <f>SUM(E7:E16)</f>
        <v>0</v>
      </c>
      <c r="F17" s="56">
        <f t="array" ref="F17">SUMPRODUCT((IF(E7:E16=0,F7:F16,E7:E16))*1)</f>
        <v>0</v>
      </c>
      <c r="G17" s="54" t="str">
        <f>"Total "&amp;G4</f>
        <v>Total Divers</v>
      </c>
      <c r="H17" s="55">
        <f>SUM(H7:H16)</f>
        <v>0</v>
      </c>
      <c r="I17" s="56">
        <f t="array" ref="I17">SUMPRODUCT((IF(H7:H16=0,I7:I16,H7:H16))*1)</f>
        <v>0</v>
      </c>
      <c r="J17" s="54" t="str">
        <f>"Total "&amp;J4</f>
        <v>Total Cantine</v>
      </c>
      <c r="K17" s="55">
        <f>SUM(K7:K16)</f>
        <v>0</v>
      </c>
      <c r="L17" s="56">
        <f t="array" ref="L17">SUMPRODUCT((IF(K7:K16=0,L7:L16,K7:K16))*1)</f>
        <v>0</v>
      </c>
      <c r="M17" s="54" t="str">
        <f>"Total "&amp;M4</f>
        <v>Total Extra</v>
      </c>
      <c r="N17" s="55">
        <f>SUM(N7:N16)</f>
        <v>0</v>
      </c>
      <c r="O17" s="56">
        <f t="array" ref="O17">SUMPRODUCT((IF(N7:N16=0,O7:O16,N7:N16))*1)</f>
        <v>0</v>
      </c>
      <c r="P17" s="54" t="str">
        <f>"Total "&amp;P4</f>
        <v>Total Autre</v>
      </c>
      <c r="Q17" s="55">
        <f>SUM(Q7:Q16)</f>
        <v>0</v>
      </c>
      <c r="R17" s="56">
        <f t="array" ref="R17">SUMPRODUCT((IF(Q7:Q16=0,R7:R16,Q7:Q16))*1)</f>
        <v>0</v>
      </c>
      <c r="S17" s="54" t="s">
        <v>152</v>
      </c>
      <c r="T17" s="57">
        <f>T4</f>
        <v>0</v>
      </c>
    </row>
    <row r="18" spans="1:20" ht="31.5">
      <c r="A18" s="58" t="s">
        <v>153</v>
      </c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9"/>
    </row>
    <row r="19" spans="1:20" ht="16.5" thickBot="1">
      <c r="A19" s="59"/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1"/>
    </row>
  </sheetData>
  <mergeCells count="17"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  <mergeCell ref="B18:T19"/>
    <mergeCell ref="B5:C5"/>
    <mergeCell ref="E5:F5"/>
    <mergeCell ref="H5:I5"/>
    <mergeCell ref="K5:L5"/>
    <mergeCell ref="N5:O5"/>
    <mergeCell ref="Q5:R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Gestion_Dépense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2015-12-21T11:27:24Z</dcterms:modified>
</cp:coreProperties>
</file>