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120" windowWidth="15600" windowHeight="11640" tabRatio="690" firstSheet="1" activeTab="1"/>
  </bookViews>
  <sheets>
    <sheet name="Calendrier" sheetId="174" state="hidden" r:id="rId1"/>
    <sheet name="Heures bases Elodie" sheetId="175" r:id="rId2"/>
    <sheet name="Janvier" sheetId="1" r:id="rId3"/>
    <sheet name="Février" sheetId="6" state="hidden" r:id="rId4"/>
    <sheet name="Mars" sheetId="7" state="hidden" r:id="rId5"/>
    <sheet name="Avril" sheetId="8" state="hidden" r:id="rId6"/>
    <sheet name="Mai" sheetId="9" state="hidden" r:id="rId7"/>
    <sheet name="Juin" sheetId="10" state="hidden" r:id="rId8"/>
    <sheet name="Juillet" sheetId="11" state="hidden" r:id="rId9"/>
    <sheet name="Août" sheetId="12" state="hidden" r:id="rId10"/>
    <sheet name="Septembre" sheetId="13" state="hidden" r:id="rId11"/>
    <sheet name="Octobre" sheetId="14" state="hidden" r:id="rId12"/>
    <sheet name="Novembre" sheetId="15" state="hidden" r:id="rId13"/>
    <sheet name="Décembre" sheetId="16" state="hidden" r:id="rId14"/>
  </sheets>
  <externalReferences>
    <externalReference r:id="rId15"/>
  </externalReferences>
  <definedNames>
    <definedName name="ACTIVITE" localSheetId="0">#REF!</definedName>
    <definedName name="ACTIVITE" localSheetId="1">#REF!</definedName>
    <definedName name="ACTIVITE">#REF!</definedName>
    <definedName name="Année_Calendaire">Janvier!$J$1</definedName>
    <definedName name="annees">'[1]Fériés '!$S$1:$S$99</definedName>
    <definedName name="Aoû_Dim1">DATE(Année_Calendaire,8,1)-WEEKDAY(DATE(Année_Calendaire,8,1))+1</definedName>
    <definedName name="Aout" localSheetId="0">Août!#REF!</definedName>
    <definedName name="Aout" localSheetId="1">Août!#REF!</definedName>
    <definedName name="Aout">Août!#REF!</definedName>
    <definedName name="Avr_Dim1">DATE(Année_Calendaire,4,1)-WEEKDAY(DATE(Année_Calendaire,4,1))+1</definedName>
    <definedName name="avril" localSheetId="0">Avril!#REF!</definedName>
    <definedName name="avril" localSheetId="1">Avril!#REF!</definedName>
    <definedName name="avril">Avril!#REF!</definedName>
    <definedName name="D" localSheetId="0">#REF!</definedName>
    <definedName name="D" localSheetId="1">#REF!</definedName>
    <definedName name="D">#REF!</definedName>
    <definedName name="Date" localSheetId="0">#REF!</definedName>
    <definedName name="Date" localSheetId="1">#REF!</definedName>
    <definedName name="Date">#REF!</definedName>
    <definedName name="DD" localSheetId="0">[1]Avril!#REF!</definedName>
    <definedName name="DD" localSheetId="1">[1]Avril!#REF!</definedName>
    <definedName name="DD">[1]Avril!#REF!</definedName>
    <definedName name="DDD" localSheetId="0">#REF!</definedName>
    <definedName name="DDD" localSheetId="1">#REF!</definedName>
    <definedName name="DDD">#REF!</definedName>
    <definedName name="Déc_Dim1">DATE(Année_Calendaire,12,1)-WEEKDAY(DATE(Année_Calendaire,12,1))+1</definedName>
    <definedName name="Décem" localSheetId="0">Décembre!#REF!</definedName>
    <definedName name="Décem" localSheetId="1">Décembre!#REF!</definedName>
    <definedName name="Décem">Décembre!#REF!</definedName>
    <definedName name="EEE" localSheetId="0">[1]Avril!#REF!</definedName>
    <definedName name="EEE" localSheetId="1">[1]Avril!#REF!</definedName>
    <definedName name="EEE">[1]Avril!#REF!</definedName>
    <definedName name="FERIA" localSheetId="0">[1]Avril!#REF!</definedName>
    <definedName name="FERIA" localSheetId="1">[1]Avril!#REF!</definedName>
    <definedName name="FERIA">[1]Avril!#REF!</definedName>
    <definedName name="Férié1" localSheetId="0">[1]Janvier!#REF!</definedName>
    <definedName name="Férié1" localSheetId="1">[1]Janvier!#REF!</definedName>
    <definedName name="Férié1">[1]Janvier!#REF!</definedName>
    <definedName name="Férié11" localSheetId="0">[1]Novembre!#REF!</definedName>
    <definedName name="Férié11" localSheetId="1">[1]Novembre!#REF!</definedName>
    <definedName name="Férié11">[1]Novembre!#REF!</definedName>
    <definedName name="Férié12" localSheetId="0">[1]Décembre!#REF!</definedName>
    <definedName name="Férié12" localSheetId="1">[1]Décembre!#REF!</definedName>
    <definedName name="Férié12">[1]Décembre!#REF!</definedName>
    <definedName name="Férié3" localSheetId="0">[1]Mars!#REF!</definedName>
    <definedName name="Férié3" localSheetId="1">[1]Mars!#REF!</definedName>
    <definedName name="Férié3">[1]Mars!#REF!</definedName>
    <definedName name="Férié4" localSheetId="0">[1]Avril!#REF!</definedName>
    <definedName name="Férié4" localSheetId="1">[1]Avril!#REF!</definedName>
    <definedName name="Férié4">[1]Avril!#REF!</definedName>
    <definedName name="Férié5" localSheetId="0">[1]Mai!#REF!</definedName>
    <definedName name="Férié5" localSheetId="1">[1]Mai!#REF!</definedName>
    <definedName name="Férié5">[1]Mai!#REF!</definedName>
    <definedName name="Férié6" localSheetId="0">[1]Juin!#REF!</definedName>
    <definedName name="Férié6" localSheetId="1">[1]Juin!#REF!</definedName>
    <definedName name="Férié6">[1]Juin!#REF!</definedName>
    <definedName name="Férié7" localSheetId="0">[1]Juillet!#REF!</definedName>
    <definedName name="Férié7" localSheetId="1">[1]Juillet!#REF!</definedName>
    <definedName name="Férié7">[1]Juillet!#REF!</definedName>
    <definedName name="Férié8" localSheetId="0">[1]Aout!#REF!</definedName>
    <definedName name="Férié8" localSheetId="1">[1]Aout!#REF!</definedName>
    <definedName name="Férié8">[1]Aout!#REF!</definedName>
    <definedName name="FEV" localSheetId="0">Février!#REF!</definedName>
    <definedName name="FEV" localSheetId="1">Février!#REF!</definedName>
    <definedName name="FEV">Février!#REF!</definedName>
    <definedName name="Fév_Dim1">DATE(Année_Calendaire,2,1)-WEEKDAY(DATE(Année_Calendaire,2,1))+1</definedName>
    <definedName name="Jan_Dim1">DATE(Année_Calendaire,1,1)-WEEKDAY(DATE(Année_Calendaire,1,1))+1</definedName>
    <definedName name="Jours_affectation" localSheetId="9">Août!#REF!</definedName>
    <definedName name="Jours_affectation" localSheetId="5">Avril!#REF!</definedName>
    <definedName name="Jours_affectation" localSheetId="0">Janvier!#REF!</definedName>
    <definedName name="Jours_affectation" localSheetId="13">Décembre!#REF!</definedName>
    <definedName name="Jours_affectation" localSheetId="3">Février!#REF!</definedName>
    <definedName name="Jours_affectation" localSheetId="1">Janvier!#REF!</definedName>
    <definedName name="Jours_affectation" localSheetId="8">Juillet!#REF!</definedName>
    <definedName name="Jours_affectation" localSheetId="7">Juin!#REF!</definedName>
    <definedName name="Jours_affectation" localSheetId="6">Mai!#REF!</definedName>
    <definedName name="Jours_affectation" localSheetId="4">Mars!#REF!</definedName>
    <definedName name="Jours_affectation" localSheetId="12">Novembre!#REF!</definedName>
    <definedName name="Jours_affectation" localSheetId="11">Octobre!#REF!</definedName>
    <definedName name="Jours_affectation" localSheetId="10">Septembre!#REF!</definedName>
    <definedName name="Jours_affectation">Janvier!#REF!</definedName>
    <definedName name="Juil_Dim1">DATE(Année_Calendaire,7,1)-WEEKDAY(DATE(Année_Calendaire,7,1))+1</definedName>
    <definedName name="Juillet" localSheetId="0">Juillet!#REF!</definedName>
    <definedName name="Juillet" localSheetId="1">Juillet!#REF!</definedName>
    <definedName name="Juillet">Juillet!#REF!</definedName>
    <definedName name="Juin" localSheetId="0">Juin!#REF!</definedName>
    <definedName name="Juin" localSheetId="1">Juin!#REF!</definedName>
    <definedName name="Juin">Juin!#REF!</definedName>
    <definedName name="Juin_Dim1">DATE(Année_Calendaire,6,1)-WEEKDAY(DATE(Année_Calendaire,6,1))+1</definedName>
    <definedName name="Liste1" localSheetId="0">#REF!</definedName>
    <definedName name="Liste1" localSheetId="1">#REF!</definedName>
    <definedName name="Liste1">#REF!</definedName>
    <definedName name="Listefeuilles" localSheetId="0">#REF!</definedName>
    <definedName name="Listefeuilles" localSheetId="1">#REF!</definedName>
    <definedName name="Listefeuilles">#REF!</definedName>
    <definedName name="Listeonglets" localSheetId="0">#REF!</definedName>
    <definedName name="Listeonglets" localSheetId="1">#REF!</definedName>
    <definedName name="Listeonglets">#REF!</definedName>
    <definedName name="m">[1]Janvier!$B$1</definedName>
    <definedName name="Mai" localSheetId="0">Mai!#REF!</definedName>
    <definedName name="Mai" localSheetId="1">Mai!#REF!</definedName>
    <definedName name="Mai">Mai!#REF!</definedName>
    <definedName name="Mai_Dim1">DATE(Année_Calendaire,5,1)-WEEKDAY(DATE(Année_Calendaire,5,1))+1</definedName>
    <definedName name="Mar_Dim1">DATE(Année_Calendaire,3,1)-WEEKDAY(DATE(Année_Calendaire,3,1))+1</definedName>
    <definedName name="mars" localSheetId="0">Mars!#REF!</definedName>
    <definedName name="mars" localSheetId="1">Mars!#REF!</definedName>
    <definedName name="mars">Mars!#REF!</definedName>
    <definedName name="Nov_Dim1">DATE(Année_Calendaire,11,1)-WEEKDAY(DATE(Année_Calendaire,11,1))+1</definedName>
    <definedName name="Novem" localSheetId="0">Novembre!#REF!</definedName>
    <definedName name="Novem" localSheetId="1">Novembre!#REF!</definedName>
    <definedName name="Novem">Novembre!#REF!</definedName>
    <definedName name="Oct_Dim1">DATE(Année_Calendaire,10,1)-WEEKDAY(DATE(Année_Calendaire,10,1))+1</definedName>
    <definedName name="Octo" localSheetId="0">Octobre!#REF!</definedName>
    <definedName name="Octo" localSheetId="1">Octobre!#REF!</definedName>
    <definedName name="Octo">Octobre!#REF!</definedName>
    <definedName name="Sep_Dim1">DATE(Année_Calendaire,9,1)-WEEKDAY(DATE(Année_Calendaire,9,1))+1</definedName>
    <definedName name="Sept" localSheetId="0">Septembre!#REF!</definedName>
    <definedName name="Sept" localSheetId="1">Septembre!#REF!</definedName>
    <definedName name="Sept">Septembre!#REF!</definedName>
    <definedName name="Table_Dates_Importantes" localSheetId="9">Août!#REF!</definedName>
    <definedName name="Table_Dates_Importantes" localSheetId="5">Avril!#REF!</definedName>
    <definedName name="Table_Dates_Importantes" localSheetId="0">Janvier!#REF!</definedName>
    <definedName name="Table_Dates_Importantes" localSheetId="13">Décembre!#REF!</definedName>
    <definedName name="Table_Dates_Importantes" localSheetId="3">Février!#REF!</definedName>
    <definedName name="Table_Dates_Importantes" localSheetId="1">Janvier!#REF!</definedName>
    <definedName name="Table_Dates_Importantes" localSheetId="8">Juillet!#REF!</definedName>
    <definedName name="Table_Dates_Importantes" localSheetId="7">Juin!#REF!</definedName>
    <definedName name="Table_Dates_Importantes" localSheetId="6">Mai!#REF!</definedName>
    <definedName name="Table_Dates_Importantes" localSheetId="4">Mars!#REF!</definedName>
    <definedName name="Table_Dates_Importantes" localSheetId="12">Novembre!#REF!</definedName>
    <definedName name="Table_Dates_Importantes" localSheetId="11">Octobre!#REF!</definedName>
    <definedName name="Table_Dates_Importantes" localSheetId="10">Septembre!#REF!</definedName>
    <definedName name="Table_Dates_Importantes">Janvier!#REF!</definedName>
    <definedName name="y">[1]Janvier!$D$1</definedName>
    <definedName name="_xlnm.Print_Area" localSheetId="9">Août!$A$1:$I$9</definedName>
    <definedName name="_xlnm.Print_Area" localSheetId="5">Avril!$A$1:$I$9</definedName>
    <definedName name="_xlnm.Print_Area" localSheetId="0">Calendrier!$A$1:$AA$19</definedName>
    <definedName name="_xlnm.Print_Area" localSheetId="13">Décembre!$A$1:$I$9</definedName>
    <definedName name="_xlnm.Print_Area" localSheetId="3">Février!$A$1:$I$9</definedName>
    <definedName name="_xlnm.Print_Area" localSheetId="1">'Heures bases Elodie'!$A$1:$AB$19</definedName>
    <definedName name="_xlnm.Print_Area" localSheetId="2">Janvier!$A$1:$I$11</definedName>
    <definedName name="_xlnm.Print_Area" localSheetId="8">Juillet!$A$1:$I$9</definedName>
    <definedName name="_xlnm.Print_Area" localSheetId="7">Juin!$A$1:$I$9</definedName>
    <definedName name="_xlnm.Print_Area" localSheetId="6">Mai!$A$1:$I$9</definedName>
    <definedName name="_xlnm.Print_Area" localSheetId="4">Mars!$A$1:$I$9</definedName>
    <definedName name="_xlnm.Print_Area" localSheetId="12">Novembre!$A$1:$I$9</definedName>
    <definedName name="_xlnm.Print_Area" localSheetId="11">Octobre!$A$1:$I$9</definedName>
    <definedName name="_xlnm.Print_Area" localSheetId="10">Septembre!$A$1:$I$9</definedName>
  </definedNames>
  <calcPr calcId="152511"/>
</workbook>
</file>

<file path=xl/calcChain.xml><?xml version="1.0" encoding="utf-8"?>
<calcChain xmlns="http://schemas.openxmlformats.org/spreadsheetml/2006/main">
  <c r="I6" i="175" l="1"/>
  <c r="I5" i="175"/>
  <c r="J7" i="175" l="1"/>
  <c r="J5" i="175"/>
  <c r="J37" i="175"/>
  <c r="J36" i="175"/>
  <c r="J35" i="175"/>
  <c r="J34" i="175"/>
  <c r="J33" i="175"/>
  <c r="J32" i="175"/>
  <c r="J28" i="175"/>
  <c r="J27" i="175"/>
  <c r="J26" i="175"/>
  <c r="J25" i="175"/>
  <c r="J24" i="175"/>
  <c r="J23" i="175"/>
  <c r="J19" i="175"/>
  <c r="J18" i="175"/>
  <c r="J17" i="175"/>
  <c r="J16" i="175"/>
  <c r="J15" i="175"/>
  <c r="J14" i="175"/>
  <c r="J10" i="175"/>
  <c r="J9" i="175"/>
  <c r="J8" i="175"/>
  <c r="J6" i="175"/>
  <c r="G10" i="175"/>
  <c r="F10" i="175"/>
  <c r="E10" i="175"/>
  <c r="D10" i="175"/>
  <c r="C10" i="175"/>
  <c r="B10" i="175"/>
  <c r="A10" i="175"/>
  <c r="G9" i="175"/>
  <c r="F9" i="175"/>
  <c r="E9" i="175"/>
  <c r="D9" i="175"/>
  <c r="C9" i="175"/>
  <c r="B9" i="175"/>
  <c r="A9" i="175"/>
  <c r="G8" i="175"/>
  <c r="F8" i="175"/>
  <c r="E8" i="175"/>
  <c r="D8" i="175"/>
  <c r="C8" i="175"/>
  <c r="B8" i="175"/>
  <c r="A8" i="175"/>
  <c r="G7" i="175"/>
  <c r="F7" i="175"/>
  <c r="E7" i="175"/>
  <c r="D7" i="175"/>
  <c r="C7" i="175"/>
  <c r="B7" i="175"/>
  <c r="A7" i="175"/>
  <c r="G6" i="175"/>
  <c r="F6" i="175"/>
  <c r="E6" i="175"/>
  <c r="D6" i="175"/>
  <c r="C6" i="175"/>
  <c r="B6" i="175"/>
  <c r="A6" i="175"/>
  <c r="G5" i="175"/>
  <c r="F5" i="175"/>
  <c r="E5" i="175"/>
  <c r="D5" i="175"/>
  <c r="C5" i="175"/>
  <c r="B5" i="175"/>
  <c r="A5" i="175"/>
  <c r="O1" i="175"/>
  <c r="C1" i="175"/>
  <c r="G10" i="174"/>
  <c r="F10" i="174"/>
  <c r="E10" i="174"/>
  <c r="D10" i="174"/>
  <c r="C10" i="174"/>
  <c r="B10" i="174"/>
  <c r="A10" i="174"/>
  <c r="G9" i="174"/>
  <c r="F9" i="174"/>
  <c r="E9" i="174"/>
  <c r="D9" i="174"/>
  <c r="C9" i="174"/>
  <c r="B9" i="174"/>
  <c r="A9" i="174"/>
  <c r="G8" i="174"/>
  <c r="F8" i="174"/>
  <c r="E8" i="174"/>
  <c r="D8" i="174"/>
  <c r="C8" i="174"/>
  <c r="B8" i="174"/>
  <c r="A8" i="174"/>
  <c r="G7" i="174"/>
  <c r="F7" i="174"/>
  <c r="E7" i="174"/>
  <c r="D7" i="174"/>
  <c r="C7" i="174"/>
  <c r="B7" i="174"/>
  <c r="A7" i="174"/>
  <c r="G6" i="174"/>
  <c r="F6" i="174"/>
  <c r="E6" i="174"/>
  <c r="D6" i="174"/>
  <c r="C6" i="174"/>
  <c r="B6" i="174"/>
  <c r="A6" i="174"/>
  <c r="G5" i="174"/>
  <c r="F5" i="174"/>
  <c r="E5" i="174"/>
  <c r="D5" i="174"/>
  <c r="C5" i="174"/>
  <c r="B5" i="174"/>
  <c r="A5" i="174"/>
  <c r="N1" i="174"/>
  <c r="C1" i="174"/>
  <c r="I1" i="16" l="1"/>
  <c r="I1" i="15"/>
  <c r="I1" i="14"/>
  <c r="I1" i="13"/>
  <c r="I1" i="12"/>
  <c r="I1" i="11"/>
  <c r="I1" i="10"/>
  <c r="I1" i="9"/>
  <c r="I1" i="8"/>
  <c r="I1" i="7"/>
  <c r="I1" i="6"/>
  <c r="B3" i="16"/>
  <c r="C3" i="16"/>
  <c r="D3" i="16"/>
  <c r="E3" i="16"/>
  <c r="F3" i="16"/>
  <c r="G3" i="16"/>
  <c r="H3" i="16"/>
  <c r="B3" i="15"/>
  <c r="C3" i="15"/>
  <c r="D3" i="15"/>
  <c r="E3" i="15"/>
  <c r="F3" i="15"/>
  <c r="G3" i="15"/>
  <c r="H3" i="15"/>
  <c r="B3" i="14"/>
  <c r="C3" i="14"/>
  <c r="D3" i="14"/>
  <c r="E3" i="14"/>
  <c r="F3" i="14"/>
  <c r="G3" i="14"/>
  <c r="H3" i="14"/>
  <c r="B3" i="13"/>
  <c r="C3" i="13"/>
  <c r="D3" i="13"/>
  <c r="E3" i="13"/>
  <c r="F3" i="13"/>
  <c r="G3" i="13"/>
  <c r="H3" i="13"/>
  <c r="B3" i="12"/>
  <c r="C3" i="12"/>
  <c r="D3" i="12"/>
  <c r="E3" i="12"/>
  <c r="F3" i="12"/>
  <c r="G3" i="12"/>
  <c r="H3" i="12"/>
  <c r="B3" i="11"/>
  <c r="C3" i="11"/>
  <c r="D3" i="11"/>
  <c r="E3" i="11"/>
  <c r="F3" i="11"/>
  <c r="G3" i="11"/>
  <c r="H3" i="11"/>
  <c r="B3" i="10"/>
  <c r="C3" i="10"/>
  <c r="D3" i="10"/>
  <c r="E3" i="10"/>
  <c r="F3" i="10"/>
  <c r="G3" i="10"/>
  <c r="H3" i="10"/>
  <c r="B3" i="9"/>
  <c r="C3" i="9"/>
  <c r="D3" i="9"/>
  <c r="E3" i="9"/>
  <c r="F3" i="9"/>
  <c r="G3" i="9"/>
  <c r="H3" i="9"/>
  <c r="B3" i="8"/>
  <c r="C3" i="8"/>
  <c r="D3" i="8"/>
  <c r="E3" i="8"/>
  <c r="F3" i="8"/>
  <c r="G3" i="8"/>
  <c r="H3" i="8"/>
  <c r="B3" i="7"/>
  <c r="C3" i="7"/>
  <c r="D3" i="7"/>
  <c r="E3" i="7"/>
  <c r="F3" i="7"/>
  <c r="G3" i="7"/>
  <c r="H3" i="7"/>
  <c r="V5" i="174" l="1"/>
  <c r="W5" i="175"/>
  <c r="A14" i="174"/>
  <c r="A14" i="175"/>
  <c r="AA14" i="174"/>
  <c r="AB14" i="175"/>
  <c r="U5" i="174"/>
  <c r="V5" i="175"/>
  <c r="Q14" i="174"/>
  <c r="R14" i="175"/>
  <c r="Z14" i="174"/>
  <c r="AA14" i="175"/>
  <c r="X5" i="174"/>
  <c r="Y5" i="175"/>
  <c r="G14" i="174"/>
  <c r="G14" i="175"/>
  <c r="C14" i="174"/>
  <c r="C14" i="175"/>
  <c r="P14" i="174"/>
  <c r="Q14" i="175"/>
  <c r="L14" i="174"/>
  <c r="M14" i="175"/>
  <c r="Y14" i="174"/>
  <c r="Z14" i="175"/>
  <c r="U14" i="174"/>
  <c r="V14" i="175"/>
  <c r="Z5" i="174"/>
  <c r="AA5" i="175"/>
  <c r="E14" i="174"/>
  <c r="E14" i="175"/>
  <c r="N14" i="174"/>
  <c r="O14" i="175"/>
  <c r="W14" i="174"/>
  <c r="X14" i="175"/>
  <c r="Y5" i="174"/>
  <c r="Z5" i="175"/>
  <c r="D14" i="174"/>
  <c r="D14" i="175"/>
  <c r="M14" i="174"/>
  <c r="N14" i="175"/>
  <c r="V14" i="174"/>
  <c r="W14" i="175"/>
  <c r="AA5" i="174"/>
  <c r="AB5" i="175"/>
  <c r="W5" i="174"/>
  <c r="X5" i="175"/>
  <c r="F14" i="174"/>
  <c r="F14" i="175"/>
  <c r="B14" i="174"/>
  <c r="B14" i="175"/>
  <c r="O14" i="174"/>
  <c r="P14" i="175"/>
  <c r="K14" i="174"/>
  <c r="L14" i="175"/>
  <c r="X14" i="174"/>
  <c r="Y14" i="175"/>
  <c r="H8" i="16"/>
  <c r="G8" i="16"/>
  <c r="F8" i="16"/>
  <c r="E8" i="16"/>
  <c r="D8" i="16"/>
  <c r="C8" i="16"/>
  <c r="B8" i="16"/>
  <c r="H7" i="16"/>
  <c r="G7" i="16"/>
  <c r="F7" i="16"/>
  <c r="E7" i="16"/>
  <c r="D7" i="16"/>
  <c r="C7" i="16"/>
  <c r="B7" i="16"/>
  <c r="H6" i="16"/>
  <c r="G6" i="16"/>
  <c r="F6" i="16"/>
  <c r="E6" i="16"/>
  <c r="D6" i="16"/>
  <c r="C6" i="16"/>
  <c r="B6" i="16"/>
  <c r="H5" i="16"/>
  <c r="G5" i="16"/>
  <c r="F5" i="16"/>
  <c r="E5" i="16"/>
  <c r="D5" i="16"/>
  <c r="C5" i="16"/>
  <c r="B5" i="16"/>
  <c r="H4" i="16"/>
  <c r="G4" i="16"/>
  <c r="F4" i="16"/>
  <c r="E4" i="16"/>
  <c r="D4" i="16"/>
  <c r="C4" i="16"/>
  <c r="B4" i="16"/>
  <c r="H8" i="15"/>
  <c r="G8" i="15"/>
  <c r="F8" i="15"/>
  <c r="E8" i="15"/>
  <c r="D8" i="15"/>
  <c r="C8" i="15"/>
  <c r="B8" i="15"/>
  <c r="H7" i="15"/>
  <c r="G7" i="15"/>
  <c r="F7" i="15"/>
  <c r="E7" i="15"/>
  <c r="D7" i="15"/>
  <c r="C7" i="15"/>
  <c r="B7" i="15"/>
  <c r="H6" i="15"/>
  <c r="G6" i="15"/>
  <c r="F6" i="15"/>
  <c r="E6" i="15"/>
  <c r="D6" i="15"/>
  <c r="C6" i="15"/>
  <c r="B6" i="15"/>
  <c r="H5" i="15"/>
  <c r="G5" i="15"/>
  <c r="F5" i="15"/>
  <c r="E5" i="15"/>
  <c r="D5" i="15"/>
  <c r="C5" i="15"/>
  <c r="B5" i="15"/>
  <c r="H4" i="15"/>
  <c r="G4" i="15"/>
  <c r="F4" i="15"/>
  <c r="E4" i="15"/>
  <c r="D4" i="15"/>
  <c r="C4" i="15"/>
  <c r="B4" i="15"/>
  <c r="H8" i="14"/>
  <c r="G8" i="14"/>
  <c r="F8" i="14"/>
  <c r="E8" i="14"/>
  <c r="D8" i="14"/>
  <c r="C8" i="14"/>
  <c r="B8" i="14"/>
  <c r="H7" i="14"/>
  <c r="G7" i="14"/>
  <c r="F7" i="14"/>
  <c r="E7" i="14"/>
  <c r="D7" i="14"/>
  <c r="C7" i="14"/>
  <c r="B7" i="14"/>
  <c r="H6" i="14"/>
  <c r="G6" i="14"/>
  <c r="F6" i="14"/>
  <c r="E6" i="14"/>
  <c r="D6" i="14"/>
  <c r="C6" i="14"/>
  <c r="B6" i="14"/>
  <c r="H5" i="14"/>
  <c r="G5" i="14"/>
  <c r="F5" i="14"/>
  <c r="E5" i="14"/>
  <c r="D5" i="14"/>
  <c r="C5" i="14"/>
  <c r="B5" i="14"/>
  <c r="H4" i="14"/>
  <c r="G4" i="14"/>
  <c r="F4" i="14"/>
  <c r="E4" i="14"/>
  <c r="D4" i="14"/>
  <c r="C4" i="14"/>
  <c r="B4" i="14"/>
  <c r="H8" i="13"/>
  <c r="G8" i="13"/>
  <c r="F8" i="13"/>
  <c r="E8" i="13"/>
  <c r="D8" i="13"/>
  <c r="C8" i="13"/>
  <c r="B8" i="13"/>
  <c r="H7" i="13"/>
  <c r="G7" i="13"/>
  <c r="F7" i="13"/>
  <c r="E7" i="13"/>
  <c r="D7" i="13"/>
  <c r="C7" i="13"/>
  <c r="B7" i="13"/>
  <c r="H6" i="13"/>
  <c r="G6" i="13"/>
  <c r="F6" i="13"/>
  <c r="E6" i="13"/>
  <c r="D6" i="13"/>
  <c r="C6" i="13"/>
  <c r="B6" i="13"/>
  <c r="H5" i="13"/>
  <c r="G5" i="13"/>
  <c r="F5" i="13"/>
  <c r="E5" i="13"/>
  <c r="D5" i="13"/>
  <c r="C5" i="13"/>
  <c r="B5" i="13"/>
  <c r="H4" i="13"/>
  <c r="G4" i="13"/>
  <c r="F4" i="13"/>
  <c r="E4" i="13"/>
  <c r="D4" i="13"/>
  <c r="C4" i="13"/>
  <c r="B4" i="13"/>
  <c r="H8" i="12"/>
  <c r="G8" i="12"/>
  <c r="F8" i="12"/>
  <c r="E8" i="12"/>
  <c r="D8" i="12"/>
  <c r="C8" i="12"/>
  <c r="B8" i="12"/>
  <c r="H7" i="12"/>
  <c r="G7" i="12"/>
  <c r="F7" i="12"/>
  <c r="E7" i="12"/>
  <c r="D7" i="12"/>
  <c r="C7" i="12"/>
  <c r="B7" i="12"/>
  <c r="H6" i="12"/>
  <c r="G6" i="12"/>
  <c r="F6" i="12"/>
  <c r="E6" i="12"/>
  <c r="D6" i="12"/>
  <c r="C6" i="12"/>
  <c r="B6" i="12"/>
  <c r="H5" i="12"/>
  <c r="G5" i="12"/>
  <c r="F5" i="12"/>
  <c r="E5" i="12"/>
  <c r="D5" i="12"/>
  <c r="C5" i="12"/>
  <c r="B5" i="12"/>
  <c r="H4" i="12"/>
  <c r="G4" i="12"/>
  <c r="F4" i="12"/>
  <c r="E4" i="12"/>
  <c r="D4" i="12"/>
  <c r="C4" i="12"/>
  <c r="B4" i="12"/>
  <c r="H8" i="11"/>
  <c r="G8" i="11"/>
  <c r="F8" i="11"/>
  <c r="E8" i="11"/>
  <c r="D8" i="11"/>
  <c r="C8" i="11"/>
  <c r="B8" i="11"/>
  <c r="H7" i="11"/>
  <c r="G7" i="11"/>
  <c r="F7" i="11"/>
  <c r="E7" i="11"/>
  <c r="D7" i="11"/>
  <c r="C7" i="11"/>
  <c r="B7" i="11"/>
  <c r="H6" i="11"/>
  <c r="G6" i="11"/>
  <c r="F6" i="11"/>
  <c r="E6" i="11"/>
  <c r="D6" i="11"/>
  <c r="C6" i="11"/>
  <c r="B6" i="11"/>
  <c r="H5" i="11"/>
  <c r="G5" i="11"/>
  <c r="F5" i="11"/>
  <c r="E5" i="11"/>
  <c r="D5" i="11"/>
  <c r="C5" i="11"/>
  <c r="B5" i="11"/>
  <c r="H4" i="11"/>
  <c r="G4" i="11"/>
  <c r="F4" i="11"/>
  <c r="E4" i="11"/>
  <c r="D4" i="11"/>
  <c r="C4" i="11"/>
  <c r="B4" i="11"/>
  <c r="H8" i="10"/>
  <c r="G8" i="10"/>
  <c r="F8" i="10"/>
  <c r="E8" i="10"/>
  <c r="D8" i="10"/>
  <c r="C8" i="10"/>
  <c r="B8" i="10"/>
  <c r="H7" i="10"/>
  <c r="G7" i="10"/>
  <c r="F7" i="10"/>
  <c r="E7" i="10"/>
  <c r="D7" i="10"/>
  <c r="C7" i="10"/>
  <c r="B7" i="10"/>
  <c r="H6" i="10"/>
  <c r="G6" i="10"/>
  <c r="F6" i="10"/>
  <c r="E6" i="10"/>
  <c r="D6" i="10"/>
  <c r="C6" i="10"/>
  <c r="B6" i="10"/>
  <c r="H5" i="10"/>
  <c r="G5" i="10"/>
  <c r="F5" i="10"/>
  <c r="E5" i="10"/>
  <c r="D5" i="10"/>
  <c r="C5" i="10"/>
  <c r="B5" i="10"/>
  <c r="H4" i="10"/>
  <c r="G4" i="10"/>
  <c r="F4" i="10"/>
  <c r="E4" i="10"/>
  <c r="D4" i="10"/>
  <c r="C4" i="10"/>
  <c r="B4" i="10"/>
  <c r="H8" i="9"/>
  <c r="G8" i="9"/>
  <c r="F8" i="9"/>
  <c r="E8" i="9"/>
  <c r="D8" i="9"/>
  <c r="C8" i="9"/>
  <c r="B8" i="9"/>
  <c r="H7" i="9"/>
  <c r="G7" i="9"/>
  <c r="F7" i="9"/>
  <c r="E7" i="9"/>
  <c r="D7" i="9"/>
  <c r="C7" i="9"/>
  <c r="B7" i="9"/>
  <c r="H6" i="9"/>
  <c r="G6" i="9"/>
  <c r="F6" i="9"/>
  <c r="E6" i="9"/>
  <c r="D6" i="9"/>
  <c r="C6" i="9"/>
  <c r="B6" i="9"/>
  <c r="H5" i="9"/>
  <c r="G5" i="9"/>
  <c r="F5" i="9"/>
  <c r="E5" i="9"/>
  <c r="D5" i="9"/>
  <c r="C5" i="9"/>
  <c r="B5" i="9"/>
  <c r="H4" i="9"/>
  <c r="G4" i="9"/>
  <c r="F4" i="9"/>
  <c r="E4" i="9"/>
  <c r="D4" i="9"/>
  <c r="C4" i="9"/>
  <c r="B4" i="9"/>
  <c r="H8" i="8"/>
  <c r="G8" i="8"/>
  <c r="F8" i="8"/>
  <c r="E8" i="8"/>
  <c r="D8" i="8"/>
  <c r="C8" i="8"/>
  <c r="B8" i="8"/>
  <c r="H7" i="8"/>
  <c r="G7" i="8"/>
  <c r="F7" i="8"/>
  <c r="E7" i="8"/>
  <c r="D7" i="8"/>
  <c r="C7" i="8"/>
  <c r="B7" i="8"/>
  <c r="H6" i="8"/>
  <c r="G6" i="8"/>
  <c r="F6" i="8"/>
  <c r="E6" i="8"/>
  <c r="D6" i="8"/>
  <c r="C6" i="8"/>
  <c r="B6" i="8"/>
  <c r="H5" i="8"/>
  <c r="G5" i="8"/>
  <c r="F5" i="8"/>
  <c r="E5" i="8"/>
  <c r="D5" i="8"/>
  <c r="C5" i="8"/>
  <c r="B5" i="8"/>
  <c r="H4" i="8"/>
  <c r="G4" i="8"/>
  <c r="F4" i="8"/>
  <c r="E4" i="8"/>
  <c r="D4" i="8"/>
  <c r="C4" i="8"/>
  <c r="B4" i="8"/>
  <c r="H8" i="7"/>
  <c r="G8" i="7"/>
  <c r="F8" i="7"/>
  <c r="E8" i="7"/>
  <c r="D8" i="7"/>
  <c r="C8" i="7"/>
  <c r="B8" i="7"/>
  <c r="H7" i="7"/>
  <c r="G7" i="7"/>
  <c r="F7" i="7"/>
  <c r="E7" i="7"/>
  <c r="D7" i="7"/>
  <c r="C7" i="7"/>
  <c r="B7" i="7"/>
  <c r="H6" i="7"/>
  <c r="G6" i="7"/>
  <c r="F6" i="7"/>
  <c r="E6" i="7"/>
  <c r="D6" i="7"/>
  <c r="C6" i="7"/>
  <c r="B6" i="7"/>
  <c r="H5" i="7"/>
  <c r="G5" i="7"/>
  <c r="F5" i="7"/>
  <c r="E5" i="7"/>
  <c r="D5" i="7"/>
  <c r="C5" i="7"/>
  <c r="B5" i="7"/>
  <c r="H4" i="7"/>
  <c r="G4" i="7"/>
  <c r="F4" i="7"/>
  <c r="E4" i="7"/>
  <c r="D4" i="7"/>
  <c r="C4" i="7"/>
  <c r="B4" i="7"/>
  <c r="H8" i="6"/>
  <c r="G8" i="6"/>
  <c r="F8" i="6"/>
  <c r="E8" i="6"/>
  <c r="D8" i="6"/>
  <c r="C8" i="6"/>
  <c r="B8" i="6"/>
  <c r="H7" i="6"/>
  <c r="G7" i="6"/>
  <c r="F7" i="6"/>
  <c r="E7" i="6"/>
  <c r="D7" i="6"/>
  <c r="C7" i="6"/>
  <c r="B7" i="6"/>
  <c r="H6" i="6"/>
  <c r="G6" i="6"/>
  <c r="F6" i="6"/>
  <c r="E6" i="6"/>
  <c r="D6" i="6"/>
  <c r="C6" i="6"/>
  <c r="B6" i="6"/>
  <c r="H5" i="6"/>
  <c r="G5" i="6"/>
  <c r="F5" i="6"/>
  <c r="E5" i="6"/>
  <c r="D5" i="6"/>
  <c r="C5" i="6"/>
  <c r="B5" i="6"/>
  <c r="H4" i="6"/>
  <c r="G4" i="6"/>
  <c r="F4" i="6"/>
  <c r="E4" i="6"/>
  <c r="D4" i="6"/>
  <c r="C4" i="6"/>
  <c r="B4" i="6"/>
  <c r="H3" i="6"/>
  <c r="G3" i="6"/>
  <c r="F3" i="6"/>
  <c r="E3" i="6"/>
  <c r="D3" i="6"/>
  <c r="C3" i="6"/>
  <c r="B3" i="6"/>
  <c r="H8" i="1"/>
  <c r="G8" i="1"/>
  <c r="F8" i="1"/>
  <c r="E8" i="1"/>
  <c r="D8" i="1"/>
  <c r="C8" i="1"/>
  <c r="B8" i="1"/>
  <c r="H7" i="1"/>
  <c r="G7" i="1"/>
  <c r="F7" i="1"/>
  <c r="E7" i="1"/>
  <c r="D7" i="1"/>
  <c r="C7" i="1"/>
  <c r="B7" i="1"/>
  <c r="H6" i="1"/>
  <c r="G6" i="1"/>
  <c r="F6" i="1"/>
  <c r="E6" i="1"/>
  <c r="D6" i="1"/>
  <c r="C6" i="1"/>
  <c r="B6" i="1"/>
  <c r="H5" i="1"/>
  <c r="G5" i="1"/>
  <c r="F5" i="1"/>
  <c r="E5" i="1"/>
  <c r="D5" i="1"/>
  <c r="C5" i="1"/>
  <c r="B5" i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  <c r="Q5" i="174" l="1"/>
  <c r="R5" i="175"/>
  <c r="N6" i="174"/>
  <c r="O6" i="175"/>
  <c r="O7" i="174"/>
  <c r="P7" i="175"/>
  <c r="P8" i="174"/>
  <c r="Q8" i="175"/>
  <c r="Q9" i="174"/>
  <c r="R9" i="175"/>
  <c r="Y6" i="174"/>
  <c r="Z6" i="175"/>
  <c r="Z7" i="174"/>
  <c r="AA7" i="175"/>
  <c r="AA8" i="174"/>
  <c r="AB8" i="175"/>
  <c r="U10" i="174"/>
  <c r="V10" i="175"/>
  <c r="Y10" i="174"/>
  <c r="Z10" i="175"/>
  <c r="F15" i="174"/>
  <c r="F15" i="175"/>
  <c r="G16" i="174"/>
  <c r="G16" i="175"/>
  <c r="A18" i="174"/>
  <c r="A18" i="175"/>
  <c r="B19" i="174"/>
  <c r="B19" i="175"/>
  <c r="F19" i="174"/>
  <c r="F19" i="175"/>
  <c r="Q15" i="174"/>
  <c r="R15" i="175"/>
  <c r="K17" i="174"/>
  <c r="L17" i="175"/>
  <c r="L18" i="174"/>
  <c r="M18" i="175"/>
  <c r="M19" i="174"/>
  <c r="N19" i="175"/>
  <c r="Q19" i="174"/>
  <c r="R19" i="175"/>
  <c r="U16" i="174"/>
  <c r="V16" i="175"/>
  <c r="V17" i="174"/>
  <c r="W17" i="175"/>
  <c r="W18" i="174"/>
  <c r="X18" i="175"/>
  <c r="AA18" i="174"/>
  <c r="AB18" i="175"/>
  <c r="K6" i="174"/>
  <c r="L6" i="175"/>
  <c r="L7" i="174"/>
  <c r="M7" i="175"/>
  <c r="P7" i="174"/>
  <c r="Q7" i="175"/>
  <c r="Q8" i="174"/>
  <c r="R8" i="175"/>
  <c r="V6" i="174"/>
  <c r="W6" i="175"/>
  <c r="W7" i="174"/>
  <c r="X7" i="175"/>
  <c r="AA7" i="174"/>
  <c r="AB7" i="175"/>
  <c r="U9" i="174"/>
  <c r="V9" i="175"/>
  <c r="V10" i="174"/>
  <c r="W10" i="175"/>
  <c r="C15" i="174"/>
  <c r="C15" i="175"/>
  <c r="D16" i="174"/>
  <c r="D16" i="175"/>
  <c r="A17" i="174"/>
  <c r="A17" i="175"/>
  <c r="B18" i="174"/>
  <c r="B18" i="175"/>
  <c r="C19" i="174"/>
  <c r="C19" i="175"/>
  <c r="N15" i="174"/>
  <c r="O15" i="175"/>
  <c r="O16" i="174"/>
  <c r="P16" i="175"/>
  <c r="L17" i="174"/>
  <c r="M17" i="175"/>
  <c r="M18" i="174"/>
  <c r="N18" i="175"/>
  <c r="N19" i="174"/>
  <c r="O19" i="175"/>
  <c r="Y15" i="174"/>
  <c r="Z15" i="175"/>
  <c r="Z16" i="174"/>
  <c r="AA16" i="175"/>
  <c r="W17" i="174"/>
  <c r="X17" i="175"/>
  <c r="X18" i="174"/>
  <c r="Y18" i="175"/>
  <c r="Y19" i="174"/>
  <c r="Z19" i="175"/>
  <c r="K5" i="174"/>
  <c r="L5" i="175"/>
  <c r="O5" i="174"/>
  <c r="P5" i="175"/>
  <c r="L6" i="174"/>
  <c r="M6" i="175"/>
  <c r="P6" i="174"/>
  <c r="Q6" i="175"/>
  <c r="M7" i="174"/>
  <c r="N7" i="175"/>
  <c r="Q7" i="174"/>
  <c r="R7" i="175"/>
  <c r="N8" i="174"/>
  <c r="O8" i="175"/>
  <c r="K9" i="174"/>
  <c r="L9" i="175"/>
  <c r="O9" i="174"/>
  <c r="P9" i="175"/>
  <c r="W6" i="174"/>
  <c r="X6" i="175"/>
  <c r="AA6" i="174"/>
  <c r="AB6" i="175"/>
  <c r="X7" i="174"/>
  <c r="Y7" i="175"/>
  <c r="U8" i="174"/>
  <c r="V8" i="175"/>
  <c r="Y8" i="174"/>
  <c r="Z8" i="175"/>
  <c r="V9" i="174"/>
  <c r="W9" i="175"/>
  <c r="Z9" i="174"/>
  <c r="AA9" i="175"/>
  <c r="W10" i="174"/>
  <c r="X10" i="175"/>
  <c r="AA10" i="174"/>
  <c r="AB10" i="175"/>
  <c r="D15" i="174"/>
  <c r="D15" i="175"/>
  <c r="A16" i="174"/>
  <c r="A16" i="175"/>
  <c r="E16" i="174"/>
  <c r="E16" i="175"/>
  <c r="B17" i="174"/>
  <c r="B17" i="175"/>
  <c r="F17" i="174"/>
  <c r="F17" i="175"/>
  <c r="C18" i="174"/>
  <c r="C18" i="175"/>
  <c r="G18" i="174"/>
  <c r="G18" i="175"/>
  <c r="D19" i="174"/>
  <c r="D19" i="175"/>
  <c r="K15" i="174"/>
  <c r="L15" i="175"/>
  <c r="O15" i="174"/>
  <c r="P15" i="175"/>
  <c r="L16" i="174"/>
  <c r="M16" i="175"/>
  <c r="P16" i="174"/>
  <c r="Q16" i="175"/>
  <c r="M17" i="174"/>
  <c r="N17" i="175"/>
  <c r="Q17" i="174"/>
  <c r="R17" i="175"/>
  <c r="N18" i="174"/>
  <c r="O18" i="175"/>
  <c r="K19" i="174"/>
  <c r="L19" i="175"/>
  <c r="O19" i="174"/>
  <c r="P19" i="175"/>
  <c r="V15" i="174"/>
  <c r="W15" i="175"/>
  <c r="Z15" i="174"/>
  <c r="AA15" i="175"/>
  <c r="W16" i="174"/>
  <c r="X16" i="175"/>
  <c r="AA16" i="174"/>
  <c r="AB16" i="175"/>
  <c r="X17" i="174"/>
  <c r="Y17" i="175"/>
  <c r="U18" i="174"/>
  <c r="V18" i="175"/>
  <c r="Y18" i="174"/>
  <c r="Z18" i="175"/>
  <c r="V19" i="174"/>
  <c r="W19" i="175"/>
  <c r="Z19" i="174"/>
  <c r="AA19" i="175"/>
  <c r="M5" i="174"/>
  <c r="N5" i="175"/>
  <c r="K7" i="174"/>
  <c r="L7" i="175"/>
  <c r="L8" i="174"/>
  <c r="M8" i="175"/>
  <c r="M9" i="174"/>
  <c r="N9" i="175"/>
  <c r="U6" i="174"/>
  <c r="V6" i="175"/>
  <c r="V7" i="174"/>
  <c r="W7" i="175"/>
  <c r="W8" i="174"/>
  <c r="X8" i="175"/>
  <c r="X9" i="174"/>
  <c r="Y9" i="175"/>
  <c r="B15" i="174"/>
  <c r="B15" i="175"/>
  <c r="C16" i="174"/>
  <c r="C16" i="175"/>
  <c r="D17" i="174"/>
  <c r="D17" i="175"/>
  <c r="E18" i="174"/>
  <c r="E18" i="175"/>
  <c r="M15" i="174"/>
  <c r="N15" i="175"/>
  <c r="N16" i="174"/>
  <c r="O16" i="175"/>
  <c r="O17" i="174"/>
  <c r="P17" i="175"/>
  <c r="P18" i="174"/>
  <c r="Q18" i="175"/>
  <c r="X15" i="174"/>
  <c r="Y15" i="175"/>
  <c r="Y16" i="174"/>
  <c r="Z16" i="175"/>
  <c r="Z17" i="174"/>
  <c r="AA17" i="175"/>
  <c r="X19" i="174"/>
  <c r="Y19" i="175"/>
  <c r="N5" i="174"/>
  <c r="O5" i="175"/>
  <c r="O6" i="174"/>
  <c r="P6" i="175"/>
  <c r="M8" i="174"/>
  <c r="N8" i="175"/>
  <c r="N9" i="174"/>
  <c r="O9" i="175"/>
  <c r="Z6" i="174"/>
  <c r="AA6" i="175"/>
  <c r="X8" i="174"/>
  <c r="Y8" i="175"/>
  <c r="Y9" i="174"/>
  <c r="Z9" i="175"/>
  <c r="Z10" i="174"/>
  <c r="AA10" i="175"/>
  <c r="G15" i="174"/>
  <c r="G15" i="175"/>
  <c r="E17" i="174"/>
  <c r="E17" i="175"/>
  <c r="F18" i="174"/>
  <c r="F18" i="175"/>
  <c r="G19" i="174"/>
  <c r="G19" i="175"/>
  <c r="K16" i="174"/>
  <c r="L16" i="175"/>
  <c r="P17" i="174"/>
  <c r="Q17" i="175"/>
  <c r="Q18" i="174"/>
  <c r="R18" i="175"/>
  <c r="U15" i="174"/>
  <c r="V15" i="175"/>
  <c r="V16" i="174"/>
  <c r="W16" i="175"/>
  <c r="AA17" i="174"/>
  <c r="AB17" i="175"/>
  <c r="U19" i="174"/>
  <c r="V19" i="175"/>
  <c r="L5" i="174"/>
  <c r="M5" i="175"/>
  <c r="P5" i="174"/>
  <c r="Q5" i="175"/>
  <c r="M6" i="174"/>
  <c r="N6" i="175"/>
  <c r="Q6" i="174"/>
  <c r="R6" i="175"/>
  <c r="N7" i="174"/>
  <c r="O7" i="175"/>
  <c r="K8" i="174"/>
  <c r="L8" i="175"/>
  <c r="O8" i="174"/>
  <c r="P8" i="175"/>
  <c r="L9" i="174"/>
  <c r="M9" i="175"/>
  <c r="P9" i="174"/>
  <c r="Q9" i="175"/>
  <c r="X6" i="174"/>
  <c r="Y6" i="175"/>
  <c r="U7" i="174"/>
  <c r="V7" i="175"/>
  <c r="Y7" i="174"/>
  <c r="Z7" i="175"/>
  <c r="V8" i="174"/>
  <c r="W8" i="175"/>
  <c r="Z8" i="174"/>
  <c r="AA8" i="175"/>
  <c r="W9" i="174"/>
  <c r="X9" i="175"/>
  <c r="AA9" i="174"/>
  <c r="AB9" i="175"/>
  <c r="X10" i="174"/>
  <c r="Y10" i="175"/>
  <c r="A15" i="174"/>
  <c r="A15" i="175"/>
  <c r="E15" i="174"/>
  <c r="E15" i="175"/>
  <c r="B16" i="174"/>
  <c r="B16" i="175"/>
  <c r="F16" i="174"/>
  <c r="F16" i="175"/>
  <c r="C17" i="174"/>
  <c r="C17" i="175"/>
  <c r="G17" i="174"/>
  <c r="G17" i="175"/>
  <c r="D18" i="174"/>
  <c r="D18" i="175"/>
  <c r="A19" i="174"/>
  <c r="A19" i="175"/>
  <c r="E19" i="174"/>
  <c r="E19" i="175"/>
  <c r="L15" i="174"/>
  <c r="M15" i="175"/>
  <c r="P15" i="174"/>
  <c r="Q15" i="175"/>
  <c r="M16" i="174"/>
  <c r="N16" i="175"/>
  <c r="Q16" i="174"/>
  <c r="R16" i="175"/>
  <c r="N17" i="174"/>
  <c r="O17" i="175"/>
  <c r="K18" i="174"/>
  <c r="L18" i="175"/>
  <c r="O18" i="174"/>
  <c r="P18" i="175"/>
  <c r="L19" i="174"/>
  <c r="M19" i="175"/>
  <c r="P19" i="174"/>
  <c r="Q19" i="175"/>
  <c r="W15" i="174"/>
  <c r="X15" i="175"/>
  <c r="AA15" i="174"/>
  <c r="AB15" i="175"/>
  <c r="X16" i="174"/>
  <c r="Y16" i="175"/>
  <c r="U17" i="174"/>
  <c r="V17" i="175"/>
  <c r="Y17" i="174"/>
  <c r="Z17" i="175"/>
  <c r="V18" i="174"/>
  <c r="W18" i="175"/>
  <c r="Z18" i="174"/>
  <c r="AA18" i="175"/>
  <c r="W19" i="174"/>
  <c r="X19" i="175"/>
  <c r="AA19" i="174"/>
  <c r="AB19" i="175"/>
</calcChain>
</file>

<file path=xl/sharedStrings.xml><?xml version="1.0" encoding="utf-8"?>
<sst xmlns="http://schemas.openxmlformats.org/spreadsheetml/2006/main" count="454" uniqueCount="102">
  <si>
    <t>S</t>
  </si>
  <si>
    <t>M</t>
  </si>
  <si>
    <t>L</t>
  </si>
  <si>
    <t>J</t>
  </si>
  <si>
    <t>V</t>
  </si>
  <si>
    <t>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</si>
  <si>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</si>
  <si>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</si>
  <si>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</si>
  <si>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</si>
  <si>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</si>
  <si>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</si>
  <si>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</si>
  <si>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</si>
  <si>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</si>
  <si>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</si>
  <si>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</si>
  <si>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</si>
  <si>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Aujourd'hui</t>
  </si>
  <si>
    <t>Atteindre</t>
  </si>
  <si>
    <t>S1</t>
  </si>
  <si>
    <t>S5</t>
  </si>
  <si>
    <t>S2</t>
  </si>
  <si>
    <t>S3</t>
  </si>
  <si>
    <t>S4</t>
  </si>
  <si>
    <t>S6</t>
  </si>
  <si>
    <t xml:space="preserve">Année </t>
  </si>
  <si>
    <t>JANV 1</t>
  </si>
  <si>
    <t>JANV 5</t>
  </si>
  <si>
    <t>JANV 2</t>
  </si>
  <si>
    <t>JANV 3</t>
  </si>
  <si>
    <t>JANV 4</t>
  </si>
  <si>
    <t>JANV 6</t>
  </si>
  <si>
    <t>AVRIL 1</t>
  </si>
  <si>
    <t>AVRIL 2</t>
  </si>
  <si>
    <t>AVRIL 3</t>
  </si>
  <si>
    <t>AVRIL 4</t>
  </si>
  <si>
    <t>AVRIL 5</t>
  </si>
  <si>
    <t>AVRIL 6</t>
  </si>
  <si>
    <t>JUIL 1</t>
  </si>
  <si>
    <t>N° Semaine</t>
  </si>
  <si>
    <t>Nb Heures de base</t>
  </si>
  <si>
    <t>JUIL 2</t>
  </si>
  <si>
    <t>JUIL 3</t>
  </si>
  <si>
    <t>JUIL 4</t>
  </si>
  <si>
    <t>JUIL 5</t>
  </si>
  <si>
    <t>JUIL 6</t>
  </si>
  <si>
    <t>OCT 1</t>
  </si>
  <si>
    <t>OCT 5</t>
  </si>
  <si>
    <t>OCT 2</t>
  </si>
  <si>
    <t>OCT 3</t>
  </si>
  <si>
    <t>OCT 4</t>
  </si>
  <si>
    <t>OCT 6</t>
  </si>
  <si>
    <t>FEV 1</t>
  </si>
  <si>
    <t>FEV 2</t>
  </si>
  <si>
    <t>FEV 3</t>
  </si>
  <si>
    <t>FEV 4</t>
  </si>
  <si>
    <t>FEV 5</t>
  </si>
  <si>
    <t>MAI 1</t>
  </si>
  <si>
    <t>MAI 2</t>
  </si>
  <si>
    <t>MAI 3</t>
  </si>
  <si>
    <t>MAI 4</t>
  </si>
  <si>
    <t>MAI 5</t>
  </si>
  <si>
    <t>MAI 6</t>
  </si>
  <si>
    <t>AOUT 1</t>
  </si>
  <si>
    <t>AOUT 2</t>
  </si>
  <si>
    <t>AOUT 3</t>
  </si>
  <si>
    <t>AOUT 4</t>
  </si>
  <si>
    <t>AOUT 5</t>
  </si>
  <si>
    <t>AOUT 6</t>
  </si>
  <si>
    <t>NOV 1</t>
  </si>
  <si>
    <t>NOV 2</t>
  </si>
  <si>
    <t>NOV 3</t>
  </si>
  <si>
    <t>NOV 4</t>
  </si>
  <si>
    <t>NOV 5</t>
  </si>
  <si>
    <t>NOV 6</t>
  </si>
  <si>
    <t>MARS 1</t>
  </si>
  <si>
    <t>MARS 2</t>
  </si>
  <si>
    <t>MARS 3</t>
  </si>
  <si>
    <t>MARS 4</t>
  </si>
  <si>
    <t>MARS 5</t>
  </si>
  <si>
    <t>MARS 6</t>
  </si>
  <si>
    <t>JUIN 1</t>
  </si>
  <si>
    <t>JUIN 2</t>
  </si>
  <si>
    <t>JUIN 3</t>
  </si>
  <si>
    <t>JUIN 4</t>
  </si>
  <si>
    <t>JUIN 5</t>
  </si>
  <si>
    <t>JUIN 6</t>
  </si>
  <si>
    <t>SEPT 1</t>
  </si>
  <si>
    <t>SEPT 2</t>
  </si>
  <si>
    <t>SEPT 3</t>
  </si>
  <si>
    <t>SEPT 4</t>
  </si>
  <si>
    <t>SEPT 5</t>
  </si>
  <si>
    <t>SEPT 6</t>
  </si>
  <si>
    <t>DEC 1</t>
  </si>
  <si>
    <t>DEC 2</t>
  </si>
  <si>
    <t>DEC 3</t>
  </si>
  <si>
    <t>DEC 4</t>
  </si>
  <si>
    <t>DEC 5</t>
  </si>
  <si>
    <t>DEC 6</t>
  </si>
  <si>
    <t>Nb jours ouvrés</t>
  </si>
  <si>
    <t>Nb Jours Semaine Mois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</si>
</sst>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[$-F800]dddd\,\ mmmm\ dd\,\ yyyy"/>
    <numFmt numFmtId="166" formatCode="m"/>
  </numFmts>
  <fonts count="27" x14ac:knownFonts="1">
    <font>
      <sz val="10"/>
      <color theme="1"/>
      <name val="Arial"/>
      <family val="2"/>
      <scheme val="minor"/>
    </font>
    <font>
      <sz val="8"/>
      <name val="Arial"/>
      <family val="2"/>
      <scheme val="minor"/>
    </font>
    <font>
      <b/>
      <sz val="11"/>
      <color theme="0"/>
      <name val="Arial"/>
      <family val="2"/>
      <scheme val="minor"/>
    </font>
    <font>
      <sz val="11"/>
      <name val="Arial"/>
      <family val="2"/>
      <scheme val="minor"/>
    </font>
    <font>
      <sz val="10"/>
      <color indexed="63"/>
      <name val="Arial"/>
      <family val="4"/>
      <scheme val="minor"/>
    </font>
    <font>
      <b/>
      <sz val="28"/>
      <color theme="1" tint="0.34998626667073579"/>
      <name val="Arial"/>
      <family val="2"/>
      <scheme val="minor"/>
    </font>
    <font>
      <sz val="10"/>
      <color theme="1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color theme="1" tint="0.249977111117893"/>
      <name val="Arial"/>
      <family val="2"/>
      <scheme val="minor"/>
    </font>
    <font>
      <b/>
      <sz val="10.5"/>
      <name val="Arial"/>
      <family val="2"/>
      <scheme val="minor"/>
    </font>
    <font>
      <b/>
      <sz val="10.5"/>
      <color theme="1" tint="0.249977111117893"/>
      <name val="Arial"/>
      <family val="2"/>
      <scheme val="minor"/>
    </font>
    <font>
      <b/>
      <sz val="14"/>
      <color theme="0"/>
      <name val="Arial"/>
      <family val="2"/>
      <scheme val="minor"/>
    </font>
    <font>
      <b/>
      <sz val="17"/>
      <color theme="0"/>
      <name val="Arial"/>
      <family val="4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b/>
      <i/>
      <sz val="10"/>
      <color theme="0"/>
      <name val="Arial"/>
      <family val="2"/>
    </font>
    <font>
      <b/>
      <sz val="16"/>
      <color theme="0"/>
      <name val="Arial"/>
      <family val="2"/>
      <scheme val="minor"/>
    </font>
    <font>
      <b/>
      <sz val="12"/>
      <color theme="1" tint="0.249977111117893"/>
      <name val="Arial"/>
      <family val="2"/>
      <scheme val="minor"/>
    </font>
    <font>
      <b/>
      <sz val="11"/>
      <color theme="1"/>
      <name val="Arial"/>
      <family val="2"/>
      <scheme val="major"/>
    </font>
    <font>
      <sz val="12"/>
      <color theme="1"/>
      <name val="Arial"/>
      <family val="2"/>
      <scheme val="minor"/>
    </font>
    <font>
      <b/>
      <sz val="11"/>
      <color theme="1" tint="0.249977111117893"/>
      <name val="Arial"/>
      <family val="2"/>
      <scheme val="minor"/>
    </font>
    <font>
      <b/>
      <sz val="10"/>
      <color rgb="FFFF0000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1"/>
      <name val="Arial"/>
      <family val="2"/>
      <scheme val="minor"/>
    </font>
    <font>
      <b/>
      <sz val="12"/>
      <color theme="1"/>
      <name val="Arial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3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79998168889431442"/>
      </right>
      <top/>
      <bottom/>
      <diagonal/>
    </border>
    <border>
      <left/>
      <right/>
      <top/>
      <bottom style="thin">
        <color theme="4" tint="0.79995117038483843"/>
      </bottom>
      <diagonal/>
    </border>
    <border>
      <left/>
      <right style="thin">
        <color theme="4" tint="0.79992065187536243"/>
      </right>
      <top/>
      <bottom style="thin">
        <color theme="4" tint="0.79995117038483843"/>
      </bottom>
      <diagonal/>
    </border>
    <border>
      <left/>
      <right style="thin">
        <color theme="4" tint="0.79992065187536243"/>
      </right>
      <top/>
      <bottom/>
      <diagonal/>
    </border>
    <border>
      <left/>
      <right style="thin">
        <color theme="4" tint="0.79995117038483843"/>
      </right>
      <top style="thin">
        <color theme="5"/>
      </top>
      <bottom style="thin">
        <color theme="5"/>
      </bottom>
      <diagonal/>
    </border>
    <border>
      <left/>
      <right style="thin">
        <color theme="4" tint="0.79995117038483843"/>
      </right>
      <top style="thin">
        <color theme="5"/>
      </top>
      <bottom style="thin">
        <color theme="4" tint="0.79998168889431442"/>
      </bottom>
      <diagonal/>
    </border>
    <border>
      <left/>
      <right style="thin">
        <color theme="4" tint="0.79989013336588644"/>
      </right>
      <top/>
      <bottom style="thin">
        <color theme="4" tint="0.79989013336588644"/>
      </bottom>
      <diagonal/>
    </border>
    <border>
      <left/>
      <right style="thin">
        <color theme="4" tint="0.79989013336588644"/>
      </right>
      <top style="thin">
        <color theme="4" tint="0.79989013336588644"/>
      </top>
      <bottom/>
      <diagonal/>
    </border>
    <border>
      <left/>
      <right style="thin">
        <color theme="4" tint="0.79995117038483843"/>
      </right>
      <top style="thin">
        <color theme="4" tint="0.79989013336588644"/>
      </top>
      <bottom style="thin">
        <color theme="5"/>
      </bottom>
      <diagonal/>
    </border>
    <border>
      <left/>
      <right style="thin">
        <color theme="4" tint="0.79992065187536243"/>
      </right>
      <top style="thin">
        <color theme="4" tint="0.79995117038483843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theme="4" tint="0.79995117038483843"/>
      </top>
      <bottom style="thick">
        <color auto="1"/>
      </bottom>
      <diagonal/>
    </border>
    <border>
      <left style="thick">
        <color theme="1" tint="0.24994659260841701"/>
      </left>
      <right/>
      <top/>
      <bottom/>
      <diagonal/>
    </border>
    <border>
      <left/>
      <right style="thick">
        <color theme="1" tint="0.2499465926084170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4" fillId="0" borderId="0"/>
    <xf numFmtId="0" fontId="14" fillId="0" borderId="0"/>
  </cellStyleXfs>
  <cellXfs count="115">
    <xf numFmtId="0" fontId="0" fillId="0" borderId="0" xfId="0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Font="1" applyBorder="1" applyProtection="1">
      <protection locked="0"/>
    </xf>
    <xf numFmtId="0" fontId="6" fillId="5" borderId="12" xfId="0" applyFont="1" applyFill="1" applyBorder="1" applyAlignment="1" applyProtection="1">
      <alignment horizontal="center" vertical="center"/>
      <protection locked="0"/>
    </xf>
    <xf numFmtId="0" fontId="6" fillId="5" borderId="13" xfId="0" applyFont="1" applyFill="1" applyBorder="1" applyAlignment="1" applyProtection="1">
      <alignment horizontal="center" vertical="center"/>
      <protection locked="0"/>
    </xf>
    <xf numFmtId="0" fontId="6" fillId="4" borderId="13" xfId="0" applyFont="1" applyFill="1" applyBorder="1" applyAlignment="1" applyProtection="1">
      <alignment horizontal="center" vertical="center"/>
      <protection locked="0"/>
    </xf>
    <xf numFmtId="0" fontId="6" fillId="4" borderId="14" xfId="0" applyFont="1" applyFill="1" applyBorder="1" applyAlignment="1" applyProtection="1">
      <alignment horizontal="center" vertical="center"/>
      <protection locked="0"/>
    </xf>
    <xf numFmtId="0" fontId="0" fillId="0" borderId="5" xfId="0" applyFont="1" applyBorder="1" applyProtection="1">
      <protection locked="0"/>
    </xf>
    <xf numFmtId="164" fontId="9" fillId="6" borderId="18" xfId="0" applyNumberFormat="1" applyFont="1" applyFill="1" applyBorder="1" applyAlignment="1" applyProtection="1">
      <alignment horizontal="left" vertical="center" wrapText="1" indent="1"/>
      <protection locked="0"/>
    </xf>
    <xf numFmtId="164" fontId="9" fillId="6" borderId="19" xfId="0" applyNumberFormat="1" applyFont="1" applyFill="1" applyBorder="1" applyAlignment="1" applyProtection="1">
      <alignment horizontal="left" vertical="center" wrapText="1" indent="1"/>
      <protection locked="0"/>
    </xf>
    <xf numFmtId="164" fontId="9" fillId="6" borderId="20" xfId="0" applyNumberFormat="1" applyFont="1" applyFill="1" applyBorder="1" applyAlignment="1" applyProtection="1">
      <alignment horizontal="left" vertical="center" wrapText="1" indent="1"/>
      <protection locked="0"/>
    </xf>
    <xf numFmtId="0" fontId="0" fillId="0" borderId="4" xfId="0" applyFont="1" applyBorder="1" applyProtection="1">
      <protection locked="0"/>
    </xf>
    <xf numFmtId="164" fontId="10" fillId="6" borderId="15" xfId="0" applyNumberFormat="1" applyFont="1" applyFill="1" applyBorder="1" applyAlignment="1" applyProtection="1">
      <alignment horizontal="center" vertical="center" wrapText="1"/>
      <protection hidden="1"/>
    </xf>
    <xf numFmtId="164" fontId="10" fillId="6" borderId="16" xfId="0" applyNumberFormat="1" applyFont="1" applyFill="1" applyBorder="1" applyAlignment="1" applyProtection="1">
      <alignment horizontal="center" vertical="center" wrapText="1"/>
      <protection hidden="1"/>
    </xf>
    <xf numFmtId="164" fontId="10" fillId="6" borderId="1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" xfId="0" applyFont="1" applyBorder="1" applyProtection="1">
      <protection locked="0"/>
    </xf>
    <xf numFmtId="0" fontId="0" fillId="0" borderId="11" xfId="0" applyFont="1" applyBorder="1" applyProtection="1">
      <protection locked="0"/>
    </xf>
    <xf numFmtId="0" fontId="8" fillId="0" borderId="10" xfId="0" applyFont="1" applyBorder="1" applyAlignment="1" applyProtection="1">
      <alignment horizontal="left"/>
      <protection locked="0"/>
    </xf>
    <xf numFmtId="0" fontId="8" fillId="0" borderId="6" xfId="0" applyFont="1" applyBorder="1" applyAlignment="1" applyProtection="1">
      <alignment horizontal="left"/>
      <protection locked="0"/>
    </xf>
    <xf numFmtId="0" fontId="8" fillId="0" borderId="7" xfId="0" applyFont="1" applyBorder="1" applyAlignment="1" applyProtection="1">
      <alignment horizontal="left"/>
      <protection locked="0"/>
    </xf>
    <xf numFmtId="164" fontId="9" fillId="0" borderId="3" xfId="0" applyNumberFormat="1" applyFont="1" applyFill="1" applyBorder="1" applyAlignment="1" applyProtection="1">
      <alignment horizontal="left" vertical="center" wrapText="1" indent="1"/>
      <protection locked="0"/>
    </xf>
    <xf numFmtId="164" fontId="10" fillId="6" borderId="18" xfId="0" applyNumberFormat="1" applyFont="1" applyFill="1" applyBorder="1" applyAlignment="1" applyProtection="1">
      <alignment horizontal="center" vertical="center" wrapText="1"/>
      <protection hidden="1"/>
    </xf>
    <xf numFmtId="164" fontId="10" fillId="6" borderId="19" xfId="0" applyNumberFormat="1" applyFont="1" applyFill="1" applyBorder="1" applyAlignment="1" applyProtection="1">
      <alignment horizontal="center" vertical="center" wrapText="1"/>
      <protection hidden="1"/>
    </xf>
    <xf numFmtId="164" fontId="10" fillId="6" borderId="20" xfId="0" applyNumberFormat="1" applyFont="1" applyFill="1" applyBorder="1" applyAlignment="1" applyProtection="1">
      <alignment horizontal="center" vertical="center" wrapText="1"/>
      <protection hidden="1"/>
    </xf>
    <xf numFmtId="0" fontId="6" fillId="5" borderId="15" xfId="0" applyFont="1" applyFill="1" applyBorder="1" applyAlignment="1" applyProtection="1">
      <alignment horizontal="center" vertical="center"/>
      <protection locked="0"/>
    </xf>
    <xf numFmtId="0" fontId="6" fillId="5" borderId="16" xfId="0" applyFont="1" applyFill="1" applyBorder="1" applyAlignment="1" applyProtection="1">
      <alignment horizontal="center" vertical="center"/>
      <protection locked="0"/>
    </xf>
    <xf numFmtId="0" fontId="6" fillId="4" borderId="16" xfId="0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center"/>
      <protection locked="0"/>
    </xf>
    <xf numFmtId="164" fontId="10" fillId="8" borderId="16" xfId="0" applyNumberFormat="1" applyFont="1" applyFill="1" applyBorder="1" applyAlignment="1" applyProtection="1">
      <alignment horizontal="center" vertical="center" wrapText="1"/>
      <protection hidden="1"/>
    </xf>
    <xf numFmtId="0" fontId="6" fillId="5" borderId="32" xfId="0" applyFont="1" applyFill="1" applyBorder="1" applyAlignment="1" applyProtection="1">
      <alignment horizontal="center" vertical="center"/>
      <protection locked="0"/>
    </xf>
    <xf numFmtId="0" fontId="6" fillId="5" borderId="27" xfId="0" applyFont="1" applyFill="1" applyBorder="1" applyAlignment="1" applyProtection="1">
      <alignment horizontal="center" vertical="center"/>
      <protection locked="0"/>
    </xf>
    <xf numFmtId="0" fontId="6" fillId="4" borderId="27" xfId="0" applyFont="1" applyFill="1" applyBorder="1" applyAlignment="1" applyProtection="1">
      <alignment horizontal="center" vertical="center"/>
      <protection locked="0"/>
    </xf>
    <xf numFmtId="0" fontId="6" fillId="4" borderId="33" xfId="0" applyFont="1" applyFill="1" applyBorder="1" applyAlignment="1" applyProtection="1">
      <alignment horizontal="center" vertical="center"/>
      <protection locked="0"/>
    </xf>
    <xf numFmtId="0" fontId="20" fillId="5" borderId="12" xfId="0" applyFont="1" applyFill="1" applyBorder="1" applyAlignment="1" applyProtection="1">
      <alignment horizontal="center" vertical="center"/>
      <protection locked="0"/>
    </xf>
    <xf numFmtId="0" fontId="20" fillId="5" borderId="13" xfId="0" applyFont="1" applyFill="1" applyBorder="1" applyAlignment="1" applyProtection="1">
      <alignment horizontal="center" vertical="center"/>
      <protection locked="0"/>
    </xf>
    <xf numFmtId="0" fontId="20" fillId="4" borderId="13" xfId="0" applyFont="1" applyFill="1" applyBorder="1" applyAlignment="1" applyProtection="1">
      <alignment horizontal="center" vertical="center"/>
      <protection locked="0"/>
    </xf>
    <xf numFmtId="0" fontId="20" fillId="4" borderId="14" xfId="0" applyFont="1" applyFill="1" applyBorder="1" applyAlignment="1" applyProtection="1">
      <alignment horizontal="center" vertical="center"/>
      <protection locked="0"/>
    </xf>
    <xf numFmtId="0" fontId="21" fillId="0" borderId="0" xfId="0" applyFont="1" applyProtection="1">
      <protection locked="0"/>
    </xf>
    <xf numFmtId="0" fontId="0" fillId="0" borderId="35" xfId="0" applyBorder="1" applyProtection="1">
      <protection locked="0"/>
    </xf>
    <xf numFmtId="49" fontId="11" fillId="8" borderId="25" xfId="0" applyNumberFormat="1" applyFont="1" applyFill="1" applyBorder="1" applyAlignment="1" applyProtection="1">
      <alignment horizontal="center" vertical="center"/>
      <protection locked="0"/>
    </xf>
    <xf numFmtId="0" fontId="11" fillId="8" borderId="16" xfId="0" applyFont="1" applyFill="1" applyBorder="1" applyAlignment="1" applyProtection="1">
      <alignment horizontal="center" vertical="center"/>
      <protection locked="0"/>
    </xf>
    <xf numFmtId="0" fontId="0" fillId="0" borderId="24" xfId="0" applyBorder="1" applyProtection="1">
      <protection locked="0"/>
    </xf>
    <xf numFmtId="49" fontId="6" fillId="8" borderId="25" xfId="0" applyNumberFormat="1" applyFont="1" applyFill="1" applyBorder="1" applyAlignment="1" applyProtection="1">
      <alignment horizontal="center" vertical="center"/>
      <protection locked="0"/>
    </xf>
    <xf numFmtId="0" fontId="6" fillId="8" borderId="16" xfId="0" applyFont="1" applyFill="1" applyBorder="1" applyAlignment="1" applyProtection="1">
      <alignment horizontal="center" vertical="center"/>
      <protection locked="0"/>
    </xf>
    <xf numFmtId="49" fontId="10" fillId="8" borderId="25" xfId="0" applyNumberFormat="1" applyFont="1" applyFill="1" applyBorder="1" applyAlignment="1" applyProtection="1">
      <alignment horizontal="center" vertical="center" wrapText="1"/>
      <protection hidden="1"/>
    </xf>
    <xf numFmtId="49" fontId="20" fillId="8" borderId="25" xfId="0" applyNumberFormat="1" applyFont="1" applyFill="1" applyBorder="1" applyAlignment="1" applyProtection="1">
      <alignment horizontal="center" vertical="center"/>
      <protection locked="0"/>
    </xf>
    <xf numFmtId="0" fontId="20" fillId="8" borderId="16" xfId="0" applyFont="1" applyFill="1" applyBorder="1" applyAlignment="1" applyProtection="1">
      <alignment horizontal="center" vertical="center"/>
      <protection locked="0"/>
    </xf>
    <xf numFmtId="164" fontId="19" fillId="8" borderId="16" xfId="0" applyNumberFormat="1" applyFont="1" applyFill="1" applyBorder="1" applyAlignment="1" applyProtection="1">
      <alignment horizontal="center" vertical="center" wrapText="1"/>
      <protection hidden="1"/>
    </xf>
    <xf numFmtId="0" fontId="21" fillId="0" borderId="24" xfId="0" applyFont="1" applyBorder="1" applyProtection="1">
      <protection locked="0"/>
    </xf>
    <xf numFmtId="49" fontId="19" fillId="8" borderId="25" xfId="0" applyNumberFormat="1" applyFont="1" applyFill="1" applyBorder="1" applyAlignment="1" applyProtection="1">
      <alignment horizontal="center" vertical="center" wrapText="1"/>
      <protection hidden="1"/>
    </xf>
    <xf numFmtId="49" fontId="19" fillId="8" borderId="36" xfId="0" applyNumberFormat="1" applyFont="1" applyFill="1" applyBorder="1" applyAlignment="1" applyProtection="1">
      <alignment horizontal="center" vertical="center" wrapText="1"/>
      <protection hidden="1"/>
    </xf>
    <xf numFmtId="164" fontId="19" fillId="8" borderId="26" xfId="0" applyNumberFormat="1" applyFont="1" applyFill="1" applyBorder="1" applyAlignment="1" applyProtection="1">
      <alignment horizontal="center" vertical="center" wrapText="1"/>
      <protection hidden="1"/>
    </xf>
    <xf numFmtId="0" fontId="21" fillId="0" borderId="37" xfId="0" applyFont="1" applyBorder="1" applyProtection="1">
      <protection locked="0"/>
    </xf>
    <xf numFmtId="49" fontId="0" fillId="8" borderId="0" xfId="0" applyNumberFormat="1" applyFill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49" fontId="0" fillId="8" borderId="25" xfId="0" applyNumberFormat="1" applyFill="1" applyBorder="1" applyAlignment="1" applyProtection="1">
      <alignment horizontal="center" vertical="center"/>
      <protection locked="0"/>
    </xf>
    <xf numFmtId="0" fontId="0" fillId="8" borderId="16" xfId="0" applyFill="1" applyBorder="1" applyAlignment="1" applyProtection="1">
      <alignment horizontal="center" vertical="center"/>
      <protection locked="0"/>
    </xf>
    <xf numFmtId="49" fontId="24" fillId="11" borderId="34" xfId="0" applyNumberFormat="1" applyFont="1" applyFill="1" applyBorder="1" applyAlignment="1" applyProtection="1">
      <alignment horizontal="center" vertical="center"/>
      <protection locked="0"/>
    </xf>
    <xf numFmtId="0" fontId="23" fillId="11" borderId="28" xfId="0" applyFont="1" applyFill="1" applyBorder="1" applyAlignment="1" applyProtection="1">
      <alignment horizontal="center" vertical="center" wrapText="1"/>
      <protection locked="0"/>
    </xf>
    <xf numFmtId="166" fontId="0" fillId="0" borderId="0" xfId="0" applyNumberFormat="1" applyProtection="1">
      <protection locked="0"/>
    </xf>
    <xf numFmtId="166" fontId="22" fillId="13" borderId="15" xfId="0" applyNumberFormat="1" applyFont="1" applyFill="1" applyBorder="1" applyAlignment="1" applyProtection="1">
      <alignment horizontal="center" vertical="center" wrapText="1"/>
      <protection hidden="1"/>
    </xf>
    <xf numFmtId="166" fontId="22" fillId="13" borderId="16" xfId="0" applyNumberFormat="1" applyFont="1" applyFill="1" applyBorder="1" applyAlignment="1" applyProtection="1">
      <alignment horizontal="center" vertical="center" wrapText="1"/>
      <protection hidden="1"/>
    </xf>
    <xf numFmtId="166" fontId="22" fillId="13" borderId="17" xfId="0" applyNumberFormat="1" applyFont="1" applyFill="1" applyBorder="1" applyAlignment="1" applyProtection="1">
      <alignment horizontal="center" vertical="center" wrapText="1"/>
      <protection hidden="1"/>
    </xf>
    <xf numFmtId="166" fontId="22" fillId="13" borderId="18" xfId="0" applyNumberFormat="1" applyFont="1" applyFill="1" applyBorder="1" applyAlignment="1" applyProtection="1">
      <alignment horizontal="center" vertical="center" wrapText="1"/>
      <protection hidden="1"/>
    </xf>
    <xf numFmtId="166" fontId="22" fillId="13" borderId="19" xfId="0" applyNumberFormat="1" applyFont="1" applyFill="1" applyBorder="1" applyAlignment="1" applyProtection="1">
      <alignment horizontal="center" vertical="center" wrapText="1"/>
      <protection hidden="1"/>
    </xf>
    <xf numFmtId="166" fontId="22" fillId="13" borderId="20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5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6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7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8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9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20" xfId="0" applyNumberFormat="1" applyFont="1" applyFill="1" applyBorder="1" applyAlignment="1" applyProtection="1">
      <alignment horizontal="center" vertical="center" wrapText="1"/>
      <protection hidden="1"/>
    </xf>
    <xf numFmtId="166" fontId="25" fillId="6" borderId="18" xfId="0" applyNumberFormat="1" applyFont="1" applyFill="1" applyBorder="1" applyAlignment="1" applyProtection="1">
      <alignment horizontal="left" vertical="center" wrapText="1" indent="1"/>
      <protection locked="0"/>
    </xf>
    <xf numFmtId="166" fontId="25" fillId="6" borderId="19" xfId="0" applyNumberFormat="1" applyFont="1" applyFill="1" applyBorder="1" applyAlignment="1" applyProtection="1">
      <alignment horizontal="left" vertical="center" wrapText="1" indent="1"/>
      <protection locked="0"/>
    </xf>
    <xf numFmtId="166" fontId="25" fillId="6" borderId="20" xfId="0" applyNumberFormat="1" applyFont="1" applyFill="1" applyBorder="1" applyAlignment="1" applyProtection="1">
      <alignment horizontal="left" vertical="center" wrapText="1" indent="1"/>
      <protection locked="0"/>
    </xf>
    <xf numFmtId="166" fontId="22" fillId="6" borderId="12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3" xfId="0" applyNumberFormat="1" applyFont="1" applyFill="1" applyBorder="1" applyAlignment="1" applyProtection="1">
      <alignment horizontal="center" vertical="center" wrapText="1"/>
      <protection hidden="1"/>
    </xf>
    <xf numFmtId="166" fontId="22" fillId="6" borderId="14" xfId="0" applyNumberFormat="1" applyFont="1" applyFill="1" applyBorder="1" applyAlignment="1" applyProtection="1">
      <alignment horizontal="center" vertical="center" wrapText="1"/>
      <protection hidden="1"/>
    </xf>
    <xf numFmtId="49" fontId="24" fillId="11" borderId="34" xfId="0" applyNumberFormat="1" applyFont="1" applyFill="1" applyBorder="1" applyAlignment="1" applyProtection="1">
      <alignment horizontal="center" vertical="center" wrapText="1"/>
      <protection locked="0"/>
    </xf>
    <xf numFmtId="2" fontId="0" fillId="8" borderId="0" xfId="0" applyNumberFormat="1" applyFill="1" applyAlignment="1" applyProtection="1">
      <alignment horizontal="center" vertical="center"/>
      <protection locked="0"/>
    </xf>
    <xf numFmtId="2" fontId="23" fillId="11" borderId="28" xfId="0" applyNumberFormat="1" applyFont="1" applyFill="1" applyBorder="1" applyAlignment="1" applyProtection="1">
      <alignment horizontal="center" vertical="center" wrapText="1"/>
      <protection locked="0"/>
    </xf>
    <xf numFmtId="2" fontId="11" fillId="8" borderId="16" xfId="0" applyNumberFormat="1" applyFont="1" applyFill="1" applyBorder="1" applyAlignment="1" applyProtection="1">
      <alignment horizontal="center" vertical="center"/>
      <protection locked="0"/>
    </xf>
    <xf numFmtId="2" fontId="6" fillId="8" borderId="16" xfId="0" applyNumberFormat="1" applyFont="1" applyFill="1" applyBorder="1" applyAlignment="1" applyProtection="1">
      <alignment horizontal="center" vertical="center"/>
      <protection locked="0"/>
    </xf>
    <xf numFmtId="2" fontId="0" fillId="8" borderId="16" xfId="0" applyNumberFormat="1" applyFill="1" applyBorder="1" applyAlignment="1" applyProtection="1">
      <alignment horizontal="center" vertical="center"/>
      <protection locked="0"/>
    </xf>
    <xf numFmtId="2" fontId="20" fillId="8" borderId="16" xfId="0" applyNumberFormat="1" applyFont="1" applyFill="1" applyBorder="1" applyAlignment="1" applyProtection="1">
      <alignment horizontal="center" vertical="center"/>
      <protection locked="0"/>
    </xf>
    <xf numFmtId="2" fontId="10" fillId="12" borderId="16" xfId="0" applyNumberFormat="1" applyFont="1" applyFill="1" applyBorder="1" applyAlignment="1" applyProtection="1">
      <alignment horizontal="center" vertical="center" wrapText="1"/>
      <protection hidden="1"/>
    </xf>
    <xf numFmtId="1" fontId="0" fillId="0" borderId="0" xfId="0" applyNumberFormat="1" applyAlignment="1" applyProtection="1">
      <alignment vertical="center" wrapText="1"/>
      <protection locked="0"/>
    </xf>
    <xf numFmtId="1" fontId="26" fillId="0" borderId="0" xfId="0" applyNumberFormat="1" applyFont="1" applyAlignment="1" applyProtection="1">
      <alignment horizontal="center" vertical="center" wrapText="1"/>
      <protection locked="0"/>
    </xf>
    <xf numFmtId="1" fontId="10" fillId="8" borderId="25" xfId="0" applyNumberFormat="1" applyFont="1" applyFill="1" applyBorder="1" applyAlignment="1" applyProtection="1">
      <alignment horizontal="center" vertical="center" wrapText="1"/>
      <protection hidden="1"/>
    </xf>
    <xf numFmtId="166" fontId="22" fillId="8" borderId="16" xfId="0" applyNumberFormat="1" applyFont="1" applyFill="1" applyBorder="1" applyAlignment="1" applyProtection="1">
      <alignment horizontal="center" vertical="center" wrapText="1"/>
      <protection hidden="1"/>
    </xf>
    <xf numFmtId="0" fontId="11" fillId="7" borderId="12" xfId="0" applyFont="1" applyFill="1" applyBorder="1" applyAlignment="1" applyProtection="1">
      <alignment horizontal="center" vertical="center"/>
      <protection locked="0"/>
    </xf>
    <xf numFmtId="0" fontId="11" fillId="7" borderId="13" xfId="0" applyFont="1" applyFill="1" applyBorder="1" applyAlignment="1" applyProtection="1">
      <alignment horizontal="center" vertical="center"/>
      <protection locked="0"/>
    </xf>
    <xf numFmtId="0" fontId="11" fillId="7" borderId="14" xfId="0" applyFont="1" applyFill="1" applyBorder="1" applyAlignment="1" applyProtection="1">
      <alignment horizontal="center" vertical="center"/>
      <protection locked="0"/>
    </xf>
    <xf numFmtId="0" fontId="15" fillId="10" borderId="0" xfId="6" applyFont="1" applyFill="1" applyAlignment="1" applyProtection="1">
      <alignment horizontal="center" vertical="center"/>
      <protection locked="0"/>
    </xf>
    <xf numFmtId="165" fontId="17" fillId="9" borderId="0" xfId="6" applyNumberFormat="1" applyFont="1" applyFill="1" applyBorder="1" applyAlignment="1" applyProtection="1">
      <alignment horizontal="center" vertical="center"/>
      <protection hidden="1"/>
    </xf>
    <xf numFmtId="0" fontId="18" fillId="9" borderId="29" xfId="0" applyFont="1" applyFill="1" applyBorder="1" applyAlignment="1" applyProtection="1">
      <alignment horizontal="center"/>
      <protection locked="0"/>
    </xf>
    <xf numFmtId="0" fontId="18" fillId="9" borderId="30" xfId="0" applyFont="1" applyFill="1" applyBorder="1" applyAlignment="1" applyProtection="1">
      <alignment horizontal="center"/>
      <protection locked="0"/>
    </xf>
    <xf numFmtId="0" fontId="18" fillId="9" borderId="30" xfId="0" applyFont="1" applyFill="1" applyBorder="1" applyAlignment="1" applyProtection="1">
      <alignment horizontal="center"/>
      <protection hidden="1"/>
    </xf>
    <xf numFmtId="0" fontId="18" fillId="9" borderId="31" xfId="0" applyFont="1" applyFill="1" applyBorder="1" applyAlignment="1" applyProtection="1">
      <alignment horizontal="center"/>
      <protection hidden="1"/>
    </xf>
    <xf numFmtId="0" fontId="11" fillId="7" borderId="29" xfId="0" applyFont="1" applyFill="1" applyBorder="1" applyAlignment="1" applyProtection="1">
      <alignment horizontal="center" vertical="center"/>
      <protection locked="0"/>
    </xf>
    <xf numFmtId="0" fontId="11" fillId="7" borderId="30" xfId="0" applyFont="1" applyFill="1" applyBorder="1" applyAlignment="1" applyProtection="1">
      <alignment horizontal="center" vertical="center"/>
      <protection locked="0"/>
    </xf>
    <xf numFmtId="0" fontId="11" fillId="7" borderId="31" xfId="0" applyFont="1" applyFill="1" applyBorder="1" applyAlignment="1" applyProtection="1">
      <alignment horizontal="center" vertical="center"/>
      <protection locked="0"/>
    </xf>
    <xf numFmtId="0" fontId="11" fillId="7" borderId="21" xfId="0" applyFont="1" applyFill="1" applyBorder="1" applyAlignment="1" applyProtection="1">
      <alignment horizontal="center" vertical="center"/>
      <protection locked="0"/>
    </xf>
    <xf numFmtId="0" fontId="12" fillId="9" borderId="9" xfId="0" applyFont="1" applyFill="1" applyBorder="1" applyAlignment="1" applyProtection="1">
      <alignment vertical="center"/>
      <protection locked="0"/>
    </xf>
    <xf numFmtId="0" fontId="12" fillId="9" borderId="8" xfId="0" applyFont="1" applyFill="1" applyBorder="1" applyAlignment="1" applyProtection="1">
      <alignment vertical="center"/>
      <protection locked="0"/>
    </xf>
    <xf numFmtId="0" fontId="7" fillId="0" borderId="0" xfId="0" applyFont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left" vertical="center"/>
      <protection locked="0"/>
    </xf>
    <xf numFmtId="0" fontId="16" fillId="9" borderId="22" xfId="6" applyFont="1" applyFill="1" applyBorder="1" applyAlignment="1" applyProtection="1">
      <alignment horizontal="center" vertical="center"/>
      <protection locked="0"/>
    </xf>
    <xf numFmtId="0" fontId="16" fillId="9" borderId="0" xfId="6" applyFont="1" applyFill="1" applyBorder="1" applyAlignment="1" applyProtection="1">
      <alignment horizontal="center" vertical="center"/>
      <protection locked="0"/>
    </xf>
    <xf numFmtId="0" fontId="16" fillId="9" borderId="23" xfId="6" applyFont="1" applyFill="1" applyBorder="1" applyAlignment="1" applyProtection="1">
      <alignment horizontal="center" vertical="center"/>
      <protection locked="0"/>
    </xf>
    <xf numFmtId="0" fontId="11" fillId="8" borderId="11" xfId="0" applyFont="1" applyFill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1" fillId="9" borderId="11" xfId="0" applyFont="1" applyFill="1" applyBorder="1" applyAlignment="1" applyProtection="1">
      <alignment horizontal="center" vertical="center"/>
      <protection hidden="1"/>
    </xf>
    <xf numFmtId="0" fontId="11" fillId="9" borderId="5" xfId="0" applyFont="1" applyFill="1" applyBorder="1" applyAlignment="1" applyProtection="1">
      <alignment horizontal="center" vertical="center"/>
      <protection hidden="1"/>
    </xf>
  </cellXfs>
  <cellStyles count="7">
    <cellStyle name="40% - Accent1 2" xfId="3"/>
    <cellStyle name="Accent1 2" xfId="2"/>
    <cellStyle name="Heading 1 2" xfId="4"/>
    <cellStyle name="Normal" xfId="0" builtinId="0" customBuiltin="1"/>
    <cellStyle name="Normal 2" xfId="1"/>
    <cellStyle name="Normal 2 2" xfId="6"/>
    <cellStyle name="Normal 3" xfId="5"/>
  </cellStyles>
  <dxfs count="144"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rgb="FF00B0F0"/>
        </patternFill>
      </fill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ill>
        <patternFill>
          <bgColor rgb="FF00B0F0"/>
        </patternFill>
      </fill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ill>
        <patternFill>
          <bgColor rgb="FF00B0F0"/>
        </patternFill>
      </fill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43"/>
      <tableStyleElement type="headerRow" dxfId="142"/>
      <tableStyleElement type="totalRow" dxfId="141"/>
      <tableStyleElement type="firstColumn" dxfId="140"/>
      <tableStyleElement type="lastColumn" dxfId="139"/>
      <tableStyleElement type="firstRowStripe" dxfId="138"/>
      <tableStyleElement type="firstColumnStripe" dxfId="137"/>
    </tableStyle>
    <tableStyle name="TableStyleLight9 2" pivot="0" count="4">
      <tableStyleElement type="wholeTable" dxfId="136"/>
      <tableStyleElement type="headerRow" dxfId="135"/>
      <tableStyleElement type="totalRow" dxfId="134"/>
      <tableStyleElement type="firstColumn" dxfId="133"/>
    </tableStyle>
  </tableStyles>
  <colors>
    <mruColors>
      <color rgb="FF17F141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J$1" max="2999" min="1900" page="10" val="2015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213360</xdr:colOff>
      <xdr:row>2</xdr:row>
      <xdr:rowOff>165734</xdr:rowOff>
    </xdr:from>
    <xdr:to>
      <xdr:col>9</xdr:col>
      <xdr:colOff>982980</xdr:colOff>
      <xdr:row>6</xdr:row>
      <xdr:rowOff>175260</xdr:rowOff>
    </xdr:to>
    <xdr:sp macro="" textlink="">
      <xdr:nvSpPr>
        <xdr:cNvPr id="3" name="TextBox 2"/>
        <xdr:cNvSpPr txBox="1"/>
      </xdr:nvSpPr>
      <xdr:spPr>
        <a:xfrm>
          <a:off x="7376160" y="661034"/>
          <a:ext cx="1005840" cy="9239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en-US" sz="1000" b="1">
              <a:solidFill>
                <a:srgbClr val="FF0000"/>
              </a:solidFill>
            </a:rPr>
            <a:t>Pour changer</a:t>
          </a:r>
          <a:r>
            <a:rPr lang="en-US" sz="1000" b="1" baseline="0">
              <a:solidFill>
                <a:srgbClr val="FF0000"/>
              </a:solidFill>
            </a:rPr>
            <a:t> l’année du calendrier, cliquez sur le compteur</a:t>
          </a:r>
          <a:r>
            <a:rPr lang="en-US" sz="1000" b="1" baseline="0">
              <a:solidFill>
                <a:schemeClr val="tx1"/>
              </a:solidFill>
            </a:rPr>
            <a:t>.</a:t>
          </a:r>
          <a:endParaRPr lang="en-US" sz="1000" b="1">
            <a:solidFill>
              <a:schemeClr val="tx1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</xdr:colOff>
          <xdr:row>0</xdr:row>
          <xdr:rowOff>83820</xdr:rowOff>
        </xdr:from>
        <xdr:to>
          <xdr:col>11</xdr:col>
          <xdr:colOff>0</xdr:colOff>
          <xdr:row>1</xdr:row>
          <xdr:rowOff>160020</xdr:rowOff>
        </xdr:to>
        <xdr:sp macro="" textlink="">
          <xdr:nvSpPr>
            <xdr:cNvPr id="1025" name="Spinner 1" descr="Spinner control. Use spinner to change calendar year or type desired year in cell L2 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800100</xdr:colOff>
          <xdr:row>8</xdr:row>
          <xdr:rowOff>220980</xdr:rowOff>
        </xdr:from>
        <xdr:to>
          <xdr:col>7</xdr:col>
          <xdr:colOff>533400</xdr:colOff>
          <xdr:row>10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et Fermer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nis\Documents\GOLF%20NOEL\Versions%20d&#233;finitives\HEURES%20HOTESSES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OP"/>
      <sheetName val="ACCUEIL"/>
      <sheetName val="JANV 1"/>
      <sheetName val="JANV 2"/>
      <sheetName val="JANV 3"/>
      <sheetName val="JANV 4"/>
      <sheetName val="JANV 5"/>
      <sheetName val="JANV 6"/>
      <sheetName val="FEV 1"/>
      <sheetName val="FEV 2"/>
      <sheetName val="FEV 3"/>
      <sheetName val="FEV 4"/>
      <sheetName val="FEV 5"/>
      <sheetName val="MARS 1"/>
      <sheetName val="MARS 2"/>
      <sheetName val="MARS 3"/>
      <sheetName val="MARS 4"/>
      <sheetName val="MARS 5"/>
      <sheetName val="MARS 6"/>
      <sheetName val="AVRIL 1"/>
      <sheetName val="AVRIL 2"/>
      <sheetName val="AVRIL 3"/>
      <sheetName val="AVRIL 4"/>
      <sheetName val="AVRIL 5"/>
      <sheetName val="AVRIL 6"/>
      <sheetName val="MAI 1"/>
      <sheetName val="MAI 2"/>
      <sheetName val="MAI 3"/>
      <sheetName val="MAI 4"/>
      <sheetName val="MAI 5"/>
      <sheetName val="MAI 6"/>
      <sheetName val="JUIN 1"/>
      <sheetName val="JUIN 2"/>
      <sheetName val="JUIN 3"/>
      <sheetName val="JUIN 4"/>
      <sheetName val="JUIN 5"/>
      <sheetName val="JUIN 6"/>
      <sheetName val="JUIL 1"/>
      <sheetName val="JUIL 2"/>
      <sheetName val="JUIL 3"/>
      <sheetName val="JUIL 4"/>
      <sheetName val="JUIL 5"/>
      <sheetName val="JUIL 6"/>
      <sheetName val="AOUT 1"/>
      <sheetName val="AOUT 2"/>
      <sheetName val="AOUT 3"/>
      <sheetName val="AOUT 4"/>
      <sheetName val="AOUT 5"/>
      <sheetName val="AOUT 6"/>
      <sheetName val="SEPT 1"/>
      <sheetName val="SEPT 2"/>
      <sheetName val="SEPT 3"/>
      <sheetName val="SEPT 4"/>
      <sheetName val="SEPT 5"/>
      <sheetName val="SEPT 6"/>
      <sheetName val="OCT 1"/>
      <sheetName val="OCT 2"/>
      <sheetName val="OCT 3"/>
      <sheetName val="OCT 4"/>
      <sheetName val="OCT 5"/>
      <sheetName val="OCT 6"/>
      <sheetName val="NOV 1"/>
      <sheetName val="NOV 2"/>
      <sheetName val="NOV 3"/>
      <sheetName val="NOV 4"/>
      <sheetName val="NOV 5"/>
      <sheetName val="NOV 6"/>
      <sheetName val="DEC 1"/>
      <sheetName val="DEC 2"/>
      <sheetName val="DEC 3"/>
      <sheetName val="DEC 4"/>
      <sheetName val="DEC 5"/>
      <sheetName val="DEC 6"/>
      <sheetName val="RECAP"/>
      <sheetName val="Janvier"/>
      <sheetName val="STOP"/>
      <sheetName val="Fériés 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>
        <row r="1">
          <cell r="B1">
            <v>1</v>
          </cell>
          <cell r="D1">
            <v>2015</v>
          </cell>
        </row>
      </sheetData>
      <sheetData sheetId="75"/>
      <sheetData sheetId="76">
        <row r="1">
          <cell r="S1">
            <v>2002</v>
          </cell>
        </row>
        <row r="2">
          <cell r="S2">
            <v>2003</v>
          </cell>
        </row>
        <row r="3">
          <cell r="S3">
            <v>2004</v>
          </cell>
        </row>
        <row r="4">
          <cell r="S4">
            <v>2005</v>
          </cell>
        </row>
        <row r="5">
          <cell r="S5">
            <v>2006</v>
          </cell>
        </row>
        <row r="6">
          <cell r="S6">
            <v>2007</v>
          </cell>
        </row>
        <row r="7">
          <cell r="S7">
            <v>2008</v>
          </cell>
        </row>
        <row r="8">
          <cell r="S8">
            <v>2009</v>
          </cell>
        </row>
        <row r="9">
          <cell r="S9">
            <v>2010</v>
          </cell>
        </row>
        <row r="10">
          <cell r="S10">
            <v>2011</v>
          </cell>
        </row>
        <row r="11">
          <cell r="S11">
            <v>2012</v>
          </cell>
        </row>
        <row r="12">
          <cell r="S12">
            <v>2013</v>
          </cell>
        </row>
        <row r="13">
          <cell r="S13">
            <v>2014</v>
          </cell>
        </row>
        <row r="14">
          <cell r="S14">
            <v>2015</v>
          </cell>
        </row>
        <row r="15">
          <cell r="S15">
            <v>2016</v>
          </cell>
        </row>
        <row r="16">
          <cell r="S16">
            <v>2017</v>
          </cell>
        </row>
        <row r="17">
          <cell r="S17">
            <v>2018</v>
          </cell>
        </row>
        <row r="18">
          <cell r="S18">
            <v>2019</v>
          </cell>
        </row>
        <row r="19">
          <cell r="S19">
            <v>2020</v>
          </cell>
        </row>
        <row r="20">
          <cell r="S20">
            <v>2021</v>
          </cell>
        </row>
        <row r="21">
          <cell r="S21">
            <v>2022</v>
          </cell>
        </row>
        <row r="22">
          <cell r="S22">
            <v>2023</v>
          </cell>
        </row>
        <row r="23">
          <cell r="S23">
            <v>2024</v>
          </cell>
        </row>
        <row r="24">
          <cell r="S24">
            <v>2025</v>
          </cell>
        </row>
        <row r="25">
          <cell r="S25">
            <v>2026</v>
          </cell>
        </row>
        <row r="26">
          <cell r="S26">
            <v>2027</v>
          </cell>
        </row>
        <row r="27">
          <cell r="S27">
            <v>2028</v>
          </cell>
        </row>
        <row r="28">
          <cell r="S28">
            <v>2029</v>
          </cell>
        </row>
        <row r="29">
          <cell r="S29">
            <v>2030</v>
          </cell>
        </row>
        <row r="30">
          <cell r="S30">
            <v>2031</v>
          </cell>
        </row>
        <row r="31">
          <cell r="S31">
            <v>2032</v>
          </cell>
        </row>
        <row r="32">
          <cell r="S32">
            <v>2033</v>
          </cell>
        </row>
        <row r="33">
          <cell r="S33">
            <v>2034</v>
          </cell>
        </row>
        <row r="34">
          <cell r="S34">
            <v>2035</v>
          </cell>
        </row>
        <row r="35">
          <cell r="S35">
            <v>2036</v>
          </cell>
        </row>
        <row r="36">
          <cell r="S36">
            <v>2037</v>
          </cell>
        </row>
        <row r="37">
          <cell r="S37">
            <v>2038</v>
          </cell>
        </row>
        <row r="38">
          <cell r="S38">
            <v>2039</v>
          </cell>
        </row>
        <row r="39">
          <cell r="S39">
            <v>2040</v>
          </cell>
        </row>
        <row r="40">
          <cell r="S40">
            <v>2041</v>
          </cell>
        </row>
        <row r="41">
          <cell r="S41">
            <v>2042</v>
          </cell>
        </row>
        <row r="42">
          <cell r="S42">
            <v>2043</v>
          </cell>
        </row>
        <row r="43">
          <cell r="S43">
            <v>2044</v>
          </cell>
        </row>
        <row r="44">
          <cell r="S44">
            <v>2045</v>
          </cell>
        </row>
        <row r="45">
          <cell r="S45">
            <v>2046</v>
          </cell>
        </row>
        <row r="46">
          <cell r="S46">
            <v>2047</v>
          </cell>
        </row>
        <row r="47">
          <cell r="S47">
            <v>2048</v>
          </cell>
        </row>
        <row r="48">
          <cell r="S48">
            <v>2049</v>
          </cell>
        </row>
        <row r="49">
          <cell r="S49">
            <v>2050</v>
          </cell>
        </row>
        <row r="50">
          <cell r="S50">
            <v>2051</v>
          </cell>
        </row>
        <row r="51">
          <cell r="S51">
            <v>2052</v>
          </cell>
        </row>
        <row r="52">
          <cell r="S52">
            <v>2053</v>
          </cell>
        </row>
        <row r="53">
          <cell r="S53">
            <v>2054</v>
          </cell>
        </row>
        <row r="54">
          <cell r="S54">
            <v>2055</v>
          </cell>
        </row>
        <row r="55">
          <cell r="S55">
            <v>2056</v>
          </cell>
        </row>
        <row r="56">
          <cell r="S56">
            <v>2057</v>
          </cell>
        </row>
        <row r="57">
          <cell r="S57">
            <v>2058</v>
          </cell>
        </row>
        <row r="58">
          <cell r="S58">
            <v>2059</v>
          </cell>
        </row>
        <row r="59">
          <cell r="S59">
            <v>2060</v>
          </cell>
        </row>
        <row r="60">
          <cell r="S60">
            <v>2061</v>
          </cell>
        </row>
        <row r="61">
          <cell r="S61">
            <v>2062</v>
          </cell>
        </row>
        <row r="62">
          <cell r="S62">
            <v>2063</v>
          </cell>
        </row>
        <row r="63">
          <cell r="S63">
            <v>2064</v>
          </cell>
        </row>
        <row r="64">
          <cell r="S64">
            <v>2065</v>
          </cell>
        </row>
        <row r="65">
          <cell r="S65">
            <v>2066</v>
          </cell>
        </row>
        <row r="66">
          <cell r="S66">
            <v>2067</v>
          </cell>
        </row>
        <row r="67">
          <cell r="S67">
            <v>2068</v>
          </cell>
        </row>
        <row r="68">
          <cell r="S68">
            <v>2069</v>
          </cell>
        </row>
        <row r="69">
          <cell r="S69">
            <v>2070</v>
          </cell>
        </row>
        <row r="70">
          <cell r="S70">
            <v>2071</v>
          </cell>
        </row>
        <row r="71">
          <cell r="S71">
            <v>2072</v>
          </cell>
        </row>
        <row r="72">
          <cell r="S72">
            <v>2073</v>
          </cell>
        </row>
        <row r="73">
          <cell r="S73">
            <v>2074</v>
          </cell>
        </row>
        <row r="74">
          <cell r="S74">
            <v>2075</v>
          </cell>
        </row>
        <row r="75">
          <cell r="S75">
            <v>2076</v>
          </cell>
        </row>
        <row r="76">
          <cell r="S76">
            <v>2077</v>
          </cell>
        </row>
        <row r="77">
          <cell r="S77">
            <v>2078</v>
          </cell>
        </row>
        <row r="78">
          <cell r="S78">
            <v>2079</v>
          </cell>
        </row>
        <row r="79">
          <cell r="S79">
            <v>2080</v>
          </cell>
        </row>
        <row r="80">
          <cell r="S80">
            <v>2081</v>
          </cell>
        </row>
        <row r="81">
          <cell r="S81">
            <v>2082</v>
          </cell>
        </row>
        <row r="82">
          <cell r="S82">
            <v>2083</v>
          </cell>
        </row>
        <row r="83">
          <cell r="S83">
            <v>2084</v>
          </cell>
        </row>
        <row r="84">
          <cell r="S84">
            <v>2085</v>
          </cell>
        </row>
        <row r="85">
          <cell r="S85">
            <v>2086</v>
          </cell>
        </row>
        <row r="86">
          <cell r="S86">
            <v>2087</v>
          </cell>
        </row>
        <row r="87">
          <cell r="S87">
            <v>2088</v>
          </cell>
        </row>
        <row r="88">
          <cell r="S88">
            <v>2089</v>
          </cell>
        </row>
        <row r="89">
          <cell r="S89">
            <v>2090</v>
          </cell>
        </row>
        <row r="90">
          <cell r="S90">
            <v>2091</v>
          </cell>
        </row>
        <row r="91">
          <cell r="S91">
            <v>2092</v>
          </cell>
        </row>
        <row r="92">
          <cell r="S92">
            <v>2093</v>
          </cell>
        </row>
        <row r="93">
          <cell r="S93">
            <v>2094</v>
          </cell>
        </row>
        <row r="94">
          <cell r="S94">
            <v>2095</v>
          </cell>
        </row>
        <row r="95">
          <cell r="S95">
            <v>2096</v>
          </cell>
        </row>
        <row r="96">
          <cell r="S96">
            <v>2097</v>
          </cell>
        </row>
        <row r="97">
          <cell r="S97">
            <v>2098</v>
          </cell>
        </row>
        <row r="98">
          <cell r="S98">
            <v>2099</v>
          </cell>
        </row>
        <row r="99">
          <cell r="S99">
            <v>2100</v>
          </cell>
        </row>
      </sheetData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theme/theme1.xml><?xml version="1.0" encoding="utf-8"?>
<a:theme xmlns:a="http://schemas.openxmlformats.org/drawingml/2006/main" name="10_college_cal">
  <a:themeElements>
    <a:clrScheme name="Assignment Calenda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39B5D4"/>
      </a:accent1>
      <a:accent2>
        <a:srgbClr val="FFCCCC"/>
      </a:accent2>
      <a:accent3>
        <a:srgbClr val="4DBB68"/>
      </a:accent3>
      <a:accent4>
        <a:srgbClr val="FFFB59"/>
      </a:accent4>
      <a:accent5>
        <a:srgbClr val="FF9900"/>
      </a:accent5>
      <a:accent6>
        <a:srgbClr val="AC75D5"/>
      </a:accent6>
      <a:hlink>
        <a:srgbClr val="57B5D4"/>
      </a:hlink>
      <a:folHlink>
        <a:srgbClr val="BA4F8B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/>
  </sheetPr>
  <dimension ref="A1:AC38"/>
  <sheetViews>
    <sheetView zoomScale="50" zoomScaleNormal="50" workbookViewId="0">
      <pane ySplit="1" topLeftCell="A2" activePane="bottomLeft" state="frozen"/>
      <selection pane="bottomLeft" activeCell="AG9" sqref="AG9"/>
    </sheetView>
  </sheetViews>
  <sheetFormatPr baseColWidth="10" defaultColWidth="11.5546875" defaultRowHeight="13.2" x14ac:dyDescent="0.25"/>
  <cols>
    <col min="1" max="7" width="6.77734375" style="2" customWidth="1"/>
    <col min="8" max="8" width="12.109375" style="54" customWidth="1"/>
    <col min="9" max="9" width="12.21875" style="55" customWidth="1"/>
    <col min="10" max="10" width="3.6640625" style="2" customWidth="1"/>
    <col min="11" max="17" width="6.77734375" style="2" customWidth="1"/>
    <col min="18" max="18" width="14.77734375" style="54" customWidth="1"/>
    <col min="19" max="19" width="12.21875" style="55" customWidth="1"/>
    <col min="20" max="20" width="3.6640625" style="2" customWidth="1"/>
    <col min="21" max="27" width="6.77734375" style="2" customWidth="1"/>
    <col min="28" max="28" width="14.77734375" style="54" customWidth="1"/>
    <col min="29" max="29" width="12.21875" style="55" customWidth="1"/>
    <col min="30" max="30" width="3.44140625" style="2" customWidth="1"/>
    <col min="31" max="16384" width="11.5546875" style="2"/>
  </cols>
  <sheetData>
    <row r="1" spans="1:29" ht="22.2" thickTop="1" thickBot="1" x14ac:dyDescent="0.45">
      <c r="A1" s="94" t="s">
        <v>18</v>
      </c>
      <c r="B1" s="94"/>
      <c r="C1" s="95">
        <f ca="1">TODAY()</f>
        <v>42008</v>
      </c>
      <c r="D1" s="95"/>
      <c r="E1" s="95"/>
      <c r="F1" s="95"/>
      <c r="K1" s="96" t="s">
        <v>26</v>
      </c>
      <c r="L1" s="97"/>
      <c r="M1" s="97"/>
      <c r="N1" s="98">
        <f>Année_Calendaire</f>
        <v>2015</v>
      </c>
      <c r="O1" s="98"/>
      <c r="P1" s="98"/>
      <c r="Q1" s="99"/>
    </row>
    <row r="2" spans="1:29" ht="40.799999999999997" thickTop="1" thickBot="1" x14ac:dyDescent="0.3">
      <c r="H2" s="58" t="s">
        <v>40</v>
      </c>
      <c r="I2" s="59" t="s">
        <v>101</v>
      </c>
      <c r="J2" s="39"/>
      <c r="R2" s="58" t="s">
        <v>40</v>
      </c>
      <c r="S2" s="59" t="s">
        <v>101</v>
      </c>
      <c r="AB2" s="58" t="s">
        <v>40</v>
      </c>
      <c r="AC2" s="59" t="s">
        <v>101</v>
      </c>
    </row>
    <row r="3" spans="1:29" ht="18.600000000000001" thickTop="1" thickBot="1" x14ac:dyDescent="0.3">
      <c r="A3" s="100" t="s">
        <v>6</v>
      </c>
      <c r="B3" s="101"/>
      <c r="C3" s="101"/>
      <c r="D3" s="101"/>
      <c r="E3" s="101"/>
      <c r="F3" s="101"/>
      <c r="G3" s="102"/>
      <c r="H3" s="40"/>
      <c r="I3" s="41"/>
      <c r="J3" s="42"/>
      <c r="K3" s="91" t="s">
        <v>7</v>
      </c>
      <c r="L3" s="92"/>
      <c r="M3" s="92"/>
      <c r="N3" s="92"/>
      <c r="O3" s="92"/>
      <c r="P3" s="92"/>
      <c r="Q3" s="93"/>
      <c r="R3" s="40"/>
      <c r="S3" s="41"/>
      <c r="U3" s="91" t="s">
        <v>8</v>
      </c>
      <c r="V3" s="92"/>
      <c r="W3" s="92"/>
      <c r="X3" s="92"/>
      <c r="Y3" s="92"/>
      <c r="Z3" s="92"/>
      <c r="AA3" s="93"/>
      <c r="AB3" s="40"/>
      <c r="AC3" s="41"/>
    </row>
    <row r="4" spans="1:29" ht="13.8" thickTop="1" x14ac:dyDescent="0.25">
      <c r="A4" s="4" t="s">
        <v>2</v>
      </c>
      <c r="B4" s="5" t="s">
        <v>1</v>
      </c>
      <c r="C4" s="5" t="s">
        <v>1</v>
      </c>
      <c r="D4" s="5" t="s">
        <v>3</v>
      </c>
      <c r="E4" s="5" t="s">
        <v>4</v>
      </c>
      <c r="F4" s="6" t="s">
        <v>0</v>
      </c>
      <c r="G4" s="7" t="s">
        <v>5</v>
      </c>
      <c r="H4" s="43"/>
      <c r="I4" s="44"/>
      <c r="J4" s="42"/>
      <c r="K4" s="4" t="s">
        <v>2</v>
      </c>
      <c r="L4" s="5" t="s">
        <v>1</v>
      </c>
      <c r="M4" s="5" t="s">
        <v>1</v>
      </c>
      <c r="N4" s="5" t="s">
        <v>3</v>
      </c>
      <c r="O4" s="5" t="s">
        <v>4</v>
      </c>
      <c r="P4" s="6" t="s">
        <v>0</v>
      </c>
      <c r="Q4" s="7" t="s">
        <v>5</v>
      </c>
      <c r="R4" s="43"/>
      <c r="S4" s="44"/>
      <c r="U4" s="25" t="s">
        <v>2</v>
      </c>
      <c r="V4" s="26" t="s">
        <v>1</v>
      </c>
      <c r="W4" s="26" t="s">
        <v>1</v>
      </c>
      <c r="X4" s="26" t="s">
        <v>3</v>
      </c>
      <c r="Y4" s="26" t="s">
        <v>4</v>
      </c>
      <c r="Z4" s="27" t="s">
        <v>0</v>
      </c>
      <c r="AA4" s="28" t="s">
        <v>5</v>
      </c>
      <c r="AB4" s="43"/>
      <c r="AC4" s="44"/>
    </row>
    <row r="5" spans="1:29" ht="13.8" x14ac:dyDescent="0.25">
      <c r="A5" s="67">
        <f>IF(DAY(Jan_Dim1)=1,Jan_Dim1-6,Jan_Dim1+1)</f>
        <v>42002</v>
      </c>
      <c r="B5" s="68">
        <f>IF(DAY(Jan_Dim1)=1,Jan_Dim1-5,Jan_Dim1+2)</f>
        <v>42003</v>
      </c>
      <c r="C5" s="68">
        <f>IF(DAY(Jan_Dim1)=1,Jan_Dim1-4,Jan_Dim1+3)</f>
        <v>42004</v>
      </c>
      <c r="D5" s="68">
        <f>IF(DAY(Jan_Dim1)=1,Jan_Dim1-3,Jan_Dim1+4)</f>
        <v>42005</v>
      </c>
      <c r="E5" s="68">
        <f>IF(DAY(Jan_Dim1)=1,Jan_Dim1-2,Jan_Dim1+5)</f>
        <v>42006</v>
      </c>
      <c r="F5" s="68">
        <f>IF(DAY(Jan_Dim1)=1,Jan_Dim1-1,Jan_Dim1+6)</f>
        <v>42007</v>
      </c>
      <c r="G5" s="69">
        <f>IF(DAY(Jan_Dim1)=1,Jan_Dim1,Jan_Dim1+7)</f>
        <v>42008</v>
      </c>
      <c r="H5" s="45" t="s">
        <v>27</v>
      </c>
      <c r="I5" s="29"/>
      <c r="J5" s="42"/>
      <c r="K5" s="67">
        <f>Février!B3</f>
        <v>42030</v>
      </c>
      <c r="L5" s="68">
        <f>Février!C3</f>
        <v>42031</v>
      </c>
      <c r="M5" s="68">
        <f>Février!D3</f>
        <v>42032</v>
      </c>
      <c r="N5" s="68">
        <f>Février!E3</f>
        <v>42033</v>
      </c>
      <c r="O5" s="68">
        <f>Février!F3</f>
        <v>42034</v>
      </c>
      <c r="P5" s="68">
        <f>Février!G3</f>
        <v>42035</v>
      </c>
      <c r="Q5" s="69">
        <f>Février!H3</f>
        <v>42036</v>
      </c>
      <c r="R5" s="45" t="s">
        <v>53</v>
      </c>
      <c r="S5" s="29"/>
      <c r="U5" s="67">
        <f>Mars!B3</f>
        <v>42058</v>
      </c>
      <c r="V5" s="68">
        <f>Mars!C3</f>
        <v>42059</v>
      </c>
      <c r="W5" s="68">
        <f>Mars!D3</f>
        <v>42060</v>
      </c>
      <c r="X5" s="68">
        <f>Mars!E3</f>
        <v>42061</v>
      </c>
      <c r="Y5" s="68">
        <f>Mars!F3</f>
        <v>42062</v>
      </c>
      <c r="Z5" s="68">
        <f>Mars!G3</f>
        <v>42063</v>
      </c>
      <c r="AA5" s="69">
        <f>Mars!H3</f>
        <v>42064</v>
      </c>
      <c r="AB5" s="45" t="s">
        <v>76</v>
      </c>
      <c r="AC5" s="29"/>
    </row>
    <row r="6" spans="1:29" ht="13.8" x14ac:dyDescent="0.25">
      <c r="A6" s="67">
        <f>IF(DAY(Jan_Dim1)=1,Jan_Dim1+1,Jan_Dim1+8)</f>
        <v>42009</v>
      </c>
      <c r="B6" s="68">
        <f>IF(DAY(Jan_Dim1)=1,Jan_Dim1+2,Jan_Dim1+9)</f>
        <v>42010</v>
      </c>
      <c r="C6" s="68">
        <f>IF(DAY(Jan_Dim1)=1,Jan_Dim1+3,Jan_Dim1+10)</f>
        <v>42011</v>
      </c>
      <c r="D6" s="68">
        <f>IF(DAY(Jan_Dim1)=1,Jan_Dim1+4,Jan_Dim1+11)</f>
        <v>42012</v>
      </c>
      <c r="E6" s="68">
        <f>IF(DAY(Jan_Dim1)=1,Jan_Dim1+5,Jan_Dim1+12)</f>
        <v>42013</v>
      </c>
      <c r="F6" s="68">
        <f>IF(DAY(Jan_Dim1)=1,Jan_Dim1+6,Jan_Dim1+13)</f>
        <v>42014</v>
      </c>
      <c r="G6" s="69">
        <f>IF(DAY(Jan_Dim1)=1,Jan_Dim1+7,Jan_Dim1+14)</f>
        <v>42015</v>
      </c>
      <c r="H6" s="45" t="s">
        <v>29</v>
      </c>
      <c r="I6" s="29"/>
      <c r="J6" s="42"/>
      <c r="K6" s="67">
        <f>Février!B4</f>
        <v>42037</v>
      </c>
      <c r="L6" s="68">
        <f>Février!C4</f>
        <v>42038</v>
      </c>
      <c r="M6" s="68">
        <f>Février!D4</f>
        <v>42039</v>
      </c>
      <c r="N6" s="68">
        <f>Février!E4</f>
        <v>42040</v>
      </c>
      <c r="O6" s="68">
        <f>Février!F4</f>
        <v>42041</v>
      </c>
      <c r="P6" s="68">
        <f>Février!G4</f>
        <v>42042</v>
      </c>
      <c r="Q6" s="69">
        <f>Février!H4</f>
        <v>42043</v>
      </c>
      <c r="R6" s="45" t="s">
        <v>54</v>
      </c>
      <c r="S6" s="29"/>
      <c r="U6" s="67">
        <f>Mars!B4</f>
        <v>42065</v>
      </c>
      <c r="V6" s="68">
        <f>Mars!C4</f>
        <v>42066</v>
      </c>
      <c r="W6" s="68">
        <f>Mars!D4</f>
        <v>42067</v>
      </c>
      <c r="X6" s="68">
        <f>Mars!E4</f>
        <v>42068</v>
      </c>
      <c r="Y6" s="68">
        <f>Mars!F4</f>
        <v>42069</v>
      </c>
      <c r="Z6" s="68">
        <f>Mars!G4</f>
        <v>42070</v>
      </c>
      <c r="AA6" s="69">
        <f>Mars!H4</f>
        <v>42071</v>
      </c>
      <c r="AB6" s="45" t="s">
        <v>77</v>
      </c>
      <c r="AC6" s="29"/>
    </row>
    <row r="7" spans="1:29" ht="13.8" x14ac:dyDescent="0.25">
      <c r="A7" s="67">
        <f>IF(DAY(Jan_Dim1)=1,Jan_Dim1+8,Jan_Dim1+15)</f>
        <v>42016</v>
      </c>
      <c r="B7" s="68">
        <f>IF(DAY(Jan_Dim1)=1,Jan_Dim1+9,Jan_Dim1+16)</f>
        <v>42017</v>
      </c>
      <c r="C7" s="68">
        <f>IF(DAY(Jan_Dim1)=1,Jan_Dim1+10,Jan_Dim1+17)</f>
        <v>42018</v>
      </c>
      <c r="D7" s="68">
        <f>IF(DAY(Jan_Dim1)=1,Jan_Dim1+11,Jan_Dim1+18)</f>
        <v>42019</v>
      </c>
      <c r="E7" s="68">
        <f>IF(DAY(Jan_Dim1)=1,Jan_Dim1+12,Jan_Dim1+19)</f>
        <v>42020</v>
      </c>
      <c r="F7" s="68">
        <f>IF(DAY(Jan_Dim1)=1,Jan_Dim1+13,Jan_Dim1+20)</f>
        <v>42021</v>
      </c>
      <c r="G7" s="69">
        <f>IF(DAY(Jan_Dim1)=1,Jan_Dim1+14,Jan_Dim1+21)</f>
        <v>42022</v>
      </c>
      <c r="H7" s="45" t="s">
        <v>30</v>
      </c>
      <c r="I7" s="29"/>
      <c r="J7" s="42"/>
      <c r="K7" s="67">
        <f>Février!B5</f>
        <v>42044</v>
      </c>
      <c r="L7" s="68">
        <f>Février!C5</f>
        <v>42045</v>
      </c>
      <c r="M7" s="68">
        <f>Février!D5</f>
        <v>42046</v>
      </c>
      <c r="N7" s="68">
        <f>Février!E5</f>
        <v>42047</v>
      </c>
      <c r="O7" s="68">
        <f>Février!F5</f>
        <v>42048</v>
      </c>
      <c r="P7" s="68">
        <f>Février!G5</f>
        <v>42049</v>
      </c>
      <c r="Q7" s="69">
        <f>Février!H5</f>
        <v>42050</v>
      </c>
      <c r="R7" s="45" t="s">
        <v>55</v>
      </c>
      <c r="S7" s="29"/>
      <c r="U7" s="67">
        <f>Mars!B5</f>
        <v>42072</v>
      </c>
      <c r="V7" s="68">
        <f>Mars!C5</f>
        <v>42073</v>
      </c>
      <c r="W7" s="68">
        <f>Mars!D5</f>
        <v>42074</v>
      </c>
      <c r="X7" s="68">
        <f>Mars!E5</f>
        <v>42075</v>
      </c>
      <c r="Y7" s="68">
        <f>Mars!F5</f>
        <v>42076</v>
      </c>
      <c r="Z7" s="68">
        <f>Mars!G5</f>
        <v>42077</v>
      </c>
      <c r="AA7" s="69">
        <f>Mars!H5</f>
        <v>42078</v>
      </c>
      <c r="AB7" s="45" t="s">
        <v>78</v>
      </c>
      <c r="AC7" s="29"/>
    </row>
    <row r="8" spans="1:29" ht="13.8" x14ac:dyDescent="0.25">
      <c r="A8" s="67">
        <f>IF(DAY(Jan_Dim1)=1,Jan_Dim1+15,Jan_Dim1+22)</f>
        <v>42023</v>
      </c>
      <c r="B8" s="68">
        <f>IF(DAY(Jan_Dim1)=1,Jan_Dim1+16,Jan_Dim1+23)</f>
        <v>42024</v>
      </c>
      <c r="C8" s="68">
        <f>IF(DAY(Jan_Dim1)=1,Jan_Dim1+17,Jan_Dim1+24)</f>
        <v>42025</v>
      </c>
      <c r="D8" s="68">
        <f>IF(DAY(Jan_Dim1)=1,Jan_Dim1+18,Jan_Dim1+25)</f>
        <v>42026</v>
      </c>
      <c r="E8" s="68">
        <f>IF(DAY(Jan_Dim1)=1,Jan_Dim1+19,Jan_Dim1+26)</f>
        <v>42027</v>
      </c>
      <c r="F8" s="68">
        <f>IF(DAY(Jan_Dim1)=1,Jan_Dim1+20,Jan_Dim1+27)</f>
        <v>42028</v>
      </c>
      <c r="G8" s="69">
        <f>IF(DAY(Jan_Dim1)=1,Jan_Dim1+21,Jan_Dim1+28)</f>
        <v>42029</v>
      </c>
      <c r="H8" s="45" t="s">
        <v>31</v>
      </c>
      <c r="I8" s="29"/>
      <c r="J8" s="42"/>
      <c r="K8" s="67">
        <f>Février!B6</f>
        <v>42051</v>
      </c>
      <c r="L8" s="68">
        <f>Février!C6</f>
        <v>42052</v>
      </c>
      <c r="M8" s="68">
        <f>Février!D6</f>
        <v>42053</v>
      </c>
      <c r="N8" s="68">
        <f>Février!E6</f>
        <v>42054</v>
      </c>
      <c r="O8" s="68">
        <f>Février!F6</f>
        <v>42055</v>
      </c>
      <c r="P8" s="68">
        <f>Février!G6</f>
        <v>42056</v>
      </c>
      <c r="Q8" s="69">
        <f>Février!H6</f>
        <v>42057</v>
      </c>
      <c r="R8" s="45" t="s">
        <v>56</v>
      </c>
      <c r="S8" s="29"/>
      <c r="U8" s="67">
        <f>Mars!B6</f>
        <v>42079</v>
      </c>
      <c r="V8" s="68">
        <f>Mars!C6</f>
        <v>42080</v>
      </c>
      <c r="W8" s="68">
        <f>Mars!D6</f>
        <v>42081</v>
      </c>
      <c r="X8" s="68">
        <f>Mars!E6</f>
        <v>42082</v>
      </c>
      <c r="Y8" s="68">
        <f>Mars!F6</f>
        <v>42083</v>
      </c>
      <c r="Z8" s="68">
        <f>Mars!G6</f>
        <v>42084</v>
      </c>
      <c r="AA8" s="69">
        <f>Mars!H6</f>
        <v>42085</v>
      </c>
      <c r="AB8" s="45" t="s">
        <v>79</v>
      </c>
      <c r="AC8" s="29"/>
    </row>
    <row r="9" spans="1:29" ht="13.8" x14ac:dyDescent="0.25">
      <c r="A9" s="67">
        <f>IF(DAY(Jan_Dim1)=1,Jan_Dim1+22,Jan_Dim1+29)</f>
        <v>42030</v>
      </c>
      <c r="B9" s="68">
        <f>IF(DAY(Jan_Dim1)=1,Jan_Dim1+23,Jan_Dim1+30)</f>
        <v>42031</v>
      </c>
      <c r="C9" s="68">
        <f>IF(DAY(Jan_Dim1)=1,Jan_Dim1+24,Jan_Dim1+31)</f>
        <v>42032</v>
      </c>
      <c r="D9" s="68">
        <f>IF(DAY(Jan_Dim1)=1,Jan_Dim1+25,Jan_Dim1+32)</f>
        <v>42033</v>
      </c>
      <c r="E9" s="68">
        <f>IF(DAY(Jan_Dim1)=1,Jan_Dim1+26,Jan_Dim1+33)</f>
        <v>42034</v>
      </c>
      <c r="F9" s="68">
        <f>IF(DAY(Jan_Dim1)=1,Jan_Dim1+27,Jan_Dim1+34)</f>
        <v>42035</v>
      </c>
      <c r="G9" s="69">
        <f>IF(DAY(Jan_Dim1)=1,Jan_Dim1+28,Jan_Dim1+35)</f>
        <v>42036</v>
      </c>
      <c r="H9" s="45" t="s">
        <v>28</v>
      </c>
      <c r="I9" s="29"/>
      <c r="J9" s="42"/>
      <c r="K9" s="67">
        <f>Février!B7</f>
        <v>42058</v>
      </c>
      <c r="L9" s="68">
        <f>Février!C7</f>
        <v>42059</v>
      </c>
      <c r="M9" s="68">
        <f>Février!D7</f>
        <v>42060</v>
      </c>
      <c r="N9" s="68">
        <f>Février!E7</f>
        <v>42061</v>
      </c>
      <c r="O9" s="68">
        <f>Février!F7</f>
        <v>42062</v>
      </c>
      <c r="P9" s="68">
        <f>Février!G7</f>
        <v>42063</v>
      </c>
      <c r="Q9" s="69">
        <f>Février!H7</f>
        <v>42064</v>
      </c>
      <c r="R9" s="45" t="s">
        <v>57</v>
      </c>
      <c r="S9" s="29"/>
      <c r="U9" s="67">
        <f>Mars!B7</f>
        <v>42086</v>
      </c>
      <c r="V9" s="68">
        <f>Mars!C7</f>
        <v>42087</v>
      </c>
      <c r="W9" s="68">
        <f>Mars!D7</f>
        <v>42088</v>
      </c>
      <c r="X9" s="68">
        <f>Mars!E7</f>
        <v>42089</v>
      </c>
      <c r="Y9" s="68">
        <f>Mars!F7</f>
        <v>42090</v>
      </c>
      <c r="Z9" s="68">
        <f>Mars!G7</f>
        <v>42091</v>
      </c>
      <c r="AA9" s="69">
        <f>Mars!H7</f>
        <v>42092</v>
      </c>
      <c r="AB9" s="45" t="s">
        <v>80</v>
      </c>
      <c r="AC9" s="29"/>
    </row>
    <row r="10" spans="1:29" ht="14.4" thickBot="1" x14ac:dyDescent="0.3">
      <c r="A10" s="70">
        <f>IF(DAY(Jan_Dim1)=1,Jan_Dim1+29,Jan_Dim1+36)</f>
        <v>42037</v>
      </c>
      <c r="B10" s="71">
        <f>IF(DAY(Jan_Dim1)=1,Jan_Dim1+30,Jan_Dim1+37)</f>
        <v>42038</v>
      </c>
      <c r="C10" s="71">
        <f>IF(DAY(Jan_Dim1)=1,Jan_Dim1+31,Jan_Dim1+38)</f>
        <v>42039</v>
      </c>
      <c r="D10" s="71">
        <f>IF(DAY(Jan_Dim1)=1,Jan_Dim1+32,Jan_Dim1+39)</f>
        <v>42040</v>
      </c>
      <c r="E10" s="71">
        <f>IF(DAY(Jan_Dim1)=1,Jan_Dim1+33,Jan_Dim1+40)</f>
        <v>42041</v>
      </c>
      <c r="F10" s="71">
        <f>IF(DAY(Jan_Dim1)=1,Jan_Dim1+34,Jan_Dim1+41)</f>
        <v>42042</v>
      </c>
      <c r="G10" s="72">
        <f>IF(DAY(Jan_Dim1)=1,Jan_Dim1+35,Jan_Dim1+42)</f>
        <v>42043</v>
      </c>
      <c r="H10" s="45" t="s">
        <v>32</v>
      </c>
      <c r="I10" s="29"/>
      <c r="J10" s="42"/>
      <c r="K10" s="73"/>
      <c r="L10" s="74"/>
      <c r="M10" s="74"/>
      <c r="N10" s="74"/>
      <c r="O10" s="74"/>
      <c r="P10" s="74"/>
      <c r="Q10" s="75"/>
      <c r="R10" s="45"/>
      <c r="S10" s="29"/>
      <c r="U10" s="70">
        <f>Mars!B8</f>
        <v>42093</v>
      </c>
      <c r="V10" s="71">
        <f>Mars!C8</f>
        <v>42094</v>
      </c>
      <c r="W10" s="71">
        <f>Mars!D8</f>
        <v>42095</v>
      </c>
      <c r="X10" s="71">
        <f>Mars!E8</f>
        <v>42096</v>
      </c>
      <c r="Y10" s="71">
        <f>Mars!F8</f>
        <v>42097</v>
      </c>
      <c r="Z10" s="71">
        <f>Mars!G8</f>
        <v>42098</v>
      </c>
      <c r="AA10" s="72">
        <f>Mars!H8</f>
        <v>42099</v>
      </c>
      <c r="AB10" s="45" t="s">
        <v>81</v>
      </c>
      <c r="AC10" s="29"/>
    </row>
    <row r="11" spans="1:29" ht="14.4" thickTop="1" thickBot="1" x14ac:dyDescent="0.3">
      <c r="H11" s="56"/>
      <c r="I11" s="57"/>
      <c r="J11" s="42"/>
      <c r="R11" s="56"/>
      <c r="S11" s="57"/>
      <c r="AB11" s="56"/>
      <c r="AC11" s="57"/>
    </row>
    <row r="12" spans="1:29" ht="18.600000000000001" thickTop="1" thickBot="1" x14ac:dyDescent="0.3">
      <c r="A12" s="91" t="s">
        <v>9</v>
      </c>
      <c r="B12" s="92"/>
      <c r="C12" s="92"/>
      <c r="D12" s="92"/>
      <c r="E12" s="92"/>
      <c r="F12" s="92"/>
      <c r="G12" s="93"/>
      <c r="H12" s="40"/>
      <c r="I12" s="41"/>
      <c r="J12" s="42"/>
      <c r="K12" s="91" t="s">
        <v>10</v>
      </c>
      <c r="L12" s="92"/>
      <c r="M12" s="92"/>
      <c r="N12" s="92"/>
      <c r="O12" s="92"/>
      <c r="P12" s="92"/>
      <c r="Q12" s="93"/>
      <c r="R12" s="40"/>
      <c r="S12" s="41"/>
      <c r="U12" s="91" t="s">
        <v>11</v>
      </c>
      <c r="V12" s="92"/>
      <c r="W12" s="92"/>
      <c r="X12" s="92"/>
      <c r="Y12" s="92"/>
      <c r="Z12" s="92"/>
      <c r="AA12" s="93"/>
      <c r="AB12" s="40"/>
      <c r="AC12" s="41"/>
    </row>
    <row r="13" spans="1:29" ht="14.4" thickTop="1" thickBot="1" x14ac:dyDescent="0.3">
      <c r="A13" s="4" t="s">
        <v>2</v>
      </c>
      <c r="B13" s="5" t="s">
        <v>1</v>
      </c>
      <c r="C13" s="5" t="s">
        <v>1</v>
      </c>
      <c r="D13" s="5" t="s">
        <v>3</v>
      </c>
      <c r="E13" s="5" t="s">
        <v>4</v>
      </c>
      <c r="F13" s="6" t="s">
        <v>0</v>
      </c>
      <c r="G13" s="7" t="s">
        <v>5</v>
      </c>
      <c r="H13" s="43"/>
      <c r="I13" s="44"/>
      <c r="J13" s="42"/>
      <c r="K13" s="4" t="s">
        <v>2</v>
      </c>
      <c r="L13" s="5" t="s">
        <v>1</v>
      </c>
      <c r="M13" s="5" t="s">
        <v>1</v>
      </c>
      <c r="N13" s="5" t="s">
        <v>3</v>
      </c>
      <c r="O13" s="5" t="s">
        <v>4</v>
      </c>
      <c r="P13" s="6" t="s">
        <v>0</v>
      </c>
      <c r="Q13" s="7" t="s">
        <v>5</v>
      </c>
      <c r="R13" s="43"/>
      <c r="S13" s="44"/>
      <c r="U13" s="30" t="s">
        <v>2</v>
      </c>
      <c r="V13" s="31" t="s">
        <v>1</v>
      </c>
      <c r="W13" s="31" t="s">
        <v>1</v>
      </c>
      <c r="X13" s="31" t="s">
        <v>3</v>
      </c>
      <c r="Y13" s="31" t="s">
        <v>4</v>
      </c>
      <c r="Z13" s="32" t="s">
        <v>0</v>
      </c>
      <c r="AA13" s="33" t="s">
        <v>5</v>
      </c>
      <c r="AB13" s="43"/>
      <c r="AC13" s="44"/>
    </row>
    <row r="14" spans="1:29" ht="14.4" thickTop="1" x14ac:dyDescent="0.25">
      <c r="A14" s="67">
        <f>Avril!B3</f>
        <v>42093</v>
      </c>
      <c r="B14" s="68">
        <f>Avril!C3</f>
        <v>42094</v>
      </c>
      <c r="C14" s="68">
        <f>Avril!D3</f>
        <v>42095</v>
      </c>
      <c r="D14" s="68">
        <f>Avril!E3</f>
        <v>42096</v>
      </c>
      <c r="E14" s="68">
        <f>Avril!F3</f>
        <v>42097</v>
      </c>
      <c r="F14" s="68">
        <f>Avril!G3</f>
        <v>42098</v>
      </c>
      <c r="G14" s="69">
        <f>Avril!H3</f>
        <v>42099</v>
      </c>
      <c r="H14" s="45" t="s">
        <v>33</v>
      </c>
      <c r="I14" s="29"/>
      <c r="J14" s="42"/>
      <c r="K14" s="67">
        <f>Mai!B3</f>
        <v>42121</v>
      </c>
      <c r="L14" s="68">
        <f>Mai!C3</f>
        <v>42122</v>
      </c>
      <c r="M14" s="68">
        <f>Mai!D3</f>
        <v>42123</v>
      </c>
      <c r="N14" s="68">
        <f>Mai!E3</f>
        <v>42124</v>
      </c>
      <c r="O14" s="68">
        <f>Mai!F3</f>
        <v>42125</v>
      </c>
      <c r="P14" s="68">
        <f>Mai!G3</f>
        <v>42126</v>
      </c>
      <c r="Q14" s="69">
        <f>Mai!H3</f>
        <v>42127</v>
      </c>
      <c r="R14" s="45" t="s">
        <v>58</v>
      </c>
      <c r="S14" s="29"/>
      <c r="U14" s="76">
        <f>Juin!B3</f>
        <v>42156</v>
      </c>
      <c r="V14" s="77">
        <f>Juin!C3</f>
        <v>42157</v>
      </c>
      <c r="W14" s="77">
        <f>Juin!D3</f>
        <v>42158</v>
      </c>
      <c r="X14" s="77">
        <f>Juin!E3</f>
        <v>42159</v>
      </c>
      <c r="Y14" s="77">
        <f>Juin!F3</f>
        <v>42160</v>
      </c>
      <c r="Z14" s="77">
        <f>Juin!G3</f>
        <v>42161</v>
      </c>
      <c r="AA14" s="78">
        <f>Juin!H3</f>
        <v>42162</v>
      </c>
      <c r="AB14" s="45" t="s">
        <v>82</v>
      </c>
      <c r="AC14" s="29"/>
    </row>
    <row r="15" spans="1:29" ht="13.8" x14ac:dyDescent="0.25">
      <c r="A15" s="67">
        <f>Avril!B4</f>
        <v>42100</v>
      </c>
      <c r="B15" s="68">
        <f>Avril!C4</f>
        <v>42101</v>
      </c>
      <c r="C15" s="68">
        <f>Avril!D4</f>
        <v>42102</v>
      </c>
      <c r="D15" s="68">
        <f>Avril!E4</f>
        <v>42103</v>
      </c>
      <c r="E15" s="68">
        <f>Avril!F4</f>
        <v>42104</v>
      </c>
      <c r="F15" s="68">
        <f>Avril!G4</f>
        <v>42105</v>
      </c>
      <c r="G15" s="69">
        <f>Avril!H4</f>
        <v>42106</v>
      </c>
      <c r="H15" s="45" t="s">
        <v>34</v>
      </c>
      <c r="I15" s="29"/>
      <c r="J15" s="42"/>
      <c r="K15" s="67">
        <f>Mai!B4</f>
        <v>42128</v>
      </c>
      <c r="L15" s="68">
        <f>Mai!C4</f>
        <v>42129</v>
      </c>
      <c r="M15" s="68">
        <f>Mai!D4</f>
        <v>42130</v>
      </c>
      <c r="N15" s="68">
        <f>Mai!E4</f>
        <v>42131</v>
      </c>
      <c r="O15" s="68">
        <f>Mai!F4</f>
        <v>42132</v>
      </c>
      <c r="P15" s="68">
        <f>Mai!G4</f>
        <v>42133</v>
      </c>
      <c r="Q15" s="69">
        <f>Mai!H4</f>
        <v>42134</v>
      </c>
      <c r="R15" s="45" t="s">
        <v>59</v>
      </c>
      <c r="S15" s="29"/>
      <c r="U15" s="67">
        <f>Juin!B4</f>
        <v>42163</v>
      </c>
      <c r="V15" s="68">
        <f>Juin!C4</f>
        <v>42164</v>
      </c>
      <c r="W15" s="68">
        <f>Juin!D4</f>
        <v>42165</v>
      </c>
      <c r="X15" s="68">
        <f>Juin!E4</f>
        <v>42166</v>
      </c>
      <c r="Y15" s="68">
        <f>Juin!F4</f>
        <v>42167</v>
      </c>
      <c r="Z15" s="68">
        <f>Juin!G4</f>
        <v>42168</v>
      </c>
      <c r="AA15" s="69">
        <f>Juin!H4</f>
        <v>42169</v>
      </c>
      <c r="AB15" s="45" t="s">
        <v>83</v>
      </c>
      <c r="AC15" s="29"/>
    </row>
    <row r="16" spans="1:29" ht="13.8" x14ac:dyDescent="0.25">
      <c r="A16" s="67">
        <f>Avril!B5</f>
        <v>42107</v>
      </c>
      <c r="B16" s="68">
        <f>Avril!C5</f>
        <v>42108</v>
      </c>
      <c r="C16" s="68">
        <f>Avril!D5</f>
        <v>42109</v>
      </c>
      <c r="D16" s="68">
        <f>Avril!E5</f>
        <v>42110</v>
      </c>
      <c r="E16" s="68">
        <f>Avril!F5</f>
        <v>42111</v>
      </c>
      <c r="F16" s="68">
        <f>Avril!G5</f>
        <v>42112</v>
      </c>
      <c r="G16" s="69">
        <f>Avril!H5</f>
        <v>42113</v>
      </c>
      <c r="H16" s="45" t="s">
        <v>35</v>
      </c>
      <c r="I16" s="29"/>
      <c r="J16" s="42"/>
      <c r="K16" s="67">
        <f>Mai!B5</f>
        <v>42135</v>
      </c>
      <c r="L16" s="68">
        <f>Mai!C5</f>
        <v>42136</v>
      </c>
      <c r="M16" s="68">
        <f>Mai!D5</f>
        <v>42137</v>
      </c>
      <c r="N16" s="68">
        <f>Mai!E5</f>
        <v>42138</v>
      </c>
      <c r="O16" s="68">
        <f>Mai!F5</f>
        <v>42139</v>
      </c>
      <c r="P16" s="68">
        <f>Mai!G5</f>
        <v>42140</v>
      </c>
      <c r="Q16" s="69">
        <f>Mai!H5</f>
        <v>42141</v>
      </c>
      <c r="R16" s="45" t="s">
        <v>60</v>
      </c>
      <c r="S16" s="29"/>
      <c r="U16" s="67">
        <f>Juin!B5</f>
        <v>42170</v>
      </c>
      <c r="V16" s="68">
        <f>Juin!C5</f>
        <v>42171</v>
      </c>
      <c r="W16" s="68">
        <f>Juin!D5</f>
        <v>42172</v>
      </c>
      <c r="X16" s="68">
        <f>Juin!E5</f>
        <v>42173</v>
      </c>
      <c r="Y16" s="68">
        <f>Juin!F5</f>
        <v>42174</v>
      </c>
      <c r="Z16" s="68">
        <f>Juin!G5</f>
        <v>42175</v>
      </c>
      <c r="AA16" s="69">
        <f>Juin!H5</f>
        <v>42176</v>
      </c>
      <c r="AB16" s="45" t="s">
        <v>84</v>
      </c>
      <c r="AC16" s="29"/>
    </row>
    <row r="17" spans="1:29" ht="13.8" x14ac:dyDescent="0.25">
      <c r="A17" s="67">
        <f>Avril!B6</f>
        <v>42114</v>
      </c>
      <c r="B17" s="68">
        <f>Avril!C6</f>
        <v>42115</v>
      </c>
      <c r="C17" s="68">
        <f>Avril!D6</f>
        <v>42116</v>
      </c>
      <c r="D17" s="68">
        <f>Avril!E6</f>
        <v>42117</v>
      </c>
      <c r="E17" s="68">
        <f>Avril!F6</f>
        <v>42118</v>
      </c>
      <c r="F17" s="68">
        <f>Avril!G6</f>
        <v>42119</v>
      </c>
      <c r="G17" s="69">
        <f>Avril!H6</f>
        <v>42120</v>
      </c>
      <c r="H17" s="45" t="s">
        <v>36</v>
      </c>
      <c r="I17" s="29"/>
      <c r="J17" s="42"/>
      <c r="K17" s="67">
        <f>Mai!B6</f>
        <v>42142</v>
      </c>
      <c r="L17" s="68">
        <f>Mai!C6</f>
        <v>42143</v>
      </c>
      <c r="M17" s="68">
        <f>Mai!D6</f>
        <v>42144</v>
      </c>
      <c r="N17" s="68">
        <f>Mai!E6</f>
        <v>42145</v>
      </c>
      <c r="O17" s="68">
        <f>Mai!F6</f>
        <v>42146</v>
      </c>
      <c r="P17" s="68">
        <f>Mai!G6</f>
        <v>42147</v>
      </c>
      <c r="Q17" s="69">
        <f>Mai!H6</f>
        <v>42148</v>
      </c>
      <c r="R17" s="45" t="s">
        <v>61</v>
      </c>
      <c r="S17" s="29"/>
      <c r="U17" s="67">
        <f>Juin!B6</f>
        <v>42177</v>
      </c>
      <c r="V17" s="68">
        <f>Juin!C6</f>
        <v>42178</v>
      </c>
      <c r="W17" s="68">
        <f>Juin!D6</f>
        <v>42179</v>
      </c>
      <c r="X17" s="68">
        <f>Juin!E6</f>
        <v>42180</v>
      </c>
      <c r="Y17" s="68">
        <f>Juin!F6</f>
        <v>42181</v>
      </c>
      <c r="Z17" s="68">
        <f>Juin!G6</f>
        <v>42182</v>
      </c>
      <c r="AA17" s="69">
        <f>Juin!H6</f>
        <v>42183</v>
      </c>
      <c r="AB17" s="45" t="s">
        <v>85</v>
      </c>
      <c r="AC17" s="29"/>
    </row>
    <row r="18" spans="1:29" ht="13.8" x14ac:dyDescent="0.25">
      <c r="A18" s="67">
        <f>Avril!B7</f>
        <v>42121</v>
      </c>
      <c r="B18" s="68">
        <f>Avril!C7</f>
        <v>42122</v>
      </c>
      <c r="C18" s="68">
        <f>Avril!D7</f>
        <v>42123</v>
      </c>
      <c r="D18" s="68">
        <f>Avril!E7</f>
        <v>42124</v>
      </c>
      <c r="E18" s="68">
        <f>Avril!F7</f>
        <v>42125</v>
      </c>
      <c r="F18" s="68">
        <f>Avril!G7</f>
        <v>42126</v>
      </c>
      <c r="G18" s="69">
        <f>Avril!H7</f>
        <v>42127</v>
      </c>
      <c r="H18" s="45" t="s">
        <v>37</v>
      </c>
      <c r="I18" s="29"/>
      <c r="J18" s="42"/>
      <c r="K18" s="67">
        <f>Mai!B7</f>
        <v>42149</v>
      </c>
      <c r="L18" s="68">
        <f>Mai!C7</f>
        <v>42150</v>
      </c>
      <c r="M18" s="68">
        <f>Mai!D7</f>
        <v>42151</v>
      </c>
      <c r="N18" s="68">
        <f>Mai!E7</f>
        <v>42152</v>
      </c>
      <c r="O18" s="68">
        <f>Mai!F7</f>
        <v>42153</v>
      </c>
      <c r="P18" s="68">
        <f>Mai!G7</f>
        <v>42154</v>
      </c>
      <c r="Q18" s="69">
        <f>Mai!H7</f>
        <v>42155</v>
      </c>
      <c r="R18" s="45" t="s">
        <v>62</v>
      </c>
      <c r="S18" s="29"/>
      <c r="U18" s="67">
        <f>Juin!B7</f>
        <v>42184</v>
      </c>
      <c r="V18" s="68">
        <f>Juin!C7</f>
        <v>42185</v>
      </c>
      <c r="W18" s="68">
        <f>Juin!D7</f>
        <v>42186</v>
      </c>
      <c r="X18" s="68">
        <f>Juin!E7</f>
        <v>42187</v>
      </c>
      <c r="Y18" s="68">
        <f>Juin!F7</f>
        <v>42188</v>
      </c>
      <c r="Z18" s="68">
        <f>Juin!G7</f>
        <v>42189</v>
      </c>
      <c r="AA18" s="69">
        <f>Juin!H7</f>
        <v>42190</v>
      </c>
      <c r="AB18" s="45" t="s">
        <v>86</v>
      </c>
      <c r="AC18" s="29"/>
    </row>
    <row r="19" spans="1:29" ht="14.4" thickBot="1" x14ac:dyDescent="0.3">
      <c r="A19" s="70">
        <f>Avril!B8</f>
        <v>42128</v>
      </c>
      <c r="B19" s="71">
        <f>Avril!C8</f>
        <v>42129</v>
      </c>
      <c r="C19" s="71">
        <f>Avril!D8</f>
        <v>42130</v>
      </c>
      <c r="D19" s="71">
        <f>Avril!E8</f>
        <v>42131</v>
      </c>
      <c r="E19" s="71">
        <f>Avril!F8</f>
        <v>42132</v>
      </c>
      <c r="F19" s="71">
        <f>Avril!G8</f>
        <v>42133</v>
      </c>
      <c r="G19" s="72">
        <f>Avril!H8</f>
        <v>42134</v>
      </c>
      <c r="H19" s="45" t="s">
        <v>38</v>
      </c>
      <c r="I19" s="29"/>
      <c r="J19" s="42"/>
      <c r="K19" s="70">
        <f>Mai!B8</f>
        <v>42156</v>
      </c>
      <c r="L19" s="71">
        <f>Mai!C8</f>
        <v>42157</v>
      </c>
      <c r="M19" s="71">
        <f>Mai!D8</f>
        <v>42158</v>
      </c>
      <c r="N19" s="71">
        <f>Mai!E8</f>
        <v>42159</v>
      </c>
      <c r="O19" s="71">
        <f>Mai!F8</f>
        <v>42160</v>
      </c>
      <c r="P19" s="71">
        <f>Mai!G8</f>
        <v>42161</v>
      </c>
      <c r="Q19" s="72">
        <f>Mai!H8</f>
        <v>42162</v>
      </c>
      <c r="R19" s="45" t="s">
        <v>63</v>
      </c>
      <c r="S19" s="29"/>
      <c r="U19" s="70">
        <f>Juin!B8</f>
        <v>42191</v>
      </c>
      <c r="V19" s="71">
        <f>Juin!C8</f>
        <v>42192</v>
      </c>
      <c r="W19" s="71">
        <f>Juin!D8</f>
        <v>42193</v>
      </c>
      <c r="X19" s="71">
        <f>Juin!E8</f>
        <v>42194</v>
      </c>
      <c r="Y19" s="71">
        <f>Juin!F8</f>
        <v>42195</v>
      </c>
      <c r="Z19" s="71">
        <f>Juin!G8</f>
        <v>42196</v>
      </c>
      <c r="AA19" s="72">
        <f>Juin!H8</f>
        <v>42197</v>
      </c>
      <c r="AB19" s="45" t="s">
        <v>87</v>
      </c>
      <c r="AC19" s="29"/>
    </row>
    <row r="20" spans="1:29" ht="14.4" thickTop="1" thickBot="1" x14ac:dyDescent="0.3">
      <c r="H20" s="56"/>
      <c r="I20" s="57"/>
      <c r="J20" s="42"/>
      <c r="R20" s="56"/>
      <c r="S20" s="57"/>
      <c r="AB20" s="56"/>
      <c r="AC20" s="57"/>
    </row>
    <row r="21" spans="1:29" ht="18.600000000000001" thickTop="1" thickBot="1" x14ac:dyDescent="0.3">
      <c r="A21" s="91" t="s">
        <v>12</v>
      </c>
      <c r="B21" s="92"/>
      <c r="C21" s="92"/>
      <c r="D21" s="92"/>
      <c r="E21" s="92"/>
      <c r="F21" s="92"/>
      <c r="G21" s="93"/>
      <c r="H21" s="40"/>
      <c r="I21" s="41"/>
      <c r="J21" s="42"/>
      <c r="K21" s="91" t="s">
        <v>13</v>
      </c>
      <c r="L21" s="92"/>
      <c r="M21" s="92"/>
      <c r="N21" s="92"/>
      <c r="O21" s="92"/>
      <c r="P21" s="92"/>
      <c r="Q21" s="93"/>
      <c r="R21" s="40"/>
      <c r="S21" s="41"/>
      <c r="U21" s="91" t="s">
        <v>14</v>
      </c>
      <c r="V21" s="92"/>
      <c r="W21" s="92"/>
      <c r="X21" s="92"/>
      <c r="Y21" s="92"/>
      <c r="Z21" s="92"/>
      <c r="AA21" s="93"/>
      <c r="AB21" s="40"/>
      <c r="AC21" s="41"/>
    </row>
    <row r="22" spans="1:29" ht="14.4" thickTop="1" x14ac:dyDescent="0.25">
      <c r="A22" s="34" t="s">
        <v>2</v>
      </c>
      <c r="B22" s="35" t="s">
        <v>1</v>
      </c>
      <c r="C22" s="35" t="s">
        <v>1</v>
      </c>
      <c r="D22" s="35" t="s">
        <v>3</v>
      </c>
      <c r="E22" s="35" t="s">
        <v>4</v>
      </c>
      <c r="F22" s="36" t="s">
        <v>0</v>
      </c>
      <c r="G22" s="37" t="s">
        <v>5</v>
      </c>
      <c r="H22" s="46"/>
      <c r="I22" s="47"/>
      <c r="J22" s="42"/>
      <c r="K22" s="34" t="s">
        <v>2</v>
      </c>
      <c r="L22" s="35" t="s">
        <v>1</v>
      </c>
      <c r="M22" s="35" t="s">
        <v>1</v>
      </c>
      <c r="N22" s="35" t="s">
        <v>3</v>
      </c>
      <c r="O22" s="35" t="s">
        <v>4</v>
      </c>
      <c r="P22" s="36" t="s">
        <v>0</v>
      </c>
      <c r="Q22" s="37" t="s">
        <v>5</v>
      </c>
      <c r="R22" s="46"/>
      <c r="S22" s="47"/>
      <c r="U22" s="34" t="s">
        <v>2</v>
      </c>
      <c r="V22" s="35" t="s">
        <v>1</v>
      </c>
      <c r="W22" s="35" t="s">
        <v>1</v>
      </c>
      <c r="X22" s="35" t="s">
        <v>3</v>
      </c>
      <c r="Y22" s="35" t="s">
        <v>4</v>
      </c>
      <c r="Z22" s="36" t="s">
        <v>0</v>
      </c>
      <c r="AA22" s="37" t="s">
        <v>5</v>
      </c>
      <c r="AB22" s="46"/>
      <c r="AC22" s="47"/>
    </row>
    <row r="23" spans="1:29" ht="15.6" x14ac:dyDescent="0.25">
      <c r="A23" s="61">
        <v>42184</v>
      </c>
      <c r="B23" s="62">
        <v>42185</v>
      </c>
      <c r="C23" s="62">
        <v>42186</v>
      </c>
      <c r="D23" s="62">
        <v>42187</v>
      </c>
      <c r="E23" s="62">
        <v>42188</v>
      </c>
      <c r="F23" s="62">
        <v>42189</v>
      </c>
      <c r="G23" s="63">
        <v>42190</v>
      </c>
      <c r="H23" s="45" t="s">
        <v>39</v>
      </c>
      <c r="I23" s="48"/>
      <c r="J23" s="49"/>
      <c r="K23" s="61">
        <v>42212</v>
      </c>
      <c r="L23" s="62">
        <v>42213</v>
      </c>
      <c r="M23" s="62">
        <v>42214</v>
      </c>
      <c r="N23" s="62">
        <v>42215</v>
      </c>
      <c r="O23" s="62">
        <v>42216</v>
      </c>
      <c r="P23" s="62">
        <v>42217</v>
      </c>
      <c r="Q23" s="63">
        <v>42218</v>
      </c>
      <c r="R23" s="45" t="s">
        <v>64</v>
      </c>
      <c r="S23" s="48"/>
      <c r="T23" s="38"/>
      <c r="U23" s="61">
        <v>42247</v>
      </c>
      <c r="V23" s="62">
        <v>42248</v>
      </c>
      <c r="W23" s="62">
        <v>42249</v>
      </c>
      <c r="X23" s="62">
        <v>42250</v>
      </c>
      <c r="Y23" s="62">
        <v>42251</v>
      </c>
      <c r="Z23" s="62">
        <v>42252</v>
      </c>
      <c r="AA23" s="63">
        <v>42253</v>
      </c>
      <c r="AB23" s="45" t="s">
        <v>88</v>
      </c>
      <c r="AC23" s="48"/>
    </row>
    <row r="24" spans="1:29" ht="15.6" x14ac:dyDescent="0.25">
      <c r="A24" s="61">
        <v>42191</v>
      </c>
      <c r="B24" s="62">
        <v>42192</v>
      </c>
      <c r="C24" s="62">
        <v>42193</v>
      </c>
      <c r="D24" s="62">
        <v>42194</v>
      </c>
      <c r="E24" s="62">
        <v>42195</v>
      </c>
      <c r="F24" s="62">
        <v>42196</v>
      </c>
      <c r="G24" s="63">
        <v>42197</v>
      </c>
      <c r="H24" s="45" t="s">
        <v>42</v>
      </c>
      <c r="I24" s="48"/>
      <c r="J24" s="49"/>
      <c r="K24" s="61">
        <v>42219</v>
      </c>
      <c r="L24" s="62">
        <v>42220</v>
      </c>
      <c r="M24" s="62">
        <v>42221</v>
      </c>
      <c r="N24" s="62">
        <v>42222</v>
      </c>
      <c r="O24" s="62">
        <v>42223</v>
      </c>
      <c r="P24" s="62">
        <v>42224</v>
      </c>
      <c r="Q24" s="63">
        <v>42225</v>
      </c>
      <c r="R24" s="45" t="s">
        <v>65</v>
      </c>
      <c r="S24" s="48"/>
      <c r="T24" s="38"/>
      <c r="U24" s="61">
        <v>42254</v>
      </c>
      <c r="V24" s="62">
        <v>42255</v>
      </c>
      <c r="W24" s="62">
        <v>42256</v>
      </c>
      <c r="X24" s="62">
        <v>42257</v>
      </c>
      <c r="Y24" s="62">
        <v>42258</v>
      </c>
      <c r="Z24" s="62">
        <v>42259</v>
      </c>
      <c r="AA24" s="63">
        <v>42260</v>
      </c>
      <c r="AB24" s="45" t="s">
        <v>89</v>
      </c>
      <c r="AC24" s="48"/>
    </row>
    <row r="25" spans="1:29" ht="15.6" x14ac:dyDescent="0.25">
      <c r="A25" s="61">
        <v>42198</v>
      </c>
      <c r="B25" s="62">
        <v>42199</v>
      </c>
      <c r="C25" s="62">
        <v>42200</v>
      </c>
      <c r="D25" s="62">
        <v>42201</v>
      </c>
      <c r="E25" s="62">
        <v>42202</v>
      </c>
      <c r="F25" s="62">
        <v>42203</v>
      </c>
      <c r="G25" s="63">
        <v>42204</v>
      </c>
      <c r="H25" s="45" t="s">
        <v>43</v>
      </c>
      <c r="I25" s="48"/>
      <c r="J25" s="49"/>
      <c r="K25" s="61">
        <v>42226</v>
      </c>
      <c r="L25" s="62">
        <v>42227</v>
      </c>
      <c r="M25" s="62">
        <v>42228</v>
      </c>
      <c r="N25" s="62">
        <v>42229</v>
      </c>
      <c r="O25" s="62">
        <v>42230</v>
      </c>
      <c r="P25" s="62">
        <v>42231</v>
      </c>
      <c r="Q25" s="63">
        <v>42232</v>
      </c>
      <c r="R25" s="45" t="s">
        <v>66</v>
      </c>
      <c r="S25" s="48"/>
      <c r="T25" s="38"/>
      <c r="U25" s="61">
        <v>42261</v>
      </c>
      <c r="V25" s="62">
        <v>42262</v>
      </c>
      <c r="W25" s="62">
        <v>42263</v>
      </c>
      <c r="X25" s="62">
        <v>42264</v>
      </c>
      <c r="Y25" s="62">
        <v>42265</v>
      </c>
      <c r="Z25" s="62">
        <v>42266</v>
      </c>
      <c r="AA25" s="63">
        <v>42267</v>
      </c>
      <c r="AB25" s="45" t="s">
        <v>90</v>
      </c>
      <c r="AC25" s="48"/>
    </row>
    <row r="26" spans="1:29" ht="15.6" x14ac:dyDescent="0.25">
      <c r="A26" s="61">
        <v>42205</v>
      </c>
      <c r="B26" s="62">
        <v>42206</v>
      </c>
      <c r="C26" s="62">
        <v>42207</v>
      </c>
      <c r="D26" s="62">
        <v>42208</v>
      </c>
      <c r="E26" s="62">
        <v>42209</v>
      </c>
      <c r="F26" s="62">
        <v>42210</v>
      </c>
      <c r="G26" s="63">
        <v>42211</v>
      </c>
      <c r="H26" s="45" t="s">
        <v>44</v>
      </c>
      <c r="I26" s="48"/>
      <c r="J26" s="49"/>
      <c r="K26" s="61">
        <v>42233</v>
      </c>
      <c r="L26" s="62">
        <v>42234</v>
      </c>
      <c r="M26" s="62">
        <v>42235</v>
      </c>
      <c r="N26" s="62">
        <v>42236</v>
      </c>
      <c r="O26" s="62">
        <v>42237</v>
      </c>
      <c r="P26" s="62">
        <v>42238</v>
      </c>
      <c r="Q26" s="63">
        <v>42239</v>
      </c>
      <c r="R26" s="45" t="s">
        <v>67</v>
      </c>
      <c r="S26" s="48"/>
      <c r="T26" s="38"/>
      <c r="U26" s="61">
        <v>42268</v>
      </c>
      <c r="V26" s="62">
        <v>42269</v>
      </c>
      <c r="W26" s="62">
        <v>42270</v>
      </c>
      <c r="X26" s="62">
        <v>42271</v>
      </c>
      <c r="Y26" s="62">
        <v>42272</v>
      </c>
      <c r="Z26" s="62">
        <v>42273</v>
      </c>
      <c r="AA26" s="63">
        <v>42274</v>
      </c>
      <c r="AB26" s="45" t="s">
        <v>91</v>
      </c>
      <c r="AC26" s="48"/>
    </row>
    <row r="27" spans="1:29" ht="15.6" x14ac:dyDescent="0.25">
      <c r="A27" s="61">
        <v>42212</v>
      </c>
      <c r="B27" s="62">
        <v>42213</v>
      </c>
      <c r="C27" s="62">
        <v>42214</v>
      </c>
      <c r="D27" s="62">
        <v>42215</v>
      </c>
      <c r="E27" s="62">
        <v>42216</v>
      </c>
      <c r="F27" s="62">
        <v>42217</v>
      </c>
      <c r="G27" s="63">
        <v>42218</v>
      </c>
      <c r="H27" s="45" t="s">
        <v>45</v>
      </c>
      <c r="I27" s="48"/>
      <c r="J27" s="49"/>
      <c r="K27" s="61">
        <v>42240</v>
      </c>
      <c r="L27" s="62">
        <v>42241</v>
      </c>
      <c r="M27" s="62">
        <v>42242</v>
      </c>
      <c r="N27" s="62">
        <v>42243</v>
      </c>
      <c r="O27" s="62">
        <v>42244</v>
      </c>
      <c r="P27" s="62">
        <v>42245</v>
      </c>
      <c r="Q27" s="63">
        <v>42246</v>
      </c>
      <c r="R27" s="45" t="s">
        <v>68</v>
      </c>
      <c r="S27" s="48"/>
      <c r="T27" s="38"/>
      <c r="U27" s="61">
        <v>42275</v>
      </c>
      <c r="V27" s="62">
        <v>42276</v>
      </c>
      <c r="W27" s="62">
        <v>42277</v>
      </c>
      <c r="X27" s="62">
        <v>42278</v>
      </c>
      <c r="Y27" s="62">
        <v>42279</v>
      </c>
      <c r="Z27" s="62">
        <v>42280</v>
      </c>
      <c r="AA27" s="63">
        <v>42281</v>
      </c>
      <c r="AB27" s="45" t="s">
        <v>92</v>
      </c>
      <c r="AC27" s="48"/>
    </row>
    <row r="28" spans="1:29" ht="16.2" thickBot="1" x14ac:dyDescent="0.3">
      <c r="A28" s="64">
        <v>42219</v>
      </c>
      <c r="B28" s="65">
        <v>42220</v>
      </c>
      <c r="C28" s="65">
        <v>42221</v>
      </c>
      <c r="D28" s="65">
        <v>42222</v>
      </c>
      <c r="E28" s="65">
        <v>42223</v>
      </c>
      <c r="F28" s="65">
        <v>42224</v>
      </c>
      <c r="G28" s="66">
        <v>42225</v>
      </c>
      <c r="H28" s="45" t="s">
        <v>46</v>
      </c>
      <c r="I28" s="48"/>
      <c r="J28" s="49"/>
      <c r="K28" s="64">
        <v>42247</v>
      </c>
      <c r="L28" s="65">
        <v>42248</v>
      </c>
      <c r="M28" s="65">
        <v>42249</v>
      </c>
      <c r="N28" s="65">
        <v>42250</v>
      </c>
      <c r="O28" s="65">
        <v>42251</v>
      </c>
      <c r="P28" s="65">
        <v>42252</v>
      </c>
      <c r="Q28" s="66">
        <v>42253</v>
      </c>
      <c r="R28" s="45" t="s">
        <v>69</v>
      </c>
      <c r="S28" s="48"/>
      <c r="T28" s="38"/>
      <c r="U28" s="64">
        <v>42282</v>
      </c>
      <c r="V28" s="65">
        <v>42283</v>
      </c>
      <c r="W28" s="65">
        <v>42284</v>
      </c>
      <c r="X28" s="65">
        <v>42285</v>
      </c>
      <c r="Y28" s="65">
        <v>42286</v>
      </c>
      <c r="Z28" s="65">
        <v>42287</v>
      </c>
      <c r="AA28" s="66">
        <v>42288</v>
      </c>
      <c r="AB28" s="45" t="s">
        <v>93</v>
      </c>
      <c r="AC28" s="48"/>
    </row>
    <row r="29" spans="1:29" ht="14.4" thickTop="1" thickBot="1" x14ac:dyDescent="0.3">
      <c r="A29" s="60"/>
      <c r="B29" s="60"/>
      <c r="C29" s="60"/>
      <c r="D29" s="60"/>
      <c r="E29" s="60"/>
      <c r="F29" s="60"/>
      <c r="G29" s="60"/>
      <c r="H29" s="56"/>
      <c r="I29" s="57"/>
      <c r="J29" s="42"/>
      <c r="R29" s="56"/>
      <c r="S29" s="57"/>
      <c r="AB29" s="56"/>
      <c r="AC29" s="57"/>
    </row>
    <row r="30" spans="1:29" ht="18.600000000000001" thickTop="1" thickBot="1" x14ac:dyDescent="0.3">
      <c r="A30" s="91" t="s">
        <v>15</v>
      </c>
      <c r="B30" s="92"/>
      <c r="C30" s="92"/>
      <c r="D30" s="92"/>
      <c r="E30" s="92"/>
      <c r="F30" s="92"/>
      <c r="G30" s="93"/>
      <c r="H30" s="40"/>
      <c r="I30" s="41"/>
      <c r="J30" s="42"/>
      <c r="K30" s="91" t="s">
        <v>16</v>
      </c>
      <c r="L30" s="92"/>
      <c r="M30" s="92"/>
      <c r="N30" s="92"/>
      <c r="O30" s="92"/>
      <c r="P30" s="92"/>
      <c r="Q30" s="93"/>
      <c r="R30" s="40"/>
      <c r="S30" s="41"/>
      <c r="U30" s="91" t="s">
        <v>17</v>
      </c>
      <c r="V30" s="92"/>
      <c r="W30" s="92"/>
      <c r="X30" s="92"/>
      <c r="Y30" s="92"/>
      <c r="Z30" s="92"/>
      <c r="AA30" s="93"/>
      <c r="AB30" s="40"/>
      <c r="AC30" s="41"/>
    </row>
    <row r="31" spans="1:29" ht="14.4" thickTop="1" x14ac:dyDescent="0.25">
      <c r="A31" s="34" t="s">
        <v>2</v>
      </c>
      <c r="B31" s="35" t="s">
        <v>1</v>
      </c>
      <c r="C31" s="35" t="s">
        <v>1</v>
      </c>
      <c r="D31" s="35" t="s">
        <v>3</v>
      </c>
      <c r="E31" s="35" t="s">
        <v>4</v>
      </c>
      <c r="F31" s="36" t="s">
        <v>0</v>
      </c>
      <c r="G31" s="37" t="s">
        <v>5</v>
      </c>
      <c r="H31" s="46"/>
      <c r="I31" s="47"/>
      <c r="J31" s="42"/>
      <c r="K31" s="34" t="s">
        <v>2</v>
      </c>
      <c r="L31" s="35" t="s">
        <v>1</v>
      </c>
      <c r="M31" s="35" t="s">
        <v>1</v>
      </c>
      <c r="N31" s="35" t="s">
        <v>3</v>
      </c>
      <c r="O31" s="35" t="s">
        <v>4</v>
      </c>
      <c r="P31" s="36" t="s">
        <v>0</v>
      </c>
      <c r="Q31" s="37" t="s">
        <v>5</v>
      </c>
      <c r="R31" s="46"/>
      <c r="S31" s="47"/>
      <c r="U31" s="34" t="s">
        <v>2</v>
      </c>
      <c r="V31" s="35" t="s">
        <v>1</v>
      </c>
      <c r="W31" s="35" t="s">
        <v>1</v>
      </c>
      <c r="X31" s="35" t="s">
        <v>3</v>
      </c>
      <c r="Y31" s="35" t="s">
        <v>4</v>
      </c>
      <c r="Z31" s="36" t="s">
        <v>0</v>
      </c>
      <c r="AA31" s="37" t="s">
        <v>5</v>
      </c>
      <c r="AB31" s="46"/>
      <c r="AC31" s="47"/>
    </row>
    <row r="32" spans="1:29" ht="15.6" x14ac:dyDescent="0.25">
      <c r="A32" s="61">
        <v>42275</v>
      </c>
      <c r="B32" s="62">
        <v>42276</v>
      </c>
      <c r="C32" s="62">
        <v>42277</v>
      </c>
      <c r="D32" s="62">
        <v>42278</v>
      </c>
      <c r="E32" s="62">
        <v>42279</v>
      </c>
      <c r="F32" s="62">
        <v>42280</v>
      </c>
      <c r="G32" s="63">
        <v>42281</v>
      </c>
      <c r="H32" s="50" t="s">
        <v>47</v>
      </c>
      <c r="I32" s="48"/>
      <c r="J32" s="49"/>
      <c r="K32" s="61">
        <v>42303</v>
      </c>
      <c r="L32" s="62">
        <v>42304</v>
      </c>
      <c r="M32" s="62">
        <v>42305</v>
      </c>
      <c r="N32" s="62">
        <v>42306</v>
      </c>
      <c r="O32" s="62">
        <v>42307</v>
      </c>
      <c r="P32" s="62">
        <v>42308</v>
      </c>
      <c r="Q32" s="63">
        <v>42309</v>
      </c>
      <c r="R32" s="50" t="s">
        <v>70</v>
      </c>
      <c r="S32" s="48"/>
      <c r="T32" s="38"/>
      <c r="U32" s="61">
        <v>42338</v>
      </c>
      <c r="V32" s="62">
        <v>42339</v>
      </c>
      <c r="W32" s="62">
        <v>42340</v>
      </c>
      <c r="X32" s="62">
        <v>42341</v>
      </c>
      <c r="Y32" s="62">
        <v>42342</v>
      </c>
      <c r="Z32" s="62">
        <v>42343</v>
      </c>
      <c r="AA32" s="63">
        <v>42344</v>
      </c>
      <c r="AB32" s="50" t="s">
        <v>94</v>
      </c>
      <c r="AC32" s="48"/>
    </row>
    <row r="33" spans="1:29" ht="15.6" x14ac:dyDescent="0.25">
      <c r="A33" s="61">
        <v>42282</v>
      </c>
      <c r="B33" s="62">
        <v>42283</v>
      </c>
      <c r="C33" s="62">
        <v>42284</v>
      </c>
      <c r="D33" s="62">
        <v>42285</v>
      </c>
      <c r="E33" s="62">
        <v>42286</v>
      </c>
      <c r="F33" s="62">
        <v>42287</v>
      </c>
      <c r="G33" s="63">
        <v>42288</v>
      </c>
      <c r="H33" s="50" t="s">
        <v>49</v>
      </c>
      <c r="I33" s="48"/>
      <c r="J33" s="49"/>
      <c r="K33" s="61">
        <v>42310</v>
      </c>
      <c r="L33" s="62">
        <v>42311</v>
      </c>
      <c r="M33" s="62">
        <v>42312</v>
      </c>
      <c r="N33" s="62">
        <v>42313</v>
      </c>
      <c r="O33" s="62">
        <v>42314</v>
      </c>
      <c r="P33" s="62">
        <v>42315</v>
      </c>
      <c r="Q33" s="63">
        <v>42316</v>
      </c>
      <c r="R33" s="50" t="s">
        <v>71</v>
      </c>
      <c r="S33" s="48"/>
      <c r="T33" s="38"/>
      <c r="U33" s="61">
        <v>42345</v>
      </c>
      <c r="V33" s="62">
        <v>42346</v>
      </c>
      <c r="W33" s="62">
        <v>42347</v>
      </c>
      <c r="X33" s="62">
        <v>42348</v>
      </c>
      <c r="Y33" s="62">
        <v>42349</v>
      </c>
      <c r="Z33" s="62">
        <v>42350</v>
      </c>
      <c r="AA33" s="63">
        <v>42351</v>
      </c>
      <c r="AB33" s="50" t="s">
        <v>95</v>
      </c>
      <c r="AC33" s="48"/>
    </row>
    <row r="34" spans="1:29" ht="15.6" x14ac:dyDescent="0.25">
      <c r="A34" s="61">
        <v>42289</v>
      </c>
      <c r="B34" s="62">
        <v>42290</v>
      </c>
      <c r="C34" s="62">
        <v>42291</v>
      </c>
      <c r="D34" s="62">
        <v>42292</v>
      </c>
      <c r="E34" s="62">
        <v>42293</v>
      </c>
      <c r="F34" s="62">
        <v>42294</v>
      </c>
      <c r="G34" s="63">
        <v>42295</v>
      </c>
      <c r="H34" s="50" t="s">
        <v>50</v>
      </c>
      <c r="I34" s="48"/>
      <c r="J34" s="49"/>
      <c r="K34" s="61">
        <v>42317</v>
      </c>
      <c r="L34" s="62">
        <v>42318</v>
      </c>
      <c r="M34" s="62">
        <v>42319</v>
      </c>
      <c r="N34" s="62">
        <v>42320</v>
      </c>
      <c r="O34" s="62">
        <v>42321</v>
      </c>
      <c r="P34" s="62">
        <v>42322</v>
      </c>
      <c r="Q34" s="63">
        <v>42323</v>
      </c>
      <c r="R34" s="50" t="s">
        <v>72</v>
      </c>
      <c r="S34" s="48"/>
      <c r="T34" s="38"/>
      <c r="U34" s="61">
        <v>42352</v>
      </c>
      <c r="V34" s="62">
        <v>42353</v>
      </c>
      <c r="W34" s="62">
        <v>42354</v>
      </c>
      <c r="X34" s="62">
        <v>42355</v>
      </c>
      <c r="Y34" s="62">
        <v>42356</v>
      </c>
      <c r="Z34" s="62">
        <v>42357</v>
      </c>
      <c r="AA34" s="63">
        <v>42358</v>
      </c>
      <c r="AB34" s="50" t="s">
        <v>96</v>
      </c>
      <c r="AC34" s="48"/>
    </row>
    <row r="35" spans="1:29" ht="15.6" x14ac:dyDescent="0.25">
      <c r="A35" s="61">
        <v>42296</v>
      </c>
      <c r="B35" s="62">
        <v>42297</v>
      </c>
      <c r="C35" s="62">
        <v>42298</v>
      </c>
      <c r="D35" s="62">
        <v>42299</v>
      </c>
      <c r="E35" s="62">
        <v>42300</v>
      </c>
      <c r="F35" s="62">
        <v>42301</v>
      </c>
      <c r="G35" s="63">
        <v>42302</v>
      </c>
      <c r="H35" s="50" t="s">
        <v>51</v>
      </c>
      <c r="I35" s="48"/>
      <c r="J35" s="49"/>
      <c r="K35" s="61">
        <v>42324</v>
      </c>
      <c r="L35" s="62">
        <v>42325</v>
      </c>
      <c r="M35" s="62">
        <v>42326</v>
      </c>
      <c r="N35" s="62">
        <v>42327</v>
      </c>
      <c r="O35" s="62">
        <v>42328</v>
      </c>
      <c r="P35" s="62">
        <v>42329</v>
      </c>
      <c r="Q35" s="63">
        <v>42330</v>
      </c>
      <c r="R35" s="50" t="s">
        <v>73</v>
      </c>
      <c r="S35" s="48"/>
      <c r="T35" s="38"/>
      <c r="U35" s="61">
        <v>42359</v>
      </c>
      <c r="V35" s="62">
        <v>42360</v>
      </c>
      <c r="W35" s="62">
        <v>42361</v>
      </c>
      <c r="X35" s="62">
        <v>42362</v>
      </c>
      <c r="Y35" s="62">
        <v>42363</v>
      </c>
      <c r="Z35" s="62">
        <v>42364</v>
      </c>
      <c r="AA35" s="63">
        <v>42365</v>
      </c>
      <c r="AB35" s="50" t="s">
        <v>97</v>
      </c>
      <c r="AC35" s="48"/>
    </row>
    <row r="36" spans="1:29" ht="15.6" x14ac:dyDescent="0.25">
      <c r="A36" s="61">
        <v>42303</v>
      </c>
      <c r="B36" s="62">
        <v>42304</v>
      </c>
      <c r="C36" s="62">
        <v>42305</v>
      </c>
      <c r="D36" s="62">
        <v>42306</v>
      </c>
      <c r="E36" s="62">
        <v>42307</v>
      </c>
      <c r="F36" s="62">
        <v>42308</v>
      </c>
      <c r="G36" s="63">
        <v>42309</v>
      </c>
      <c r="H36" s="50" t="s">
        <v>48</v>
      </c>
      <c r="I36" s="48"/>
      <c r="J36" s="49"/>
      <c r="K36" s="61">
        <v>42331</v>
      </c>
      <c r="L36" s="62">
        <v>42332</v>
      </c>
      <c r="M36" s="62">
        <v>42333</v>
      </c>
      <c r="N36" s="62">
        <v>42334</v>
      </c>
      <c r="O36" s="62">
        <v>42335</v>
      </c>
      <c r="P36" s="62">
        <v>42336</v>
      </c>
      <c r="Q36" s="63">
        <v>42337</v>
      </c>
      <c r="R36" s="50" t="s">
        <v>74</v>
      </c>
      <c r="S36" s="48"/>
      <c r="T36" s="38"/>
      <c r="U36" s="61">
        <v>42366</v>
      </c>
      <c r="V36" s="62">
        <v>42367</v>
      </c>
      <c r="W36" s="62">
        <v>42368</v>
      </c>
      <c r="X36" s="62">
        <v>42369</v>
      </c>
      <c r="Y36" s="62">
        <v>42370</v>
      </c>
      <c r="Z36" s="62">
        <v>42371</v>
      </c>
      <c r="AA36" s="63">
        <v>42372</v>
      </c>
      <c r="AB36" s="50" t="s">
        <v>98</v>
      </c>
      <c r="AC36" s="48"/>
    </row>
    <row r="37" spans="1:29" ht="16.2" thickBot="1" x14ac:dyDescent="0.3">
      <c r="A37" s="64">
        <v>42310</v>
      </c>
      <c r="B37" s="65">
        <v>42311</v>
      </c>
      <c r="C37" s="65">
        <v>42312</v>
      </c>
      <c r="D37" s="65">
        <v>42313</v>
      </c>
      <c r="E37" s="65">
        <v>42314</v>
      </c>
      <c r="F37" s="65">
        <v>42315</v>
      </c>
      <c r="G37" s="66">
        <v>42316</v>
      </c>
      <c r="H37" s="50" t="s">
        <v>52</v>
      </c>
      <c r="I37" s="52"/>
      <c r="J37" s="53"/>
      <c r="K37" s="64">
        <v>42338</v>
      </c>
      <c r="L37" s="65">
        <v>42339</v>
      </c>
      <c r="M37" s="65">
        <v>42340</v>
      </c>
      <c r="N37" s="65">
        <v>42341</v>
      </c>
      <c r="O37" s="65">
        <v>42342</v>
      </c>
      <c r="P37" s="65">
        <v>42343</v>
      </c>
      <c r="Q37" s="66">
        <v>42344</v>
      </c>
      <c r="R37" s="50" t="s">
        <v>75</v>
      </c>
      <c r="S37" s="52"/>
      <c r="T37" s="38"/>
      <c r="U37" s="64">
        <v>42373</v>
      </c>
      <c r="V37" s="65">
        <v>42374</v>
      </c>
      <c r="W37" s="65">
        <v>42375</v>
      </c>
      <c r="X37" s="65">
        <v>42376</v>
      </c>
      <c r="Y37" s="65">
        <v>42377</v>
      </c>
      <c r="Z37" s="65">
        <v>42378</v>
      </c>
      <c r="AA37" s="66">
        <v>42379</v>
      </c>
      <c r="AB37" s="50" t="s">
        <v>99</v>
      </c>
      <c r="AC37" s="52"/>
    </row>
    <row r="38" spans="1:29" ht="13.8" thickTop="1" x14ac:dyDescent="0.25"/>
  </sheetData>
  <mergeCells count="16">
    <mergeCell ref="A1:B1"/>
    <mergeCell ref="C1:F1"/>
    <mergeCell ref="K1:M1"/>
    <mergeCell ref="N1:Q1"/>
    <mergeCell ref="A3:G3"/>
    <mergeCell ref="K3:Q3"/>
    <mergeCell ref="A30:G30"/>
    <mergeCell ref="K30:Q30"/>
    <mergeCell ref="U30:AA30"/>
    <mergeCell ref="U3:AA3"/>
    <mergeCell ref="A12:G12"/>
    <mergeCell ref="K12:Q12"/>
    <mergeCell ref="U12:AA12"/>
    <mergeCell ref="A21:G21"/>
    <mergeCell ref="K21:Q21"/>
    <mergeCell ref="U21:AA21"/>
  </mergeCells>
  <conditionalFormatting sqref="A5:F5">
    <cfRule type="expression" dxfId="132" priority="130" stopIfTrue="1">
      <formula>DAY(A5)&gt;8</formula>
    </cfRule>
  </conditionalFormatting>
  <conditionalFormatting sqref="K9:Q10 A9:I10 A18:G19 K18:Q19 U18:AA19 A27:G28 K27:Q28 U27:AA28 A36:I37 K36:Q37 U36:AA37 I18:I19 I27:I28">
    <cfRule type="expression" dxfId="131" priority="129" stopIfTrue="1">
      <formula>AND(DAY(A9)&gt;=1,DAY(A9)&lt;=15)</formula>
    </cfRule>
  </conditionalFormatting>
  <conditionalFormatting sqref="A5:I10">
    <cfRule type="expression" dxfId="130" priority="131">
      <formula>VLOOKUP(DAY(A5),Jours_affectation,1,FALSE)=DAY(A5)</formula>
    </cfRule>
  </conditionalFormatting>
  <conditionalFormatting sqref="K5:P5">
    <cfRule type="expression" dxfId="129" priority="127" stopIfTrue="1">
      <formula>DAY(K5)&gt;8</formula>
    </cfRule>
  </conditionalFormatting>
  <conditionalFormatting sqref="K5:Q9">
    <cfRule type="expression" dxfId="128" priority="128">
      <formula>VLOOKUP(DAY(K5),FEV,1,FALSE)=DAY(K5)</formula>
    </cfRule>
  </conditionalFormatting>
  <conditionalFormatting sqref="U9:AA10">
    <cfRule type="expression" dxfId="127" priority="124" stopIfTrue="1">
      <formula>AND(DAY(U9)&gt;=1,DAY(U9)&lt;=15)</formula>
    </cfRule>
  </conditionalFormatting>
  <conditionalFormatting sqref="U5:Z5">
    <cfRule type="expression" dxfId="126" priority="125" stopIfTrue="1">
      <formula>DAY(U5)&gt;8</formula>
    </cfRule>
  </conditionalFormatting>
  <conditionalFormatting sqref="U5:AA10">
    <cfRule type="expression" dxfId="125" priority="126">
      <formula>VLOOKUP(DAY(U5),mars,1,FALSE)=DAY(U5)</formula>
    </cfRule>
  </conditionalFormatting>
  <conditionalFormatting sqref="A14:F14">
    <cfRule type="expression" dxfId="124" priority="122" stopIfTrue="1">
      <formula>DAY(A14)&gt;8</formula>
    </cfRule>
  </conditionalFormatting>
  <conditionalFormatting sqref="A14:G19 I14:I19">
    <cfRule type="expression" dxfId="123" priority="123">
      <formula>VLOOKUP(DAY(A14),avril,1,FALSE)=DAY(A14)</formula>
    </cfRule>
  </conditionalFormatting>
  <conditionalFormatting sqref="K14:P14">
    <cfRule type="expression" dxfId="122" priority="119" stopIfTrue="1">
      <formula>DAY(K14)&gt;8</formula>
    </cfRule>
  </conditionalFormatting>
  <conditionalFormatting sqref="K14:Q19">
    <cfRule type="expression" dxfId="121" priority="120">
      <formula>VLOOKUP(DAY(K14),Mai,1,FALSE)=DAY(K14)</formula>
    </cfRule>
  </conditionalFormatting>
  <conditionalFormatting sqref="U14:Z14">
    <cfRule type="expression" dxfId="120" priority="116" stopIfTrue="1">
      <formula>DAY(U14)&gt;8</formula>
    </cfRule>
  </conditionalFormatting>
  <conditionalFormatting sqref="U14:AA19">
    <cfRule type="expression" dxfId="119" priority="117">
      <formula>VLOOKUP(DAY(U14),Juin,1,FALSE)=DAY(U14)</formula>
    </cfRule>
  </conditionalFormatting>
  <conditionalFormatting sqref="A23:F23">
    <cfRule type="expression" dxfId="118" priority="50" stopIfTrue="1">
      <formula>DAY(A23)&gt;8</formula>
    </cfRule>
  </conditionalFormatting>
  <conditionalFormatting sqref="A23:G28 I23:I28">
    <cfRule type="expression" dxfId="117" priority="51">
      <formula>VLOOKUP(DAY(A23),Juillet,1,FALSE)=DAY(A23)</formula>
    </cfRule>
  </conditionalFormatting>
  <conditionalFormatting sqref="K23:P23">
    <cfRule type="expression" dxfId="116" priority="47" stopIfTrue="1">
      <formula>DAY(K23)&gt;8</formula>
    </cfRule>
  </conditionalFormatting>
  <conditionalFormatting sqref="K23:Q28">
    <cfRule type="expression" dxfId="115" priority="48">
      <formula>VLOOKUP(DAY(K23),Aout,1,FALSE)=DAY(K23)</formula>
    </cfRule>
  </conditionalFormatting>
  <conditionalFormatting sqref="U23:Z23">
    <cfRule type="expression" dxfId="114" priority="44" stopIfTrue="1">
      <formula>DAY(U23)&gt;8</formula>
    </cfRule>
  </conditionalFormatting>
  <conditionalFormatting sqref="U23:AA28">
    <cfRule type="expression" dxfId="113" priority="45">
      <formula>VLOOKUP(DAY(U23),Sept,1,FALSE)=DAY(U23)</formula>
    </cfRule>
  </conditionalFormatting>
  <conditionalFormatting sqref="A32:F32">
    <cfRule type="expression" dxfId="112" priority="41" stopIfTrue="1">
      <formula>DAY(A32)&gt;8</formula>
    </cfRule>
  </conditionalFormatting>
  <conditionalFormatting sqref="A32:I37">
    <cfRule type="expression" dxfId="111" priority="42">
      <formula>VLOOKUP(DAY(A32),Octo,1,FALSE)=DAY(A32)</formula>
    </cfRule>
  </conditionalFormatting>
  <conditionalFormatting sqref="K32:P32">
    <cfRule type="expression" dxfId="110" priority="38" stopIfTrue="1">
      <formula>DAY(K32)&gt;8</formula>
    </cfRule>
  </conditionalFormatting>
  <conditionalFormatting sqref="K32:Q37">
    <cfRule type="expression" dxfId="109" priority="39">
      <formula>VLOOKUP(DAY(K32),Novem,1,FALSE)=DAY(K32)</formula>
    </cfRule>
  </conditionalFormatting>
  <conditionalFormatting sqref="U32:Z32">
    <cfRule type="expression" dxfId="108" priority="35" stopIfTrue="1">
      <formula>DAY(U32)&gt;8</formula>
    </cfRule>
  </conditionalFormatting>
  <conditionalFormatting sqref="U32:AA37">
    <cfRule type="expression" dxfId="107" priority="36">
      <formula>VLOOKUP(DAY(U32),Décem,1,FALSE)=DAY(U32)</formula>
    </cfRule>
  </conditionalFormatting>
  <conditionalFormatting sqref="H14">
    <cfRule type="expression" dxfId="106" priority="22">
      <formula>VLOOKUP(DAY(H14),Jours_affectation,1,FALSE)=DAY(H14)</formula>
    </cfRule>
  </conditionalFormatting>
  <conditionalFormatting sqref="R15:R19">
    <cfRule type="expression" dxfId="105" priority="2">
      <formula>VLOOKUP(DAY(R15),Jours_affectation,1,FALSE)=DAY(R15)</formula>
    </cfRule>
  </conditionalFormatting>
  <conditionalFormatting sqref="H23:H28">
    <cfRule type="expression" dxfId="104" priority="20">
      <formula>VLOOKUP(DAY(H23),Jours_affectation,1,FALSE)=DAY(H23)</formula>
    </cfRule>
  </conditionalFormatting>
  <conditionalFormatting sqref="H15:H19">
    <cfRule type="expression" dxfId="103" priority="19">
      <formula>VLOOKUP(DAY(H15),Jours_affectation,1,FALSE)=DAY(H15)</formula>
    </cfRule>
  </conditionalFormatting>
  <conditionalFormatting sqref="R9:S10 R36:S37 S18:S19 S27:S28">
    <cfRule type="expression" dxfId="102" priority="17" stopIfTrue="1">
      <formula>AND(DAY(R9)&gt;=1,DAY(R9)&lt;=15)</formula>
    </cfRule>
  </conditionalFormatting>
  <conditionalFormatting sqref="R5:S10">
    <cfRule type="expression" dxfId="101" priority="18">
      <formula>VLOOKUP(DAY(R5),Jours_affectation,1,FALSE)=DAY(R5)</formula>
    </cfRule>
  </conditionalFormatting>
  <conditionalFormatting sqref="S14:S19">
    <cfRule type="expression" dxfId="100" priority="16">
      <formula>VLOOKUP(DAY(S14),avril,1,FALSE)=DAY(S14)</formula>
    </cfRule>
  </conditionalFormatting>
  <conditionalFormatting sqref="S23:S28">
    <cfRule type="expression" dxfId="99" priority="15">
      <formula>VLOOKUP(DAY(S23),Juillet,1,FALSE)=DAY(S23)</formula>
    </cfRule>
  </conditionalFormatting>
  <conditionalFormatting sqref="R32:S37">
    <cfRule type="expression" dxfId="98" priority="14">
      <formula>VLOOKUP(DAY(R32),Octo,1,FALSE)=DAY(R32)</formula>
    </cfRule>
  </conditionalFormatting>
  <conditionalFormatting sqref="R14">
    <cfRule type="expression" dxfId="97" priority="13">
      <formula>VLOOKUP(DAY(R14),Jours_affectation,1,FALSE)=DAY(R14)</formula>
    </cfRule>
  </conditionalFormatting>
  <conditionalFormatting sqref="R23:R28">
    <cfRule type="expression" dxfId="96" priority="12">
      <formula>VLOOKUP(DAY(R23),Jours_affectation,1,FALSE)=DAY(R23)</formula>
    </cfRule>
  </conditionalFormatting>
  <conditionalFormatting sqref="AB9:AC10 AB36:AC37 AC18:AC19 AC27:AC28">
    <cfRule type="expression" dxfId="95" priority="9" stopIfTrue="1">
      <formula>AND(DAY(AB9)&gt;=1,DAY(AB9)&lt;=15)</formula>
    </cfRule>
  </conditionalFormatting>
  <conditionalFormatting sqref="AB5:AC10">
    <cfRule type="expression" dxfId="94" priority="10">
      <formula>VLOOKUP(DAY(AB5),Jours_affectation,1,FALSE)=DAY(AB5)</formula>
    </cfRule>
  </conditionalFormatting>
  <conditionalFormatting sqref="AC14:AC19">
    <cfRule type="expression" dxfId="93" priority="8">
      <formula>VLOOKUP(DAY(AC14),avril,1,FALSE)=DAY(AC14)</formula>
    </cfRule>
  </conditionalFormatting>
  <conditionalFormatting sqref="AC23:AC28">
    <cfRule type="expression" dxfId="92" priority="7">
      <formula>VLOOKUP(DAY(AC23),Juillet,1,FALSE)=DAY(AC23)</formula>
    </cfRule>
  </conditionalFormatting>
  <conditionalFormatting sqref="AB32:AC37">
    <cfRule type="expression" dxfId="91" priority="6">
      <formula>VLOOKUP(DAY(AB32),Octo,1,FALSE)=DAY(AB32)</formula>
    </cfRule>
  </conditionalFormatting>
  <conditionalFormatting sqref="AB14">
    <cfRule type="expression" dxfId="90" priority="5">
      <formula>VLOOKUP(DAY(AB14),Jours_affectation,1,FALSE)=DAY(AB14)</formula>
    </cfRule>
  </conditionalFormatting>
  <conditionalFormatting sqref="AB23:AB28">
    <cfRule type="expression" dxfId="89" priority="4">
      <formula>VLOOKUP(DAY(AB23),Jours_affectation,1,FALSE)=DAY(AB23)</formula>
    </cfRule>
  </conditionalFormatting>
  <conditionalFormatting sqref="AB15:AB19">
    <cfRule type="expression" dxfId="88" priority="1">
      <formula>VLOOKUP(DAY(AB15),Jours_affectation,1,FALSE)=DAY(AB15)</formula>
    </cfRule>
  </conditionalFormatting>
  <pageMargins left="0.11811023622047245" right="0.11811023622047245" top="0.15748031496062992" bottom="0.15748031496062992" header="0" footer="0"/>
  <pageSetup paperSize="9" scale="6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>
    <tabColor theme="4"/>
  </sheetPr>
  <dimension ref="A1:AH38"/>
  <sheetViews>
    <sheetView tabSelected="1" zoomScale="50" zoomScaleNormal="50" workbookViewId="0">
      <pane ySplit="1" topLeftCell="A2" activePane="bottomLeft" state="frozen"/>
      <selection pane="bottomLeft" activeCell="I18" sqref="I18"/>
    </sheetView>
  </sheetViews>
  <sheetFormatPr baseColWidth="10" defaultColWidth="11.5546875" defaultRowHeight="13.2" x14ac:dyDescent="0.25"/>
  <cols>
    <col min="1" max="7" width="6.77734375" style="2" customWidth="1"/>
    <col min="8" max="8" width="12.109375" style="54" customWidth="1"/>
    <col min="9" max="9" width="17" style="54" customWidth="1"/>
    <col min="10" max="10" width="12.21875" style="80" customWidth="1"/>
    <col min="11" max="11" width="3.6640625" style="2" customWidth="1"/>
    <col min="12" max="18" width="6.77734375" style="2" customWidth="1"/>
    <col min="19" max="19" width="14.77734375" style="54" customWidth="1"/>
    <col min="20" max="20" width="12.21875" style="55" customWidth="1"/>
    <col min="21" max="21" width="3.6640625" style="2" customWidth="1"/>
    <col min="22" max="28" width="6.77734375" style="2" customWidth="1"/>
    <col min="29" max="29" width="14.77734375" style="54" customWidth="1"/>
    <col min="30" max="30" width="12.21875" style="55" customWidth="1"/>
    <col min="31" max="31" width="3.44140625" style="2" customWidth="1"/>
    <col min="32" max="33" width="11.5546875" style="2"/>
    <col min="34" max="34" width="11.5546875" style="87"/>
    <col min="35" max="16384" width="11.5546875" style="2"/>
  </cols>
  <sheetData>
    <row r="1" spans="1:34" ht="22.2" thickTop="1" thickBot="1" x14ac:dyDescent="0.45">
      <c r="A1" s="94" t="s">
        <v>18</v>
      </c>
      <c r="B1" s="94"/>
      <c r="C1" s="95">
        <f ca="1">TODAY()</f>
        <v>42008</v>
      </c>
      <c r="D1" s="95"/>
      <c r="E1" s="95"/>
      <c r="F1" s="95"/>
      <c r="L1" s="96" t="s">
        <v>26</v>
      </c>
      <c r="M1" s="97"/>
      <c r="N1" s="97"/>
      <c r="O1" s="98">
        <f>Année_Calendaire</f>
        <v>2015</v>
      </c>
      <c r="P1" s="98"/>
      <c r="Q1" s="98"/>
      <c r="R1" s="99"/>
    </row>
    <row r="2" spans="1:34" ht="27.6" thickTop="1" thickBot="1" x14ac:dyDescent="0.3">
      <c r="H2" s="58" t="s">
        <v>40</v>
      </c>
      <c r="I2" s="79" t="s">
        <v>100</v>
      </c>
      <c r="J2" s="81" t="s">
        <v>41</v>
      </c>
      <c r="K2" s="39"/>
      <c r="S2" s="58" t="s">
        <v>40</v>
      </c>
      <c r="T2" s="59" t="s">
        <v>41</v>
      </c>
      <c r="AC2" s="58" t="s">
        <v>40</v>
      </c>
      <c r="AD2" s="59" t="s">
        <v>41</v>
      </c>
      <c r="AH2" s="88"/>
    </row>
    <row r="3" spans="1:34" ht="18.600000000000001" thickTop="1" thickBot="1" x14ac:dyDescent="0.3">
      <c r="A3" s="100" t="s">
        <v>6</v>
      </c>
      <c r="B3" s="101"/>
      <c r="C3" s="101"/>
      <c r="D3" s="101"/>
      <c r="E3" s="101"/>
      <c r="F3" s="101"/>
      <c r="G3" s="102"/>
      <c r="H3" s="40"/>
      <c r="I3" s="40"/>
      <c r="J3" s="82"/>
      <c r="K3" s="42"/>
      <c r="L3" s="91" t="s">
        <v>7</v>
      </c>
      <c r="M3" s="92"/>
      <c r="N3" s="92"/>
      <c r="O3" s="92"/>
      <c r="P3" s="92"/>
      <c r="Q3" s="92"/>
      <c r="R3" s="93"/>
      <c r="S3" s="40"/>
      <c r="T3" s="41"/>
      <c r="V3" s="91" t="s">
        <v>8</v>
      </c>
      <c r="W3" s="92"/>
      <c r="X3" s="92"/>
      <c r="Y3" s="92"/>
      <c r="Z3" s="92"/>
      <c r="AA3" s="92"/>
      <c r="AB3" s="93"/>
      <c r="AC3" s="40"/>
      <c r="AD3" s="41"/>
      <c r="AH3" s="88"/>
    </row>
    <row r="4" spans="1:34" ht="16.2" thickTop="1" x14ac:dyDescent="0.25">
      <c r="A4" s="4" t="s">
        <v>2</v>
      </c>
      <c r="B4" s="5" t="s">
        <v>1</v>
      </c>
      <c r="C4" s="5" t="s">
        <v>1</v>
      </c>
      <c r="D4" s="5" t="s">
        <v>3</v>
      </c>
      <c r="E4" s="5" t="s">
        <v>4</v>
      </c>
      <c r="F4" s="6" t="s">
        <v>0</v>
      </c>
      <c r="G4" s="7" t="s">
        <v>5</v>
      </c>
      <c r="H4" s="43"/>
      <c r="I4" s="43"/>
      <c r="J4" s="83"/>
      <c r="K4" s="42"/>
      <c r="L4" s="4" t="s">
        <v>2</v>
      </c>
      <c r="M4" s="5" t="s">
        <v>1</v>
      </c>
      <c r="N4" s="5" t="s">
        <v>1</v>
      </c>
      <c r="O4" s="5" t="s">
        <v>3</v>
      </c>
      <c r="P4" s="5" t="s">
        <v>4</v>
      </c>
      <c r="Q4" s="6" t="s">
        <v>0</v>
      </c>
      <c r="R4" s="7" t="s">
        <v>5</v>
      </c>
      <c r="S4" s="43"/>
      <c r="T4" s="44"/>
      <c r="V4" s="25" t="s">
        <v>2</v>
      </c>
      <c r="W4" s="26" t="s">
        <v>1</v>
      </c>
      <c r="X4" s="26" t="s">
        <v>1</v>
      </c>
      <c r="Y4" s="26" t="s">
        <v>3</v>
      </c>
      <c r="Z4" s="26" t="s">
        <v>4</v>
      </c>
      <c r="AA4" s="27" t="s">
        <v>0</v>
      </c>
      <c r="AB4" s="28" t="s">
        <v>5</v>
      </c>
      <c r="AC4" s="43"/>
      <c r="AD4" s="44"/>
      <c r="AH4" s="88"/>
    </row>
    <row r="5" spans="1:34" ht="15.6" x14ac:dyDescent="0.25">
      <c r="A5" s="67">
        <f>IF(DAY(Jan_Dim1)=1,Jan_Dim1-6,Jan_Dim1+1)</f>
        <v>42002</v>
      </c>
      <c r="B5" s="68">
        <f>IF(DAY(Jan_Dim1)=1,Jan_Dim1-5,Jan_Dim1+2)</f>
        <v>42003</v>
      </c>
      <c r="C5" s="68">
        <f>IF(DAY(Jan_Dim1)=1,Jan_Dim1-4,Jan_Dim1+3)</f>
        <v>42004</v>
      </c>
      <c r="D5" s="68">
        <f>IF(DAY(Jan_Dim1)=1,Jan_Dim1-3,Jan_Dim1+4)</f>
        <v>42005</v>
      </c>
      <c r="E5" s="68">
        <f>IF(DAY(Jan_Dim1)=1,Jan_Dim1-2,Jan_Dim1+5)</f>
        <v>42006</v>
      </c>
      <c r="F5" s="68">
        <f>IF(DAY(Jan_Dim1)=1,Jan_Dim1-1,Jan_Dim1+6)</f>
        <v>42007</v>
      </c>
      <c r="G5" s="69">
        <f>IF(DAY(Jan_Dim1)=1,Jan_Dim1,Jan_Dim1+7)</f>
        <v>42008</v>
      </c>
      <c r="H5" s="45" t="s">
        <v>27</v>
      </c>
      <c r="I5" s="90">
        <f>COUNTIF(A5:G5,"=1")</f>
        <v>0</v>
      </c>
      <c r="J5" s="86">
        <f>(35/7)*I5</f>
        <v>0</v>
      </c>
      <c r="K5" s="42"/>
      <c r="L5" s="67">
        <f>Février!B3</f>
        <v>42030</v>
      </c>
      <c r="M5" s="68">
        <f>Février!C3</f>
        <v>42031</v>
      </c>
      <c r="N5" s="68">
        <f>Février!D3</f>
        <v>42032</v>
      </c>
      <c r="O5" s="68">
        <f>Février!E3</f>
        <v>42033</v>
      </c>
      <c r="P5" s="68">
        <f>Février!F3</f>
        <v>42034</v>
      </c>
      <c r="Q5" s="68">
        <f>Février!G3</f>
        <v>42035</v>
      </c>
      <c r="R5" s="69">
        <f>Février!H3</f>
        <v>42036</v>
      </c>
      <c r="S5" s="45" t="s">
        <v>53</v>
      </c>
      <c r="T5" s="29"/>
      <c r="V5" s="67">
        <f>Mars!B3</f>
        <v>42058</v>
      </c>
      <c r="W5" s="68">
        <f>Mars!C3</f>
        <v>42059</v>
      </c>
      <c r="X5" s="68">
        <f>Mars!D3</f>
        <v>42060</v>
      </c>
      <c r="Y5" s="68">
        <f>Mars!E3</f>
        <v>42061</v>
      </c>
      <c r="Z5" s="68">
        <f>Mars!F3</f>
        <v>42062</v>
      </c>
      <c r="AA5" s="68">
        <f>Mars!G3</f>
        <v>42063</v>
      </c>
      <c r="AB5" s="69">
        <f>Mars!H3</f>
        <v>42064</v>
      </c>
      <c r="AC5" s="45" t="s">
        <v>76</v>
      </c>
      <c r="AD5" s="29"/>
      <c r="AH5" s="88"/>
    </row>
    <row r="6" spans="1:34" ht="15.6" x14ac:dyDescent="0.25">
      <c r="A6" s="67">
        <f>IF(DAY(Jan_Dim1)=1,Jan_Dim1+1,Jan_Dim1+8)</f>
        <v>42009</v>
      </c>
      <c r="B6" s="68">
        <f>IF(DAY(Jan_Dim1)=1,Jan_Dim1+2,Jan_Dim1+9)</f>
        <v>42010</v>
      </c>
      <c r="C6" s="68">
        <f>IF(DAY(Jan_Dim1)=1,Jan_Dim1+3,Jan_Dim1+10)</f>
        <v>42011</v>
      </c>
      <c r="D6" s="68">
        <f>IF(DAY(Jan_Dim1)=1,Jan_Dim1+4,Jan_Dim1+11)</f>
        <v>42012</v>
      </c>
      <c r="E6" s="68">
        <f>IF(DAY(Jan_Dim1)=1,Jan_Dim1+5,Jan_Dim1+12)</f>
        <v>42013</v>
      </c>
      <c r="F6" s="68">
        <f>IF(DAY(Jan_Dim1)=1,Jan_Dim1+6,Jan_Dim1+13)</f>
        <v>42014</v>
      </c>
      <c r="G6" s="69">
        <f>IF(DAY(Jan_Dim1)=1,Jan_Dim1+7,Jan_Dim1+14)</f>
        <v>42015</v>
      </c>
      <c r="H6" s="45" t="s">
        <v>29</v>
      </c>
      <c r="I6" s="89">
        <f>SUMIF(A6:G6,1)</f>
        <v>0</v>
      </c>
      <c r="J6" s="86">
        <f t="shared" ref="J6:J10" si="0">(35/7)*I6</f>
        <v>0</v>
      </c>
      <c r="K6" s="42"/>
      <c r="L6" s="67">
        <f>Février!B4</f>
        <v>42037</v>
      </c>
      <c r="M6" s="68">
        <f>Février!C4</f>
        <v>42038</v>
      </c>
      <c r="N6" s="68">
        <f>Février!D4</f>
        <v>42039</v>
      </c>
      <c r="O6" s="68">
        <f>Février!E4</f>
        <v>42040</v>
      </c>
      <c r="P6" s="68">
        <f>Février!F4</f>
        <v>42041</v>
      </c>
      <c r="Q6" s="68">
        <f>Février!G4</f>
        <v>42042</v>
      </c>
      <c r="R6" s="69">
        <f>Février!H4</f>
        <v>42043</v>
      </c>
      <c r="S6" s="45" t="s">
        <v>54</v>
      </c>
      <c r="T6" s="29"/>
      <c r="V6" s="67">
        <f>Mars!B4</f>
        <v>42065</v>
      </c>
      <c r="W6" s="68">
        <f>Mars!C4</f>
        <v>42066</v>
      </c>
      <c r="X6" s="68">
        <f>Mars!D4</f>
        <v>42067</v>
      </c>
      <c r="Y6" s="68">
        <f>Mars!E4</f>
        <v>42068</v>
      </c>
      <c r="Z6" s="68">
        <f>Mars!F4</f>
        <v>42069</v>
      </c>
      <c r="AA6" s="68">
        <f>Mars!G4</f>
        <v>42070</v>
      </c>
      <c r="AB6" s="69">
        <f>Mars!H4</f>
        <v>42071</v>
      </c>
      <c r="AC6" s="45" t="s">
        <v>77</v>
      </c>
      <c r="AD6" s="29"/>
      <c r="AH6" s="88"/>
    </row>
    <row r="7" spans="1:34" ht="15.6" x14ac:dyDescent="0.25">
      <c r="A7" s="67">
        <f>IF(DAY(Jan_Dim1)=1,Jan_Dim1+8,Jan_Dim1+15)</f>
        <v>42016</v>
      </c>
      <c r="B7" s="68">
        <f>IF(DAY(Jan_Dim1)=1,Jan_Dim1+9,Jan_Dim1+16)</f>
        <v>42017</v>
      </c>
      <c r="C7" s="68">
        <f>IF(DAY(Jan_Dim1)=1,Jan_Dim1+10,Jan_Dim1+17)</f>
        <v>42018</v>
      </c>
      <c r="D7" s="68">
        <f>IF(DAY(Jan_Dim1)=1,Jan_Dim1+11,Jan_Dim1+18)</f>
        <v>42019</v>
      </c>
      <c r="E7" s="68">
        <f>IF(DAY(Jan_Dim1)=1,Jan_Dim1+12,Jan_Dim1+19)</f>
        <v>42020</v>
      </c>
      <c r="F7" s="68">
        <f>IF(DAY(Jan_Dim1)=1,Jan_Dim1+13,Jan_Dim1+20)</f>
        <v>42021</v>
      </c>
      <c r="G7" s="69">
        <f>IF(DAY(Jan_Dim1)=1,Jan_Dim1+14,Jan_Dim1+21)</f>
        <v>42022</v>
      </c>
      <c r="H7" s="45" t="s">
        <v>30</v>
      </c>
      <c r="I7" s="89"/>
      <c r="J7" s="86">
        <f t="shared" si="0"/>
        <v>0</v>
      </c>
      <c r="K7" s="42"/>
      <c r="L7" s="67">
        <f>Février!B5</f>
        <v>42044</v>
      </c>
      <c r="M7" s="68">
        <f>Février!C5</f>
        <v>42045</v>
      </c>
      <c r="N7" s="68">
        <f>Février!D5</f>
        <v>42046</v>
      </c>
      <c r="O7" s="68">
        <f>Février!E5</f>
        <v>42047</v>
      </c>
      <c r="P7" s="68">
        <f>Février!F5</f>
        <v>42048</v>
      </c>
      <c r="Q7" s="68">
        <f>Février!G5</f>
        <v>42049</v>
      </c>
      <c r="R7" s="69">
        <f>Février!H5</f>
        <v>42050</v>
      </c>
      <c r="S7" s="45" t="s">
        <v>55</v>
      </c>
      <c r="T7" s="29"/>
      <c r="V7" s="67">
        <f>Mars!B5</f>
        <v>42072</v>
      </c>
      <c r="W7" s="68">
        <f>Mars!C5</f>
        <v>42073</v>
      </c>
      <c r="X7" s="68">
        <f>Mars!D5</f>
        <v>42074</v>
      </c>
      <c r="Y7" s="68">
        <f>Mars!E5</f>
        <v>42075</v>
      </c>
      <c r="Z7" s="68">
        <f>Mars!F5</f>
        <v>42076</v>
      </c>
      <c r="AA7" s="68">
        <f>Mars!G5</f>
        <v>42077</v>
      </c>
      <c r="AB7" s="69">
        <f>Mars!H5</f>
        <v>42078</v>
      </c>
      <c r="AC7" s="45" t="s">
        <v>78</v>
      </c>
      <c r="AD7" s="29"/>
      <c r="AH7" s="88"/>
    </row>
    <row r="8" spans="1:34" ht="15.6" x14ac:dyDescent="0.25">
      <c r="A8" s="67">
        <f>IF(DAY(Jan_Dim1)=1,Jan_Dim1+15,Jan_Dim1+22)</f>
        <v>42023</v>
      </c>
      <c r="B8" s="68">
        <f>IF(DAY(Jan_Dim1)=1,Jan_Dim1+16,Jan_Dim1+23)</f>
        <v>42024</v>
      </c>
      <c r="C8" s="68">
        <f>IF(DAY(Jan_Dim1)=1,Jan_Dim1+17,Jan_Dim1+24)</f>
        <v>42025</v>
      </c>
      <c r="D8" s="68">
        <f>IF(DAY(Jan_Dim1)=1,Jan_Dim1+18,Jan_Dim1+25)</f>
        <v>42026</v>
      </c>
      <c r="E8" s="68">
        <f>IF(DAY(Jan_Dim1)=1,Jan_Dim1+19,Jan_Dim1+26)</f>
        <v>42027</v>
      </c>
      <c r="F8" s="68">
        <f>IF(DAY(Jan_Dim1)=1,Jan_Dim1+20,Jan_Dim1+27)</f>
        <v>42028</v>
      </c>
      <c r="G8" s="69">
        <f>IF(DAY(Jan_Dim1)=1,Jan_Dim1+21,Jan_Dim1+28)</f>
        <v>42029</v>
      </c>
      <c r="H8" s="45" t="s">
        <v>31</v>
      </c>
      <c r="I8" s="89"/>
      <c r="J8" s="86">
        <f t="shared" si="0"/>
        <v>0</v>
      </c>
      <c r="K8" s="42"/>
      <c r="L8" s="67">
        <f>Février!B6</f>
        <v>42051</v>
      </c>
      <c r="M8" s="68">
        <f>Février!C6</f>
        <v>42052</v>
      </c>
      <c r="N8" s="68">
        <f>Février!D6</f>
        <v>42053</v>
      </c>
      <c r="O8" s="68">
        <f>Février!E6</f>
        <v>42054</v>
      </c>
      <c r="P8" s="68">
        <f>Février!F6</f>
        <v>42055</v>
      </c>
      <c r="Q8" s="68">
        <f>Février!G6</f>
        <v>42056</v>
      </c>
      <c r="R8" s="69">
        <f>Février!H6</f>
        <v>42057</v>
      </c>
      <c r="S8" s="45" t="s">
        <v>56</v>
      </c>
      <c r="T8" s="29"/>
      <c r="V8" s="67">
        <f>Mars!B6</f>
        <v>42079</v>
      </c>
      <c r="W8" s="68">
        <f>Mars!C6</f>
        <v>42080</v>
      </c>
      <c r="X8" s="68">
        <f>Mars!D6</f>
        <v>42081</v>
      </c>
      <c r="Y8" s="68">
        <f>Mars!E6</f>
        <v>42082</v>
      </c>
      <c r="Z8" s="68">
        <f>Mars!F6</f>
        <v>42083</v>
      </c>
      <c r="AA8" s="68">
        <f>Mars!G6</f>
        <v>42084</v>
      </c>
      <c r="AB8" s="69">
        <f>Mars!H6</f>
        <v>42085</v>
      </c>
      <c r="AC8" s="45" t="s">
        <v>79</v>
      </c>
      <c r="AD8" s="29"/>
      <c r="AH8" s="88"/>
    </row>
    <row r="9" spans="1:34" ht="15.6" x14ac:dyDescent="0.25">
      <c r="A9" s="67">
        <f>IF(DAY(Jan_Dim1)=1,Jan_Dim1+22,Jan_Dim1+29)</f>
        <v>42030</v>
      </c>
      <c r="B9" s="68">
        <f>IF(DAY(Jan_Dim1)=1,Jan_Dim1+23,Jan_Dim1+30)</f>
        <v>42031</v>
      </c>
      <c r="C9" s="68">
        <f>IF(DAY(Jan_Dim1)=1,Jan_Dim1+24,Jan_Dim1+31)</f>
        <v>42032</v>
      </c>
      <c r="D9" s="68">
        <f>IF(DAY(Jan_Dim1)=1,Jan_Dim1+25,Jan_Dim1+32)</f>
        <v>42033</v>
      </c>
      <c r="E9" s="68">
        <f>IF(DAY(Jan_Dim1)=1,Jan_Dim1+26,Jan_Dim1+33)</f>
        <v>42034</v>
      </c>
      <c r="F9" s="68">
        <f>IF(DAY(Jan_Dim1)=1,Jan_Dim1+27,Jan_Dim1+34)</f>
        <v>42035</v>
      </c>
      <c r="G9" s="69">
        <f>IF(DAY(Jan_Dim1)=1,Jan_Dim1+28,Jan_Dim1+35)</f>
        <v>42036</v>
      </c>
      <c r="H9" s="45" t="s">
        <v>28</v>
      </c>
      <c r="I9" s="89"/>
      <c r="J9" s="86">
        <f t="shared" si="0"/>
        <v>0</v>
      </c>
      <c r="K9" s="42"/>
      <c r="L9" s="67">
        <f>Février!B7</f>
        <v>42058</v>
      </c>
      <c r="M9" s="68">
        <f>Février!C7</f>
        <v>42059</v>
      </c>
      <c r="N9" s="68">
        <f>Février!D7</f>
        <v>42060</v>
      </c>
      <c r="O9" s="68">
        <f>Février!E7</f>
        <v>42061</v>
      </c>
      <c r="P9" s="68">
        <f>Février!F7</f>
        <v>42062</v>
      </c>
      <c r="Q9" s="68">
        <f>Février!G7</f>
        <v>42063</v>
      </c>
      <c r="R9" s="69">
        <f>Février!H7</f>
        <v>42064</v>
      </c>
      <c r="S9" s="45" t="s">
        <v>57</v>
      </c>
      <c r="T9" s="29"/>
      <c r="V9" s="67">
        <f>Mars!B7</f>
        <v>42086</v>
      </c>
      <c r="W9" s="68">
        <f>Mars!C7</f>
        <v>42087</v>
      </c>
      <c r="X9" s="68">
        <f>Mars!D7</f>
        <v>42088</v>
      </c>
      <c r="Y9" s="68">
        <f>Mars!E7</f>
        <v>42089</v>
      </c>
      <c r="Z9" s="68">
        <f>Mars!F7</f>
        <v>42090</v>
      </c>
      <c r="AA9" s="68">
        <f>Mars!G7</f>
        <v>42091</v>
      </c>
      <c r="AB9" s="69">
        <f>Mars!H7</f>
        <v>42092</v>
      </c>
      <c r="AC9" s="45" t="s">
        <v>80</v>
      </c>
      <c r="AD9" s="29"/>
      <c r="AH9" s="88"/>
    </row>
    <row r="10" spans="1:34" ht="16.2" thickBot="1" x14ac:dyDescent="0.3">
      <c r="A10" s="70">
        <f>IF(DAY(Jan_Dim1)=1,Jan_Dim1+29,Jan_Dim1+36)</f>
        <v>42037</v>
      </c>
      <c r="B10" s="71">
        <f>IF(DAY(Jan_Dim1)=1,Jan_Dim1+30,Jan_Dim1+37)</f>
        <v>42038</v>
      </c>
      <c r="C10" s="71">
        <f>IF(DAY(Jan_Dim1)=1,Jan_Dim1+31,Jan_Dim1+38)</f>
        <v>42039</v>
      </c>
      <c r="D10" s="71">
        <f>IF(DAY(Jan_Dim1)=1,Jan_Dim1+32,Jan_Dim1+39)</f>
        <v>42040</v>
      </c>
      <c r="E10" s="71">
        <f>IF(DAY(Jan_Dim1)=1,Jan_Dim1+33,Jan_Dim1+40)</f>
        <v>42041</v>
      </c>
      <c r="F10" s="71">
        <f>IF(DAY(Jan_Dim1)=1,Jan_Dim1+34,Jan_Dim1+41)</f>
        <v>42042</v>
      </c>
      <c r="G10" s="72">
        <f>IF(DAY(Jan_Dim1)=1,Jan_Dim1+35,Jan_Dim1+42)</f>
        <v>42043</v>
      </c>
      <c r="H10" s="45" t="s">
        <v>32</v>
      </c>
      <c r="I10" s="89"/>
      <c r="J10" s="86">
        <f t="shared" si="0"/>
        <v>0</v>
      </c>
      <c r="K10" s="42"/>
      <c r="L10" s="73"/>
      <c r="M10" s="74"/>
      <c r="N10" s="74"/>
      <c r="O10" s="74"/>
      <c r="P10" s="74"/>
      <c r="Q10" s="74"/>
      <c r="R10" s="75"/>
      <c r="S10" s="45"/>
      <c r="T10" s="29"/>
      <c r="V10" s="70">
        <f>Mars!B8</f>
        <v>42093</v>
      </c>
      <c r="W10" s="71">
        <f>Mars!C8</f>
        <v>42094</v>
      </c>
      <c r="X10" s="71">
        <f>Mars!D8</f>
        <v>42095</v>
      </c>
      <c r="Y10" s="71">
        <f>Mars!E8</f>
        <v>42096</v>
      </c>
      <c r="Z10" s="71">
        <f>Mars!F8</f>
        <v>42097</v>
      </c>
      <c r="AA10" s="71">
        <f>Mars!G8</f>
        <v>42098</v>
      </c>
      <c r="AB10" s="72">
        <f>Mars!H8</f>
        <v>42099</v>
      </c>
      <c r="AC10" s="45" t="s">
        <v>81</v>
      </c>
      <c r="AD10" s="29"/>
      <c r="AH10" s="88"/>
    </row>
    <row r="11" spans="1:34" ht="16.8" thickTop="1" thickBot="1" x14ac:dyDescent="0.3">
      <c r="H11" s="56"/>
      <c r="I11" s="56"/>
      <c r="J11" s="84"/>
      <c r="K11" s="42"/>
      <c r="S11" s="56"/>
      <c r="T11" s="57"/>
      <c r="AC11" s="56"/>
      <c r="AD11" s="57"/>
      <c r="AH11" s="88"/>
    </row>
    <row r="12" spans="1:34" ht="18.600000000000001" thickTop="1" thickBot="1" x14ac:dyDescent="0.3">
      <c r="A12" s="91" t="s">
        <v>9</v>
      </c>
      <c r="B12" s="92"/>
      <c r="C12" s="92"/>
      <c r="D12" s="92"/>
      <c r="E12" s="92"/>
      <c r="F12" s="92"/>
      <c r="G12" s="93"/>
      <c r="H12" s="40"/>
      <c r="I12" s="40"/>
      <c r="J12" s="82"/>
      <c r="K12" s="42"/>
      <c r="L12" s="91" t="s">
        <v>10</v>
      </c>
      <c r="M12" s="92"/>
      <c r="N12" s="92"/>
      <c r="O12" s="92"/>
      <c r="P12" s="92"/>
      <c r="Q12" s="92"/>
      <c r="R12" s="93"/>
      <c r="S12" s="40"/>
      <c r="T12" s="41"/>
      <c r="V12" s="91" t="s">
        <v>11</v>
      </c>
      <c r="W12" s="92"/>
      <c r="X12" s="92"/>
      <c r="Y12" s="92"/>
      <c r="Z12" s="92"/>
      <c r="AA12" s="92"/>
      <c r="AB12" s="93"/>
      <c r="AC12" s="40"/>
      <c r="AD12" s="41"/>
      <c r="AH12" s="88"/>
    </row>
    <row r="13" spans="1:34" ht="16.8" thickTop="1" thickBot="1" x14ac:dyDescent="0.3">
      <c r="A13" s="4" t="s">
        <v>2</v>
      </c>
      <c r="B13" s="5" t="s">
        <v>1</v>
      </c>
      <c r="C13" s="5" t="s">
        <v>1</v>
      </c>
      <c r="D13" s="5" t="s">
        <v>3</v>
      </c>
      <c r="E13" s="5" t="s">
        <v>4</v>
      </c>
      <c r="F13" s="6" t="s">
        <v>0</v>
      </c>
      <c r="G13" s="7" t="s">
        <v>5</v>
      </c>
      <c r="H13" s="43"/>
      <c r="I13" s="43"/>
      <c r="J13" s="83"/>
      <c r="K13" s="42"/>
      <c r="L13" s="4" t="s">
        <v>2</v>
      </c>
      <c r="M13" s="5" t="s">
        <v>1</v>
      </c>
      <c r="N13" s="5" t="s">
        <v>1</v>
      </c>
      <c r="O13" s="5" t="s">
        <v>3</v>
      </c>
      <c r="P13" s="5" t="s">
        <v>4</v>
      </c>
      <c r="Q13" s="6" t="s">
        <v>0</v>
      </c>
      <c r="R13" s="7" t="s">
        <v>5</v>
      </c>
      <c r="S13" s="43"/>
      <c r="T13" s="44"/>
      <c r="V13" s="30" t="s">
        <v>2</v>
      </c>
      <c r="W13" s="31" t="s">
        <v>1</v>
      </c>
      <c r="X13" s="31" t="s">
        <v>1</v>
      </c>
      <c r="Y13" s="31" t="s">
        <v>3</v>
      </c>
      <c r="Z13" s="31" t="s">
        <v>4</v>
      </c>
      <c r="AA13" s="32" t="s">
        <v>0</v>
      </c>
      <c r="AB13" s="33" t="s">
        <v>5</v>
      </c>
      <c r="AC13" s="43"/>
      <c r="AD13" s="44"/>
      <c r="AH13" s="88"/>
    </row>
    <row r="14" spans="1:34" ht="16.2" thickTop="1" x14ac:dyDescent="0.25">
      <c r="A14" s="67">
        <f>Avril!B3</f>
        <v>42093</v>
      </c>
      <c r="B14" s="68">
        <f>Avril!C3</f>
        <v>42094</v>
      </c>
      <c r="C14" s="68">
        <f>Avril!D3</f>
        <v>42095</v>
      </c>
      <c r="D14" s="68">
        <f>Avril!E3</f>
        <v>42096</v>
      </c>
      <c r="E14" s="68">
        <f>Avril!F3</f>
        <v>42097</v>
      </c>
      <c r="F14" s="68">
        <f>Avril!G3</f>
        <v>42098</v>
      </c>
      <c r="G14" s="69">
        <f>Avril!H3</f>
        <v>42099</v>
      </c>
      <c r="H14" s="45" t="s">
        <v>33</v>
      </c>
      <c r="I14" s="45"/>
      <c r="J14" s="86">
        <f t="shared" ref="J14:J19" si="1">(35/7)*I14</f>
        <v>0</v>
      </c>
      <c r="K14" s="42"/>
      <c r="L14" s="67">
        <f>Mai!B3</f>
        <v>42121</v>
      </c>
      <c r="M14" s="68">
        <f>Mai!C3</f>
        <v>42122</v>
      </c>
      <c r="N14" s="68">
        <f>Mai!D3</f>
        <v>42123</v>
      </c>
      <c r="O14" s="68">
        <f>Mai!E3</f>
        <v>42124</v>
      </c>
      <c r="P14" s="68">
        <f>Mai!F3</f>
        <v>42125</v>
      </c>
      <c r="Q14" s="68">
        <f>Mai!G3</f>
        <v>42126</v>
      </c>
      <c r="R14" s="69">
        <f>Mai!H3</f>
        <v>42127</v>
      </c>
      <c r="S14" s="45" t="s">
        <v>58</v>
      </c>
      <c r="T14" s="29"/>
      <c r="V14" s="76">
        <f>Juin!B3</f>
        <v>42156</v>
      </c>
      <c r="W14" s="77">
        <f>Juin!C3</f>
        <v>42157</v>
      </c>
      <c r="X14" s="77">
        <f>Juin!D3</f>
        <v>42158</v>
      </c>
      <c r="Y14" s="77">
        <f>Juin!E3</f>
        <v>42159</v>
      </c>
      <c r="Z14" s="77">
        <f>Juin!F3</f>
        <v>42160</v>
      </c>
      <c r="AA14" s="77">
        <f>Juin!G3</f>
        <v>42161</v>
      </c>
      <c r="AB14" s="78">
        <f>Juin!H3</f>
        <v>42162</v>
      </c>
      <c r="AC14" s="45" t="s">
        <v>82</v>
      </c>
      <c r="AD14" s="29"/>
      <c r="AH14" s="88"/>
    </row>
    <row r="15" spans="1:34" ht="13.8" x14ac:dyDescent="0.25">
      <c r="A15" s="67">
        <f>Avril!B4</f>
        <v>42100</v>
      </c>
      <c r="B15" s="68">
        <f>Avril!C4</f>
        <v>42101</v>
      </c>
      <c r="C15" s="68">
        <f>Avril!D4</f>
        <v>42102</v>
      </c>
      <c r="D15" s="68">
        <f>Avril!E4</f>
        <v>42103</v>
      </c>
      <c r="E15" s="68">
        <f>Avril!F4</f>
        <v>42104</v>
      </c>
      <c r="F15" s="68">
        <f>Avril!G4</f>
        <v>42105</v>
      </c>
      <c r="G15" s="69">
        <f>Avril!H4</f>
        <v>42106</v>
      </c>
      <c r="H15" s="45" t="s">
        <v>34</v>
      </c>
      <c r="I15" s="45"/>
      <c r="J15" s="86">
        <f t="shared" si="1"/>
        <v>0</v>
      </c>
      <c r="K15" s="42"/>
      <c r="L15" s="67">
        <f>Mai!B4</f>
        <v>42128</v>
      </c>
      <c r="M15" s="68">
        <f>Mai!C4</f>
        <v>42129</v>
      </c>
      <c r="N15" s="68">
        <f>Mai!D4</f>
        <v>42130</v>
      </c>
      <c r="O15" s="68">
        <f>Mai!E4</f>
        <v>42131</v>
      </c>
      <c r="P15" s="68">
        <f>Mai!F4</f>
        <v>42132</v>
      </c>
      <c r="Q15" s="68">
        <f>Mai!G4</f>
        <v>42133</v>
      </c>
      <c r="R15" s="69">
        <f>Mai!H4</f>
        <v>42134</v>
      </c>
      <c r="S15" s="45" t="s">
        <v>59</v>
      </c>
      <c r="T15" s="29"/>
      <c r="V15" s="67">
        <f>Juin!B4</f>
        <v>42163</v>
      </c>
      <c r="W15" s="68">
        <f>Juin!C4</f>
        <v>42164</v>
      </c>
      <c r="X15" s="68">
        <f>Juin!D4</f>
        <v>42165</v>
      </c>
      <c r="Y15" s="68">
        <f>Juin!E4</f>
        <v>42166</v>
      </c>
      <c r="Z15" s="68">
        <f>Juin!F4</f>
        <v>42167</v>
      </c>
      <c r="AA15" s="68">
        <f>Juin!G4</f>
        <v>42168</v>
      </c>
      <c r="AB15" s="69">
        <f>Juin!H4</f>
        <v>42169</v>
      </c>
      <c r="AC15" s="45" t="s">
        <v>83</v>
      </c>
      <c r="AD15" s="29"/>
    </row>
    <row r="16" spans="1:34" ht="13.8" x14ac:dyDescent="0.25">
      <c r="A16" s="67">
        <f>Avril!B5</f>
        <v>42107</v>
      </c>
      <c r="B16" s="68">
        <f>Avril!C5</f>
        <v>42108</v>
      </c>
      <c r="C16" s="68">
        <f>Avril!D5</f>
        <v>42109</v>
      </c>
      <c r="D16" s="68">
        <f>Avril!E5</f>
        <v>42110</v>
      </c>
      <c r="E16" s="68">
        <f>Avril!F5</f>
        <v>42111</v>
      </c>
      <c r="F16" s="68">
        <f>Avril!G5</f>
        <v>42112</v>
      </c>
      <c r="G16" s="69">
        <f>Avril!H5</f>
        <v>42113</v>
      </c>
      <c r="H16" s="45" t="s">
        <v>35</v>
      </c>
      <c r="I16" s="45"/>
      <c r="J16" s="86">
        <f t="shared" si="1"/>
        <v>0</v>
      </c>
      <c r="K16" s="42"/>
      <c r="L16" s="67">
        <f>Mai!B5</f>
        <v>42135</v>
      </c>
      <c r="M16" s="68">
        <f>Mai!C5</f>
        <v>42136</v>
      </c>
      <c r="N16" s="68">
        <f>Mai!D5</f>
        <v>42137</v>
      </c>
      <c r="O16" s="68">
        <f>Mai!E5</f>
        <v>42138</v>
      </c>
      <c r="P16" s="68">
        <f>Mai!F5</f>
        <v>42139</v>
      </c>
      <c r="Q16" s="68">
        <f>Mai!G5</f>
        <v>42140</v>
      </c>
      <c r="R16" s="69">
        <f>Mai!H5</f>
        <v>42141</v>
      </c>
      <c r="S16" s="45" t="s">
        <v>60</v>
      </c>
      <c r="T16" s="29"/>
      <c r="V16" s="67">
        <f>Juin!B5</f>
        <v>42170</v>
      </c>
      <c r="W16" s="68">
        <f>Juin!C5</f>
        <v>42171</v>
      </c>
      <c r="X16" s="68">
        <f>Juin!D5</f>
        <v>42172</v>
      </c>
      <c r="Y16" s="68">
        <f>Juin!E5</f>
        <v>42173</v>
      </c>
      <c r="Z16" s="68">
        <f>Juin!F5</f>
        <v>42174</v>
      </c>
      <c r="AA16" s="68">
        <f>Juin!G5</f>
        <v>42175</v>
      </c>
      <c r="AB16" s="69">
        <f>Juin!H5</f>
        <v>42176</v>
      </c>
      <c r="AC16" s="45" t="s">
        <v>84</v>
      </c>
      <c r="AD16" s="29"/>
    </row>
    <row r="17" spans="1:30" ht="13.8" x14ac:dyDescent="0.25">
      <c r="A17" s="67">
        <f>Avril!B6</f>
        <v>42114</v>
      </c>
      <c r="B17" s="68">
        <f>Avril!C6</f>
        <v>42115</v>
      </c>
      <c r="C17" s="68">
        <f>Avril!D6</f>
        <v>42116</v>
      </c>
      <c r="D17" s="68">
        <f>Avril!E6</f>
        <v>42117</v>
      </c>
      <c r="E17" s="68">
        <f>Avril!F6</f>
        <v>42118</v>
      </c>
      <c r="F17" s="68">
        <f>Avril!G6</f>
        <v>42119</v>
      </c>
      <c r="G17" s="69">
        <f>Avril!H6</f>
        <v>42120</v>
      </c>
      <c r="H17" s="45" t="s">
        <v>36</v>
      </c>
      <c r="I17" s="45"/>
      <c r="J17" s="86">
        <f t="shared" si="1"/>
        <v>0</v>
      </c>
      <c r="K17" s="42"/>
      <c r="L17" s="67">
        <f>Mai!B6</f>
        <v>42142</v>
      </c>
      <c r="M17" s="68">
        <f>Mai!C6</f>
        <v>42143</v>
      </c>
      <c r="N17" s="68">
        <f>Mai!D6</f>
        <v>42144</v>
      </c>
      <c r="O17" s="68">
        <f>Mai!E6</f>
        <v>42145</v>
      </c>
      <c r="P17" s="68">
        <f>Mai!F6</f>
        <v>42146</v>
      </c>
      <c r="Q17" s="68">
        <f>Mai!G6</f>
        <v>42147</v>
      </c>
      <c r="R17" s="69">
        <f>Mai!H6</f>
        <v>42148</v>
      </c>
      <c r="S17" s="45" t="s">
        <v>61</v>
      </c>
      <c r="T17" s="29"/>
      <c r="V17" s="67">
        <f>Juin!B6</f>
        <v>42177</v>
      </c>
      <c r="W17" s="68">
        <f>Juin!C6</f>
        <v>42178</v>
      </c>
      <c r="X17" s="68">
        <f>Juin!D6</f>
        <v>42179</v>
      </c>
      <c r="Y17" s="68">
        <f>Juin!E6</f>
        <v>42180</v>
      </c>
      <c r="Z17" s="68">
        <f>Juin!F6</f>
        <v>42181</v>
      </c>
      <c r="AA17" s="68">
        <f>Juin!G6</f>
        <v>42182</v>
      </c>
      <c r="AB17" s="69">
        <f>Juin!H6</f>
        <v>42183</v>
      </c>
      <c r="AC17" s="45" t="s">
        <v>85</v>
      </c>
      <c r="AD17" s="29"/>
    </row>
    <row r="18" spans="1:30" ht="13.8" x14ac:dyDescent="0.25">
      <c r="A18" s="67">
        <f>Avril!B7</f>
        <v>42121</v>
      </c>
      <c r="B18" s="68">
        <f>Avril!C7</f>
        <v>42122</v>
      </c>
      <c r="C18" s="68">
        <f>Avril!D7</f>
        <v>42123</v>
      </c>
      <c r="D18" s="68">
        <f>Avril!E7</f>
        <v>42124</v>
      </c>
      <c r="E18" s="68">
        <f>Avril!F7</f>
        <v>42125</v>
      </c>
      <c r="F18" s="68">
        <f>Avril!G7</f>
        <v>42126</v>
      </c>
      <c r="G18" s="69">
        <f>Avril!H7</f>
        <v>42127</v>
      </c>
      <c r="H18" s="45" t="s">
        <v>37</v>
      </c>
      <c r="I18" s="45"/>
      <c r="J18" s="86">
        <f t="shared" si="1"/>
        <v>0</v>
      </c>
      <c r="K18" s="42"/>
      <c r="L18" s="67">
        <f>Mai!B7</f>
        <v>42149</v>
      </c>
      <c r="M18" s="68">
        <f>Mai!C7</f>
        <v>42150</v>
      </c>
      <c r="N18" s="68">
        <f>Mai!D7</f>
        <v>42151</v>
      </c>
      <c r="O18" s="68">
        <f>Mai!E7</f>
        <v>42152</v>
      </c>
      <c r="P18" s="68">
        <f>Mai!F7</f>
        <v>42153</v>
      </c>
      <c r="Q18" s="68">
        <f>Mai!G7</f>
        <v>42154</v>
      </c>
      <c r="R18" s="69">
        <f>Mai!H7</f>
        <v>42155</v>
      </c>
      <c r="S18" s="45" t="s">
        <v>62</v>
      </c>
      <c r="T18" s="29"/>
      <c r="V18" s="67">
        <f>Juin!B7</f>
        <v>42184</v>
      </c>
      <c r="W18" s="68">
        <f>Juin!C7</f>
        <v>42185</v>
      </c>
      <c r="X18" s="68">
        <f>Juin!D7</f>
        <v>42186</v>
      </c>
      <c r="Y18" s="68">
        <f>Juin!E7</f>
        <v>42187</v>
      </c>
      <c r="Z18" s="68">
        <f>Juin!F7</f>
        <v>42188</v>
      </c>
      <c r="AA18" s="68">
        <f>Juin!G7</f>
        <v>42189</v>
      </c>
      <c r="AB18" s="69">
        <f>Juin!H7</f>
        <v>42190</v>
      </c>
      <c r="AC18" s="45" t="s">
        <v>86</v>
      </c>
      <c r="AD18" s="29"/>
    </row>
    <row r="19" spans="1:30" ht="14.4" thickBot="1" x14ac:dyDescent="0.3">
      <c r="A19" s="70">
        <f>Avril!B8</f>
        <v>42128</v>
      </c>
      <c r="B19" s="71">
        <f>Avril!C8</f>
        <v>42129</v>
      </c>
      <c r="C19" s="71">
        <f>Avril!D8</f>
        <v>42130</v>
      </c>
      <c r="D19" s="71">
        <f>Avril!E8</f>
        <v>42131</v>
      </c>
      <c r="E19" s="71">
        <f>Avril!F8</f>
        <v>42132</v>
      </c>
      <c r="F19" s="71">
        <f>Avril!G8</f>
        <v>42133</v>
      </c>
      <c r="G19" s="72">
        <f>Avril!H8</f>
        <v>42134</v>
      </c>
      <c r="H19" s="45" t="s">
        <v>38</v>
      </c>
      <c r="I19" s="45"/>
      <c r="J19" s="86">
        <f t="shared" si="1"/>
        <v>0</v>
      </c>
      <c r="K19" s="42"/>
      <c r="L19" s="70">
        <f>Mai!B8</f>
        <v>42156</v>
      </c>
      <c r="M19" s="71">
        <f>Mai!C8</f>
        <v>42157</v>
      </c>
      <c r="N19" s="71">
        <f>Mai!D8</f>
        <v>42158</v>
      </c>
      <c r="O19" s="71">
        <f>Mai!E8</f>
        <v>42159</v>
      </c>
      <c r="P19" s="71">
        <f>Mai!F8</f>
        <v>42160</v>
      </c>
      <c r="Q19" s="71">
        <f>Mai!G8</f>
        <v>42161</v>
      </c>
      <c r="R19" s="72">
        <f>Mai!H8</f>
        <v>42162</v>
      </c>
      <c r="S19" s="45" t="s">
        <v>63</v>
      </c>
      <c r="T19" s="29"/>
      <c r="V19" s="70">
        <f>Juin!B8</f>
        <v>42191</v>
      </c>
      <c r="W19" s="71">
        <f>Juin!C8</f>
        <v>42192</v>
      </c>
      <c r="X19" s="71">
        <f>Juin!D8</f>
        <v>42193</v>
      </c>
      <c r="Y19" s="71">
        <f>Juin!E8</f>
        <v>42194</v>
      </c>
      <c r="Z19" s="71">
        <f>Juin!F8</f>
        <v>42195</v>
      </c>
      <c r="AA19" s="71">
        <f>Juin!G8</f>
        <v>42196</v>
      </c>
      <c r="AB19" s="72">
        <f>Juin!H8</f>
        <v>42197</v>
      </c>
      <c r="AC19" s="45" t="s">
        <v>87</v>
      </c>
      <c r="AD19" s="29"/>
    </row>
    <row r="20" spans="1:30" ht="14.4" thickTop="1" thickBot="1" x14ac:dyDescent="0.3">
      <c r="H20" s="56"/>
      <c r="I20" s="56"/>
      <c r="J20" s="84"/>
      <c r="K20" s="42"/>
      <c r="S20" s="56"/>
      <c r="T20" s="57"/>
      <c r="AC20" s="56"/>
      <c r="AD20" s="57"/>
    </row>
    <row r="21" spans="1:30" ht="18.600000000000001" thickTop="1" thickBot="1" x14ac:dyDescent="0.3">
      <c r="A21" s="91" t="s">
        <v>12</v>
      </c>
      <c r="B21" s="92"/>
      <c r="C21" s="92"/>
      <c r="D21" s="92"/>
      <c r="E21" s="92"/>
      <c r="F21" s="92"/>
      <c r="G21" s="93"/>
      <c r="H21" s="40"/>
      <c r="I21" s="40"/>
      <c r="J21" s="82"/>
      <c r="K21" s="42"/>
      <c r="L21" s="91" t="s">
        <v>13</v>
      </c>
      <c r="M21" s="92"/>
      <c r="N21" s="92"/>
      <c r="O21" s="92"/>
      <c r="P21" s="92"/>
      <c r="Q21" s="92"/>
      <c r="R21" s="93"/>
      <c r="S21" s="40"/>
      <c r="T21" s="41"/>
      <c r="V21" s="91" t="s">
        <v>14</v>
      </c>
      <c r="W21" s="92"/>
      <c r="X21" s="92"/>
      <c r="Y21" s="92"/>
      <c r="Z21" s="92"/>
      <c r="AA21" s="92"/>
      <c r="AB21" s="93"/>
      <c r="AC21" s="40"/>
      <c r="AD21" s="41"/>
    </row>
    <row r="22" spans="1:30" ht="14.4" thickTop="1" x14ac:dyDescent="0.25">
      <c r="A22" s="34" t="s">
        <v>2</v>
      </c>
      <c r="B22" s="35" t="s">
        <v>1</v>
      </c>
      <c r="C22" s="35" t="s">
        <v>1</v>
      </c>
      <c r="D22" s="35" t="s">
        <v>3</v>
      </c>
      <c r="E22" s="35" t="s">
        <v>4</v>
      </c>
      <c r="F22" s="36" t="s">
        <v>0</v>
      </c>
      <c r="G22" s="37" t="s">
        <v>5</v>
      </c>
      <c r="H22" s="46"/>
      <c r="I22" s="46"/>
      <c r="J22" s="85"/>
      <c r="K22" s="42"/>
      <c r="L22" s="34" t="s">
        <v>2</v>
      </c>
      <c r="M22" s="35" t="s">
        <v>1</v>
      </c>
      <c r="N22" s="35" t="s">
        <v>1</v>
      </c>
      <c r="O22" s="35" t="s">
        <v>3</v>
      </c>
      <c r="P22" s="35" t="s">
        <v>4</v>
      </c>
      <c r="Q22" s="36" t="s">
        <v>0</v>
      </c>
      <c r="R22" s="37" t="s">
        <v>5</v>
      </c>
      <c r="S22" s="46"/>
      <c r="T22" s="47"/>
      <c r="V22" s="34" t="s">
        <v>2</v>
      </c>
      <c r="W22" s="35" t="s">
        <v>1</v>
      </c>
      <c r="X22" s="35" t="s">
        <v>1</v>
      </c>
      <c r="Y22" s="35" t="s">
        <v>3</v>
      </c>
      <c r="Z22" s="35" t="s">
        <v>4</v>
      </c>
      <c r="AA22" s="36" t="s">
        <v>0</v>
      </c>
      <c r="AB22" s="37" t="s">
        <v>5</v>
      </c>
      <c r="AC22" s="46"/>
      <c r="AD22" s="47"/>
    </row>
    <row r="23" spans="1:30" ht="15.6" x14ac:dyDescent="0.25">
      <c r="A23" s="61">
        <v>42184</v>
      </c>
      <c r="B23" s="62">
        <v>42185</v>
      </c>
      <c r="C23" s="62">
        <v>42186</v>
      </c>
      <c r="D23" s="62">
        <v>42187</v>
      </c>
      <c r="E23" s="62">
        <v>42188</v>
      </c>
      <c r="F23" s="62">
        <v>42189</v>
      </c>
      <c r="G23" s="63">
        <v>42190</v>
      </c>
      <c r="H23" s="45" t="s">
        <v>39</v>
      </c>
      <c r="I23" s="45"/>
      <c r="J23" s="86">
        <f t="shared" ref="J23:J28" si="2">(35/7)*I23</f>
        <v>0</v>
      </c>
      <c r="K23" s="49"/>
      <c r="L23" s="61">
        <v>42212</v>
      </c>
      <c r="M23" s="62">
        <v>42213</v>
      </c>
      <c r="N23" s="62">
        <v>42214</v>
      </c>
      <c r="O23" s="62">
        <v>42215</v>
      </c>
      <c r="P23" s="62">
        <v>42216</v>
      </c>
      <c r="Q23" s="62">
        <v>42217</v>
      </c>
      <c r="R23" s="63">
        <v>42218</v>
      </c>
      <c r="S23" s="45" t="s">
        <v>64</v>
      </c>
      <c r="T23" s="48"/>
      <c r="U23" s="38"/>
      <c r="V23" s="61">
        <v>42247</v>
      </c>
      <c r="W23" s="62">
        <v>42248</v>
      </c>
      <c r="X23" s="62">
        <v>42249</v>
      </c>
      <c r="Y23" s="62">
        <v>42250</v>
      </c>
      <c r="Z23" s="62">
        <v>42251</v>
      </c>
      <c r="AA23" s="62">
        <v>42252</v>
      </c>
      <c r="AB23" s="63">
        <v>42253</v>
      </c>
      <c r="AC23" s="45" t="s">
        <v>88</v>
      </c>
      <c r="AD23" s="48"/>
    </row>
    <row r="24" spans="1:30" ht="15.6" x14ac:dyDescent="0.25">
      <c r="A24" s="61">
        <v>42191</v>
      </c>
      <c r="B24" s="62">
        <v>42192</v>
      </c>
      <c r="C24" s="62">
        <v>42193</v>
      </c>
      <c r="D24" s="62">
        <v>42194</v>
      </c>
      <c r="E24" s="62">
        <v>42195</v>
      </c>
      <c r="F24" s="62">
        <v>42196</v>
      </c>
      <c r="G24" s="63">
        <v>42197</v>
      </c>
      <c r="H24" s="45" t="s">
        <v>42</v>
      </c>
      <c r="I24" s="45"/>
      <c r="J24" s="86">
        <f t="shared" si="2"/>
        <v>0</v>
      </c>
      <c r="K24" s="49"/>
      <c r="L24" s="61">
        <v>42219</v>
      </c>
      <c r="M24" s="62">
        <v>42220</v>
      </c>
      <c r="N24" s="62">
        <v>42221</v>
      </c>
      <c r="O24" s="62">
        <v>42222</v>
      </c>
      <c r="P24" s="62">
        <v>42223</v>
      </c>
      <c r="Q24" s="62">
        <v>42224</v>
      </c>
      <c r="R24" s="63">
        <v>42225</v>
      </c>
      <c r="S24" s="45" t="s">
        <v>65</v>
      </c>
      <c r="T24" s="48"/>
      <c r="U24" s="38"/>
      <c r="V24" s="61">
        <v>42254</v>
      </c>
      <c r="W24" s="62">
        <v>42255</v>
      </c>
      <c r="X24" s="62">
        <v>42256</v>
      </c>
      <c r="Y24" s="62">
        <v>42257</v>
      </c>
      <c r="Z24" s="62">
        <v>42258</v>
      </c>
      <c r="AA24" s="62">
        <v>42259</v>
      </c>
      <c r="AB24" s="63">
        <v>42260</v>
      </c>
      <c r="AC24" s="45" t="s">
        <v>89</v>
      </c>
      <c r="AD24" s="48"/>
    </row>
    <row r="25" spans="1:30" ht="15.6" x14ac:dyDescent="0.25">
      <c r="A25" s="61">
        <v>42198</v>
      </c>
      <c r="B25" s="62">
        <v>42199</v>
      </c>
      <c r="C25" s="62">
        <v>42200</v>
      </c>
      <c r="D25" s="62">
        <v>42201</v>
      </c>
      <c r="E25" s="62">
        <v>42202</v>
      </c>
      <c r="F25" s="62">
        <v>42203</v>
      </c>
      <c r="G25" s="63">
        <v>42204</v>
      </c>
      <c r="H25" s="45" t="s">
        <v>43</v>
      </c>
      <c r="I25" s="45"/>
      <c r="J25" s="86">
        <f t="shared" si="2"/>
        <v>0</v>
      </c>
      <c r="K25" s="49"/>
      <c r="L25" s="61">
        <v>42226</v>
      </c>
      <c r="M25" s="62">
        <v>42227</v>
      </c>
      <c r="N25" s="62">
        <v>42228</v>
      </c>
      <c r="O25" s="62">
        <v>42229</v>
      </c>
      <c r="P25" s="62">
        <v>42230</v>
      </c>
      <c r="Q25" s="62">
        <v>42231</v>
      </c>
      <c r="R25" s="63">
        <v>42232</v>
      </c>
      <c r="S25" s="45" t="s">
        <v>66</v>
      </c>
      <c r="T25" s="48"/>
      <c r="U25" s="38"/>
      <c r="V25" s="61">
        <v>42261</v>
      </c>
      <c r="W25" s="62">
        <v>42262</v>
      </c>
      <c r="X25" s="62">
        <v>42263</v>
      </c>
      <c r="Y25" s="62">
        <v>42264</v>
      </c>
      <c r="Z25" s="62">
        <v>42265</v>
      </c>
      <c r="AA25" s="62">
        <v>42266</v>
      </c>
      <c r="AB25" s="63">
        <v>42267</v>
      </c>
      <c r="AC25" s="45" t="s">
        <v>90</v>
      </c>
      <c r="AD25" s="48"/>
    </row>
    <row r="26" spans="1:30" ht="15.6" x14ac:dyDescent="0.25">
      <c r="A26" s="61">
        <v>42205</v>
      </c>
      <c r="B26" s="62">
        <v>42206</v>
      </c>
      <c r="C26" s="62">
        <v>42207</v>
      </c>
      <c r="D26" s="62">
        <v>42208</v>
      </c>
      <c r="E26" s="62">
        <v>42209</v>
      </c>
      <c r="F26" s="62">
        <v>42210</v>
      </c>
      <c r="G26" s="63">
        <v>42211</v>
      </c>
      <c r="H26" s="45" t="s">
        <v>44</v>
      </c>
      <c r="I26" s="45"/>
      <c r="J26" s="86">
        <f t="shared" si="2"/>
        <v>0</v>
      </c>
      <c r="K26" s="49"/>
      <c r="L26" s="61">
        <v>42233</v>
      </c>
      <c r="M26" s="62">
        <v>42234</v>
      </c>
      <c r="N26" s="62">
        <v>42235</v>
      </c>
      <c r="O26" s="62">
        <v>42236</v>
      </c>
      <c r="P26" s="62">
        <v>42237</v>
      </c>
      <c r="Q26" s="62">
        <v>42238</v>
      </c>
      <c r="R26" s="63">
        <v>42239</v>
      </c>
      <c r="S26" s="45" t="s">
        <v>67</v>
      </c>
      <c r="T26" s="48"/>
      <c r="U26" s="38"/>
      <c r="V26" s="61">
        <v>42268</v>
      </c>
      <c r="W26" s="62">
        <v>42269</v>
      </c>
      <c r="X26" s="62">
        <v>42270</v>
      </c>
      <c r="Y26" s="62">
        <v>42271</v>
      </c>
      <c r="Z26" s="62">
        <v>42272</v>
      </c>
      <c r="AA26" s="62">
        <v>42273</v>
      </c>
      <c r="AB26" s="63">
        <v>42274</v>
      </c>
      <c r="AC26" s="45" t="s">
        <v>91</v>
      </c>
      <c r="AD26" s="48"/>
    </row>
    <row r="27" spans="1:30" ht="15.6" x14ac:dyDescent="0.25">
      <c r="A27" s="61">
        <v>42212</v>
      </c>
      <c r="B27" s="62">
        <v>42213</v>
      </c>
      <c r="C27" s="62">
        <v>42214</v>
      </c>
      <c r="D27" s="62">
        <v>42215</v>
      </c>
      <c r="E27" s="62">
        <v>42216</v>
      </c>
      <c r="F27" s="62">
        <v>42217</v>
      </c>
      <c r="G27" s="63">
        <v>42218</v>
      </c>
      <c r="H27" s="45" t="s">
        <v>45</v>
      </c>
      <c r="I27" s="45"/>
      <c r="J27" s="86">
        <f t="shared" si="2"/>
        <v>0</v>
      </c>
      <c r="K27" s="49"/>
      <c r="L27" s="61">
        <v>42240</v>
      </c>
      <c r="M27" s="62">
        <v>42241</v>
      </c>
      <c r="N27" s="62">
        <v>42242</v>
      </c>
      <c r="O27" s="62">
        <v>42243</v>
      </c>
      <c r="P27" s="62">
        <v>42244</v>
      </c>
      <c r="Q27" s="62">
        <v>42245</v>
      </c>
      <c r="R27" s="63">
        <v>42246</v>
      </c>
      <c r="S27" s="45" t="s">
        <v>68</v>
      </c>
      <c r="T27" s="48"/>
      <c r="U27" s="38"/>
      <c r="V27" s="61">
        <v>42275</v>
      </c>
      <c r="W27" s="62">
        <v>42276</v>
      </c>
      <c r="X27" s="62">
        <v>42277</v>
      </c>
      <c r="Y27" s="62">
        <v>42278</v>
      </c>
      <c r="Z27" s="62">
        <v>42279</v>
      </c>
      <c r="AA27" s="62">
        <v>42280</v>
      </c>
      <c r="AB27" s="63">
        <v>42281</v>
      </c>
      <c r="AC27" s="45" t="s">
        <v>92</v>
      </c>
      <c r="AD27" s="48"/>
    </row>
    <row r="28" spans="1:30" ht="16.2" thickBot="1" x14ac:dyDescent="0.3">
      <c r="A28" s="64">
        <v>42219</v>
      </c>
      <c r="B28" s="65">
        <v>42220</v>
      </c>
      <c r="C28" s="65">
        <v>42221</v>
      </c>
      <c r="D28" s="65">
        <v>42222</v>
      </c>
      <c r="E28" s="65">
        <v>42223</v>
      </c>
      <c r="F28" s="65">
        <v>42224</v>
      </c>
      <c r="G28" s="66">
        <v>42225</v>
      </c>
      <c r="H28" s="45" t="s">
        <v>46</v>
      </c>
      <c r="I28" s="45"/>
      <c r="J28" s="86">
        <f t="shared" si="2"/>
        <v>0</v>
      </c>
      <c r="K28" s="49"/>
      <c r="L28" s="64">
        <v>42247</v>
      </c>
      <c r="M28" s="65">
        <v>42248</v>
      </c>
      <c r="N28" s="65">
        <v>42249</v>
      </c>
      <c r="O28" s="65">
        <v>42250</v>
      </c>
      <c r="P28" s="65">
        <v>42251</v>
      </c>
      <c r="Q28" s="65">
        <v>42252</v>
      </c>
      <c r="R28" s="66">
        <v>42253</v>
      </c>
      <c r="S28" s="45" t="s">
        <v>69</v>
      </c>
      <c r="T28" s="48"/>
      <c r="U28" s="38"/>
      <c r="V28" s="64">
        <v>42282</v>
      </c>
      <c r="W28" s="65">
        <v>42283</v>
      </c>
      <c r="X28" s="65">
        <v>42284</v>
      </c>
      <c r="Y28" s="65">
        <v>42285</v>
      </c>
      <c r="Z28" s="65">
        <v>42286</v>
      </c>
      <c r="AA28" s="65">
        <v>42287</v>
      </c>
      <c r="AB28" s="66">
        <v>42288</v>
      </c>
      <c r="AC28" s="45" t="s">
        <v>93</v>
      </c>
      <c r="AD28" s="48"/>
    </row>
    <row r="29" spans="1:30" ht="14.4" thickTop="1" thickBot="1" x14ac:dyDescent="0.3">
      <c r="A29" s="60"/>
      <c r="B29" s="60"/>
      <c r="C29" s="60"/>
      <c r="D29" s="60"/>
      <c r="E29" s="60"/>
      <c r="F29" s="60"/>
      <c r="G29" s="60"/>
      <c r="H29" s="56"/>
      <c r="I29" s="56"/>
      <c r="J29" s="84"/>
      <c r="K29" s="42"/>
      <c r="S29" s="56"/>
      <c r="T29" s="57"/>
      <c r="AC29" s="56"/>
      <c r="AD29" s="57"/>
    </row>
    <row r="30" spans="1:30" ht="18.600000000000001" thickTop="1" thickBot="1" x14ac:dyDescent="0.3">
      <c r="A30" s="91" t="s">
        <v>15</v>
      </c>
      <c r="B30" s="92"/>
      <c r="C30" s="92"/>
      <c r="D30" s="92"/>
      <c r="E30" s="92"/>
      <c r="F30" s="92"/>
      <c r="G30" s="93"/>
      <c r="H30" s="40"/>
      <c r="I30" s="40"/>
      <c r="J30" s="82"/>
      <c r="K30" s="42"/>
      <c r="L30" s="91" t="s">
        <v>16</v>
      </c>
      <c r="M30" s="92"/>
      <c r="N30" s="92"/>
      <c r="O30" s="92"/>
      <c r="P30" s="92"/>
      <c r="Q30" s="92"/>
      <c r="R30" s="93"/>
      <c r="S30" s="40"/>
      <c r="T30" s="41"/>
      <c r="V30" s="91" t="s">
        <v>17</v>
      </c>
      <c r="W30" s="92"/>
      <c r="X30" s="92"/>
      <c r="Y30" s="92"/>
      <c r="Z30" s="92"/>
      <c r="AA30" s="92"/>
      <c r="AB30" s="93"/>
      <c r="AC30" s="40"/>
      <c r="AD30" s="41"/>
    </row>
    <row r="31" spans="1:30" ht="14.4" thickTop="1" x14ac:dyDescent="0.25">
      <c r="A31" s="34" t="s">
        <v>2</v>
      </c>
      <c r="B31" s="35" t="s">
        <v>1</v>
      </c>
      <c r="C31" s="35" t="s">
        <v>1</v>
      </c>
      <c r="D31" s="35" t="s">
        <v>3</v>
      </c>
      <c r="E31" s="35" t="s">
        <v>4</v>
      </c>
      <c r="F31" s="36" t="s">
        <v>0</v>
      </c>
      <c r="G31" s="37" t="s">
        <v>5</v>
      </c>
      <c r="H31" s="46"/>
      <c r="I31" s="46"/>
      <c r="J31" s="85"/>
      <c r="K31" s="42"/>
      <c r="L31" s="34" t="s">
        <v>2</v>
      </c>
      <c r="M31" s="35" t="s">
        <v>1</v>
      </c>
      <c r="N31" s="35" t="s">
        <v>1</v>
      </c>
      <c r="O31" s="35" t="s">
        <v>3</v>
      </c>
      <c r="P31" s="35" t="s">
        <v>4</v>
      </c>
      <c r="Q31" s="36" t="s">
        <v>0</v>
      </c>
      <c r="R31" s="37" t="s">
        <v>5</v>
      </c>
      <c r="S31" s="46"/>
      <c r="T31" s="47"/>
      <c r="V31" s="34" t="s">
        <v>2</v>
      </c>
      <c r="W31" s="35" t="s">
        <v>1</v>
      </c>
      <c r="X31" s="35" t="s">
        <v>1</v>
      </c>
      <c r="Y31" s="35" t="s">
        <v>3</v>
      </c>
      <c r="Z31" s="35" t="s">
        <v>4</v>
      </c>
      <c r="AA31" s="36" t="s">
        <v>0</v>
      </c>
      <c r="AB31" s="37" t="s">
        <v>5</v>
      </c>
      <c r="AC31" s="46"/>
      <c r="AD31" s="47"/>
    </row>
    <row r="32" spans="1:30" ht="15.6" x14ac:dyDescent="0.25">
      <c r="A32" s="61">
        <v>42275</v>
      </c>
      <c r="B32" s="62">
        <v>42276</v>
      </c>
      <c r="C32" s="62">
        <v>42277</v>
      </c>
      <c r="D32" s="62">
        <v>42278</v>
      </c>
      <c r="E32" s="62">
        <v>42279</v>
      </c>
      <c r="F32" s="62">
        <v>42280</v>
      </c>
      <c r="G32" s="63">
        <v>42281</v>
      </c>
      <c r="H32" s="50" t="s">
        <v>47</v>
      </c>
      <c r="I32" s="50"/>
      <c r="J32" s="86">
        <f t="shared" ref="J32:J37" si="3">(35/7)*I32</f>
        <v>0</v>
      </c>
      <c r="K32" s="49"/>
      <c r="L32" s="61">
        <v>42303</v>
      </c>
      <c r="M32" s="62">
        <v>42304</v>
      </c>
      <c r="N32" s="62">
        <v>42305</v>
      </c>
      <c r="O32" s="62">
        <v>42306</v>
      </c>
      <c r="P32" s="62">
        <v>42307</v>
      </c>
      <c r="Q32" s="62">
        <v>42308</v>
      </c>
      <c r="R32" s="63">
        <v>42309</v>
      </c>
      <c r="S32" s="50" t="s">
        <v>70</v>
      </c>
      <c r="T32" s="48"/>
      <c r="U32" s="38"/>
      <c r="V32" s="61">
        <v>42338</v>
      </c>
      <c r="W32" s="62">
        <v>42339</v>
      </c>
      <c r="X32" s="62">
        <v>42340</v>
      </c>
      <c r="Y32" s="62">
        <v>42341</v>
      </c>
      <c r="Z32" s="62">
        <v>42342</v>
      </c>
      <c r="AA32" s="62">
        <v>42343</v>
      </c>
      <c r="AB32" s="63">
        <v>42344</v>
      </c>
      <c r="AC32" s="50" t="s">
        <v>94</v>
      </c>
      <c r="AD32" s="48"/>
    </row>
    <row r="33" spans="1:30" ht="15.6" x14ac:dyDescent="0.25">
      <c r="A33" s="61">
        <v>42282</v>
      </c>
      <c r="B33" s="62">
        <v>42283</v>
      </c>
      <c r="C33" s="62">
        <v>42284</v>
      </c>
      <c r="D33" s="62">
        <v>42285</v>
      </c>
      <c r="E33" s="62">
        <v>42286</v>
      </c>
      <c r="F33" s="62">
        <v>42287</v>
      </c>
      <c r="G33" s="63">
        <v>42288</v>
      </c>
      <c r="H33" s="50" t="s">
        <v>49</v>
      </c>
      <c r="I33" s="50"/>
      <c r="J33" s="86">
        <f t="shared" si="3"/>
        <v>0</v>
      </c>
      <c r="K33" s="49"/>
      <c r="L33" s="61">
        <v>42310</v>
      </c>
      <c r="M33" s="62">
        <v>42311</v>
      </c>
      <c r="N33" s="62">
        <v>42312</v>
      </c>
      <c r="O33" s="62">
        <v>42313</v>
      </c>
      <c r="P33" s="62">
        <v>42314</v>
      </c>
      <c r="Q33" s="62">
        <v>42315</v>
      </c>
      <c r="R33" s="63">
        <v>42316</v>
      </c>
      <c r="S33" s="50" t="s">
        <v>71</v>
      </c>
      <c r="T33" s="48"/>
      <c r="U33" s="38"/>
      <c r="V33" s="61">
        <v>42345</v>
      </c>
      <c r="W33" s="62">
        <v>42346</v>
      </c>
      <c r="X33" s="62">
        <v>42347</v>
      </c>
      <c r="Y33" s="62">
        <v>42348</v>
      </c>
      <c r="Z33" s="62">
        <v>42349</v>
      </c>
      <c r="AA33" s="62">
        <v>42350</v>
      </c>
      <c r="AB33" s="63">
        <v>42351</v>
      </c>
      <c r="AC33" s="50" t="s">
        <v>95</v>
      </c>
      <c r="AD33" s="48"/>
    </row>
    <row r="34" spans="1:30" ht="15.6" x14ac:dyDescent="0.25">
      <c r="A34" s="61">
        <v>42289</v>
      </c>
      <c r="B34" s="62">
        <v>42290</v>
      </c>
      <c r="C34" s="62">
        <v>42291</v>
      </c>
      <c r="D34" s="62">
        <v>42292</v>
      </c>
      <c r="E34" s="62">
        <v>42293</v>
      </c>
      <c r="F34" s="62">
        <v>42294</v>
      </c>
      <c r="G34" s="63">
        <v>42295</v>
      </c>
      <c r="H34" s="50" t="s">
        <v>50</v>
      </c>
      <c r="I34" s="50"/>
      <c r="J34" s="86">
        <f t="shared" si="3"/>
        <v>0</v>
      </c>
      <c r="K34" s="49"/>
      <c r="L34" s="61">
        <v>42317</v>
      </c>
      <c r="M34" s="62">
        <v>42318</v>
      </c>
      <c r="N34" s="62">
        <v>42319</v>
      </c>
      <c r="O34" s="62">
        <v>42320</v>
      </c>
      <c r="P34" s="62">
        <v>42321</v>
      </c>
      <c r="Q34" s="62">
        <v>42322</v>
      </c>
      <c r="R34" s="63">
        <v>42323</v>
      </c>
      <c r="S34" s="50" t="s">
        <v>72</v>
      </c>
      <c r="T34" s="48"/>
      <c r="U34" s="38"/>
      <c r="V34" s="61">
        <v>42352</v>
      </c>
      <c r="W34" s="62">
        <v>42353</v>
      </c>
      <c r="X34" s="62">
        <v>42354</v>
      </c>
      <c r="Y34" s="62">
        <v>42355</v>
      </c>
      <c r="Z34" s="62">
        <v>42356</v>
      </c>
      <c r="AA34" s="62">
        <v>42357</v>
      </c>
      <c r="AB34" s="63">
        <v>42358</v>
      </c>
      <c r="AC34" s="50" t="s">
        <v>96</v>
      </c>
      <c r="AD34" s="48"/>
    </row>
    <row r="35" spans="1:30" ht="15.6" x14ac:dyDescent="0.25">
      <c r="A35" s="61">
        <v>42296</v>
      </c>
      <c r="B35" s="62">
        <v>42297</v>
      </c>
      <c r="C35" s="62">
        <v>42298</v>
      </c>
      <c r="D35" s="62">
        <v>42299</v>
      </c>
      <c r="E35" s="62">
        <v>42300</v>
      </c>
      <c r="F35" s="62">
        <v>42301</v>
      </c>
      <c r="G35" s="63">
        <v>42302</v>
      </c>
      <c r="H35" s="50" t="s">
        <v>51</v>
      </c>
      <c r="I35" s="50"/>
      <c r="J35" s="86">
        <f t="shared" si="3"/>
        <v>0</v>
      </c>
      <c r="K35" s="49"/>
      <c r="L35" s="61">
        <v>42324</v>
      </c>
      <c r="M35" s="62">
        <v>42325</v>
      </c>
      <c r="N35" s="62">
        <v>42326</v>
      </c>
      <c r="O35" s="62">
        <v>42327</v>
      </c>
      <c r="P35" s="62">
        <v>42328</v>
      </c>
      <c r="Q35" s="62">
        <v>42329</v>
      </c>
      <c r="R35" s="63">
        <v>42330</v>
      </c>
      <c r="S35" s="50" t="s">
        <v>73</v>
      </c>
      <c r="T35" s="48"/>
      <c r="U35" s="38"/>
      <c r="V35" s="61">
        <v>42359</v>
      </c>
      <c r="W35" s="62">
        <v>42360</v>
      </c>
      <c r="X35" s="62">
        <v>42361</v>
      </c>
      <c r="Y35" s="62">
        <v>42362</v>
      </c>
      <c r="Z35" s="62">
        <v>42363</v>
      </c>
      <c r="AA35" s="62">
        <v>42364</v>
      </c>
      <c r="AB35" s="63">
        <v>42365</v>
      </c>
      <c r="AC35" s="50" t="s">
        <v>97</v>
      </c>
      <c r="AD35" s="48"/>
    </row>
    <row r="36" spans="1:30" ht="15.6" x14ac:dyDescent="0.25">
      <c r="A36" s="61">
        <v>42303</v>
      </c>
      <c r="B36" s="62">
        <v>42304</v>
      </c>
      <c r="C36" s="62">
        <v>42305</v>
      </c>
      <c r="D36" s="62">
        <v>42306</v>
      </c>
      <c r="E36" s="62">
        <v>42307</v>
      </c>
      <c r="F36" s="62">
        <v>42308</v>
      </c>
      <c r="G36" s="63">
        <v>42309</v>
      </c>
      <c r="H36" s="50" t="s">
        <v>48</v>
      </c>
      <c r="I36" s="50"/>
      <c r="J36" s="86">
        <f t="shared" si="3"/>
        <v>0</v>
      </c>
      <c r="K36" s="49"/>
      <c r="L36" s="61">
        <v>42331</v>
      </c>
      <c r="M36" s="62">
        <v>42332</v>
      </c>
      <c r="N36" s="62">
        <v>42333</v>
      </c>
      <c r="O36" s="62">
        <v>42334</v>
      </c>
      <c r="P36" s="62">
        <v>42335</v>
      </c>
      <c r="Q36" s="62">
        <v>42336</v>
      </c>
      <c r="R36" s="63">
        <v>42337</v>
      </c>
      <c r="S36" s="50" t="s">
        <v>74</v>
      </c>
      <c r="T36" s="48"/>
      <c r="U36" s="38"/>
      <c r="V36" s="61">
        <v>42366</v>
      </c>
      <c r="W36" s="62">
        <v>42367</v>
      </c>
      <c r="X36" s="62">
        <v>42368</v>
      </c>
      <c r="Y36" s="62">
        <v>42369</v>
      </c>
      <c r="Z36" s="62">
        <v>42370</v>
      </c>
      <c r="AA36" s="62">
        <v>42371</v>
      </c>
      <c r="AB36" s="63">
        <v>42372</v>
      </c>
      <c r="AC36" s="50" t="s">
        <v>98</v>
      </c>
      <c r="AD36" s="48"/>
    </row>
    <row r="37" spans="1:30" ht="16.2" thickBot="1" x14ac:dyDescent="0.3">
      <c r="A37" s="64">
        <v>42310</v>
      </c>
      <c r="B37" s="65">
        <v>42311</v>
      </c>
      <c r="C37" s="65">
        <v>42312</v>
      </c>
      <c r="D37" s="65">
        <v>42313</v>
      </c>
      <c r="E37" s="65">
        <v>42314</v>
      </c>
      <c r="F37" s="65">
        <v>42315</v>
      </c>
      <c r="G37" s="66">
        <v>42316</v>
      </c>
      <c r="H37" s="50" t="s">
        <v>52</v>
      </c>
      <c r="I37" s="51"/>
      <c r="J37" s="86">
        <f t="shared" si="3"/>
        <v>0</v>
      </c>
      <c r="K37" s="53"/>
      <c r="L37" s="64">
        <v>42338</v>
      </c>
      <c r="M37" s="65">
        <v>42339</v>
      </c>
      <c r="N37" s="65">
        <v>42340</v>
      </c>
      <c r="O37" s="65">
        <v>42341</v>
      </c>
      <c r="P37" s="65">
        <v>42342</v>
      </c>
      <c r="Q37" s="65">
        <v>42343</v>
      </c>
      <c r="R37" s="66">
        <v>42344</v>
      </c>
      <c r="S37" s="50" t="s">
        <v>75</v>
      </c>
      <c r="T37" s="52"/>
      <c r="U37" s="38"/>
      <c r="V37" s="64">
        <v>42373</v>
      </c>
      <c r="W37" s="65">
        <v>42374</v>
      </c>
      <c r="X37" s="65">
        <v>42375</v>
      </c>
      <c r="Y37" s="65">
        <v>42376</v>
      </c>
      <c r="Z37" s="65">
        <v>42377</v>
      </c>
      <c r="AA37" s="65">
        <v>42378</v>
      </c>
      <c r="AB37" s="66">
        <v>42379</v>
      </c>
      <c r="AC37" s="50" t="s">
        <v>99</v>
      </c>
      <c r="AD37" s="52"/>
    </row>
    <row r="38" spans="1:30" ht="13.8" thickTop="1" x14ac:dyDescent="0.25"/>
  </sheetData>
  <mergeCells count="16">
    <mergeCell ref="A1:B1"/>
    <mergeCell ref="C1:F1"/>
    <mergeCell ref="L1:N1"/>
    <mergeCell ref="O1:R1"/>
    <mergeCell ref="A3:G3"/>
    <mergeCell ref="L3:R3"/>
    <mergeCell ref="A30:G30"/>
    <mergeCell ref="L30:R30"/>
    <mergeCell ref="V30:AB30"/>
    <mergeCell ref="V3:AB3"/>
    <mergeCell ref="A12:G12"/>
    <mergeCell ref="L12:R12"/>
    <mergeCell ref="V12:AB12"/>
    <mergeCell ref="A21:G21"/>
    <mergeCell ref="L21:R21"/>
    <mergeCell ref="V21:AB21"/>
  </mergeCells>
  <conditionalFormatting sqref="A5:F5">
    <cfRule type="expression" dxfId="87" priority="51" stopIfTrue="1">
      <formula>DAY(A5)&gt;8</formula>
    </cfRule>
  </conditionalFormatting>
  <conditionalFormatting sqref="L9:R10 A9:I10 A18:G19 L18:R19 V18:AB19 A27:G28 L27:R28 V27:AB28 A36:I37 L36:R37 V36:AB37">
    <cfRule type="expression" dxfId="86" priority="50" stopIfTrue="1">
      <formula>AND(DAY(A9)&gt;=1,DAY(A9)&lt;=15)</formula>
    </cfRule>
  </conditionalFormatting>
  <conditionalFormatting sqref="A5:I10">
    <cfRule type="expression" dxfId="85" priority="52">
      <formula>VLOOKUP(DAY(A5),Jours_affectation,1,FALSE)=DAY(A5)</formula>
    </cfRule>
  </conditionalFormatting>
  <conditionalFormatting sqref="L5:Q5">
    <cfRule type="expression" dxfId="84" priority="48" stopIfTrue="1">
      <formula>DAY(L5)&gt;8</formula>
    </cfRule>
  </conditionalFormatting>
  <conditionalFormatting sqref="L5:R9">
    <cfRule type="expression" dxfId="83" priority="49">
      <formula>VLOOKUP(DAY(L5),FEV,1,FALSE)=DAY(L5)</formula>
    </cfRule>
  </conditionalFormatting>
  <conditionalFormatting sqref="V9:AB10">
    <cfRule type="expression" dxfId="82" priority="45" stopIfTrue="1">
      <formula>AND(DAY(V9)&gt;=1,DAY(V9)&lt;=15)</formula>
    </cfRule>
  </conditionalFormatting>
  <conditionalFormatting sqref="V5:AA5">
    <cfRule type="expression" dxfId="81" priority="46" stopIfTrue="1">
      <formula>DAY(V5)&gt;8</formula>
    </cfRule>
  </conditionalFormatting>
  <conditionalFormatting sqref="V5:AB10">
    <cfRule type="expression" dxfId="80" priority="47">
      <formula>VLOOKUP(DAY(V5),mars,1,FALSE)=DAY(V5)</formula>
    </cfRule>
  </conditionalFormatting>
  <conditionalFormatting sqref="A14:F14">
    <cfRule type="expression" dxfId="79" priority="43" stopIfTrue="1">
      <formula>DAY(A14)&gt;8</formula>
    </cfRule>
  </conditionalFormatting>
  <conditionalFormatting sqref="A14:G19">
    <cfRule type="expression" dxfId="78" priority="44">
      <formula>VLOOKUP(DAY(A14),avril,1,FALSE)=DAY(A14)</formula>
    </cfRule>
  </conditionalFormatting>
  <conditionalFormatting sqref="L14:Q14">
    <cfRule type="expression" dxfId="77" priority="41" stopIfTrue="1">
      <formula>DAY(L14)&gt;8</formula>
    </cfRule>
  </conditionalFormatting>
  <conditionalFormatting sqref="L14:R19">
    <cfRule type="expression" dxfId="76" priority="42">
      <formula>VLOOKUP(DAY(L14),Mai,1,FALSE)=DAY(L14)</formula>
    </cfRule>
  </conditionalFormatting>
  <conditionalFormatting sqref="V14:AA14">
    <cfRule type="expression" dxfId="75" priority="39" stopIfTrue="1">
      <formula>DAY(V14)&gt;8</formula>
    </cfRule>
  </conditionalFormatting>
  <conditionalFormatting sqref="V14:AB19">
    <cfRule type="expression" dxfId="74" priority="40">
      <formula>VLOOKUP(DAY(V14),Juin,1,FALSE)=DAY(V14)</formula>
    </cfRule>
  </conditionalFormatting>
  <conditionalFormatting sqref="A23:F23">
    <cfRule type="expression" dxfId="73" priority="37" stopIfTrue="1">
      <formula>DAY(A23)&gt;8</formula>
    </cfRule>
  </conditionalFormatting>
  <conditionalFormatting sqref="A23:G28">
    <cfRule type="expression" dxfId="72" priority="38">
      <formula>VLOOKUP(DAY(A23),Juillet,1,FALSE)=DAY(A23)</formula>
    </cfRule>
  </conditionalFormatting>
  <conditionalFormatting sqref="L23:Q23">
    <cfRule type="expression" dxfId="71" priority="35" stopIfTrue="1">
      <formula>DAY(L23)&gt;8</formula>
    </cfRule>
  </conditionalFormatting>
  <conditionalFormatting sqref="L23:R28">
    <cfRule type="expression" dxfId="70" priority="36">
      <formula>VLOOKUP(DAY(L23),Aout,1,FALSE)=DAY(L23)</formula>
    </cfRule>
  </conditionalFormatting>
  <conditionalFormatting sqref="V23:AA23">
    <cfRule type="expression" dxfId="69" priority="33" stopIfTrue="1">
      <formula>DAY(V23)&gt;8</formula>
    </cfRule>
  </conditionalFormatting>
  <conditionalFormatting sqref="V23:AB28">
    <cfRule type="expression" dxfId="68" priority="34">
      <formula>VLOOKUP(DAY(V23),Sept,1,FALSE)=DAY(V23)</formula>
    </cfRule>
  </conditionalFormatting>
  <conditionalFormatting sqref="A32:F32">
    <cfRule type="expression" dxfId="67" priority="31" stopIfTrue="1">
      <formula>DAY(A32)&gt;8</formula>
    </cfRule>
  </conditionalFormatting>
  <conditionalFormatting sqref="A32:I37">
    <cfRule type="expression" dxfId="66" priority="32">
      <formula>VLOOKUP(DAY(A32),Octo,1,FALSE)=DAY(A32)</formula>
    </cfRule>
  </conditionalFormatting>
  <conditionalFormatting sqref="L32:Q32">
    <cfRule type="expression" dxfId="65" priority="29" stopIfTrue="1">
      <formula>DAY(L32)&gt;8</formula>
    </cfRule>
  </conditionalFormatting>
  <conditionalFormatting sqref="L32:R37">
    <cfRule type="expression" dxfId="64" priority="30">
      <formula>VLOOKUP(DAY(L32),Novem,1,FALSE)=DAY(L32)</formula>
    </cfRule>
  </conditionalFormatting>
  <conditionalFormatting sqref="V32:AA32">
    <cfRule type="expression" dxfId="63" priority="27" stopIfTrue="1">
      <formula>DAY(V32)&gt;8</formula>
    </cfRule>
  </conditionalFormatting>
  <conditionalFormatting sqref="V32:AB37">
    <cfRule type="expression" dxfId="62" priority="28">
      <formula>VLOOKUP(DAY(V32),Décem,1,FALSE)=DAY(V32)</formula>
    </cfRule>
  </conditionalFormatting>
  <conditionalFormatting sqref="H14:I14">
    <cfRule type="expression" dxfId="61" priority="26">
      <formula>VLOOKUP(DAY(H14),Jours_affectation,1,FALSE)=DAY(H14)</formula>
    </cfRule>
  </conditionalFormatting>
  <conditionalFormatting sqref="H23:I28">
    <cfRule type="expression" dxfId="60" priority="25">
      <formula>VLOOKUP(DAY(H23),Jours_affectation,1,FALSE)=DAY(H23)</formula>
    </cfRule>
  </conditionalFormatting>
  <conditionalFormatting sqref="H15:I19">
    <cfRule type="expression" dxfId="59" priority="24">
      <formula>VLOOKUP(DAY(H15),Jours_affectation,1,FALSE)=DAY(H15)</formula>
    </cfRule>
  </conditionalFormatting>
  <conditionalFormatting sqref="S9:T10 S36:T37 T18:T19 T27:T28">
    <cfRule type="expression" dxfId="58" priority="22" stopIfTrue="1">
      <formula>AND(DAY(S9)&gt;=1,DAY(S9)&lt;=15)</formula>
    </cfRule>
  </conditionalFormatting>
  <conditionalFormatting sqref="S5:T10">
    <cfRule type="expression" dxfId="57" priority="23">
      <formula>VLOOKUP(DAY(S5),Jours_affectation,1,FALSE)=DAY(S5)</formula>
    </cfRule>
  </conditionalFormatting>
  <conditionalFormatting sqref="T14:T19">
    <cfRule type="expression" dxfId="56" priority="21">
      <formula>VLOOKUP(DAY(T14),avril,1,FALSE)=DAY(T14)</formula>
    </cfRule>
  </conditionalFormatting>
  <conditionalFormatting sqref="T23:T28">
    <cfRule type="expression" dxfId="55" priority="20">
      <formula>VLOOKUP(DAY(T23),Juillet,1,FALSE)=DAY(T23)</formula>
    </cfRule>
  </conditionalFormatting>
  <conditionalFormatting sqref="S32:T37">
    <cfRule type="expression" dxfId="54" priority="19">
      <formula>VLOOKUP(DAY(S32),Octo,1,FALSE)=DAY(S32)</formula>
    </cfRule>
  </conditionalFormatting>
  <conditionalFormatting sqref="S14">
    <cfRule type="expression" dxfId="53" priority="18">
      <formula>VLOOKUP(DAY(S14),Jours_affectation,1,FALSE)=DAY(S14)</formula>
    </cfRule>
  </conditionalFormatting>
  <conditionalFormatting sqref="S23:S28">
    <cfRule type="expression" dxfId="52" priority="17">
      <formula>VLOOKUP(DAY(S23),Jours_affectation,1,FALSE)=DAY(S23)</formula>
    </cfRule>
  </conditionalFormatting>
  <conditionalFormatting sqref="AC9:AD10 AC36:AD37 AD18:AD19 AD27:AD28">
    <cfRule type="expression" dxfId="51" priority="15" stopIfTrue="1">
      <formula>AND(DAY(AC9)&gt;=1,DAY(AC9)&lt;=15)</formula>
    </cfRule>
  </conditionalFormatting>
  <conditionalFormatting sqref="AC5:AD10">
    <cfRule type="expression" dxfId="50" priority="16">
      <formula>VLOOKUP(DAY(AC5),Jours_affectation,1,FALSE)=DAY(AC5)</formula>
    </cfRule>
  </conditionalFormatting>
  <conditionalFormatting sqref="AD14:AD19">
    <cfRule type="expression" dxfId="49" priority="14">
      <formula>VLOOKUP(DAY(AD14),avril,1,FALSE)=DAY(AD14)</formula>
    </cfRule>
  </conditionalFormatting>
  <conditionalFormatting sqref="AD23:AD28">
    <cfRule type="expression" dxfId="48" priority="13">
      <formula>VLOOKUP(DAY(AD23),Juillet,1,FALSE)=DAY(AD23)</formula>
    </cfRule>
  </conditionalFormatting>
  <conditionalFormatting sqref="AC32:AD37">
    <cfRule type="expression" dxfId="47" priority="12">
      <formula>VLOOKUP(DAY(AC32),Octo,1,FALSE)=DAY(AC32)</formula>
    </cfRule>
  </conditionalFormatting>
  <conditionalFormatting sqref="AC14">
    <cfRule type="expression" dxfId="46" priority="11">
      <formula>VLOOKUP(DAY(AC14),Jours_affectation,1,FALSE)=DAY(AC14)</formula>
    </cfRule>
  </conditionalFormatting>
  <conditionalFormatting sqref="AC23:AC28">
    <cfRule type="expression" dxfId="45" priority="10">
      <formula>VLOOKUP(DAY(AC23),Jours_affectation,1,FALSE)=DAY(AC23)</formula>
    </cfRule>
  </conditionalFormatting>
  <conditionalFormatting sqref="S15:S19">
    <cfRule type="expression" dxfId="44" priority="9">
      <formula>VLOOKUP(DAY(S15),Jours_affectation,1,FALSE)=DAY(S15)</formula>
    </cfRule>
  </conditionalFormatting>
  <conditionalFormatting sqref="AC15:AC19">
    <cfRule type="expression" dxfId="43" priority="8">
      <formula>VLOOKUP(DAY(AC15),Jours_affectation,1,FALSE)=DAY(AC15)</formula>
    </cfRule>
  </conditionalFormatting>
  <conditionalFormatting sqref="J5">
    <cfRule type="expression" dxfId="42" priority="7">
      <formula>VLOOKUP(DAY(J5),FEV,1,FALSE)=DAY(J5)</formula>
    </cfRule>
  </conditionalFormatting>
  <conditionalFormatting sqref="J5">
    <cfRule type="cellIs" dxfId="41" priority="6" operator="equal">
      <formula>"ELODIE"</formula>
    </cfRule>
  </conditionalFormatting>
  <conditionalFormatting sqref="J6:J10">
    <cfRule type="expression" dxfId="40" priority="5">
      <formula>VLOOKUP(DAY(J6),FEV,1,FALSE)=DAY(J6)</formula>
    </cfRule>
  </conditionalFormatting>
  <conditionalFormatting sqref="J6:J10">
    <cfRule type="cellIs" dxfId="39" priority="4" operator="equal">
      <formula>"ELODIE"</formula>
    </cfRule>
  </conditionalFormatting>
  <conditionalFormatting sqref="J32:J37 J23:J28 J14:J19">
    <cfRule type="expression" dxfId="38" priority="3">
      <formula>VLOOKUP(DAY(J14),FEV,1,FALSE)=DAY(J14)</formula>
    </cfRule>
  </conditionalFormatting>
  <conditionalFormatting sqref="J32:J37 J23:J28 J14:J19">
    <cfRule type="cellIs" dxfId="37" priority="2" operator="equal">
      <formula>"ELODIE"</formula>
    </cfRule>
  </conditionalFormatting>
  <conditionalFormatting sqref="I5">
    <cfRule type="expression" dxfId="36" priority="1" stopIfTrue="1">
      <formula>DAY(I5)&gt;8</formula>
    </cfRule>
  </conditionalFormatting>
  <pageMargins left="0.11811023622047245" right="0.11811023622047245" top="0.15748031496062992" bottom="0.15748031496062992" header="0" footer="0"/>
  <pageSetup paperSize="9" scale="6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AK11"/>
  <sheetViews>
    <sheetView showGridLines="0" zoomScalePageLayoutView="84" workbookViewId="0">
      <selection activeCell="N9" sqref="N9"/>
    </sheetView>
  </sheetViews>
  <sheetFormatPr baseColWidth="10" defaultColWidth="8.6640625" defaultRowHeight="16.5" customHeight="1" x14ac:dyDescent="0.25"/>
  <cols>
    <col min="1" max="1" width="3.6640625" style="1" customWidth="1"/>
    <col min="2" max="8" width="12.6640625" style="1" customWidth="1"/>
    <col min="9" max="9" width="3.44140625" style="1" customWidth="1"/>
    <col min="10" max="10" width="15.109375" style="1" customWidth="1"/>
    <col min="11" max="11" width="2.33203125" style="2" customWidth="1"/>
    <col min="12" max="18" width="8.88671875" style="2" customWidth="1"/>
    <col min="19" max="37" width="8.6640625" style="2"/>
    <col min="38" max="16384" width="8.6640625" style="1"/>
  </cols>
  <sheetData>
    <row r="1" spans="1:12" ht="18" customHeight="1" thickBot="1" x14ac:dyDescent="0.3">
      <c r="A1" s="16"/>
      <c r="B1" s="103" t="s">
        <v>6</v>
      </c>
      <c r="C1" s="103"/>
      <c r="D1" s="103"/>
      <c r="E1" s="103"/>
      <c r="F1" s="103"/>
      <c r="G1" s="103"/>
      <c r="H1" s="103"/>
      <c r="I1" s="17"/>
      <c r="J1" s="104">
        <v>2015</v>
      </c>
    </row>
    <row r="2" spans="1:12" ht="21" customHeight="1" thickTop="1" x14ac:dyDescent="0.25">
      <c r="A2" s="16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8"/>
      <c r="J2" s="105"/>
    </row>
    <row r="3" spans="1:12" ht="18" customHeight="1" x14ac:dyDescent="0.25">
      <c r="A3" s="16" t="s">
        <v>20</v>
      </c>
      <c r="B3" s="13">
        <f>IF(DAY(Jan_Dim1)=1,Jan_Dim1-6,Jan_Dim1+1)</f>
        <v>42002</v>
      </c>
      <c r="C3" s="14">
        <f>IF(DAY(Jan_Dim1)=1,Jan_Dim1-5,Jan_Dim1+2)</f>
        <v>42003</v>
      </c>
      <c r="D3" s="14">
        <f>IF(DAY(Jan_Dim1)=1,Jan_Dim1-4,Jan_Dim1+3)</f>
        <v>42004</v>
      </c>
      <c r="E3" s="14">
        <f>IF(DAY(Jan_Dim1)=1,Jan_Dim1-3,Jan_Dim1+4)</f>
        <v>42005</v>
      </c>
      <c r="F3" s="14">
        <f>IF(DAY(Jan_Dim1)=1,Jan_Dim1-2,Jan_Dim1+5)</f>
        <v>42006</v>
      </c>
      <c r="G3" s="14">
        <f>IF(DAY(Jan_Dim1)=1,Jan_Dim1-1,Jan_Dim1+6)</f>
        <v>42007</v>
      </c>
      <c r="H3" s="15">
        <f>IF(DAY(Jan_Dim1)=1,Jan_Dim1,Jan_Dim1+7)</f>
        <v>42008</v>
      </c>
      <c r="I3" s="8"/>
      <c r="J3" s="18"/>
    </row>
    <row r="4" spans="1:12" ht="18" customHeight="1" x14ac:dyDescent="0.25">
      <c r="A4" s="16" t="s">
        <v>22</v>
      </c>
      <c r="B4" s="13">
        <f>IF(DAY(Jan_Dim1)=1,Jan_Dim1+1,Jan_Dim1+8)</f>
        <v>42009</v>
      </c>
      <c r="C4" s="14">
        <f>IF(DAY(Jan_Dim1)=1,Jan_Dim1+2,Jan_Dim1+9)</f>
        <v>42010</v>
      </c>
      <c r="D4" s="14">
        <f>IF(DAY(Jan_Dim1)=1,Jan_Dim1+3,Jan_Dim1+10)</f>
        <v>42011</v>
      </c>
      <c r="E4" s="14">
        <f>IF(DAY(Jan_Dim1)=1,Jan_Dim1+4,Jan_Dim1+11)</f>
        <v>42012</v>
      </c>
      <c r="F4" s="14">
        <f>IF(DAY(Jan_Dim1)=1,Jan_Dim1+5,Jan_Dim1+12)</f>
        <v>42013</v>
      </c>
      <c r="G4" s="14">
        <f>IF(DAY(Jan_Dim1)=1,Jan_Dim1+6,Jan_Dim1+13)</f>
        <v>42014</v>
      </c>
      <c r="H4" s="15">
        <f>IF(DAY(Jan_Dim1)=1,Jan_Dim1+7,Jan_Dim1+14)</f>
        <v>42015</v>
      </c>
      <c r="I4" s="8"/>
      <c r="J4" s="19"/>
    </row>
    <row r="5" spans="1:12" ht="18" customHeight="1" x14ac:dyDescent="0.25">
      <c r="A5" s="16" t="s">
        <v>23</v>
      </c>
      <c r="B5" s="13">
        <f>IF(DAY(Jan_Dim1)=1,Jan_Dim1+8,Jan_Dim1+15)</f>
        <v>42016</v>
      </c>
      <c r="C5" s="14">
        <f>IF(DAY(Jan_Dim1)=1,Jan_Dim1+9,Jan_Dim1+16)</f>
        <v>42017</v>
      </c>
      <c r="D5" s="14">
        <f>IF(DAY(Jan_Dim1)=1,Jan_Dim1+10,Jan_Dim1+17)</f>
        <v>42018</v>
      </c>
      <c r="E5" s="14">
        <f>IF(DAY(Jan_Dim1)=1,Jan_Dim1+11,Jan_Dim1+18)</f>
        <v>42019</v>
      </c>
      <c r="F5" s="14">
        <f>IF(DAY(Jan_Dim1)=1,Jan_Dim1+12,Jan_Dim1+19)</f>
        <v>42020</v>
      </c>
      <c r="G5" s="14">
        <f>IF(DAY(Jan_Dim1)=1,Jan_Dim1+13,Jan_Dim1+20)</f>
        <v>42021</v>
      </c>
      <c r="H5" s="15">
        <f>IF(DAY(Jan_Dim1)=1,Jan_Dim1+14,Jan_Dim1+21)</f>
        <v>42022</v>
      </c>
      <c r="I5" s="8"/>
      <c r="J5" s="19"/>
    </row>
    <row r="6" spans="1:12" ht="18" customHeight="1" x14ac:dyDescent="0.25">
      <c r="A6" s="16" t="s">
        <v>24</v>
      </c>
      <c r="B6" s="13">
        <f>IF(DAY(Jan_Dim1)=1,Jan_Dim1+15,Jan_Dim1+22)</f>
        <v>42023</v>
      </c>
      <c r="C6" s="14">
        <f>IF(DAY(Jan_Dim1)=1,Jan_Dim1+16,Jan_Dim1+23)</f>
        <v>42024</v>
      </c>
      <c r="D6" s="14">
        <f>IF(DAY(Jan_Dim1)=1,Jan_Dim1+17,Jan_Dim1+24)</f>
        <v>42025</v>
      </c>
      <c r="E6" s="14">
        <f>IF(DAY(Jan_Dim1)=1,Jan_Dim1+18,Jan_Dim1+25)</f>
        <v>42026</v>
      </c>
      <c r="F6" s="14">
        <f>IF(DAY(Jan_Dim1)=1,Jan_Dim1+19,Jan_Dim1+26)</f>
        <v>42027</v>
      </c>
      <c r="G6" s="14">
        <f>IF(DAY(Jan_Dim1)=1,Jan_Dim1+20,Jan_Dim1+27)</f>
        <v>42028</v>
      </c>
      <c r="H6" s="15">
        <f>IF(DAY(Jan_Dim1)=1,Jan_Dim1+21,Jan_Dim1+28)</f>
        <v>42029</v>
      </c>
      <c r="I6" s="8"/>
      <c r="J6" s="19"/>
    </row>
    <row r="7" spans="1:12" ht="18.75" customHeight="1" x14ac:dyDescent="0.25">
      <c r="A7" s="16" t="s">
        <v>21</v>
      </c>
      <c r="B7" s="13">
        <f>IF(DAY(Jan_Dim1)=1,Jan_Dim1+22,Jan_Dim1+29)</f>
        <v>42030</v>
      </c>
      <c r="C7" s="14">
        <f>IF(DAY(Jan_Dim1)=1,Jan_Dim1+23,Jan_Dim1+30)</f>
        <v>42031</v>
      </c>
      <c r="D7" s="14">
        <f>IF(DAY(Jan_Dim1)=1,Jan_Dim1+24,Jan_Dim1+31)</f>
        <v>42032</v>
      </c>
      <c r="E7" s="14">
        <f>IF(DAY(Jan_Dim1)=1,Jan_Dim1+25,Jan_Dim1+32)</f>
        <v>42033</v>
      </c>
      <c r="F7" s="14">
        <f>IF(DAY(Jan_Dim1)=1,Jan_Dim1+26,Jan_Dim1+33)</f>
        <v>42034</v>
      </c>
      <c r="G7" s="14">
        <f>IF(DAY(Jan_Dim1)=1,Jan_Dim1+27,Jan_Dim1+34)</f>
        <v>42035</v>
      </c>
      <c r="H7" s="15">
        <f>IF(DAY(Jan_Dim1)=1,Jan_Dim1+28,Jan_Dim1+35)</f>
        <v>42036</v>
      </c>
      <c r="I7" s="8"/>
      <c r="J7" s="19"/>
    </row>
    <row r="8" spans="1:12" ht="18" customHeight="1" thickBot="1" x14ac:dyDescent="0.3">
      <c r="A8" s="16" t="s">
        <v>25</v>
      </c>
      <c r="B8" s="22">
        <f>IF(DAY(Jan_Dim1)=1,Jan_Dim1+29,Jan_Dim1+36)</f>
        <v>42037</v>
      </c>
      <c r="C8" s="23">
        <f>IF(DAY(Jan_Dim1)=1,Jan_Dim1+30,Jan_Dim1+37)</f>
        <v>42038</v>
      </c>
      <c r="D8" s="23">
        <f>IF(DAY(Jan_Dim1)=1,Jan_Dim1+31,Jan_Dim1+38)</f>
        <v>42039</v>
      </c>
      <c r="E8" s="23">
        <f>IF(DAY(Jan_Dim1)=1,Jan_Dim1+32,Jan_Dim1+39)</f>
        <v>42040</v>
      </c>
      <c r="F8" s="23">
        <f>IF(DAY(Jan_Dim1)=1,Jan_Dim1+33,Jan_Dim1+40)</f>
        <v>42041</v>
      </c>
      <c r="G8" s="23">
        <f>IF(DAY(Jan_Dim1)=1,Jan_Dim1+34,Jan_Dim1+41)</f>
        <v>42042</v>
      </c>
      <c r="H8" s="24">
        <f>IF(DAY(Jan_Dim1)=1,Jan_Dim1+35,Jan_Dim1+42)</f>
        <v>42043</v>
      </c>
      <c r="I8" s="8"/>
      <c r="J8" s="20"/>
    </row>
    <row r="9" spans="1:12" ht="18" customHeight="1" thickTop="1" x14ac:dyDescent="0.25">
      <c r="A9" s="16"/>
      <c r="B9" s="21"/>
      <c r="C9" s="21"/>
      <c r="D9" s="21"/>
      <c r="E9" s="21"/>
      <c r="F9" s="21"/>
      <c r="G9" s="21"/>
      <c r="H9" s="21"/>
      <c r="I9" s="12"/>
      <c r="J9" s="108" t="s">
        <v>19</v>
      </c>
      <c r="K9" s="109"/>
      <c r="L9" s="110"/>
    </row>
    <row r="10" spans="1:12" ht="18" customHeight="1" x14ac:dyDescent="0.25">
      <c r="A10" s="16"/>
      <c r="B10" s="106"/>
      <c r="C10" s="106"/>
      <c r="D10" s="106"/>
      <c r="E10" s="106"/>
      <c r="F10" s="106"/>
      <c r="G10" s="106"/>
      <c r="H10" s="106"/>
      <c r="I10" s="107"/>
      <c r="J10" s="19"/>
    </row>
    <row r="11" spans="1:12" ht="18" customHeight="1" x14ac:dyDescent="0.25">
      <c r="A11" s="16"/>
      <c r="B11" s="106"/>
      <c r="C11" s="106"/>
      <c r="D11" s="106"/>
      <c r="E11" s="106"/>
      <c r="F11" s="106"/>
      <c r="G11" s="106"/>
      <c r="H11" s="106"/>
      <c r="I11" s="107"/>
      <c r="J11" s="19"/>
    </row>
  </sheetData>
  <sheetProtection sheet="1" objects="1" scenarios="1"/>
  <mergeCells count="4">
    <mergeCell ref="B1:H1"/>
    <mergeCell ref="J1:J2"/>
    <mergeCell ref="B10:I11"/>
    <mergeCell ref="J9:L9"/>
  </mergeCells>
  <phoneticPr fontId="1" type="noConversion"/>
  <conditionalFormatting sqref="B3:G3">
    <cfRule type="expression" dxfId="35" priority="10" stopIfTrue="1">
      <formula>DAY(B3)&gt;8</formula>
    </cfRule>
  </conditionalFormatting>
  <conditionalFormatting sqref="B7:H9">
    <cfRule type="expression" dxfId="34" priority="9" stopIfTrue="1">
      <formula>AND(DAY(B7)&gt;=1,DAY(B7)&lt;=15)</formula>
    </cfRule>
  </conditionalFormatting>
  <conditionalFormatting sqref="B3:H8">
    <cfRule type="expression" dxfId="33" priority="21">
      <formula>VLOOKUP(DAY(B3),Jours_affectation,1,FALSE)=DAY(B3)</formula>
    </cfRule>
  </conditionalFormatting>
  <dataValidations count="1">
    <dataValidation allowBlank="1" showInputMessage="1" showErrorMessage="1" errorTitle="Invalid Year" error="Enter a year from 1900 to 9999, or use the scroll bar to find a year." sqref="J1"/>
  </dataValidations>
  <printOptions horizontalCentered="1"/>
  <pageMargins left="0.5" right="0.5" top="0.5" bottom="0.5" header="0.3" footer="0.3"/>
  <pageSetup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 altText="Spinner control. Use spinner to change calendar year or type desired year in cell L2 ">
                <anchor moveWithCells="1">
                  <from>
                    <xdr:col>10</xdr:col>
                    <xdr:colOff>30480</xdr:colOff>
                    <xdr:row>0</xdr:row>
                    <xdr:rowOff>83820</xdr:rowOff>
                  </from>
                  <to>
                    <xdr:col>11</xdr:col>
                    <xdr:colOff>0</xdr:colOff>
                    <xdr:row>1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RMER">
                <anchor>
                  <from>
                    <xdr:col>5</xdr:col>
                    <xdr:colOff>800100</xdr:colOff>
                    <xdr:row>8</xdr:row>
                    <xdr:rowOff>220980</xdr:rowOff>
                  </from>
                  <to>
                    <xdr:col>7</xdr:col>
                    <xdr:colOff>533400</xdr:colOff>
                    <xdr:row>10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  <pageSetUpPr fitToPage="1"/>
  </sheetPr>
  <dimension ref="A1:AI10"/>
  <sheetViews>
    <sheetView showGridLines="0" zoomScaleNormal="100" zoomScalePageLayoutView="84" workbookViewId="0">
      <selection activeCell="K4" sqref="K4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19.95" customHeight="1" thickTop="1" thickBot="1" x14ac:dyDescent="0.3">
      <c r="B1" s="91" t="s">
        <v>7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18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IF(DAY(Fév_Dim1)=1,Fév_Dim1-6,Fév_Dim1+1)</f>
        <v>42030</v>
      </c>
      <c r="C3" s="14">
        <f>IF(DAY(Fév_Dim1)=1,Fév_Dim1-5,Fév_Dim1+2)</f>
        <v>42031</v>
      </c>
      <c r="D3" s="14">
        <f>IF(DAY(Fév_Dim1)=1,Fév_Dim1-4,Fév_Dim1+3)</f>
        <v>42032</v>
      </c>
      <c r="E3" s="14">
        <f>IF(DAY(Fév_Dim1)=1,Fév_Dim1-3,Fév_Dim1+4)</f>
        <v>42033</v>
      </c>
      <c r="F3" s="14">
        <f>IF(DAY(Fév_Dim1)=1,Fév_Dim1-2,Fév_Dim1+5)</f>
        <v>42034</v>
      </c>
      <c r="G3" s="14">
        <f>IF(DAY(Fév_Dim1)=1,Fév_Dim1-1,Fév_Dim1+6)</f>
        <v>42035</v>
      </c>
      <c r="H3" s="15">
        <f>IF(DAY(Fév_Dim1)=1,Fév_Dim1,Fév_Dim1+7)</f>
        <v>42036</v>
      </c>
      <c r="I3" s="111"/>
    </row>
    <row r="4" spans="1:9" ht="18" customHeight="1" x14ac:dyDescent="0.25">
      <c r="A4" s="3"/>
      <c r="B4" s="13">
        <f>IF(DAY(Fév_Dim1)=1,Fév_Dim1+1,Fév_Dim1+8)</f>
        <v>42037</v>
      </c>
      <c r="C4" s="14">
        <f>IF(DAY(Fév_Dim1)=1,Fév_Dim1+2,Fév_Dim1+9)</f>
        <v>42038</v>
      </c>
      <c r="D4" s="14">
        <f>IF(DAY(Fév_Dim1)=1,Fév_Dim1+3,Fév_Dim1+10)</f>
        <v>42039</v>
      </c>
      <c r="E4" s="14">
        <f>IF(DAY(Fév_Dim1)=1,Fév_Dim1+4,Fév_Dim1+11)</f>
        <v>42040</v>
      </c>
      <c r="F4" s="14">
        <f>IF(DAY(Fév_Dim1)=1,Fév_Dim1+5,Fév_Dim1+12)</f>
        <v>42041</v>
      </c>
      <c r="G4" s="14">
        <f>IF(DAY(Fév_Dim1)=1,Fév_Dim1+6,Fév_Dim1+13)</f>
        <v>42042</v>
      </c>
      <c r="H4" s="15">
        <f>IF(DAY(Fév_Dim1)=1,Fév_Dim1+7,Fév_Dim1+14)</f>
        <v>42043</v>
      </c>
      <c r="I4" s="112"/>
    </row>
    <row r="5" spans="1:9" ht="18" customHeight="1" x14ac:dyDescent="0.25">
      <c r="A5" s="3"/>
      <c r="B5" s="13">
        <f>IF(DAY(Fév_Dim1)=1,Fév_Dim1+8,Fév_Dim1+15)</f>
        <v>42044</v>
      </c>
      <c r="C5" s="14">
        <f>IF(DAY(Fév_Dim1)=1,Fév_Dim1+9,Fév_Dim1+16)</f>
        <v>42045</v>
      </c>
      <c r="D5" s="14">
        <f>IF(DAY(Fév_Dim1)=1,Fév_Dim1+10,Fév_Dim1+17)</f>
        <v>42046</v>
      </c>
      <c r="E5" s="14">
        <f>IF(DAY(Fév_Dim1)=1,Fév_Dim1+11,Fév_Dim1+18)</f>
        <v>42047</v>
      </c>
      <c r="F5" s="14">
        <f>IF(DAY(Fév_Dim1)=1,Fév_Dim1+12,Fév_Dim1+19)</f>
        <v>42048</v>
      </c>
      <c r="G5" s="14">
        <f>IF(DAY(Fév_Dim1)=1,Fév_Dim1+13,Fév_Dim1+20)</f>
        <v>42049</v>
      </c>
      <c r="H5" s="15">
        <f>IF(DAY(Fév_Dim1)=1,Fév_Dim1+14,Fév_Dim1+21)</f>
        <v>42050</v>
      </c>
      <c r="I5" s="8"/>
    </row>
    <row r="6" spans="1:9" ht="18" customHeight="1" x14ac:dyDescent="0.25">
      <c r="A6" s="3"/>
      <c r="B6" s="13">
        <f>IF(DAY(Fév_Dim1)=1,Fév_Dim1+15,Fév_Dim1+22)</f>
        <v>42051</v>
      </c>
      <c r="C6" s="14">
        <f>IF(DAY(Fév_Dim1)=1,Fév_Dim1+16,Fév_Dim1+23)</f>
        <v>42052</v>
      </c>
      <c r="D6" s="14">
        <f>IF(DAY(Fév_Dim1)=1,Fév_Dim1+17,Fév_Dim1+24)</f>
        <v>42053</v>
      </c>
      <c r="E6" s="14">
        <f>IF(DAY(Fév_Dim1)=1,Fév_Dim1+18,Fév_Dim1+25)</f>
        <v>42054</v>
      </c>
      <c r="F6" s="14">
        <f>IF(DAY(Fév_Dim1)=1,Fév_Dim1+19,Fév_Dim1+26)</f>
        <v>42055</v>
      </c>
      <c r="G6" s="14">
        <f>IF(DAY(Fév_Dim1)=1,Fév_Dim1+20,Fév_Dim1+27)</f>
        <v>42056</v>
      </c>
      <c r="H6" s="15">
        <f>IF(DAY(Fév_Dim1)=1,Fév_Dim1+21,Fév_Dim1+28)</f>
        <v>42057</v>
      </c>
      <c r="I6" s="8"/>
    </row>
    <row r="7" spans="1:9" ht="18.75" customHeight="1" x14ac:dyDescent="0.25">
      <c r="A7" s="3"/>
      <c r="B7" s="13">
        <f>IF(DAY(Fév_Dim1)=1,Fév_Dim1+22,Fév_Dim1+29)</f>
        <v>42058</v>
      </c>
      <c r="C7" s="14">
        <f>IF(DAY(Fév_Dim1)=1,Fév_Dim1+23,Fév_Dim1+30)</f>
        <v>42059</v>
      </c>
      <c r="D7" s="14">
        <f>IF(DAY(Fév_Dim1)=1,Fév_Dim1+24,Fév_Dim1+31)</f>
        <v>42060</v>
      </c>
      <c r="E7" s="14">
        <f>IF(DAY(Fév_Dim1)=1,Fév_Dim1+25,Fév_Dim1+32)</f>
        <v>42061</v>
      </c>
      <c r="F7" s="14">
        <f>IF(DAY(Fév_Dim1)=1,Fév_Dim1+26,Fév_Dim1+33)</f>
        <v>42062</v>
      </c>
      <c r="G7" s="14">
        <f>IF(DAY(Fév_Dim1)=1,Fév_Dim1+27,Fév_Dim1+34)</f>
        <v>42063</v>
      </c>
      <c r="H7" s="15">
        <f>IF(DAY(Fév_Dim1)=1,Fév_Dim1+28,Fév_Dim1+35)</f>
        <v>42064</v>
      </c>
      <c r="I7" s="8"/>
    </row>
    <row r="8" spans="1:9" ht="18" customHeight="1" x14ac:dyDescent="0.25">
      <c r="A8" s="3"/>
      <c r="B8" s="13">
        <f>IF(DAY(Fév_Dim1)=1,Fév_Dim1+29,Fév_Dim1+36)</f>
        <v>42065</v>
      </c>
      <c r="C8" s="14">
        <f>IF(DAY(Fév_Dim1)=1,Fév_Dim1+30,Fév_Dim1+37)</f>
        <v>42066</v>
      </c>
      <c r="D8" s="14">
        <f>IF(DAY(Fév_Dim1)=1,Fév_Dim1+31,Fév_Dim1+38)</f>
        <v>42067</v>
      </c>
      <c r="E8" s="14">
        <f>IF(DAY(Fév_Dim1)=1,Fév_Dim1+32,Fév_Dim1+39)</f>
        <v>42068</v>
      </c>
      <c r="F8" s="14">
        <f>IF(DAY(Fév_Dim1)=1,Fév_Dim1+33,Fév_Dim1+40)</f>
        <v>42069</v>
      </c>
      <c r="G8" s="14">
        <f>IF(DAY(Fév_Dim1)=1,Fév_Dim1+34,Fév_Dim1+41)</f>
        <v>42070</v>
      </c>
      <c r="H8" s="15">
        <f>IF(DAY(Fév_Dim1)=1,Fév_Dim1+35,Fév_Dim1+42)</f>
        <v>42071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3">
    <mergeCell ref="B1:H1"/>
    <mergeCell ref="I3:I4"/>
    <mergeCell ref="I1:I2"/>
  </mergeCells>
  <conditionalFormatting sqref="B3:G3">
    <cfRule type="expression" dxfId="32" priority="3" stopIfTrue="1">
      <formula>DAY(B3)&gt;8</formula>
    </cfRule>
  </conditionalFormatting>
  <conditionalFormatting sqref="B7:H9">
    <cfRule type="expression" dxfId="31" priority="2" stopIfTrue="1">
      <formula>AND(DAY(B7)&gt;=1,DAY(B7)&lt;=15)</formula>
    </cfRule>
  </conditionalFormatting>
  <conditionalFormatting sqref="B3:H8">
    <cfRule type="expression" dxfId="30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  <pageSetUpPr fitToPage="1"/>
  </sheetPr>
  <dimension ref="A1:AI10"/>
  <sheetViews>
    <sheetView showGridLines="0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8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IF(DAY(Mar_Dim1)=1,Mar_Dim1-6,Mar_Dim1+1)</f>
        <v>42058</v>
      </c>
      <c r="C3" s="14">
        <f>IF(DAY(Mar_Dim1)=1,Mar_Dim1-5,Mar_Dim1+2)</f>
        <v>42059</v>
      </c>
      <c r="D3" s="14">
        <f>IF(DAY(Mar_Dim1)=1,Mar_Dim1-4,Mar_Dim1+3)</f>
        <v>42060</v>
      </c>
      <c r="E3" s="14">
        <f>IF(DAY(Mar_Dim1)=1,Mar_Dim1-3,Mar_Dim1+4)</f>
        <v>42061</v>
      </c>
      <c r="F3" s="14">
        <f>IF(DAY(Mar_Dim1)=1,Mar_Dim1-2,Mar_Dim1+5)</f>
        <v>42062</v>
      </c>
      <c r="G3" s="14">
        <f>IF(DAY(Mar_Dim1)=1,Mar_Dim1-1,Mar_Dim1+6)</f>
        <v>42063</v>
      </c>
      <c r="H3" s="15">
        <f>IF(DAY(Mar_Dim1)=1,Mar_Dim1,Mar_Dim1+7)</f>
        <v>42064</v>
      </c>
      <c r="I3" s="8"/>
    </row>
    <row r="4" spans="1:9" ht="18" customHeight="1" x14ac:dyDescent="0.25">
      <c r="A4" s="3"/>
      <c r="B4" s="13">
        <f>IF(DAY(Mar_Dim1)=1,Mar_Dim1+1,Mar_Dim1+8)</f>
        <v>42065</v>
      </c>
      <c r="C4" s="14">
        <f>IF(DAY(Mar_Dim1)=1,Mar_Dim1+2,Mar_Dim1+9)</f>
        <v>42066</v>
      </c>
      <c r="D4" s="14">
        <f>IF(DAY(Mar_Dim1)=1,Mar_Dim1+3,Mar_Dim1+10)</f>
        <v>42067</v>
      </c>
      <c r="E4" s="14">
        <f>IF(DAY(Mar_Dim1)=1,Mar_Dim1+4,Mar_Dim1+11)</f>
        <v>42068</v>
      </c>
      <c r="F4" s="14">
        <f>IF(DAY(Mar_Dim1)=1,Mar_Dim1+5,Mar_Dim1+12)</f>
        <v>42069</v>
      </c>
      <c r="G4" s="14">
        <f>IF(DAY(Mar_Dim1)=1,Mar_Dim1+6,Mar_Dim1+13)</f>
        <v>42070</v>
      </c>
      <c r="H4" s="15">
        <f>IF(DAY(Mar_Dim1)=1,Mar_Dim1+7,Mar_Dim1+14)</f>
        <v>42071</v>
      </c>
      <c r="I4" s="8"/>
    </row>
    <row r="5" spans="1:9" ht="18" customHeight="1" x14ac:dyDescent="0.25">
      <c r="A5" s="3"/>
      <c r="B5" s="13">
        <f>IF(DAY(Mar_Dim1)=1,Mar_Dim1+8,Mar_Dim1+15)</f>
        <v>42072</v>
      </c>
      <c r="C5" s="14">
        <f>IF(DAY(Mar_Dim1)=1,Mar_Dim1+9,Mar_Dim1+16)</f>
        <v>42073</v>
      </c>
      <c r="D5" s="14">
        <f>IF(DAY(Mar_Dim1)=1,Mar_Dim1+10,Mar_Dim1+17)</f>
        <v>42074</v>
      </c>
      <c r="E5" s="14">
        <f>IF(DAY(Mar_Dim1)=1,Mar_Dim1+11,Mar_Dim1+18)</f>
        <v>42075</v>
      </c>
      <c r="F5" s="14">
        <f>IF(DAY(Mar_Dim1)=1,Mar_Dim1+12,Mar_Dim1+19)</f>
        <v>42076</v>
      </c>
      <c r="G5" s="14">
        <f>IF(DAY(Mar_Dim1)=1,Mar_Dim1+13,Mar_Dim1+20)</f>
        <v>42077</v>
      </c>
      <c r="H5" s="15">
        <f>IF(DAY(Mar_Dim1)=1,Mar_Dim1+14,Mar_Dim1+21)</f>
        <v>42078</v>
      </c>
      <c r="I5" s="8"/>
    </row>
    <row r="6" spans="1:9" ht="18" customHeight="1" x14ac:dyDescent="0.25">
      <c r="A6" s="3"/>
      <c r="B6" s="13">
        <f>IF(DAY(Mar_Dim1)=1,Mar_Dim1+15,Mar_Dim1+22)</f>
        <v>42079</v>
      </c>
      <c r="C6" s="14">
        <f>IF(DAY(Mar_Dim1)=1,Mar_Dim1+16,Mar_Dim1+23)</f>
        <v>42080</v>
      </c>
      <c r="D6" s="14">
        <f>IF(DAY(Mar_Dim1)=1,Mar_Dim1+17,Mar_Dim1+24)</f>
        <v>42081</v>
      </c>
      <c r="E6" s="14">
        <f>IF(DAY(Mar_Dim1)=1,Mar_Dim1+18,Mar_Dim1+25)</f>
        <v>42082</v>
      </c>
      <c r="F6" s="14">
        <f>IF(DAY(Mar_Dim1)=1,Mar_Dim1+19,Mar_Dim1+26)</f>
        <v>42083</v>
      </c>
      <c r="G6" s="14">
        <f>IF(DAY(Mar_Dim1)=1,Mar_Dim1+20,Mar_Dim1+27)</f>
        <v>42084</v>
      </c>
      <c r="H6" s="15">
        <f>IF(DAY(Mar_Dim1)=1,Mar_Dim1+21,Mar_Dim1+28)</f>
        <v>42085</v>
      </c>
      <c r="I6" s="8"/>
    </row>
    <row r="7" spans="1:9" ht="18.75" customHeight="1" x14ac:dyDescent="0.25">
      <c r="A7" s="3"/>
      <c r="B7" s="13">
        <f>IF(DAY(Mar_Dim1)=1,Mar_Dim1+22,Mar_Dim1+29)</f>
        <v>42086</v>
      </c>
      <c r="C7" s="14">
        <f>IF(DAY(Mar_Dim1)=1,Mar_Dim1+23,Mar_Dim1+30)</f>
        <v>42087</v>
      </c>
      <c r="D7" s="14">
        <f>IF(DAY(Mar_Dim1)=1,Mar_Dim1+24,Mar_Dim1+31)</f>
        <v>42088</v>
      </c>
      <c r="E7" s="14">
        <f>IF(DAY(Mar_Dim1)=1,Mar_Dim1+25,Mar_Dim1+32)</f>
        <v>42089</v>
      </c>
      <c r="F7" s="14">
        <f>IF(DAY(Mar_Dim1)=1,Mar_Dim1+26,Mar_Dim1+33)</f>
        <v>42090</v>
      </c>
      <c r="G7" s="14">
        <f>IF(DAY(Mar_Dim1)=1,Mar_Dim1+27,Mar_Dim1+34)</f>
        <v>42091</v>
      </c>
      <c r="H7" s="15">
        <f>IF(DAY(Mar_Dim1)=1,Mar_Dim1+28,Mar_Dim1+35)</f>
        <v>42092</v>
      </c>
      <c r="I7" s="8"/>
    </row>
    <row r="8" spans="1:9" ht="18" customHeight="1" x14ac:dyDescent="0.25">
      <c r="A8" s="3"/>
      <c r="B8" s="13">
        <f>IF(DAY(Mar_Dim1)=1,Mar_Dim1+29,Mar_Dim1+36)</f>
        <v>42093</v>
      </c>
      <c r="C8" s="14">
        <f>IF(DAY(Mar_Dim1)=1,Mar_Dim1+30,Mar_Dim1+37)</f>
        <v>42094</v>
      </c>
      <c r="D8" s="14">
        <f>IF(DAY(Mar_Dim1)=1,Mar_Dim1+31,Mar_Dim1+38)</f>
        <v>42095</v>
      </c>
      <c r="E8" s="14">
        <f>IF(DAY(Mar_Dim1)=1,Mar_Dim1+32,Mar_Dim1+39)</f>
        <v>42096</v>
      </c>
      <c r="F8" s="14">
        <f>IF(DAY(Mar_Dim1)=1,Mar_Dim1+33,Mar_Dim1+40)</f>
        <v>42097</v>
      </c>
      <c r="G8" s="14">
        <f>IF(DAY(Mar_Dim1)=1,Mar_Dim1+34,Mar_Dim1+41)</f>
        <v>42098</v>
      </c>
      <c r="H8" s="15">
        <f>IF(DAY(Mar_Dim1)=1,Mar_Dim1+35,Mar_Dim1+42)</f>
        <v>42099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29" priority="3" stopIfTrue="1">
      <formula>DAY(B3)&gt;8</formula>
    </cfRule>
  </conditionalFormatting>
  <conditionalFormatting sqref="B7:H9">
    <cfRule type="expression" dxfId="28" priority="2" stopIfTrue="1">
      <formula>AND(DAY(B7)&gt;=1,DAY(B7)&lt;=15)</formula>
    </cfRule>
  </conditionalFormatting>
  <conditionalFormatting sqref="B3:H8">
    <cfRule type="expression" dxfId="27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  <pageSetUpPr fitToPage="1"/>
  </sheetPr>
  <dimension ref="A1:AI10"/>
  <sheetViews>
    <sheetView showGridLines="0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9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IF(DAY(Avr_Dim1)=1,Avr_Dim1-6,Avr_Dim1+1)</f>
        <v>42093</v>
      </c>
      <c r="C3" s="14">
        <f>IF(DAY(Avr_Dim1)=1,Avr_Dim1-5,Avr_Dim1+2)</f>
        <v>42094</v>
      </c>
      <c r="D3" s="14">
        <f>IF(DAY(Avr_Dim1)=1,Avr_Dim1-4,Avr_Dim1+3)</f>
        <v>42095</v>
      </c>
      <c r="E3" s="14">
        <f>IF(DAY(Avr_Dim1)=1,Avr_Dim1-3,Avr_Dim1+4)</f>
        <v>42096</v>
      </c>
      <c r="F3" s="14">
        <f>IF(DAY(Avr_Dim1)=1,Avr_Dim1-2,Avr_Dim1+5)</f>
        <v>42097</v>
      </c>
      <c r="G3" s="14">
        <f>IF(DAY(Avr_Dim1)=1,Avr_Dim1-1,Avr_Dim1+6)</f>
        <v>42098</v>
      </c>
      <c r="H3" s="15">
        <f>IF(DAY(Avr_Dim1)=1,Avr_Dim1,Avr_Dim1+7)</f>
        <v>42099</v>
      </c>
      <c r="I3" s="8"/>
    </row>
    <row r="4" spans="1:9" ht="18" customHeight="1" x14ac:dyDescent="0.25">
      <c r="A4" s="3"/>
      <c r="B4" s="13">
        <f>IF(DAY(Avr_Dim1)=1,Avr_Dim1+1,Avr_Dim1+8)</f>
        <v>42100</v>
      </c>
      <c r="C4" s="14">
        <f>IF(DAY(Avr_Dim1)=1,Avr_Dim1+2,Avr_Dim1+9)</f>
        <v>42101</v>
      </c>
      <c r="D4" s="14">
        <f>IF(DAY(Avr_Dim1)=1,Avr_Dim1+3,Avr_Dim1+10)</f>
        <v>42102</v>
      </c>
      <c r="E4" s="14">
        <f>IF(DAY(Avr_Dim1)=1,Avr_Dim1+4,Avr_Dim1+11)</f>
        <v>42103</v>
      </c>
      <c r="F4" s="14">
        <f>IF(DAY(Avr_Dim1)=1,Avr_Dim1+5,Avr_Dim1+12)</f>
        <v>42104</v>
      </c>
      <c r="G4" s="14">
        <f>IF(DAY(Avr_Dim1)=1,Avr_Dim1+6,Avr_Dim1+13)</f>
        <v>42105</v>
      </c>
      <c r="H4" s="15">
        <f>IF(DAY(Avr_Dim1)=1,Avr_Dim1+7,Avr_Dim1+14)</f>
        <v>42106</v>
      </c>
      <c r="I4" s="8"/>
    </row>
    <row r="5" spans="1:9" ht="18" customHeight="1" x14ac:dyDescent="0.25">
      <c r="A5" s="3"/>
      <c r="B5" s="13">
        <f>IF(DAY(Avr_Dim1)=1,Avr_Dim1+8,Avr_Dim1+15)</f>
        <v>42107</v>
      </c>
      <c r="C5" s="14">
        <f>IF(DAY(Avr_Dim1)=1,Avr_Dim1+9,Avr_Dim1+16)</f>
        <v>42108</v>
      </c>
      <c r="D5" s="14">
        <f>IF(DAY(Avr_Dim1)=1,Avr_Dim1+10,Avr_Dim1+17)</f>
        <v>42109</v>
      </c>
      <c r="E5" s="14">
        <f>IF(DAY(Avr_Dim1)=1,Avr_Dim1+11,Avr_Dim1+18)</f>
        <v>42110</v>
      </c>
      <c r="F5" s="14">
        <f>IF(DAY(Avr_Dim1)=1,Avr_Dim1+12,Avr_Dim1+19)</f>
        <v>42111</v>
      </c>
      <c r="G5" s="14">
        <f>IF(DAY(Avr_Dim1)=1,Avr_Dim1+13,Avr_Dim1+20)</f>
        <v>42112</v>
      </c>
      <c r="H5" s="15">
        <f>IF(DAY(Avr_Dim1)=1,Avr_Dim1+14,Avr_Dim1+21)</f>
        <v>42113</v>
      </c>
      <c r="I5" s="8"/>
    </row>
    <row r="6" spans="1:9" ht="18" customHeight="1" x14ac:dyDescent="0.25">
      <c r="A6" s="3"/>
      <c r="B6" s="13">
        <f>IF(DAY(Avr_Dim1)=1,Avr_Dim1+15,Avr_Dim1+22)</f>
        <v>42114</v>
      </c>
      <c r="C6" s="14">
        <f>IF(DAY(Avr_Dim1)=1,Avr_Dim1+16,Avr_Dim1+23)</f>
        <v>42115</v>
      </c>
      <c r="D6" s="14">
        <f>IF(DAY(Avr_Dim1)=1,Avr_Dim1+17,Avr_Dim1+24)</f>
        <v>42116</v>
      </c>
      <c r="E6" s="14">
        <f>IF(DAY(Avr_Dim1)=1,Avr_Dim1+18,Avr_Dim1+25)</f>
        <v>42117</v>
      </c>
      <c r="F6" s="14">
        <f>IF(DAY(Avr_Dim1)=1,Avr_Dim1+19,Avr_Dim1+26)</f>
        <v>42118</v>
      </c>
      <c r="G6" s="14">
        <f>IF(DAY(Avr_Dim1)=1,Avr_Dim1+20,Avr_Dim1+27)</f>
        <v>42119</v>
      </c>
      <c r="H6" s="15">
        <f>IF(DAY(Avr_Dim1)=1,Avr_Dim1+21,Avr_Dim1+28)</f>
        <v>42120</v>
      </c>
      <c r="I6" s="8"/>
    </row>
    <row r="7" spans="1:9" ht="18.75" customHeight="1" x14ac:dyDescent="0.25">
      <c r="A7" s="3"/>
      <c r="B7" s="13">
        <f>IF(DAY(Avr_Dim1)=1,Avr_Dim1+22,Avr_Dim1+29)</f>
        <v>42121</v>
      </c>
      <c r="C7" s="14">
        <f>IF(DAY(Avr_Dim1)=1,Avr_Dim1+23,Avr_Dim1+30)</f>
        <v>42122</v>
      </c>
      <c r="D7" s="14">
        <f>IF(DAY(Avr_Dim1)=1,Avr_Dim1+24,Avr_Dim1+31)</f>
        <v>42123</v>
      </c>
      <c r="E7" s="14">
        <f>IF(DAY(Avr_Dim1)=1,Avr_Dim1+25,Avr_Dim1+32)</f>
        <v>42124</v>
      </c>
      <c r="F7" s="14">
        <f>IF(DAY(Avr_Dim1)=1,Avr_Dim1+26,Avr_Dim1+33)</f>
        <v>42125</v>
      </c>
      <c r="G7" s="14">
        <f>IF(DAY(Avr_Dim1)=1,Avr_Dim1+27,Avr_Dim1+34)</f>
        <v>42126</v>
      </c>
      <c r="H7" s="15">
        <f>IF(DAY(Avr_Dim1)=1,Avr_Dim1+28,Avr_Dim1+35)</f>
        <v>42127</v>
      </c>
      <c r="I7" s="8"/>
    </row>
    <row r="8" spans="1:9" ht="18" customHeight="1" x14ac:dyDescent="0.25">
      <c r="A8" s="3"/>
      <c r="B8" s="13">
        <f>IF(DAY(Avr_Dim1)=1,Avr_Dim1+29,Avr_Dim1+36)</f>
        <v>42128</v>
      </c>
      <c r="C8" s="14">
        <f>IF(DAY(Avr_Dim1)=1,Avr_Dim1+30,Avr_Dim1+37)</f>
        <v>42129</v>
      </c>
      <c r="D8" s="14">
        <f>IF(DAY(Avr_Dim1)=1,Avr_Dim1+31,Avr_Dim1+38)</f>
        <v>42130</v>
      </c>
      <c r="E8" s="14">
        <f>IF(DAY(Avr_Dim1)=1,Avr_Dim1+32,Avr_Dim1+39)</f>
        <v>42131</v>
      </c>
      <c r="F8" s="14">
        <f>IF(DAY(Avr_Dim1)=1,Avr_Dim1+33,Avr_Dim1+40)</f>
        <v>42132</v>
      </c>
      <c r="G8" s="14">
        <f>IF(DAY(Avr_Dim1)=1,Avr_Dim1+34,Avr_Dim1+41)</f>
        <v>42133</v>
      </c>
      <c r="H8" s="15">
        <f>IF(DAY(Avr_Dim1)=1,Avr_Dim1+35,Avr_Dim1+42)</f>
        <v>42134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26" priority="3" stopIfTrue="1">
      <formula>DAY(B3)&gt;8</formula>
    </cfRule>
  </conditionalFormatting>
  <conditionalFormatting sqref="B7:H9">
    <cfRule type="expression" dxfId="25" priority="2" stopIfTrue="1">
      <formula>AND(DAY(B7)&gt;=1,DAY(B7)&lt;=15)</formula>
    </cfRule>
  </conditionalFormatting>
  <conditionalFormatting sqref="B3:H8">
    <cfRule type="expression" dxfId="24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  <pageSetUpPr fitToPage="1"/>
  </sheetPr>
  <dimension ref="A1:AI10"/>
  <sheetViews>
    <sheetView showGridLines="0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10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IF(DAY(Mai_Dim1)=1,Mai_Dim1-6,Mai_Dim1+1)</f>
        <v>42121</v>
      </c>
      <c r="C3" s="14">
        <f>IF(DAY(Mai_Dim1)=1,Mai_Dim1-5,Mai_Dim1+2)</f>
        <v>42122</v>
      </c>
      <c r="D3" s="14">
        <f>IF(DAY(Mai_Dim1)=1,Mai_Dim1-4,Mai_Dim1+3)</f>
        <v>42123</v>
      </c>
      <c r="E3" s="14">
        <f>IF(DAY(Mai_Dim1)=1,Mai_Dim1-3,Mai_Dim1+4)</f>
        <v>42124</v>
      </c>
      <c r="F3" s="14">
        <f>IF(DAY(Mai_Dim1)=1,Mai_Dim1-2,Mai_Dim1+5)</f>
        <v>42125</v>
      </c>
      <c r="G3" s="14">
        <f>IF(DAY(Mai_Dim1)=1,Mai_Dim1-1,Mai_Dim1+6)</f>
        <v>42126</v>
      </c>
      <c r="H3" s="15">
        <f>IF(DAY(Mai_Dim1)=1,Mai_Dim1,Mai_Dim1+7)</f>
        <v>42127</v>
      </c>
      <c r="I3" s="8"/>
    </row>
    <row r="4" spans="1:9" ht="18" customHeight="1" x14ac:dyDescent="0.25">
      <c r="A4" s="3"/>
      <c r="B4" s="13">
        <f>IF(DAY(Mai_Dim1)=1,Mai_Dim1+1,Mai_Dim1+8)</f>
        <v>42128</v>
      </c>
      <c r="C4" s="14">
        <f>IF(DAY(Mai_Dim1)=1,Mai_Dim1+2,Mai_Dim1+9)</f>
        <v>42129</v>
      </c>
      <c r="D4" s="14">
        <f>IF(DAY(Mai_Dim1)=1,Mai_Dim1+3,Mai_Dim1+10)</f>
        <v>42130</v>
      </c>
      <c r="E4" s="14">
        <f>IF(DAY(Mai_Dim1)=1,Mai_Dim1+4,Mai_Dim1+11)</f>
        <v>42131</v>
      </c>
      <c r="F4" s="14">
        <f>IF(DAY(Mai_Dim1)=1,Mai_Dim1+5,Mai_Dim1+12)</f>
        <v>42132</v>
      </c>
      <c r="G4" s="14">
        <f>IF(DAY(Mai_Dim1)=1,Mai_Dim1+6,Mai_Dim1+13)</f>
        <v>42133</v>
      </c>
      <c r="H4" s="15">
        <f>IF(DAY(Mai_Dim1)=1,Mai_Dim1+7,Mai_Dim1+14)</f>
        <v>42134</v>
      </c>
      <c r="I4" s="8"/>
    </row>
    <row r="5" spans="1:9" ht="18" customHeight="1" x14ac:dyDescent="0.25">
      <c r="A5" s="3"/>
      <c r="B5" s="13">
        <f>IF(DAY(Mai_Dim1)=1,Mai_Dim1+8,Mai_Dim1+15)</f>
        <v>42135</v>
      </c>
      <c r="C5" s="14">
        <f>IF(DAY(Mai_Dim1)=1,Mai_Dim1+9,Mai_Dim1+16)</f>
        <v>42136</v>
      </c>
      <c r="D5" s="14">
        <f>IF(DAY(Mai_Dim1)=1,Mai_Dim1+10,Mai_Dim1+17)</f>
        <v>42137</v>
      </c>
      <c r="E5" s="14">
        <f>IF(DAY(Mai_Dim1)=1,Mai_Dim1+11,Mai_Dim1+18)</f>
        <v>42138</v>
      </c>
      <c r="F5" s="14">
        <f>IF(DAY(Mai_Dim1)=1,Mai_Dim1+12,Mai_Dim1+19)</f>
        <v>42139</v>
      </c>
      <c r="G5" s="14">
        <f>IF(DAY(Mai_Dim1)=1,Mai_Dim1+13,Mai_Dim1+20)</f>
        <v>42140</v>
      </c>
      <c r="H5" s="15">
        <f>IF(DAY(Mai_Dim1)=1,Mai_Dim1+14,Mai_Dim1+21)</f>
        <v>42141</v>
      </c>
      <c r="I5" s="8"/>
    </row>
    <row r="6" spans="1:9" ht="18" customHeight="1" x14ac:dyDescent="0.25">
      <c r="A6" s="3"/>
      <c r="B6" s="13">
        <f>IF(DAY(Mai_Dim1)=1,Mai_Dim1+15,Mai_Dim1+22)</f>
        <v>42142</v>
      </c>
      <c r="C6" s="14">
        <f>IF(DAY(Mai_Dim1)=1,Mai_Dim1+16,Mai_Dim1+23)</f>
        <v>42143</v>
      </c>
      <c r="D6" s="14">
        <f>IF(DAY(Mai_Dim1)=1,Mai_Dim1+17,Mai_Dim1+24)</f>
        <v>42144</v>
      </c>
      <c r="E6" s="14">
        <f>IF(DAY(Mai_Dim1)=1,Mai_Dim1+18,Mai_Dim1+25)</f>
        <v>42145</v>
      </c>
      <c r="F6" s="14">
        <f>IF(DAY(Mai_Dim1)=1,Mai_Dim1+19,Mai_Dim1+26)</f>
        <v>42146</v>
      </c>
      <c r="G6" s="14">
        <f>IF(DAY(Mai_Dim1)=1,Mai_Dim1+20,Mai_Dim1+27)</f>
        <v>42147</v>
      </c>
      <c r="H6" s="15">
        <f>IF(DAY(Mai_Dim1)=1,Mai_Dim1+21,Mai_Dim1+28)</f>
        <v>42148</v>
      </c>
      <c r="I6" s="8"/>
    </row>
    <row r="7" spans="1:9" ht="18.75" customHeight="1" x14ac:dyDescent="0.25">
      <c r="A7" s="3"/>
      <c r="B7" s="13">
        <f>IF(DAY(Mai_Dim1)=1,Mai_Dim1+22,Mai_Dim1+29)</f>
        <v>42149</v>
      </c>
      <c r="C7" s="14">
        <f>IF(DAY(Mai_Dim1)=1,Mai_Dim1+23,Mai_Dim1+30)</f>
        <v>42150</v>
      </c>
      <c r="D7" s="14">
        <f>IF(DAY(Mai_Dim1)=1,Mai_Dim1+24,Mai_Dim1+31)</f>
        <v>42151</v>
      </c>
      <c r="E7" s="14">
        <f>IF(DAY(Mai_Dim1)=1,Mai_Dim1+25,Mai_Dim1+32)</f>
        <v>42152</v>
      </c>
      <c r="F7" s="14">
        <f>IF(DAY(Mai_Dim1)=1,Mai_Dim1+26,Mai_Dim1+33)</f>
        <v>42153</v>
      </c>
      <c r="G7" s="14">
        <f>IF(DAY(Mai_Dim1)=1,Mai_Dim1+27,Mai_Dim1+34)</f>
        <v>42154</v>
      </c>
      <c r="H7" s="15">
        <f>IF(DAY(Mai_Dim1)=1,Mai_Dim1+28,Mai_Dim1+35)</f>
        <v>42155</v>
      </c>
      <c r="I7" s="8"/>
    </row>
    <row r="8" spans="1:9" ht="18" customHeight="1" x14ac:dyDescent="0.25">
      <c r="A8" s="3"/>
      <c r="B8" s="13">
        <f>IF(DAY(Mai_Dim1)=1,Mai_Dim1+29,Mai_Dim1+36)</f>
        <v>42156</v>
      </c>
      <c r="C8" s="14">
        <f>IF(DAY(Mai_Dim1)=1,Mai_Dim1+30,Mai_Dim1+37)</f>
        <v>42157</v>
      </c>
      <c r="D8" s="14">
        <f>IF(DAY(Mai_Dim1)=1,Mai_Dim1+31,Mai_Dim1+38)</f>
        <v>42158</v>
      </c>
      <c r="E8" s="14">
        <f>IF(DAY(Mai_Dim1)=1,Mai_Dim1+32,Mai_Dim1+39)</f>
        <v>42159</v>
      </c>
      <c r="F8" s="14">
        <f>IF(DAY(Mai_Dim1)=1,Mai_Dim1+33,Mai_Dim1+40)</f>
        <v>42160</v>
      </c>
      <c r="G8" s="14">
        <f>IF(DAY(Mai_Dim1)=1,Mai_Dim1+34,Mai_Dim1+41)</f>
        <v>42161</v>
      </c>
      <c r="H8" s="15">
        <f>IF(DAY(Mai_Dim1)=1,Mai_Dim1+35,Mai_Dim1+42)</f>
        <v>42162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23" priority="3" stopIfTrue="1">
      <formula>DAY(B3)&gt;8</formula>
    </cfRule>
  </conditionalFormatting>
  <conditionalFormatting sqref="B7:H9">
    <cfRule type="expression" dxfId="22" priority="2" stopIfTrue="1">
      <formula>AND(DAY(B7)&gt;=1,DAY(B7)&lt;=15)</formula>
    </cfRule>
  </conditionalFormatting>
  <conditionalFormatting sqref="B3:H8">
    <cfRule type="expression" dxfId="21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  <pageSetUpPr fitToPage="1"/>
  </sheetPr>
  <dimension ref="A1:AI10"/>
  <sheetViews>
    <sheetView showGridLines="0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11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IF(DAY(Juin_Dim1)=1,Juin_Dim1-6,Juin_Dim1+1)</f>
        <v>42156</v>
      </c>
      <c r="C3" s="14">
        <f>IF(DAY(Juin_Dim1)=1,Juin_Dim1-5,Juin_Dim1+2)</f>
        <v>42157</v>
      </c>
      <c r="D3" s="14">
        <f>IF(DAY(Juin_Dim1)=1,Juin_Dim1-4,Juin_Dim1+3)</f>
        <v>42158</v>
      </c>
      <c r="E3" s="14">
        <f>IF(DAY(Juin_Dim1)=1,Juin_Dim1-3,Juin_Dim1+4)</f>
        <v>42159</v>
      </c>
      <c r="F3" s="14">
        <f>IF(DAY(Juin_Dim1)=1,Juin_Dim1-2,Juin_Dim1+5)</f>
        <v>42160</v>
      </c>
      <c r="G3" s="14">
        <f>IF(DAY(Juin_Dim1)=1,Juin_Dim1-1,Juin_Dim1+6)</f>
        <v>42161</v>
      </c>
      <c r="H3" s="15">
        <f>IF(DAY(Juin_Dim1)=1,Juin_Dim1,Juin_Dim1+7)</f>
        <v>42162</v>
      </c>
      <c r="I3" s="8"/>
    </row>
    <row r="4" spans="1:9" ht="18" customHeight="1" x14ac:dyDescent="0.25">
      <c r="A4" s="3"/>
      <c r="B4" s="13">
        <f>IF(DAY(Juin_Dim1)=1,Juin_Dim1+1,Juin_Dim1+8)</f>
        <v>42163</v>
      </c>
      <c r="C4" s="14">
        <f>IF(DAY(Juin_Dim1)=1,Juin_Dim1+2,Juin_Dim1+9)</f>
        <v>42164</v>
      </c>
      <c r="D4" s="14">
        <f>IF(DAY(Juin_Dim1)=1,Juin_Dim1+3,Juin_Dim1+10)</f>
        <v>42165</v>
      </c>
      <c r="E4" s="14">
        <f>IF(DAY(Juin_Dim1)=1,Juin_Dim1+4,Juin_Dim1+11)</f>
        <v>42166</v>
      </c>
      <c r="F4" s="14">
        <f>IF(DAY(Juin_Dim1)=1,Juin_Dim1+5,Juin_Dim1+12)</f>
        <v>42167</v>
      </c>
      <c r="G4" s="14">
        <f>IF(DAY(Juin_Dim1)=1,Juin_Dim1+6,Juin_Dim1+13)</f>
        <v>42168</v>
      </c>
      <c r="H4" s="15">
        <f>IF(DAY(Juin_Dim1)=1,Juin_Dim1+7,Juin_Dim1+14)</f>
        <v>42169</v>
      </c>
      <c r="I4" s="8"/>
    </row>
    <row r="5" spans="1:9" ht="18" customHeight="1" x14ac:dyDescent="0.25">
      <c r="A5" s="3"/>
      <c r="B5" s="13">
        <f>IF(DAY(Juin_Dim1)=1,Juin_Dim1+8,Juin_Dim1+15)</f>
        <v>42170</v>
      </c>
      <c r="C5" s="14">
        <f>IF(DAY(Juin_Dim1)=1,Juin_Dim1+9,Juin_Dim1+16)</f>
        <v>42171</v>
      </c>
      <c r="D5" s="14">
        <f>IF(DAY(Juin_Dim1)=1,Juin_Dim1+10,Juin_Dim1+17)</f>
        <v>42172</v>
      </c>
      <c r="E5" s="14">
        <f>IF(DAY(Juin_Dim1)=1,Juin_Dim1+11,Juin_Dim1+18)</f>
        <v>42173</v>
      </c>
      <c r="F5" s="14">
        <f>IF(DAY(Juin_Dim1)=1,Juin_Dim1+12,Juin_Dim1+19)</f>
        <v>42174</v>
      </c>
      <c r="G5" s="14">
        <f>IF(DAY(Juin_Dim1)=1,Juin_Dim1+13,Juin_Dim1+20)</f>
        <v>42175</v>
      </c>
      <c r="H5" s="15">
        <f>IF(DAY(Juin_Dim1)=1,Juin_Dim1+14,Juin_Dim1+21)</f>
        <v>42176</v>
      </c>
      <c r="I5" s="8"/>
    </row>
    <row r="6" spans="1:9" ht="18" customHeight="1" x14ac:dyDescent="0.25">
      <c r="A6" s="3"/>
      <c r="B6" s="13">
        <f>IF(DAY(Juin_Dim1)=1,Juin_Dim1+15,Juin_Dim1+22)</f>
        <v>42177</v>
      </c>
      <c r="C6" s="14">
        <f>IF(DAY(Juin_Dim1)=1,Juin_Dim1+16,Juin_Dim1+23)</f>
        <v>42178</v>
      </c>
      <c r="D6" s="14">
        <f>IF(DAY(Juin_Dim1)=1,Juin_Dim1+17,Juin_Dim1+24)</f>
        <v>42179</v>
      </c>
      <c r="E6" s="14">
        <f>IF(DAY(Juin_Dim1)=1,Juin_Dim1+18,Juin_Dim1+25)</f>
        <v>42180</v>
      </c>
      <c r="F6" s="14">
        <f>IF(DAY(Juin_Dim1)=1,Juin_Dim1+19,Juin_Dim1+26)</f>
        <v>42181</v>
      </c>
      <c r="G6" s="14">
        <f>IF(DAY(Juin_Dim1)=1,Juin_Dim1+20,Juin_Dim1+27)</f>
        <v>42182</v>
      </c>
      <c r="H6" s="15">
        <f>IF(DAY(Juin_Dim1)=1,Juin_Dim1+21,Juin_Dim1+28)</f>
        <v>42183</v>
      </c>
      <c r="I6" s="8"/>
    </row>
    <row r="7" spans="1:9" ht="18.75" customHeight="1" x14ac:dyDescent="0.25">
      <c r="A7" s="3"/>
      <c r="B7" s="13">
        <f>IF(DAY(Juin_Dim1)=1,Juin_Dim1+22,Juin_Dim1+29)</f>
        <v>42184</v>
      </c>
      <c r="C7" s="14">
        <f>IF(DAY(Juin_Dim1)=1,Juin_Dim1+23,Juin_Dim1+30)</f>
        <v>42185</v>
      </c>
      <c r="D7" s="14">
        <f>IF(DAY(Juin_Dim1)=1,Juin_Dim1+24,Juin_Dim1+31)</f>
        <v>42186</v>
      </c>
      <c r="E7" s="14">
        <f>IF(DAY(Juin_Dim1)=1,Juin_Dim1+25,Juin_Dim1+32)</f>
        <v>42187</v>
      </c>
      <c r="F7" s="14">
        <f>IF(DAY(Juin_Dim1)=1,Juin_Dim1+26,Juin_Dim1+33)</f>
        <v>42188</v>
      </c>
      <c r="G7" s="14">
        <f>IF(DAY(Juin_Dim1)=1,Juin_Dim1+27,Juin_Dim1+34)</f>
        <v>42189</v>
      </c>
      <c r="H7" s="15">
        <f>IF(DAY(Juin_Dim1)=1,Juin_Dim1+28,Juin_Dim1+35)</f>
        <v>42190</v>
      </c>
      <c r="I7" s="8"/>
    </row>
    <row r="8" spans="1:9" ht="18" customHeight="1" x14ac:dyDescent="0.25">
      <c r="A8" s="3"/>
      <c r="B8" s="13">
        <f>IF(DAY(Juin_Dim1)=1,Juin_Dim1+29,Juin_Dim1+36)</f>
        <v>42191</v>
      </c>
      <c r="C8" s="14">
        <f>IF(DAY(Juin_Dim1)=1,Juin_Dim1+30,Juin_Dim1+37)</f>
        <v>42192</v>
      </c>
      <c r="D8" s="14">
        <f>IF(DAY(Juin_Dim1)=1,Juin_Dim1+31,Juin_Dim1+38)</f>
        <v>42193</v>
      </c>
      <c r="E8" s="14">
        <f>IF(DAY(Juin_Dim1)=1,Juin_Dim1+32,Juin_Dim1+39)</f>
        <v>42194</v>
      </c>
      <c r="F8" s="14">
        <f>IF(DAY(Juin_Dim1)=1,Juin_Dim1+33,Juin_Dim1+40)</f>
        <v>42195</v>
      </c>
      <c r="G8" s="14">
        <f>IF(DAY(Juin_Dim1)=1,Juin_Dim1+34,Juin_Dim1+41)</f>
        <v>42196</v>
      </c>
      <c r="H8" s="15">
        <f>IF(DAY(Juin_Dim1)=1,Juin_Dim1+35,Juin_Dim1+42)</f>
        <v>42197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20" priority="3" stopIfTrue="1">
      <formula>DAY(B3)&gt;8</formula>
    </cfRule>
  </conditionalFormatting>
  <conditionalFormatting sqref="B7:H9">
    <cfRule type="expression" dxfId="19" priority="2" stopIfTrue="1">
      <formula>AND(DAY(B7)&gt;=1,DAY(B7)&lt;=15)</formula>
    </cfRule>
  </conditionalFormatting>
  <conditionalFormatting sqref="B3:H8">
    <cfRule type="expression" dxfId="18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  <pageSetUpPr fitToPage="1"/>
  </sheetPr>
  <dimension ref="A1:AI10"/>
  <sheetViews>
    <sheetView showGridLines="0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12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IF(DAY(Juil_Dim1)=1,Juil_Dim1-6,Juil_Dim1+1)</f>
        <v>42184</v>
      </c>
      <c r="C3" s="14">
        <f>IF(DAY(Juil_Dim1)=1,Juil_Dim1-5,Juil_Dim1+2)</f>
        <v>42185</v>
      </c>
      <c r="D3" s="14">
        <f>IF(DAY(Juil_Dim1)=1,Juil_Dim1-4,Juil_Dim1+3)</f>
        <v>42186</v>
      </c>
      <c r="E3" s="14">
        <f>IF(DAY(Juil_Dim1)=1,Juil_Dim1-3,Juil_Dim1+4)</f>
        <v>42187</v>
      </c>
      <c r="F3" s="14">
        <f>IF(DAY(Juil_Dim1)=1,Juil_Dim1-2,Juil_Dim1+5)</f>
        <v>42188</v>
      </c>
      <c r="G3" s="14">
        <f>IF(DAY(Juil_Dim1)=1,Juil_Dim1-1,Juil_Dim1+6)</f>
        <v>42189</v>
      </c>
      <c r="H3" s="15">
        <f>IF(DAY(Juil_Dim1)=1,Juil_Dim1,Juil_Dim1+7)</f>
        <v>42190</v>
      </c>
      <c r="I3" s="8"/>
    </row>
    <row r="4" spans="1:9" ht="18" customHeight="1" x14ac:dyDescent="0.25">
      <c r="A4" s="3"/>
      <c r="B4" s="13">
        <f>IF(DAY(Juil_Dim1)=1,Juil_Dim1+1,Juil_Dim1+8)</f>
        <v>42191</v>
      </c>
      <c r="C4" s="14">
        <f>IF(DAY(Juil_Dim1)=1,Juil_Dim1+2,Juil_Dim1+9)</f>
        <v>42192</v>
      </c>
      <c r="D4" s="14">
        <f>IF(DAY(Juil_Dim1)=1,Juil_Dim1+3,Juil_Dim1+10)</f>
        <v>42193</v>
      </c>
      <c r="E4" s="14">
        <f>IF(DAY(Juil_Dim1)=1,Juil_Dim1+4,Juil_Dim1+11)</f>
        <v>42194</v>
      </c>
      <c r="F4" s="14">
        <f>IF(DAY(Juil_Dim1)=1,Juil_Dim1+5,Juil_Dim1+12)</f>
        <v>42195</v>
      </c>
      <c r="G4" s="14">
        <f>IF(DAY(Juil_Dim1)=1,Juil_Dim1+6,Juil_Dim1+13)</f>
        <v>42196</v>
      </c>
      <c r="H4" s="15">
        <f>IF(DAY(Juil_Dim1)=1,Juil_Dim1+7,Juil_Dim1+14)</f>
        <v>42197</v>
      </c>
      <c r="I4" s="8"/>
    </row>
    <row r="5" spans="1:9" ht="18" customHeight="1" x14ac:dyDescent="0.25">
      <c r="A5" s="3"/>
      <c r="B5" s="13">
        <f>IF(DAY(Juil_Dim1)=1,Juil_Dim1+8,Juil_Dim1+15)</f>
        <v>42198</v>
      </c>
      <c r="C5" s="14">
        <f>IF(DAY(Juil_Dim1)=1,Juil_Dim1+9,Juil_Dim1+16)</f>
        <v>42199</v>
      </c>
      <c r="D5" s="14">
        <f>IF(DAY(Juil_Dim1)=1,Juil_Dim1+10,Juil_Dim1+17)</f>
        <v>42200</v>
      </c>
      <c r="E5" s="14">
        <f>IF(DAY(Juil_Dim1)=1,Juil_Dim1+11,Juil_Dim1+18)</f>
        <v>42201</v>
      </c>
      <c r="F5" s="14">
        <f>IF(DAY(Juil_Dim1)=1,Juil_Dim1+12,Juil_Dim1+19)</f>
        <v>42202</v>
      </c>
      <c r="G5" s="14">
        <f>IF(DAY(Juil_Dim1)=1,Juil_Dim1+13,Juil_Dim1+20)</f>
        <v>42203</v>
      </c>
      <c r="H5" s="15">
        <f>IF(DAY(Juil_Dim1)=1,Juil_Dim1+14,Juil_Dim1+21)</f>
        <v>42204</v>
      </c>
      <c r="I5" s="8"/>
    </row>
    <row r="6" spans="1:9" ht="18" customHeight="1" x14ac:dyDescent="0.25">
      <c r="A6" s="3"/>
      <c r="B6" s="13">
        <f>IF(DAY(Juil_Dim1)=1,Juil_Dim1+15,Juil_Dim1+22)</f>
        <v>42205</v>
      </c>
      <c r="C6" s="14">
        <f>IF(DAY(Juil_Dim1)=1,Juil_Dim1+16,Juil_Dim1+23)</f>
        <v>42206</v>
      </c>
      <c r="D6" s="14">
        <f>IF(DAY(Juil_Dim1)=1,Juil_Dim1+17,Juil_Dim1+24)</f>
        <v>42207</v>
      </c>
      <c r="E6" s="14">
        <f>IF(DAY(Juil_Dim1)=1,Juil_Dim1+18,Juil_Dim1+25)</f>
        <v>42208</v>
      </c>
      <c r="F6" s="14">
        <f>IF(DAY(Juil_Dim1)=1,Juil_Dim1+19,Juil_Dim1+26)</f>
        <v>42209</v>
      </c>
      <c r="G6" s="14">
        <f>IF(DAY(Juil_Dim1)=1,Juil_Dim1+20,Juil_Dim1+27)</f>
        <v>42210</v>
      </c>
      <c r="H6" s="15">
        <f>IF(DAY(Juil_Dim1)=1,Juil_Dim1+21,Juil_Dim1+28)</f>
        <v>42211</v>
      </c>
      <c r="I6" s="8"/>
    </row>
    <row r="7" spans="1:9" ht="18.75" customHeight="1" x14ac:dyDescent="0.25">
      <c r="A7" s="3"/>
      <c r="B7" s="13">
        <f>IF(DAY(Juil_Dim1)=1,Juil_Dim1+22,Juil_Dim1+29)</f>
        <v>42212</v>
      </c>
      <c r="C7" s="14">
        <f>IF(DAY(Juil_Dim1)=1,Juil_Dim1+23,Juil_Dim1+30)</f>
        <v>42213</v>
      </c>
      <c r="D7" s="14">
        <f>IF(DAY(Juil_Dim1)=1,Juil_Dim1+24,Juil_Dim1+31)</f>
        <v>42214</v>
      </c>
      <c r="E7" s="14">
        <f>IF(DAY(Juil_Dim1)=1,Juil_Dim1+25,Juil_Dim1+32)</f>
        <v>42215</v>
      </c>
      <c r="F7" s="14">
        <f>IF(DAY(Juil_Dim1)=1,Juil_Dim1+26,Juil_Dim1+33)</f>
        <v>42216</v>
      </c>
      <c r="G7" s="14">
        <f>IF(DAY(Juil_Dim1)=1,Juil_Dim1+27,Juil_Dim1+34)</f>
        <v>42217</v>
      </c>
      <c r="H7" s="15">
        <f>IF(DAY(Juil_Dim1)=1,Juil_Dim1+28,Juil_Dim1+35)</f>
        <v>42218</v>
      </c>
      <c r="I7" s="8"/>
    </row>
    <row r="8" spans="1:9" ht="18" customHeight="1" x14ac:dyDescent="0.25">
      <c r="A8" s="3"/>
      <c r="B8" s="13">
        <f>IF(DAY(Juil_Dim1)=1,Juil_Dim1+29,Juil_Dim1+36)</f>
        <v>42219</v>
      </c>
      <c r="C8" s="14">
        <f>IF(DAY(Juil_Dim1)=1,Juil_Dim1+30,Juil_Dim1+37)</f>
        <v>42220</v>
      </c>
      <c r="D8" s="14">
        <f>IF(DAY(Juil_Dim1)=1,Juil_Dim1+31,Juil_Dim1+38)</f>
        <v>42221</v>
      </c>
      <c r="E8" s="14">
        <f>IF(DAY(Juil_Dim1)=1,Juil_Dim1+32,Juil_Dim1+39)</f>
        <v>42222</v>
      </c>
      <c r="F8" s="14">
        <f>IF(DAY(Juil_Dim1)=1,Juil_Dim1+33,Juil_Dim1+40)</f>
        <v>42223</v>
      </c>
      <c r="G8" s="14">
        <f>IF(DAY(Juil_Dim1)=1,Juil_Dim1+34,Juil_Dim1+41)</f>
        <v>42224</v>
      </c>
      <c r="H8" s="15">
        <f>IF(DAY(Juil_Dim1)=1,Juil_Dim1+35,Juil_Dim1+42)</f>
        <v>42225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17" priority="3" stopIfTrue="1">
      <formula>DAY(B3)&gt;8</formula>
    </cfRule>
  </conditionalFormatting>
  <conditionalFormatting sqref="B7:H9">
    <cfRule type="expression" dxfId="16" priority="2" stopIfTrue="1">
      <formula>AND(DAY(B7)&gt;=1,DAY(B7)&lt;=15)</formula>
    </cfRule>
  </conditionalFormatting>
  <conditionalFormatting sqref="B3:H8">
    <cfRule type="expression" dxfId="15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/>
    <pageSetUpPr fitToPage="1"/>
  </sheetPr>
  <dimension ref="A1:AI10"/>
  <sheetViews>
    <sheetView showGridLines="0" topLeftCell="J1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13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IF(DAY(Aoû_Dim1)=1,Aoû_Dim1-6,Aoû_Dim1+1)</f>
        <v>42212</v>
      </c>
      <c r="C3" s="14">
        <f>IF(DAY(Aoû_Dim1)=1,Aoû_Dim1-5,Aoû_Dim1+2)</f>
        <v>42213</v>
      </c>
      <c r="D3" s="14">
        <f>IF(DAY(Aoû_Dim1)=1,Aoû_Dim1-4,Aoû_Dim1+3)</f>
        <v>42214</v>
      </c>
      <c r="E3" s="14">
        <f>IF(DAY(Aoû_Dim1)=1,Aoû_Dim1-3,Aoû_Dim1+4)</f>
        <v>42215</v>
      </c>
      <c r="F3" s="14">
        <f>IF(DAY(Aoû_Dim1)=1,Aoû_Dim1-2,Aoû_Dim1+5)</f>
        <v>42216</v>
      </c>
      <c r="G3" s="14">
        <f>IF(DAY(Aoû_Dim1)=1,Aoû_Dim1-1,Aoû_Dim1+6)</f>
        <v>42217</v>
      </c>
      <c r="H3" s="15">
        <f>IF(DAY(Aoû_Dim1)=1,Aoû_Dim1,Aoû_Dim1+7)</f>
        <v>42218</v>
      </c>
      <c r="I3" s="8"/>
    </row>
    <row r="4" spans="1:9" ht="18" customHeight="1" x14ac:dyDescent="0.25">
      <c r="A4" s="3"/>
      <c r="B4" s="13">
        <f>IF(DAY(Aoû_Dim1)=1,Aoû_Dim1+1,Aoû_Dim1+8)</f>
        <v>42219</v>
      </c>
      <c r="C4" s="14">
        <f>IF(DAY(Aoû_Dim1)=1,Aoû_Dim1+2,Aoû_Dim1+9)</f>
        <v>42220</v>
      </c>
      <c r="D4" s="14">
        <f>IF(DAY(Aoû_Dim1)=1,Aoû_Dim1+3,Aoû_Dim1+10)</f>
        <v>42221</v>
      </c>
      <c r="E4" s="14">
        <f>IF(DAY(Aoû_Dim1)=1,Aoû_Dim1+4,Aoû_Dim1+11)</f>
        <v>42222</v>
      </c>
      <c r="F4" s="14">
        <f>IF(DAY(Aoû_Dim1)=1,Aoû_Dim1+5,Aoû_Dim1+12)</f>
        <v>42223</v>
      </c>
      <c r="G4" s="14">
        <f>IF(DAY(Aoû_Dim1)=1,Aoû_Dim1+6,Aoû_Dim1+13)</f>
        <v>42224</v>
      </c>
      <c r="H4" s="15">
        <f>IF(DAY(Aoû_Dim1)=1,Aoû_Dim1+7,Aoû_Dim1+14)</f>
        <v>42225</v>
      </c>
      <c r="I4" s="8"/>
    </row>
    <row r="5" spans="1:9" ht="18" customHeight="1" x14ac:dyDescent="0.25">
      <c r="A5" s="3"/>
      <c r="B5" s="13">
        <f>IF(DAY(Aoû_Dim1)=1,Aoû_Dim1+8,Aoû_Dim1+15)</f>
        <v>42226</v>
      </c>
      <c r="C5" s="14">
        <f>IF(DAY(Aoû_Dim1)=1,Aoû_Dim1+9,Aoû_Dim1+16)</f>
        <v>42227</v>
      </c>
      <c r="D5" s="14">
        <f>IF(DAY(Aoû_Dim1)=1,Aoû_Dim1+10,Aoû_Dim1+17)</f>
        <v>42228</v>
      </c>
      <c r="E5" s="14">
        <f>IF(DAY(Aoû_Dim1)=1,Aoû_Dim1+11,Aoû_Dim1+18)</f>
        <v>42229</v>
      </c>
      <c r="F5" s="14">
        <f>IF(DAY(Aoû_Dim1)=1,Aoû_Dim1+12,Aoû_Dim1+19)</f>
        <v>42230</v>
      </c>
      <c r="G5" s="14">
        <f>IF(DAY(Aoû_Dim1)=1,Aoû_Dim1+13,Aoû_Dim1+20)</f>
        <v>42231</v>
      </c>
      <c r="H5" s="15">
        <f>IF(DAY(Aoû_Dim1)=1,Aoû_Dim1+14,Aoû_Dim1+21)</f>
        <v>42232</v>
      </c>
      <c r="I5" s="8"/>
    </row>
    <row r="6" spans="1:9" ht="18" customHeight="1" x14ac:dyDescent="0.25">
      <c r="A6" s="3"/>
      <c r="B6" s="13">
        <f>IF(DAY(Aoû_Dim1)=1,Aoû_Dim1+15,Aoû_Dim1+22)</f>
        <v>42233</v>
      </c>
      <c r="C6" s="14">
        <f>IF(DAY(Aoû_Dim1)=1,Aoû_Dim1+16,Aoû_Dim1+23)</f>
        <v>42234</v>
      </c>
      <c r="D6" s="14">
        <f>IF(DAY(Aoû_Dim1)=1,Aoû_Dim1+17,Aoû_Dim1+24)</f>
        <v>42235</v>
      </c>
      <c r="E6" s="14">
        <f>IF(DAY(Aoû_Dim1)=1,Aoû_Dim1+18,Aoû_Dim1+25)</f>
        <v>42236</v>
      </c>
      <c r="F6" s="14">
        <f>IF(DAY(Aoû_Dim1)=1,Aoû_Dim1+19,Aoû_Dim1+26)</f>
        <v>42237</v>
      </c>
      <c r="G6" s="14">
        <f>IF(DAY(Aoû_Dim1)=1,Aoû_Dim1+20,Aoû_Dim1+27)</f>
        <v>42238</v>
      </c>
      <c r="H6" s="15">
        <f>IF(DAY(Aoû_Dim1)=1,Aoû_Dim1+21,Aoû_Dim1+28)</f>
        <v>42239</v>
      </c>
      <c r="I6" s="8"/>
    </row>
    <row r="7" spans="1:9" ht="18.75" customHeight="1" x14ac:dyDescent="0.25">
      <c r="A7" s="3"/>
      <c r="B7" s="13">
        <f>IF(DAY(Aoû_Dim1)=1,Aoû_Dim1+22,Aoû_Dim1+29)</f>
        <v>42240</v>
      </c>
      <c r="C7" s="14">
        <f>IF(DAY(Aoû_Dim1)=1,Aoû_Dim1+23,Aoû_Dim1+30)</f>
        <v>42241</v>
      </c>
      <c r="D7" s="14">
        <f>IF(DAY(Aoû_Dim1)=1,Aoû_Dim1+24,Aoû_Dim1+31)</f>
        <v>42242</v>
      </c>
      <c r="E7" s="14">
        <f>IF(DAY(Aoû_Dim1)=1,Aoû_Dim1+25,Aoû_Dim1+32)</f>
        <v>42243</v>
      </c>
      <c r="F7" s="14">
        <f>IF(DAY(Aoû_Dim1)=1,Aoû_Dim1+26,Aoû_Dim1+33)</f>
        <v>42244</v>
      </c>
      <c r="G7" s="14">
        <f>IF(DAY(Aoû_Dim1)=1,Aoû_Dim1+27,Aoû_Dim1+34)</f>
        <v>42245</v>
      </c>
      <c r="H7" s="15">
        <f>IF(DAY(Aoû_Dim1)=1,Aoû_Dim1+28,Aoû_Dim1+35)</f>
        <v>42246</v>
      </c>
      <c r="I7" s="8"/>
    </row>
    <row r="8" spans="1:9" ht="18" customHeight="1" x14ac:dyDescent="0.25">
      <c r="A8" s="3"/>
      <c r="B8" s="13">
        <f>IF(DAY(Aoû_Dim1)=1,Aoû_Dim1+29,Aoû_Dim1+36)</f>
        <v>42247</v>
      </c>
      <c r="C8" s="14">
        <f>IF(DAY(Aoû_Dim1)=1,Aoû_Dim1+30,Aoû_Dim1+37)</f>
        <v>42248</v>
      </c>
      <c r="D8" s="14">
        <f>IF(DAY(Aoû_Dim1)=1,Aoû_Dim1+31,Aoû_Dim1+38)</f>
        <v>42249</v>
      </c>
      <c r="E8" s="14">
        <f>IF(DAY(Aoû_Dim1)=1,Aoû_Dim1+32,Aoû_Dim1+39)</f>
        <v>42250</v>
      </c>
      <c r="F8" s="14">
        <f>IF(DAY(Aoû_Dim1)=1,Aoû_Dim1+33,Aoû_Dim1+40)</f>
        <v>42251</v>
      </c>
      <c r="G8" s="14">
        <f>IF(DAY(Aoû_Dim1)=1,Aoû_Dim1+34,Aoû_Dim1+41)</f>
        <v>42252</v>
      </c>
      <c r="H8" s="15">
        <f>IF(DAY(Aoû_Dim1)=1,Aoû_Dim1+35,Aoû_Dim1+42)</f>
        <v>42253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14" priority="3" stopIfTrue="1">
      <formula>DAY(B3)&gt;8</formula>
    </cfRule>
  </conditionalFormatting>
  <conditionalFormatting sqref="B7:H9">
    <cfRule type="expression" dxfId="13" priority="2" stopIfTrue="1">
      <formula>AND(DAY(B7)&gt;=1,DAY(B7)&lt;=15)</formula>
    </cfRule>
  </conditionalFormatting>
  <conditionalFormatting sqref="B3:H8">
    <cfRule type="expression" dxfId="12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/>
    <pageSetUpPr fitToPage="1"/>
  </sheetPr>
  <dimension ref="A1:AI10"/>
  <sheetViews>
    <sheetView showGridLines="0" zoomScaleNormal="100" zoomScalePageLayoutView="84" workbookViewId="0">
      <selection activeCell="B3" sqref="B3:H8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14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IF(DAY(Sep_Dim1)=1,Sep_Dim1-6,Sep_Dim1+1)</f>
        <v>42247</v>
      </c>
      <c r="C3" s="14">
        <f>IF(DAY(Sep_Dim1)=1,Sep_Dim1-5,Sep_Dim1+2)</f>
        <v>42248</v>
      </c>
      <c r="D3" s="14">
        <f>IF(DAY(Sep_Dim1)=1,Sep_Dim1-4,Sep_Dim1+3)</f>
        <v>42249</v>
      </c>
      <c r="E3" s="14">
        <f>IF(DAY(Sep_Dim1)=1,Sep_Dim1-3,Sep_Dim1+4)</f>
        <v>42250</v>
      </c>
      <c r="F3" s="14">
        <f>IF(DAY(Sep_Dim1)=1,Sep_Dim1-2,Sep_Dim1+5)</f>
        <v>42251</v>
      </c>
      <c r="G3" s="14">
        <f>IF(DAY(Sep_Dim1)=1,Sep_Dim1-1,Sep_Dim1+6)</f>
        <v>42252</v>
      </c>
      <c r="H3" s="15">
        <f>IF(DAY(Sep_Dim1)=1,Sep_Dim1,Sep_Dim1+7)</f>
        <v>42253</v>
      </c>
      <c r="I3" s="8"/>
    </row>
    <row r="4" spans="1:9" ht="18" customHeight="1" x14ac:dyDescent="0.25">
      <c r="A4" s="3"/>
      <c r="B4" s="13">
        <f>IF(DAY(Sep_Dim1)=1,Sep_Dim1+1,Sep_Dim1+8)</f>
        <v>42254</v>
      </c>
      <c r="C4" s="14">
        <f>IF(DAY(Sep_Dim1)=1,Sep_Dim1+2,Sep_Dim1+9)</f>
        <v>42255</v>
      </c>
      <c r="D4" s="14">
        <f>IF(DAY(Sep_Dim1)=1,Sep_Dim1+3,Sep_Dim1+10)</f>
        <v>42256</v>
      </c>
      <c r="E4" s="14">
        <f>IF(DAY(Sep_Dim1)=1,Sep_Dim1+4,Sep_Dim1+11)</f>
        <v>42257</v>
      </c>
      <c r="F4" s="14">
        <f>IF(DAY(Sep_Dim1)=1,Sep_Dim1+5,Sep_Dim1+12)</f>
        <v>42258</v>
      </c>
      <c r="G4" s="14">
        <f>IF(DAY(Sep_Dim1)=1,Sep_Dim1+6,Sep_Dim1+13)</f>
        <v>42259</v>
      </c>
      <c r="H4" s="15">
        <f>IF(DAY(Sep_Dim1)=1,Sep_Dim1+7,Sep_Dim1+14)</f>
        <v>42260</v>
      </c>
      <c r="I4" s="8"/>
    </row>
    <row r="5" spans="1:9" ht="18" customHeight="1" x14ac:dyDescent="0.25">
      <c r="A5" s="3"/>
      <c r="B5" s="13">
        <f>IF(DAY(Sep_Dim1)=1,Sep_Dim1+8,Sep_Dim1+15)</f>
        <v>42261</v>
      </c>
      <c r="C5" s="14">
        <f>IF(DAY(Sep_Dim1)=1,Sep_Dim1+9,Sep_Dim1+16)</f>
        <v>42262</v>
      </c>
      <c r="D5" s="14">
        <f>IF(DAY(Sep_Dim1)=1,Sep_Dim1+10,Sep_Dim1+17)</f>
        <v>42263</v>
      </c>
      <c r="E5" s="14">
        <f>IF(DAY(Sep_Dim1)=1,Sep_Dim1+11,Sep_Dim1+18)</f>
        <v>42264</v>
      </c>
      <c r="F5" s="14">
        <f>IF(DAY(Sep_Dim1)=1,Sep_Dim1+12,Sep_Dim1+19)</f>
        <v>42265</v>
      </c>
      <c r="G5" s="14">
        <f>IF(DAY(Sep_Dim1)=1,Sep_Dim1+13,Sep_Dim1+20)</f>
        <v>42266</v>
      </c>
      <c r="H5" s="15">
        <f>IF(DAY(Sep_Dim1)=1,Sep_Dim1+14,Sep_Dim1+21)</f>
        <v>42267</v>
      </c>
      <c r="I5" s="8"/>
    </row>
    <row r="6" spans="1:9" ht="18" customHeight="1" x14ac:dyDescent="0.25">
      <c r="A6" s="3"/>
      <c r="B6" s="13">
        <f>IF(DAY(Sep_Dim1)=1,Sep_Dim1+15,Sep_Dim1+22)</f>
        <v>42268</v>
      </c>
      <c r="C6" s="14">
        <f>IF(DAY(Sep_Dim1)=1,Sep_Dim1+16,Sep_Dim1+23)</f>
        <v>42269</v>
      </c>
      <c r="D6" s="14">
        <f>IF(DAY(Sep_Dim1)=1,Sep_Dim1+17,Sep_Dim1+24)</f>
        <v>42270</v>
      </c>
      <c r="E6" s="14">
        <f>IF(DAY(Sep_Dim1)=1,Sep_Dim1+18,Sep_Dim1+25)</f>
        <v>42271</v>
      </c>
      <c r="F6" s="14">
        <f>IF(DAY(Sep_Dim1)=1,Sep_Dim1+19,Sep_Dim1+26)</f>
        <v>42272</v>
      </c>
      <c r="G6" s="14">
        <f>IF(DAY(Sep_Dim1)=1,Sep_Dim1+20,Sep_Dim1+27)</f>
        <v>42273</v>
      </c>
      <c r="H6" s="15">
        <f>IF(DAY(Sep_Dim1)=1,Sep_Dim1+21,Sep_Dim1+28)</f>
        <v>42274</v>
      </c>
      <c r="I6" s="8"/>
    </row>
    <row r="7" spans="1:9" ht="18.75" customHeight="1" x14ac:dyDescent="0.25">
      <c r="A7" s="3"/>
      <c r="B7" s="13">
        <f>IF(DAY(Sep_Dim1)=1,Sep_Dim1+22,Sep_Dim1+29)</f>
        <v>42275</v>
      </c>
      <c r="C7" s="14">
        <f>IF(DAY(Sep_Dim1)=1,Sep_Dim1+23,Sep_Dim1+30)</f>
        <v>42276</v>
      </c>
      <c r="D7" s="14">
        <f>IF(DAY(Sep_Dim1)=1,Sep_Dim1+24,Sep_Dim1+31)</f>
        <v>42277</v>
      </c>
      <c r="E7" s="14">
        <f>IF(DAY(Sep_Dim1)=1,Sep_Dim1+25,Sep_Dim1+32)</f>
        <v>42278</v>
      </c>
      <c r="F7" s="14">
        <f>IF(DAY(Sep_Dim1)=1,Sep_Dim1+26,Sep_Dim1+33)</f>
        <v>42279</v>
      </c>
      <c r="G7" s="14">
        <f>IF(DAY(Sep_Dim1)=1,Sep_Dim1+27,Sep_Dim1+34)</f>
        <v>42280</v>
      </c>
      <c r="H7" s="15">
        <f>IF(DAY(Sep_Dim1)=1,Sep_Dim1+28,Sep_Dim1+35)</f>
        <v>42281</v>
      </c>
      <c r="I7" s="8"/>
    </row>
    <row r="8" spans="1:9" ht="18" customHeight="1" x14ac:dyDescent="0.25">
      <c r="A8" s="3"/>
      <c r="B8" s="13">
        <f>IF(DAY(Sep_Dim1)=1,Sep_Dim1+29,Sep_Dim1+36)</f>
        <v>42282</v>
      </c>
      <c r="C8" s="14">
        <f>IF(DAY(Sep_Dim1)=1,Sep_Dim1+30,Sep_Dim1+37)</f>
        <v>42283</v>
      </c>
      <c r="D8" s="14">
        <f>IF(DAY(Sep_Dim1)=1,Sep_Dim1+31,Sep_Dim1+38)</f>
        <v>42284</v>
      </c>
      <c r="E8" s="14">
        <f>IF(DAY(Sep_Dim1)=1,Sep_Dim1+32,Sep_Dim1+39)</f>
        <v>42285</v>
      </c>
      <c r="F8" s="14">
        <f>IF(DAY(Sep_Dim1)=1,Sep_Dim1+33,Sep_Dim1+40)</f>
        <v>42286</v>
      </c>
      <c r="G8" s="14">
        <f>IF(DAY(Sep_Dim1)=1,Sep_Dim1+34,Sep_Dim1+41)</f>
        <v>42287</v>
      </c>
      <c r="H8" s="15">
        <f>IF(DAY(Sep_Dim1)=1,Sep_Dim1+35,Sep_Dim1+42)</f>
        <v>42288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11" priority="3" stopIfTrue="1">
      <formula>DAY(B3)&gt;8</formula>
    </cfRule>
  </conditionalFormatting>
  <conditionalFormatting sqref="B7:H9">
    <cfRule type="expression" dxfId="10" priority="2" stopIfTrue="1">
      <formula>AND(DAY(B7)&gt;=1,DAY(B7)&lt;=15)</formula>
    </cfRule>
  </conditionalFormatting>
  <conditionalFormatting sqref="B3:H8">
    <cfRule type="expression" dxfId="9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/>
    <pageSetUpPr fitToPage="1"/>
  </sheetPr>
  <dimension ref="A1:AI10"/>
  <sheetViews>
    <sheetView showGridLines="0" zoomScaleNormal="100" zoomScalePageLayoutView="84" workbookViewId="0">
      <selection activeCell="Q9" sqref="Q9:S9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15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IF(DAY(Oct_Dim1)=1,Oct_Dim1-6,Oct_Dim1+1)</f>
        <v>42275</v>
      </c>
      <c r="C3" s="14">
        <f>IF(DAY(Oct_Dim1)=1,Oct_Dim1-5,Oct_Dim1+2)</f>
        <v>42276</v>
      </c>
      <c r="D3" s="14">
        <f>IF(DAY(Oct_Dim1)=1,Oct_Dim1-4,Oct_Dim1+3)</f>
        <v>42277</v>
      </c>
      <c r="E3" s="14">
        <f>IF(DAY(Oct_Dim1)=1,Oct_Dim1-3,Oct_Dim1+4)</f>
        <v>42278</v>
      </c>
      <c r="F3" s="14">
        <f>IF(DAY(Oct_Dim1)=1,Oct_Dim1-2,Oct_Dim1+5)</f>
        <v>42279</v>
      </c>
      <c r="G3" s="14">
        <f>IF(DAY(Oct_Dim1)=1,Oct_Dim1-1,Oct_Dim1+6)</f>
        <v>42280</v>
      </c>
      <c r="H3" s="15">
        <f>IF(DAY(Oct_Dim1)=1,Oct_Dim1,Oct_Dim1+7)</f>
        <v>42281</v>
      </c>
      <c r="I3" s="8"/>
    </row>
    <row r="4" spans="1:9" ht="18" customHeight="1" x14ac:dyDescent="0.25">
      <c r="A4" s="3"/>
      <c r="B4" s="13">
        <f>IF(DAY(Oct_Dim1)=1,Oct_Dim1+1,Oct_Dim1+8)</f>
        <v>42282</v>
      </c>
      <c r="C4" s="14">
        <f>IF(DAY(Oct_Dim1)=1,Oct_Dim1+2,Oct_Dim1+9)</f>
        <v>42283</v>
      </c>
      <c r="D4" s="14">
        <f>IF(DAY(Oct_Dim1)=1,Oct_Dim1+3,Oct_Dim1+10)</f>
        <v>42284</v>
      </c>
      <c r="E4" s="14">
        <f>IF(DAY(Oct_Dim1)=1,Oct_Dim1+4,Oct_Dim1+11)</f>
        <v>42285</v>
      </c>
      <c r="F4" s="14">
        <f>IF(DAY(Oct_Dim1)=1,Oct_Dim1+5,Oct_Dim1+12)</f>
        <v>42286</v>
      </c>
      <c r="G4" s="14">
        <f>IF(DAY(Oct_Dim1)=1,Oct_Dim1+6,Oct_Dim1+13)</f>
        <v>42287</v>
      </c>
      <c r="H4" s="15">
        <f>IF(DAY(Oct_Dim1)=1,Oct_Dim1+7,Oct_Dim1+14)</f>
        <v>42288</v>
      </c>
      <c r="I4" s="8"/>
    </row>
    <row r="5" spans="1:9" ht="18" customHeight="1" x14ac:dyDescent="0.25">
      <c r="A5" s="3"/>
      <c r="B5" s="13">
        <f>IF(DAY(Oct_Dim1)=1,Oct_Dim1+8,Oct_Dim1+15)</f>
        <v>42289</v>
      </c>
      <c r="C5" s="14">
        <f>IF(DAY(Oct_Dim1)=1,Oct_Dim1+9,Oct_Dim1+16)</f>
        <v>42290</v>
      </c>
      <c r="D5" s="14">
        <f>IF(DAY(Oct_Dim1)=1,Oct_Dim1+10,Oct_Dim1+17)</f>
        <v>42291</v>
      </c>
      <c r="E5" s="14">
        <f>IF(DAY(Oct_Dim1)=1,Oct_Dim1+11,Oct_Dim1+18)</f>
        <v>42292</v>
      </c>
      <c r="F5" s="14">
        <f>IF(DAY(Oct_Dim1)=1,Oct_Dim1+12,Oct_Dim1+19)</f>
        <v>42293</v>
      </c>
      <c r="G5" s="14">
        <f>IF(DAY(Oct_Dim1)=1,Oct_Dim1+13,Oct_Dim1+20)</f>
        <v>42294</v>
      </c>
      <c r="H5" s="15">
        <f>IF(DAY(Oct_Dim1)=1,Oct_Dim1+14,Oct_Dim1+21)</f>
        <v>42295</v>
      </c>
      <c r="I5" s="8"/>
    </row>
    <row r="6" spans="1:9" ht="18" customHeight="1" x14ac:dyDescent="0.25">
      <c r="A6" s="3"/>
      <c r="B6" s="13">
        <f>IF(DAY(Oct_Dim1)=1,Oct_Dim1+15,Oct_Dim1+22)</f>
        <v>42296</v>
      </c>
      <c r="C6" s="14">
        <f>IF(DAY(Oct_Dim1)=1,Oct_Dim1+16,Oct_Dim1+23)</f>
        <v>42297</v>
      </c>
      <c r="D6" s="14">
        <f>IF(DAY(Oct_Dim1)=1,Oct_Dim1+17,Oct_Dim1+24)</f>
        <v>42298</v>
      </c>
      <c r="E6" s="14">
        <f>IF(DAY(Oct_Dim1)=1,Oct_Dim1+18,Oct_Dim1+25)</f>
        <v>42299</v>
      </c>
      <c r="F6" s="14">
        <f>IF(DAY(Oct_Dim1)=1,Oct_Dim1+19,Oct_Dim1+26)</f>
        <v>42300</v>
      </c>
      <c r="G6" s="14">
        <f>IF(DAY(Oct_Dim1)=1,Oct_Dim1+20,Oct_Dim1+27)</f>
        <v>42301</v>
      </c>
      <c r="H6" s="15">
        <f>IF(DAY(Oct_Dim1)=1,Oct_Dim1+21,Oct_Dim1+28)</f>
        <v>42302</v>
      </c>
      <c r="I6" s="8"/>
    </row>
    <row r="7" spans="1:9" ht="18.75" customHeight="1" x14ac:dyDescent="0.25">
      <c r="A7" s="3"/>
      <c r="B7" s="13">
        <f>IF(DAY(Oct_Dim1)=1,Oct_Dim1+22,Oct_Dim1+29)</f>
        <v>42303</v>
      </c>
      <c r="C7" s="14">
        <f>IF(DAY(Oct_Dim1)=1,Oct_Dim1+23,Oct_Dim1+30)</f>
        <v>42304</v>
      </c>
      <c r="D7" s="14">
        <f>IF(DAY(Oct_Dim1)=1,Oct_Dim1+24,Oct_Dim1+31)</f>
        <v>42305</v>
      </c>
      <c r="E7" s="14">
        <f>IF(DAY(Oct_Dim1)=1,Oct_Dim1+25,Oct_Dim1+32)</f>
        <v>42306</v>
      </c>
      <c r="F7" s="14">
        <f>IF(DAY(Oct_Dim1)=1,Oct_Dim1+26,Oct_Dim1+33)</f>
        <v>42307</v>
      </c>
      <c r="G7" s="14">
        <f>IF(DAY(Oct_Dim1)=1,Oct_Dim1+27,Oct_Dim1+34)</f>
        <v>42308</v>
      </c>
      <c r="H7" s="15">
        <f>IF(DAY(Oct_Dim1)=1,Oct_Dim1+28,Oct_Dim1+35)</f>
        <v>42309</v>
      </c>
      <c r="I7" s="8"/>
    </row>
    <row r="8" spans="1:9" ht="18" customHeight="1" x14ac:dyDescent="0.25">
      <c r="A8" s="3"/>
      <c r="B8" s="13">
        <f>IF(DAY(Oct_Dim1)=1,Oct_Dim1+29,Oct_Dim1+36)</f>
        <v>42310</v>
      </c>
      <c r="C8" s="14">
        <f>IF(DAY(Oct_Dim1)=1,Oct_Dim1+30,Oct_Dim1+37)</f>
        <v>42311</v>
      </c>
      <c r="D8" s="14">
        <f>IF(DAY(Oct_Dim1)=1,Oct_Dim1+31,Oct_Dim1+38)</f>
        <v>42312</v>
      </c>
      <c r="E8" s="14">
        <f>IF(DAY(Oct_Dim1)=1,Oct_Dim1+32,Oct_Dim1+39)</f>
        <v>42313</v>
      </c>
      <c r="F8" s="14">
        <f>IF(DAY(Oct_Dim1)=1,Oct_Dim1+33,Oct_Dim1+40)</f>
        <v>42314</v>
      </c>
      <c r="G8" s="14">
        <f>IF(DAY(Oct_Dim1)=1,Oct_Dim1+34,Oct_Dim1+41)</f>
        <v>42315</v>
      </c>
      <c r="H8" s="15">
        <f>IF(DAY(Oct_Dim1)=1,Oct_Dim1+35,Oct_Dim1+42)</f>
        <v>42316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8" priority="3" stopIfTrue="1">
      <formula>DAY(B3)&gt;8</formula>
    </cfRule>
  </conditionalFormatting>
  <conditionalFormatting sqref="B7:H9">
    <cfRule type="expression" dxfId="7" priority="2" stopIfTrue="1">
      <formula>AND(DAY(B7)&gt;=1,DAY(B7)&lt;=15)</formula>
    </cfRule>
  </conditionalFormatting>
  <conditionalFormatting sqref="B3:H8">
    <cfRule type="expression" dxfId="6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/>
    <pageSetUpPr fitToPage="1"/>
  </sheetPr>
  <dimension ref="A1:AI10"/>
  <sheetViews>
    <sheetView showGridLines="0" zoomScaleNormal="100" zoomScalePageLayoutView="84" workbookViewId="0">
      <selection activeCell="Q9" sqref="Q9:S9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16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IF(DAY(Nov_Dim1)=1,Nov_Dim1-6,Nov_Dim1+1)</f>
        <v>42303</v>
      </c>
      <c r="C3" s="14">
        <f>IF(DAY(Nov_Dim1)=1,Nov_Dim1-5,Nov_Dim1+2)</f>
        <v>42304</v>
      </c>
      <c r="D3" s="14">
        <f>IF(DAY(Nov_Dim1)=1,Nov_Dim1-4,Nov_Dim1+3)</f>
        <v>42305</v>
      </c>
      <c r="E3" s="14">
        <f>IF(DAY(Nov_Dim1)=1,Nov_Dim1-3,Nov_Dim1+4)</f>
        <v>42306</v>
      </c>
      <c r="F3" s="14">
        <f>IF(DAY(Nov_Dim1)=1,Nov_Dim1-2,Nov_Dim1+5)</f>
        <v>42307</v>
      </c>
      <c r="G3" s="14">
        <f>IF(DAY(Nov_Dim1)=1,Nov_Dim1-1,Nov_Dim1+6)</f>
        <v>42308</v>
      </c>
      <c r="H3" s="15">
        <f>IF(DAY(Nov_Dim1)=1,Nov_Dim1,Nov_Dim1+7)</f>
        <v>42309</v>
      </c>
      <c r="I3" s="8"/>
    </row>
    <row r="4" spans="1:9" ht="18" customHeight="1" x14ac:dyDescent="0.25">
      <c r="A4" s="3"/>
      <c r="B4" s="13">
        <f>IF(DAY(Nov_Dim1)=1,Nov_Dim1+1,Nov_Dim1+8)</f>
        <v>42310</v>
      </c>
      <c r="C4" s="14">
        <f>IF(DAY(Nov_Dim1)=1,Nov_Dim1+2,Nov_Dim1+9)</f>
        <v>42311</v>
      </c>
      <c r="D4" s="14">
        <f>IF(DAY(Nov_Dim1)=1,Nov_Dim1+3,Nov_Dim1+10)</f>
        <v>42312</v>
      </c>
      <c r="E4" s="14">
        <f>IF(DAY(Nov_Dim1)=1,Nov_Dim1+4,Nov_Dim1+11)</f>
        <v>42313</v>
      </c>
      <c r="F4" s="14">
        <f>IF(DAY(Nov_Dim1)=1,Nov_Dim1+5,Nov_Dim1+12)</f>
        <v>42314</v>
      </c>
      <c r="G4" s="14">
        <f>IF(DAY(Nov_Dim1)=1,Nov_Dim1+6,Nov_Dim1+13)</f>
        <v>42315</v>
      </c>
      <c r="H4" s="15">
        <f>IF(DAY(Nov_Dim1)=1,Nov_Dim1+7,Nov_Dim1+14)</f>
        <v>42316</v>
      </c>
      <c r="I4" s="8"/>
    </row>
    <row r="5" spans="1:9" ht="18" customHeight="1" x14ac:dyDescent="0.25">
      <c r="A5" s="3"/>
      <c r="B5" s="13">
        <f>IF(DAY(Nov_Dim1)=1,Nov_Dim1+8,Nov_Dim1+15)</f>
        <v>42317</v>
      </c>
      <c r="C5" s="14">
        <f>IF(DAY(Nov_Dim1)=1,Nov_Dim1+9,Nov_Dim1+16)</f>
        <v>42318</v>
      </c>
      <c r="D5" s="14">
        <f>IF(DAY(Nov_Dim1)=1,Nov_Dim1+10,Nov_Dim1+17)</f>
        <v>42319</v>
      </c>
      <c r="E5" s="14">
        <f>IF(DAY(Nov_Dim1)=1,Nov_Dim1+11,Nov_Dim1+18)</f>
        <v>42320</v>
      </c>
      <c r="F5" s="14">
        <f>IF(DAY(Nov_Dim1)=1,Nov_Dim1+12,Nov_Dim1+19)</f>
        <v>42321</v>
      </c>
      <c r="G5" s="14">
        <f>IF(DAY(Nov_Dim1)=1,Nov_Dim1+13,Nov_Dim1+20)</f>
        <v>42322</v>
      </c>
      <c r="H5" s="15">
        <f>IF(DAY(Nov_Dim1)=1,Nov_Dim1+14,Nov_Dim1+21)</f>
        <v>42323</v>
      </c>
      <c r="I5" s="8"/>
    </row>
    <row r="6" spans="1:9" ht="18" customHeight="1" x14ac:dyDescent="0.25">
      <c r="A6" s="3"/>
      <c r="B6" s="13">
        <f>IF(DAY(Nov_Dim1)=1,Nov_Dim1+15,Nov_Dim1+22)</f>
        <v>42324</v>
      </c>
      <c r="C6" s="14">
        <f>IF(DAY(Nov_Dim1)=1,Nov_Dim1+16,Nov_Dim1+23)</f>
        <v>42325</v>
      </c>
      <c r="D6" s="14">
        <f>IF(DAY(Nov_Dim1)=1,Nov_Dim1+17,Nov_Dim1+24)</f>
        <v>42326</v>
      </c>
      <c r="E6" s="14">
        <f>IF(DAY(Nov_Dim1)=1,Nov_Dim1+18,Nov_Dim1+25)</f>
        <v>42327</v>
      </c>
      <c r="F6" s="14">
        <f>IF(DAY(Nov_Dim1)=1,Nov_Dim1+19,Nov_Dim1+26)</f>
        <v>42328</v>
      </c>
      <c r="G6" s="14">
        <f>IF(DAY(Nov_Dim1)=1,Nov_Dim1+20,Nov_Dim1+27)</f>
        <v>42329</v>
      </c>
      <c r="H6" s="15">
        <f>IF(DAY(Nov_Dim1)=1,Nov_Dim1+21,Nov_Dim1+28)</f>
        <v>42330</v>
      </c>
      <c r="I6" s="8"/>
    </row>
    <row r="7" spans="1:9" ht="18.75" customHeight="1" x14ac:dyDescent="0.25">
      <c r="A7" s="3"/>
      <c r="B7" s="13">
        <f>IF(DAY(Nov_Dim1)=1,Nov_Dim1+22,Nov_Dim1+29)</f>
        <v>42331</v>
      </c>
      <c r="C7" s="14">
        <f>IF(DAY(Nov_Dim1)=1,Nov_Dim1+23,Nov_Dim1+30)</f>
        <v>42332</v>
      </c>
      <c r="D7" s="14">
        <f>IF(DAY(Nov_Dim1)=1,Nov_Dim1+24,Nov_Dim1+31)</f>
        <v>42333</v>
      </c>
      <c r="E7" s="14">
        <f>IF(DAY(Nov_Dim1)=1,Nov_Dim1+25,Nov_Dim1+32)</f>
        <v>42334</v>
      </c>
      <c r="F7" s="14">
        <f>IF(DAY(Nov_Dim1)=1,Nov_Dim1+26,Nov_Dim1+33)</f>
        <v>42335</v>
      </c>
      <c r="G7" s="14">
        <f>IF(DAY(Nov_Dim1)=1,Nov_Dim1+27,Nov_Dim1+34)</f>
        <v>42336</v>
      </c>
      <c r="H7" s="15">
        <f>IF(DAY(Nov_Dim1)=1,Nov_Dim1+28,Nov_Dim1+35)</f>
        <v>42337</v>
      </c>
      <c r="I7" s="8"/>
    </row>
    <row r="8" spans="1:9" ht="18" customHeight="1" x14ac:dyDescent="0.25">
      <c r="A8" s="3"/>
      <c r="B8" s="13">
        <f>IF(DAY(Nov_Dim1)=1,Nov_Dim1+29,Nov_Dim1+36)</f>
        <v>42338</v>
      </c>
      <c r="C8" s="14">
        <f>IF(DAY(Nov_Dim1)=1,Nov_Dim1+30,Nov_Dim1+37)</f>
        <v>42339</v>
      </c>
      <c r="D8" s="14">
        <f>IF(DAY(Nov_Dim1)=1,Nov_Dim1+31,Nov_Dim1+38)</f>
        <v>42340</v>
      </c>
      <c r="E8" s="14">
        <f>IF(DAY(Nov_Dim1)=1,Nov_Dim1+32,Nov_Dim1+39)</f>
        <v>42341</v>
      </c>
      <c r="F8" s="14">
        <f>IF(DAY(Nov_Dim1)=1,Nov_Dim1+33,Nov_Dim1+40)</f>
        <v>42342</v>
      </c>
      <c r="G8" s="14">
        <f>IF(DAY(Nov_Dim1)=1,Nov_Dim1+34,Nov_Dim1+41)</f>
        <v>42343</v>
      </c>
      <c r="H8" s="15">
        <f>IF(DAY(Nov_Dim1)=1,Nov_Dim1+35,Nov_Dim1+42)</f>
        <v>42344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5" priority="3" stopIfTrue="1">
      <formula>DAY(B3)&gt;8</formula>
    </cfRule>
  </conditionalFormatting>
  <conditionalFormatting sqref="B7:H9">
    <cfRule type="expression" dxfId="4" priority="2" stopIfTrue="1">
      <formula>AND(DAY(B7)&gt;=1,DAY(B7)&lt;=15)</formula>
    </cfRule>
  </conditionalFormatting>
  <conditionalFormatting sqref="B3:H8">
    <cfRule type="expression" dxfId="3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/>
    <pageSetUpPr fitToPage="1"/>
  </sheetPr>
  <dimension ref="A1:AI10"/>
  <sheetViews>
    <sheetView showGridLines="0" zoomScaleNormal="100" zoomScalePageLayoutView="84" workbookViewId="0">
      <selection activeCell="Q9" sqref="Q9:S9"/>
    </sheetView>
  </sheetViews>
  <sheetFormatPr baseColWidth="10" defaultColWidth="8.6640625" defaultRowHeight="16.5" customHeight="1" x14ac:dyDescent="0.25"/>
  <cols>
    <col min="1" max="1" width="2.33203125" style="1" customWidth="1"/>
    <col min="2" max="9" width="12.6640625" style="1" customWidth="1"/>
    <col min="10" max="16" width="8.88671875" style="2" customWidth="1"/>
    <col min="17" max="35" width="8.6640625" style="2"/>
    <col min="36" max="16384" width="8.6640625" style="1"/>
  </cols>
  <sheetData>
    <row r="1" spans="1:9" ht="22.2" customHeight="1" thickTop="1" thickBot="1" x14ac:dyDescent="0.3">
      <c r="B1" s="91" t="s">
        <v>17</v>
      </c>
      <c r="C1" s="92"/>
      <c r="D1" s="92"/>
      <c r="E1" s="92"/>
      <c r="F1" s="92"/>
      <c r="G1" s="92"/>
      <c r="H1" s="93"/>
      <c r="I1" s="113">
        <f>Année_Calendaire</f>
        <v>2015</v>
      </c>
    </row>
    <row r="2" spans="1:9" ht="21" customHeight="1" thickTop="1" x14ac:dyDescent="0.25">
      <c r="A2" s="3"/>
      <c r="B2" s="4" t="s">
        <v>2</v>
      </c>
      <c r="C2" s="5" t="s">
        <v>1</v>
      </c>
      <c r="D2" s="5" t="s">
        <v>1</v>
      </c>
      <c r="E2" s="5" t="s">
        <v>3</v>
      </c>
      <c r="F2" s="5" t="s">
        <v>4</v>
      </c>
      <c r="G2" s="6" t="s">
        <v>0</v>
      </c>
      <c r="H2" s="7" t="s">
        <v>5</v>
      </c>
      <c r="I2" s="114"/>
    </row>
    <row r="3" spans="1:9" ht="18" customHeight="1" x14ac:dyDescent="0.25">
      <c r="A3" s="3"/>
      <c r="B3" s="13">
        <f>IF(DAY(Déc_Dim1)=1,Déc_Dim1-6,Déc_Dim1+1)</f>
        <v>42338</v>
      </c>
      <c r="C3" s="14">
        <f>IF(DAY(Déc_Dim1)=1,Déc_Dim1-5,Déc_Dim1+2)</f>
        <v>42339</v>
      </c>
      <c r="D3" s="14">
        <f>IF(DAY(Déc_Dim1)=1,Déc_Dim1-4,Déc_Dim1+3)</f>
        <v>42340</v>
      </c>
      <c r="E3" s="14">
        <f>IF(DAY(Déc_Dim1)=1,Déc_Dim1-3,Déc_Dim1+4)</f>
        <v>42341</v>
      </c>
      <c r="F3" s="14">
        <f>IF(DAY(Déc_Dim1)=1,Déc_Dim1-2,Déc_Dim1+5)</f>
        <v>42342</v>
      </c>
      <c r="G3" s="14">
        <f>IF(DAY(Déc_Dim1)=1,Déc_Dim1-1,Déc_Dim1+6)</f>
        <v>42343</v>
      </c>
      <c r="H3" s="15">
        <f>IF(DAY(Déc_Dim1)=1,Déc_Dim1,Déc_Dim1+7)</f>
        <v>42344</v>
      </c>
      <c r="I3" s="8"/>
    </row>
    <row r="4" spans="1:9" ht="18" customHeight="1" x14ac:dyDescent="0.25">
      <c r="A4" s="3"/>
      <c r="B4" s="13">
        <f>IF(DAY(Déc_Dim1)=1,Déc_Dim1+1,Déc_Dim1+8)</f>
        <v>42345</v>
      </c>
      <c r="C4" s="14">
        <f>IF(DAY(Déc_Dim1)=1,Déc_Dim1+2,Déc_Dim1+9)</f>
        <v>42346</v>
      </c>
      <c r="D4" s="14">
        <f>IF(DAY(Déc_Dim1)=1,Déc_Dim1+3,Déc_Dim1+10)</f>
        <v>42347</v>
      </c>
      <c r="E4" s="14">
        <f>IF(DAY(Déc_Dim1)=1,Déc_Dim1+4,Déc_Dim1+11)</f>
        <v>42348</v>
      </c>
      <c r="F4" s="14">
        <f>IF(DAY(Déc_Dim1)=1,Déc_Dim1+5,Déc_Dim1+12)</f>
        <v>42349</v>
      </c>
      <c r="G4" s="14">
        <f>IF(DAY(Déc_Dim1)=1,Déc_Dim1+6,Déc_Dim1+13)</f>
        <v>42350</v>
      </c>
      <c r="H4" s="15">
        <f>IF(DAY(Déc_Dim1)=1,Déc_Dim1+7,Déc_Dim1+14)</f>
        <v>42351</v>
      </c>
      <c r="I4" s="8"/>
    </row>
    <row r="5" spans="1:9" ht="18" customHeight="1" x14ac:dyDescent="0.25">
      <c r="A5" s="3"/>
      <c r="B5" s="13">
        <f>IF(DAY(Déc_Dim1)=1,Déc_Dim1+8,Déc_Dim1+15)</f>
        <v>42352</v>
      </c>
      <c r="C5" s="14">
        <f>IF(DAY(Déc_Dim1)=1,Déc_Dim1+9,Déc_Dim1+16)</f>
        <v>42353</v>
      </c>
      <c r="D5" s="14">
        <f>IF(DAY(Déc_Dim1)=1,Déc_Dim1+10,Déc_Dim1+17)</f>
        <v>42354</v>
      </c>
      <c r="E5" s="14">
        <f>IF(DAY(Déc_Dim1)=1,Déc_Dim1+11,Déc_Dim1+18)</f>
        <v>42355</v>
      </c>
      <c r="F5" s="14">
        <f>IF(DAY(Déc_Dim1)=1,Déc_Dim1+12,Déc_Dim1+19)</f>
        <v>42356</v>
      </c>
      <c r="G5" s="14">
        <f>IF(DAY(Déc_Dim1)=1,Déc_Dim1+13,Déc_Dim1+20)</f>
        <v>42357</v>
      </c>
      <c r="H5" s="15">
        <f>IF(DAY(Déc_Dim1)=1,Déc_Dim1+14,Déc_Dim1+21)</f>
        <v>42358</v>
      </c>
      <c r="I5" s="8"/>
    </row>
    <row r="6" spans="1:9" ht="18" customHeight="1" x14ac:dyDescent="0.25">
      <c r="A6" s="3"/>
      <c r="B6" s="13">
        <f>IF(DAY(Déc_Dim1)=1,Déc_Dim1+15,Déc_Dim1+22)</f>
        <v>42359</v>
      </c>
      <c r="C6" s="14">
        <f>IF(DAY(Déc_Dim1)=1,Déc_Dim1+16,Déc_Dim1+23)</f>
        <v>42360</v>
      </c>
      <c r="D6" s="14">
        <f>IF(DAY(Déc_Dim1)=1,Déc_Dim1+17,Déc_Dim1+24)</f>
        <v>42361</v>
      </c>
      <c r="E6" s="14">
        <f>IF(DAY(Déc_Dim1)=1,Déc_Dim1+18,Déc_Dim1+25)</f>
        <v>42362</v>
      </c>
      <c r="F6" s="14">
        <f>IF(DAY(Déc_Dim1)=1,Déc_Dim1+19,Déc_Dim1+26)</f>
        <v>42363</v>
      </c>
      <c r="G6" s="14">
        <f>IF(DAY(Déc_Dim1)=1,Déc_Dim1+20,Déc_Dim1+27)</f>
        <v>42364</v>
      </c>
      <c r="H6" s="15">
        <f>IF(DAY(Déc_Dim1)=1,Déc_Dim1+21,Déc_Dim1+28)</f>
        <v>42365</v>
      </c>
      <c r="I6" s="8"/>
    </row>
    <row r="7" spans="1:9" ht="18.75" customHeight="1" x14ac:dyDescent="0.25">
      <c r="A7" s="3"/>
      <c r="B7" s="13">
        <f>IF(DAY(Déc_Dim1)=1,Déc_Dim1+22,Déc_Dim1+29)</f>
        <v>42366</v>
      </c>
      <c r="C7" s="14">
        <f>IF(DAY(Déc_Dim1)=1,Déc_Dim1+23,Déc_Dim1+30)</f>
        <v>42367</v>
      </c>
      <c r="D7" s="14">
        <f>IF(DAY(Déc_Dim1)=1,Déc_Dim1+24,Déc_Dim1+31)</f>
        <v>42368</v>
      </c>
      <c r="E7" s="14">
        <f>IF(DAY(Déc_Dim1)=1,Déc_Dim1+25,Déc_Dim1+32)</f>
        <v>42369</v>
      </c>
      <c r="F7" s="14">
        <f>IF(DAY(Déc_Dim1)=1,Déc_Dim1+26,Déc_Dim1+33)</f>
        <v>42370</v>
      </c>
      <c r="G7" s="14">
        <f>IF(DAY(Déc_Dim1)=1,Déc_Dim1+27,Déc_Dim1+34)</f>
        <v>42371</v>
      </c>
      <c r="H7" s="15">
        <f>IF(DAY(Déc_Dim1)=1,Déc_Dim1+28,Déc_Dim1+35)</f>
        <v>42372</v>
      </c>
      <c r="I7" s="8"/>
    </row>
    <row r="8" spans="1:9" ht="18" customHeight="1" x14ac:dyDescent="0.25">
      <c r="A8" s="3"/>
      <c r="B8" s="13">
        <f>IF(DAY(Déc_Dim1)=1,Déc_Dim1+29,Déc_Dim1+36)</f>
        <v>42373</v>
      </c>
      <c r="C8" s="14">
        <f>IF(DAY(Déc_Dim1)=1,Déc_Dim1+30,Déc_Dim1+37)</f>
        <v>42374</v>
      </c>
      <c r="D8" s="14">
        <f>IF(DAY(Déc_Dim1)=1,Déc_Dim1+31,Déc_Dim1+38)</f>
        <v>42375</v>
      </c>
      <c r="E8" s="14">
        <f>IF(DAY(Déc_Dim1)=1,Déc_Dim1+32,Déc_Dim1+39)</f>
        <v>42376</v>
      </c>
      <c r="F8" s="14">
        <f>IF(DAY(Déc_Dim1)=1,Déc_Dim1+33,Déc_Dim1+40)</f>
        <v>42377</v>
      </c>
      <c r="G8" s="14">
        <f>IF(DAY(Déc_Dim1)=1,Déc_Dim1+34,Déc_Dim1+41)</f>
        <v>42378</v>
      </c>
      <c r="H8" s="15">
        <f>IF(DAY(Déc_Dim1)=1,Déc_Dim1+35,Déc_Dim1+42)</f>
        <v>42379</v>
      </c>
      <c r="I8" s="8"/>
    </row>
    <row r="9" spans="1:9" ht="18" customHeight="1" thickBot="1" x14ac:dyDescent="0.3">
      <c r="A9" s="3"/>
      <c r="B9" s="9"/>
      <c r="C9" s="10"/>
      <c r="D9" s="10"/>
      <c r="E9" s="10"/>
      <c r="F9" s="10"/>
      <c r="G9" s="10"/>
      <c r="H9" s="11"/>
      <c r="I9" s="12"/>
    </row>
    <row r="10" spans="1:9" ht="16.5" customHeight="1" thickTop="1" x14ac:dyDescent="0.25"/>
  </sheetData>
  <mergeCells count="2">
    <mergeCell ref="B1:H1"/>
    <mergeCell ref="I1:I2"/>
  </mergeCells>
  <conditionalFormatting sqref="B3:G3">
    <cfRule type="expression" dxfId="2" priority="3" stopIfTrue="1">
      <formula>DAY(B3)&gt;8</formula>
    </cfRule>
  </conditionalFormatting>
  <conditionalFormatting sqref="B7:H9">
    <cfRule type="expression" dxfId="1" priority="2" stopIfTrue="1">
      <formula>AND(DAY(B7)&gt;=1,DAY(B7)&lt;=15)</formula>
    </cfRule>
  </conditionalFormatting>
  <conditionalFormatting sqref="B3:H8">
    <cfRule type="expression" dxfId="0" priority="4">
      <formula>VLOOKUP(DAY(B3),Jours_affectation,1,FALSE)=DAY(B3)</formula>
    </cfRule>
  </conditionalFormatting>
  <printOptions horizontalCentered="1"/>
  <pageMargins left="0.5" right="0.5" top="0.5" bottom="0.5" header="0.3" footer="0.3"/>
  <pageSetup scale="63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42A2AB2-C96A-4F1D-A896-B2666E5A28B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15</vt:i4>
      </vt:variant>
    </vt:vector>
  </HeadingPairs>
  <TitlesOfParts>
    <vt:vector size="29" baseType="lpstr">
      <vt:lpstr>Calendrier</vt:lpstr>
      <vt:lpstr>Heures bases Elodie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Année_Calendaire</vt:lpstr>
      <vt:lpstr>Août!Zone_d_impression</vt:lpstr>
      <vt:lpstr>Avril!Zone_d_impression</vt:lpstr>
      <vt:lpstr>Calendrier!Zone_d_impression</vt:lpstr>
      <vt:lpstr>Décembre!Zone_d_impression</vt:lpstr>
      <vt:lpstr>Février!Zone_d_impression</vt:lpstr>
      <vt:lpstr>'Heures bases Elodie'!Zone_d_impression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courthieu</dc:creator>
  <cp:keywords/>
  <cp:lastModifiedBy>denis courthieu</cp:lastModifiedBy>
  <cp:lastPrinted>2014-12-31T09:08:33Z</cp:lastPrinted>
  <dcterms:created xsi:type="dcterms:W3CDTF">2014-12-14T08:12:46Z</dcterms:created>
  <dcterms:modified xsi:type="dcterms:W3CDTF">2015-01-04T10:07:12Z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TC025512749991</vt:lpwstr>
  </property>
</Properties>
</file>