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ul\Desktop\IUT - GMP\Gestion des stocks\Haltere\"/>
    </mc:Choice>
  </mc:AlternateContent>
  <bookViews>
    <workbookView xWindow="0" yWindow="0" windowWidth="16170" windowHeight="9420" activeTab="3"/>
  </bookViews>
  <sheets>
    <sheet name="Données techniques" sheetId="5" r:id="rId1"/>
    <sheet name="Données ressources" sheetId="2" r:id="rId2"/>
    <sheet name="MRP" sheetId="3" r:id="rId3"/>
    <sheet name="OF &amp; OA" sheetId="4" r:id="rId4"/>
  </sheets>
  <calcPr calcId="152511"/>
</workbook>
</file>

<file path=xl/calcChain.xml><?xml version="1.0" encoding="utf-8"?>
<calcChain xmlns="http://schemas.openxmlformats.org/spreadsheetml/2006/main">
  <c r="AA10" i="3" l="1"/>
  <c r="Y10" i="3"/>
  <c r="W10" i="3"/>
  <c r="G10" i="3"/>
  <c r="Y11" i="3"/>
  <c r="AA11" i="3"/>
  <c r="Y12" i="3"/>
  <c r="AA12" i="3"/>
  <c r="AA13" i="3"/>
  <c r="AA16" i="3" s="1"/>
  <c r="Y17" i="3"/>
  <c r="AA17" i="3"/>
  <c r="Y18" i="3"/>
  <c r="AA18" i="3"/>
  <c r="Y19" i="3"/>
  <c r="AA19" i="3"/>
  <c r="Y23" i="3"/>
  <c r="AA23" i="3"/>
  <c r="Y24" i="3"/>
  <c r="AA24" i="3"/>
  <c r="Y25" i="3"/>
  <c r="AA25" i="3"/>
  <c r="Y29" i="3"/>
  <c r="AA29" i="3"/>
  <c r="Y30" i="3"/>
  <c r="AA30" i="3"/>
  <c r="AA31" i="3"/>
  <c r="Y35" i="3"/>
  <c r="AA35" i="3"/>
  <c r="Y36" i="3"/>
  <c r="AA36" i="3"/>
  <c r="AA37" i="3"/>
  <c r="Y41" i="3"/>
  <c r="AA41" i="3"/>
  <c r="Y42" i="3"/>
  <c r="AA42" i="3"/>
  <c r="AA43" i="3"/>
  <c r="Y47" i="3"/>
  <c r="AA47" i="3"/>
  <c r="Y48" i="3"/>
  <c r="AA48" i="3"/>
  <c r="AA49" i="3"/>
  <c r="Y53" i="3"/>
  <c r="AA53" i="3"/>
  <c r="Y54" i="3"/>
  <c r="AA54" i="3"/>
  <c r="AA55" i="3"/>
  <c r="Y59" i="3"/>
  <c r="AA59" i="3"/>
  <c r="Y60" i="3"/>
  <c r="AA60" i="3"/>
  <c r="AA61" i="3"/>
  <c r="AA22" i="3" l="1"/>
  <c r="AA28" i="3"/>
  <c r="AA58" i="3"/>
  <c r="AA46" i="3"/>
  <c r="AA34" i="3"/>
  <c r="AA52" i="3"/>
  <c r="AA40" i="3"/>
  <c r="F13" i="4" l="1"/>
  <c r="E13" i="4"/>
  <c r="D13" i="4"/>
  <c r="E12" i="4"/>
  <c r="D12" i="4"/>
  <c r="E11" i="4"/>
  <c r="D11" i="4"/>
  <c r="E63" i="3"/>
  <c r="E61" i="3"/>
  <c r="W60" i="3"/>
  <c r="U60" i="3"/>
  <c r="S60" i="3"/>
  <c r="Q60" i="3"/>
  <c r="O60" i="3"/>
  <c r="M60" i="3"/>
  <c r="K60" i="3"/>
  <c r="I60" i="3"/>
  <c r="G60" i="3"/>
  <c r="E60" i="3"/>
  <c r="W59" i="3"/>
  <c r="U59" i="3"/>
  <c r="S59" i="3"/>
  <c r="Q59" i="3"/>
  <c r="O59" i="3"/>
  <c r="M59" i="3"/>
  <c r="K59" i="3"/>
  <c r="I59" i="3"/>
  <c r="G59" i="3"/>
  <c r="E57" i="3"/>
  <c r="E55" i="3"/>
  <c r="W54" i="3"/>
  <c r="U54" i="3"/>
  <c r="S54" i="3"/>
  <c r="Q54" i="3"/>
  <c r="O54" i="3"/>
  <c r="M54" i="3"/>
  <c r="K54" i="3"/>
  <c r="I54" i="3"/>
  <c r="G54" i="3"/>
  <c r="E54" i="3"/>
  <c r="W53" i="3"/>
  <c r="U53" i="3"/>
  <c r="S53" i="3"/>
  <c r="Q53" i="3"/>
  <c r="O53" i="3"/>
  <c r="M53" i="3"/>
  <c r="K53" i="3"/>
  <c r="I53" i="3"/>
  <c r="G53" i="3"/>
  <c r="E53" i="3"/>
  <c r="E51" i="3"/>
  <c r="E49" i="3"/>
  <c r="W48" i="3"/>
  <c r="U48" i="3"/>
  <c r="S48" i="3"/>
  <c r="Q48" i="3"/>
  <c r="O48" i="3"/>
  <c r="M48" i="3"/>
  <c r="K48" i="3"/>
  <c r="I48" i="3"/>
  <c r="G48" i="3"/>
  <c r="E48" i="3"/>
  <c r="W47" i="3"/>
  <c r="U47" i="3"/>
  <c r="S47" i="3"/>
  <c r="Q47" i="3"/>
  <c r="O47" i="3"/>
  <c r="M47" i="3"/>
  <c r="K47" i="3"/>
  <c r="I47" i="3"/>
  <c r="G47" i="3"/>
  <c r="E45" i="3"/>
  <c r="E43" i="3"/>
  <c r="W42" i="3"/>
  <c r="U42" i="3"/>
  <c r="S42" i="3"/>
  <c r="Q42" i="3"/>
  <c r="O42" i="3"/>
  <c r="M42" i="3"/>
  <c r="K42" i="3"/>
  <c r="I42" i="3"/>
  <c r="G42" i="3"/>
  <c r="E42" i="3"/>
  <c r="W41" i="3"/>
  <c r="U41" i="3"/>
  <c r="S41" i="3"/>
  <c r="Q41" i="3"/>
  <c r="O41" i="3"/>
  <c r="M41" i="3"/>
  <c r="K41" i="3"/>
  <c r="I41" i="3"/>
  <c r="G41" i="3"/>
  <c r="E39" i="3"/>
  <c r="E37" i="3"/>
  <c r="W36" i="3"/>
  <c r="U36" i="3"/>
  <c r="S36" i="3"/>
  <c r="Q36" i="3"/>
  <c r="O36" i="3"/>
  <c r="M36" i="3"/>
  <c r="K36" i="3"/>
  <c r="I36" i="3"/>
  <c r="G36" i="3"/>
  <c r="W35" i="3"/>
  <c r="U35" i="3"/>
  <c r="S35" i="3"/>
  <c r="Q35" i="3"/>
  <c r="O35" i="3"/>
  <c r="M35" i="3"/>
  <c r="K35" i="3"/>
  <c r="I35" i="3"/>
  <c r="G35" i="3"/>
  <c r="E33" i="3"/>
  <c r="E31" i="3"/>
  <c r="W30" i="3"/>
  <c r="U30" i="3"/>
  <c r="S30" i="3"/>
  <c r="Q30" i="3"/>
  <c r="O30" i="3"/>
  <c r="M30" i="3"/>
  <c r="K30" i="3"/>
  <c r="I30" i="3"/>
  <c r="G30" i="3"/>
  <c r="E30" i="3"/>
  <c r="W29" i="3"/>
  <c r="U29" i="3"/>
  <c r="S29" i="3"/>
  <c r="Q29" i="3"/>
  <c r="O29" i="3"/>
  <c r="M29" i="3"/>
  <c r="K29" i="3"/>
  <c r="I29" i="3"/>
  <c r="G29" i="3"/>
  <c r="E29" i="3"/>
  <c r="E27" i="3"/>
  <c r="W25" i="3"/>
  <c r="E25" i="3"/>
  <c r="W24" i="3"/>
  <c r="U24" i="3"/>
  <c r="S24" i="3"/>
  <c r="Q24" i="3"/>
  <c r="O24" i="3"/>
  <c r="M24" i="3"/>
  <c r="K24" i="3"/>
  <c r="I24" i="3"/>
  <c r="G24" i="3"/>
  <c r="E24" i="3"/>
  <c r="W23" i="3"/>
  <c r="U23" i="3"/>
  <c r="S23" i="3"/>
  <c r="Q23" i="3"/>
  <c r="O23" i="3"/>
  <c r="M23" i="3"/>
  <c r="K23" i="3"/>
  <c r="I23" i="3"/>
  <c r="G23" i="3"/>
  <c r="E23" i="3"/>
  <c r="E21" i="3"/>
  <c r="E19" i="3"/>
  <c r="W18" i="3"/>
  <c r="U18" i="3"/>
  <c r="S18" i="3"/>
  <c r="Q18" i="3"/>
  <c r="O18" i="3"/>
  <c r="M18" i="3"/>
  <c r="K18" i="3"/>
  <c r="I18" i="3"/>
  <c r="G18" i="3"/>
  <c r="E18" i="3"/>
  <c r="W17" i="3"/>
  <c r="U17" i="3"/>
  <c r="S17" i="3"/>
  <c r="Q17" i="3"/>
  <c r="O17" i="3"/>
  <c r="M17" i="3"/>
  <c r="K17" i="3"/>
  <c r="I17" i="3"/>
  <c r="G17" i="3"/>
  <c r="E17" i="3"/>
  <c r="E15" i="3"/>
  <c r="W12" i="3"/>
  <c r="U12" i="3"/>
  <c r="S12" i="3"/>
  <c r="Q12" i="3"/>
  <c r="O12" i="3"/>
  <c r="I12" i="3"/>
  <c r="G12" i="3"/>
  <c r="W11" i="3"/>
  <c r="U11" i="3"/>
  <c r="S11" i="3"/>
  <c r="Q11" i="3"/>
  <c r="O11" i="3"/>
  <c r="I11" i="3"/>
  <c r="G11" i="3"/>
  <c r="H10" i="3" s="1"/>
  <c r="H11" i="3" s="1"/>
  <c r="H12" i="3" s="1"/>
  <c r="U10" i="3"/>
  <c r="S10" i="3"/>
  <c r="Q10" i="3"/>
  <c r="O10" i="3"/>
  <c r="M10" i="3"/>
  <c r="K10" i="3"/>
  <c r="I10" i="3"/>
  <c r="H13" i="3" l="1"/>
  <c r="J10" i="3" s="1"/>
  <c r="J12" i="3" l="1"/>
  <c r="G13" i="3" s="1"/>
  <c r="J13" i="3" l="1"/>
  <c r="L10" i="3" s="1"/>
  <c r="G22" i="3"/>
  <c r="H22" i="3" s="1"/>
  <c r="G16" i="3"/>
  <c r="H16" i="3" s="1"/>
  <c r="I13" i="3" l="1"/>
  <c r="H17" i="3"/>
  <c r="H18" i="3" s="1"/>
  <c r="H19" i="3" s="1"/>
  <c r="H23" i="3"/>
  <c r="H24" i="3" s="1"/>
  <c r="H25" i="3" s="1"/>
  <c r="I22" i="3" l="1"/>
  <c r="J22" i="3" s="1"/>
  <c r="I16" i="3"/>
  <c r="J16" i="3" s="1"/>
  <c r="N10" i="3"/>
  <c r="J17" i="3" l="1"/>
  <c r="J18" i="3" s="1"/>
  <c r="J19" i="3" s="1"/>
  <c r="J23" i="3"/>
  <c r="J24" i="3" s="1"/>
  <c r="J25" i="3" s="1"/>
  <c r="N11" i="3"/>
  <c r="N12" i="3" s="1"/>
  <c r="K22" i="3" l="1"/>
  <c r="L22" i="3" s="1"/>
  <c r="N13" i="3"/>
  <c r="P10" i="3" s="1"/>
  <c r="L17" i="3" l="1"/>
  <c r="L18" i="3" s="1"/>
  <c r="G19" i="3" s="1"/>
  <c r="L23" i="3"/>
  <c r="L24" i="3" s="1"/>
  <c r="L25" i="3" s="1"/>
  <c r="P11" i="3"/>
  <c r="P12" i="3" s="1"/>
  <c r="M22" i="3" l="1"/>
  <c r="N22" i="3" s="1"/>
  <c r="P13" i="3"/>
  <c r="R10" i="3" s="1"/>
  <c r="L19" i="3"/>
  <c r="N23" i="3" l="1"/>
  <c r="N24" i="3" s="1"/>
  <c r="G25" i="3" s="1"/>
  <c r="R11" i="3"/>
  <c r="R12" i="3" s="1"/>
  <c r="O13" i="3" s="1"/>
  <c r="N16" i="3"/>
  <c r="O22" i="3" l="1"/>
  <c r="O16" i="3"/>
  <c r="N17" i="3"/>
  <c r="N18" i="3" s="1"/>
  <c r="I19" i="3" s="1"/>
  <c r="R13" i="3"/>
  <c r="T10" i="3" s="1"/>
  <c r="N25" i="3"/>
  <c r="G40" i="3"/>
  <c r="H40" i="3" s="1"/>
  <c r="G58" i="3"/>
  <c r="H58" i="3" s="1"/>
  <c r="G52" i="3"/>
  <c r="H52" i="3" s="1"/>
  <c r="G28" i="3"/>
  <c r="H28" i="3" s="1"/>
  <c r="G46" i="3"/>
  <c r="H46" i="3" s="1"/>
  <c r="G34" i="3"/>
  <c r="H34" i="3" s="1"/>
  <c r="P22" i="3" l="1"/>
  <c r="P23" i="3" s="1"/>
  <c r="P24" i="3" s="1"/>
  <c r="I25" i="3" s="1"/>
  <c r="N19" i="3"/>
  <c r="P16" i="3" s="1"/>
  <c r="P17" i="3" s="1"/>
  <c r="P18" i="3" s="1"/>
  <c r="K19" i="3" s="1"/>
  <c r="H35" i="3"/>
  <c r="H36" i="3" s="1"/>
  <c r="H59" i="3"/>
  <c r="H60" i="3" s="1"/>
  <c r="H61" i="3" s="1"/>
  <c r="H41" i="3"/>
  <c r="H42" i="3" s="1"/>
  <c r="H43" i="3" s="1"/>
  <c r="H47" i="3"/>
  <c r="H48" i="3" s="1"/>
  <c r="H49" i="3" s="1"/>
  <c r="H29" i="3"/>
  <c r="H30" i="3" s="1"/>
  <c r="H31" i="3" s="1"/>
  <c r="H53" i="3"/>
  <c r="H54" i="3" s="1"/>
  <c r="H55" i="3" s="1"/>
  <c r="T11" i="3"/>
  <c r="T12" i="3" s="1"/>
  <c r="Q13" i="3" s="1"/>
  <c r="H37" i="3" l="1"/>
  <c r="F12" i="4" s="1"/>
  <c r="F11" i="4"/>
  <c r="Q22" i="3"/>
  <c r="Q16" i="3"/>
  <c r="I46" i="3"/>
  <c r="J46" i="3" s="1"/>
  <c r="I58" i="3"/>
  <c r="J58" i="3" s="1"/>
  <c r="I52" i="3"/>
  <c r="J52" i="3" s="1"/>
  <c r="I40" i="3"/>
  <c r="J40" i="3" s="1"/>
  <c r="I28" i="3"/>
  <c r="J28" i="3" s="1"/>
  <c r="I34" i="3"/>
  <c r="P19" i="3"/>
  <c r="T13" i="3"/>
  <c r="V10" i="3" s="1"/>
  <c r="P25" i="3"/>
  <c r="J34" i="3" l="1"/>
  <c r="J35" i="3" s="1"/>
  <c r="J36" i="3" s="1"/>
  <c r="G37" i="3" s="1"/>
  <c r="R16" i="3"/>
  <c r="R17" i="3" s="1"/>
  <c r="R18" i="3" s="1"/>
  <c r="M19" i="3" s="1"/>
  <c r="R22" i="3"/>
  <c r="R23" i="3" s="1"/>
  <c r="R24" i="3" s="1"/>
  <c r="K25" i="3" s="1"/>
  <c r="J59" i="3"/>
  <c r="J60" i="3" s="1"/>
  <c r="G61" i="3" s="1"/>
  <c r="J29" i="3"/>
  <c r="J30" i="3" s="1"/>
  <c r="G31" i="3" s="1"/>
  <c r="V11" i="3"/>
  <c r="V12" i="3" s="1"/>
  <c r="S13" i="3" s="1"/>
  <c r="J47" i="3"/>
  <c r="J48" i="3" s="1"/>
  <c r="G49" i="3" s="1"/>
  <c r="J41" i="3"/>
  <c r="J42" i="3" s="1"/>
  <c r="G43" i="3" s="1"/>
  <c r="J53" i="3"/>
  <c r="J54" i="3" s="1"/>
  <c r="G55" i="3" s="1"/>
  <c r="V13" i="3" l="1"/>
  <c r="X10" i="3" s="1"/>
  <c r="X11" i="3" s="1"/>
  <c r="X12" i="3" s="1"/>
  <c r="U13" i="3" s="1"/>
  <c r="R25" i="3"/>
  <c r="J49" i="3"/>
  <c r="J55" i="3"/>
  <c r="J37" i="3"/>
  <c r="K40" i="3"/>
  <c r="K58" i="3"/>
  <c r="K52" i="3"/>
  <c r="K34" i="3"/>
  <c r="L34" i="3" s="1"/>
  <c r="K28" i="3"/>
  <c r="K46" i="3"/>
  <c r="L46" i="3" s="1"/>
  <c r="J43" i="3"/>
  <c r="S22" i="3"/>
  <c r="S16" i="3"/>
  <c r="R19" i="3"/>
  <c r="J31" i="3"/>
  <c r="J61" i="3"/>
  <c r="T22" i="3" l="1"/>
  <c r="T23" i="3" s="1"/>
  <c r="T24" i="3" s="1"/>
  <c r="M25" i="3" s="1"/>
  <c r="L58" i="3"/>
  <c r="L59" i="3" s="1"/>
  <c r="L60" i="3" s="1"/>
  <c r="I61" i="3" s="1"/>
  <c r="X13" i="3"/>
  <c r="Z10" i="3" s="1"/>
  <c r="L35" i="3"/>
  <c r="L36" i="3" s="1"/>
  <c r="I37" i="3" s="1"/>
  <c r="L47" i="3"/>
  <c r="L48" i="3" s="1"/>
  <c r="I49" i="3" s="1"/>
  <c r="T16" i="3"/>
  <c r="L28" i="3"/>
  <c r="U22" i="3"/>
  <c r="U16" i="3"/>
  <c r="L40" i="3"/>
  <c r="L52" i="3"/>
  <c r="Z11" i="3" l="1"/>
  <c r="Z12" i="3" s="1"/>
  <c r="Z13" i="3" s="1"/>
  <c r="AB10" i="3" s="1"/>
  <c r="L41" i="3"/>
  <c r="L42" i="3" s="1"/>
  <c r="I43" i="3" s="1"/>
  <c r="L53" i="3"/>
  <c r="L54" i="3" s="1"/>
  <c r="I55" i="3" s="1"/>
  <c r="L37" i="3"/>
  <c r="L29" i="3"/>
  <c r="L30" i="3" s="1"/>
  <c r="I31" i="3" s="1"/>
  <c r="M46" i="3"/>
  <c r="M58" i="3"/>
  <c r="M52" i="3"/>
  <c r="M34" i="3"/>
  <c r="M40" i="3"/>
  <c r="M28" i="3"/>
  <c r="T17" i="3"/>
  <c r="T18" i="3" s="1"/>
  <c r="O19" i="3" s="1"/>
  <c r="L61" i="3"/>
  <c r="L49" i="3"/>
  <c r="T25" i="3"/>
  <c r="V22" i="3" s="1"/>
  <c r="W13" i="3" l="1"/>
  <c r="W22" i="3" s="1"/>
  <c r="AB11" i="3"/>
  <c r="AB12" i="3" s="1"/>
  <c r="Y13" i="3" s="1"/>
  <c r="N46" i="3"/>
  <c r="N47" i="3" s="1"/>
  <c r="N48" i="3" s="1"/>
  <c r="K49" i="3" s="1"/>
  <c r="N58" i="3"/>
  <c r="N59" i="3" s="1"/>
  <c r="N60" i="3" s="1"/>
  <c r="K61" i="3" s="1"/>
  <c r="T19" i="3"/>
  <c r="V16" i="3" s="1"/>
  <c r="V17" i="3" s="1"/>
  <c r="V18" i="3" s="1"/>
  <c r="Q19" i="3" s="1"/>
  <c r="L31" i="3"/>
  <c r="N28" i="3" s="1"/>
  <c r="N29" i="3" s="1"/>
  <c r="N30" i="3" s="1"/>
  <c r="K31" i="3" s="1"/>
  <c r="L55" i="3"/>
  <c r="V23" i="3"/>
  <c r="V24" i="3" s="1"/>
  <c r="O25" i="3" s="1"/>
  <c r="N34" i="3"/>
  <c r="L43" i="3"/>
  <c r="W16" i="3" l="1"/>
  <c r="AB13" i="3"/>
  <c r="Y16" i="3"/>
  <c r="Y22" i="3"/>
  <c r="Y34" i="3"/>
  <c r="Y40" i="3"/>
  <c r="Y52" i="3"/>
  <c r="Y28" i="3"/>
  <c r="Y46" i="3"/>
  <c r="Y58" i="3"/>
  <c r="N31" i="3"/>
  <c r="V25" i="3"/>
  <c r="X22" i="3" s="1"/>
  <c r="V19" i="3"/>
  <c r="N49" i="3"/>
  <c r="N35" i="3"/>
  <c r="N36" i="3" s="1"/>
  <c r="K37" i="3" s="1"/>
  <c r="N52" i="3"/>
  <c r="N40" i="3"/>
  <c r="O40" i="3"/>
  <c r="O58" i="3"/>
  <c r="O52" i="3"/>
  <c r="O34" i="3"/>
  <c r="O28" i="3"/>
  <c r="O46" i="3"/>
  <c r="X23" i="3"/>
  <c r="X24" i="3" s="1"/>
  <c r="Q25" i="3" s="1"/>
  <c r="N61" i="3"/>
  <c r="X16" i="3" l="1"/>
  <c r="X17" i="3" s="1"/>
  <c r="X18" i="3" s="1"/>
  <c r="S19" i="3" s="1"/>
  <c r="P46" i="3"/>
  <c r="P47" i="3" s="1"/>
  <c r="P48" i="3" s="1"/>
  <c r="M49" i="3" s="1"/>
  <c r="P28" i="3"/>
  <c r="P29" i="3" s="1"/>
  <c r="P30" i="3" s="1"/>
  <c r="M31" i="3" s="1"/>
  <c r="X25" i="3"/>
  <c r="Z22" i="3" s="1"/>
  <c r="N53" i="3"/>
  <c r="N54" i="3" s="1"/>
  <c r="K55" i="3" s="1"/>
  <c r="P58" i="3"/>
  <c r="Q46" i="3"/>
  <c r="Q58" i="3"/>
  <c r="Q52" i="3"/>
  <c r="Q34" i="3"/>
  <c r="Q40" i="3"/>
  <c r="Q28" i="3"/>
  <c r="N41" i="3"/>
  <c r="N42" i="3" s="1"/>
  <c r="K43" i="3" s="1"/>
  <c r="N37" i="3"/>
  <c r="P34" i="3" s="1"/>
  <c r="X19" i="3" l="1"/>
  <c r="Z16" i="3" s="1"/>
  <c r="Z17" i="3" s="1"/>
  <c r="Z18" i="3" s="1"/>
  <c r="U19" i="3" s="1"/>
  <c r="Z23" i="3"/>
  <c r="Z24" i="3" s="1"/>
  <c r="S25" i="3" s="1"/>
  <c r="P49" i="3"/>
  <c r="R46" i="3" s="1"/>
  <c r="R47" i="3" s="1"/>
  <c r="R48" i="3" s="1"/>
  <c r="O49" i="3" s="1"/>
  <c r="N55" i="3"/>
  <c r="P59" i="3"/>
  <c r="P60" i="3" s="1"/>
  <c r="M61" i="3" s="1"/>
  <c r="P35" i="3"/>
  <c r="P36" i="3" s="1"/>
  <c r="M37" i="3" s="1"/>
  <c r="N43" i="3"/>
  <c r="P31" i="3"/>
  <c r="R28" i="3" s="1"/>
  <c r="Z19" i="3" l="1"/>
  <c r="AB16" i="3" s="1"/>
  <c r="Z25" i="3"/>
  <c r="AB22" i="3" s="1"/>
  <c r="S52" i="3"/>
  <c r="S28" i="3"/>
  <c r="S40" i="3"/>
  <c r="S58" i="3"/>
  <c r="S46" i="3"/>
  <c r="S34" i="3"/>
  <c r="P61" i="3"/>
  <c r="R58" i="3" s="1"/>
  <c r="R59" i="3" s="1"/>
  <c r="R60" i="3" s="1"/>
  <c r="O61" i="3" s="1"/>
  <c r="P40" i="3"/>
  <c r="P52" i="3"/>
  <c r="R29" i="3"/>
  <c r="R30" i="3" s="1"/>
  <c r="O31" i="3" s="1"/>
  <c r="R49" i="3"/>
  <c r="P37" i="3"/>
  <c r="R34" i="3" s="1"/>
  <c r="AB23" i="3" l="1"/>
  <c r="AB24" i="3" s="1"/>
  <c r="U25" i="3" s="1"/>
  <c r="T46" i="3"/>
  <c r="T47" i="3" s="1"/>
  <c r="T48" i="3" s="1"/>
  <c r="Q49" i="3" s="1"/>
  <c r="AB17" i="3"/>
  <c r="AB18" i="3" s="1"/>
  <c r="W19" i="3" s="1"/>
  <c r="R61" i="3"/>
  <c r="T58" i="3" s="1"/>
  <c r="T59" i="3" s="1"/>
  <c r="T60" i="3" s="1"/>
  <c r="Q61" i="3" s="1"/>
  <c r="R35" i="3"/>
  <c r="R36" i="3" s="1"/>
  <c r="O37" i="3" s="1"/>
  <c r="R31" i="3"/>
  <c r="T28" i="3" s="1"/>
  <c r="P53" i="3"/>
  <c r="P54" i="3" s="1"/>
  <c r="M55" i="3" s="1"/>
  <c r="P41" i="3"/>
  <c r="P42" i="3" s="1"/>
  <c r="M43" i="3" s="1"/>
  <c r="AB19" i="3" l="1"/>
  <c r="W34" i="3"/>
  <c r="W58" i="3"/>
  <c r="W28" i="3"/>
  <c r="W46" i="3"/>
  <c r="W40" i="3"/>
  <c r="W52" i="3"/>
  <c r="AB25" i="3"/>
  <c r="U28" i="3"/>
  <c r="U40" i="3"/>
  <c r="U58" i="3"/>
  <c r="U34" i="3"/>
  <c r="U52" i="3"/>
  <c r="U46" i="3"/>
  <c r="T49" i="3"/>
  <c r="R37" i="3"/>
  <c r="T34" i="3" s="1"/>
  <c r="P43" i="3"/>
  <c r="P55" i="3"/>
  <c r="T61" i="3"/>
  <c r="T29" i="3"/>
  <c r="T30" i="3" s="1"/>
  <c r="Q31" i="3" s="1"/>
  <c r="V58" i="3" l="1"/>
  <c r="V59" i="3" s="1"/>
  <c r="V60" i="3" s="1"/>
  <c r="S61" i="3" s="1"/>
  <c r="V46" i="3"/>
  <c r="V47" i="3" s="1"/>
  <c r="V48" i="3" s="1"/>
  <c r="S49" i="3" s="1"/>
  <c r="T35" i="3"/>
  <c r="T36" i="3" s="1"/>
  <c r="Q37" i="3" s="1"/>
  <c r="R52" i="3"/>
  <c r="R40" i="3"/>
  <c r="T31" i="3"/>
  <c r="V28" i="3" s="1"/>
  <c r="V29" i="3" l="1"/>
  <c r="V30" i="3" s="1"/>
  <c r="S31" i="3" s="1"/>
  <c r="T37" i="3"/>
  <c r="V34" i="3" s="1"/>
  <c r="R41" i="3"/>
  <c r="R42" i="3" s="1"/>
  <c r="O43" i="3" s="1"/>
  <c r="V49" i="3"/>
  <c r="X46" i="3" s="1"/>
  <c r="R53" i="3"/>
  <c r="R54" i="3" s="1"/>
  <c r="O55" i="3" s="1"/>
  <c r="V61" i="3"/>
  <c r="X58" i="3" s="1"/>
  <c r="R55" i="3" l="1"/>
  <c r="V35" i="3"/>
  <c r="V36" i="3" s="1"/>
  <c r="S37" i="3" s="1"/>
  <c r="X47" i="3"/>
  <c r="X48" i="3" s="1"/>
  <c r="U49" i="3" s="1"/>
  <c r="V31" i="3"/>
  <c r="X28" i="3" s="1"/>
  <c r="X59" i="3"/>
  <c r="X60" i="3" s="1"/>
  <c r="U61" i="3" s="1"/>
  <c r="R43" i="3"/>
  <c r="X61" i="3" l="1"/>
  <c r="Z58" i="3" s="1"/>
  <c r="X49" i="3"/>
  <c r="Z46" i="3" s="1"/>
  <c r="X29" i="3"/>
  <c r="X30" i="3" s="1"/>
  <c r="U31" i="3" s="1"/>
  <c r="V37" i="3"/>
  <c r="X34" i="3" s="1"/>
  <c r="T40" i="3"/>
  <c r="T52" i="3"/>
  <c r="Z47" i="3" l="1"/>
  <c r="Z48" i="3" s="1"/>
  <c r="W49" i="3" s="1"/>
  <c r="Z59" i="3"/>
  <c r="Z60" i="3" s="1"/>
  <c r="W61" i="3" s="1"/>
  <c r="X31" i="3"/>
  <c r="Z28" i="3" s="1"/>
  <c r="T41" i="3"/>
  <c r="T42" i="3" s="1"/>
  <c r="Q43" i="3" s="1"/>
  <c r="T53" i="3"/>
  <c r="T54" i="3" s="1"/>
  <c r="Q55" i="3" s="1"/>
  <c r="X35" i="3"/>
  <c r="X36" i="3" s="1"/>
  <c r="U37" i="3" s="1"/>
  <c r="Z61" i="3" l="1"/>
  <c r="AB58" i="3" s="1"/>
  <c r="Z49" i="3"/>
  <c r="AB46" i="3" s="1"/>
  <c r="Z29" i="3"/>
  <c r="Z30" i="3" s="1"/>
  <c r="W31" i="3" s="1"/>
  <c r="X37" i="3"/>
  <c r="Z34" i="3" s="1"/>
  <c r="T55" i="3"/>
  <c r="T43" i="3"/>
  <c r="Z31" i="3" l="1"/>
  <c r="AB28" i="3" s="1"/>
  <c r="AB29" i="3" s="1"/>
  <c r="AB30" i="3" s="1"/>
  <c r="Y31" i="3" s="1"/>
  <c r="AB47" i="3"/>
  <c r="AB48" i="3" s="1"/>
  <c r="Y49" i="3" s="1"/>
  <c r="Z35" i="3"/>
  <c r="Z36" i="3" s="1"/>
  <c r="W37" i="3" s="1"/>
  <c r="AB59" i="3"/>
  <c r="AB60" i="3" s="1"/>
  <c r="Y61" i="3" s="1"/>
  <c r="V52" i="3"/>
  <c r="V40" i="3"/>
  <c r="AB61" i="3" l="1"/>
  <c r="AB49" i="3"/>
  <c r="Z37" i="3"/>
  <c r="AB34" i="3" s="1"/>
  <c r="AB31" i="3"/>
  <c r="V41" i="3"/>
  <c r="V42" i="3" s="1"/>
  <c r="S43" i="3" s="1"/>
  <c r="V53" i="3"/>
  <c r="V54" i="3" s="1"/>
  <c r="S55" i="3" s="1"/>
  <c r="AB35" i="3" l="1"/>
  <c r="AB36" i="3" s="1"/>
  <c r="Y37" i="3" s="1"/>
  <c r="V43" i="3"/>
  <c r="V55" i="3"/>
  <c r="AB37" i="3" l="1"/>
  <c r="X40" i="3"/>
  <c r="X52" i="3"/>
  <c r="X53" i="3" l="1"/>
  <c r="X54" i="3" s="1"/>
  <c r="U55" i="3" s="1"/>
  <c r="X41" i="3"/>
  <c r="X42" i="3" s="1"/>
  <c r="U43" i="3" s="1"/>
  <c r="X43" i="3" l="1"/>
  <c r="X55" i="3"/>
  <c r="Z40" i="3" l="1"/>
  <c r="Z52" i="3"/>
  <c r="Z53" i="3" l="1"/>
  <c r="Z54" i="3" s="1"/>
  <c r="W55" i="3" s="1"/>
  <c r="Z41" i="3"/>
  <c r="Z42" i="3" s="1"/>
  <c r="W43" i="3" s="1"/>
  <c r="Z55" i="3" l="1"/>
  <c r="Z43" i="3"/>
  <c r="AB40" i="3" l="1"/>
  <c r="AB52" i="3"/>
  <c r="AB53" i="3" l="1"/>
  <c r="AB54" i="3" s="1"/>
  <c r="Y55" i="3" s="1"/>
  <c r="AB41" i="3"/>
  <c r="AB42" i="3" s="1"/>
  <c r="Y43" i="3" s="1"/>
  <c r="AB55" i="3" l="1"/>
  <c r="AB43" i="3"/>
</calcChain>
</file>

<file path=xl/sharedStrings.xml><?xml version="1.0" encoding="utf-8"?>
<sst xmlns="http://schemas.openxmlformats.org/spreadsheetml/2006/main" count="528" uniqueCount="109">
  <si>
    <t>A</t>
  </si>
  <si>
    <t xml:space="preserve">Semaine </t>
  </si>
  <si>
    <t>Article</t>
  </si>
  <si>
    <t>Delais (s)</t>
  </si>
  <si>
    <t>Stock initial</t>
  </si>
  <si>
    <t xml:space="preserve">Stock de sécurité </t>
  </si>
  <si>
    <t>Règle de gestion</t>
  </si>
  <si>
    <t xml:space="preserve">Taille de lot </t>
  </si>
  <si>
    <t xml:space="preserve">Type d'article </t>
  </si>
  <si>
    <t xml:space="preserve">% Rebut </t>
  </si>
  <si>
    <t xml:space="preserve">% Pertes </t>
  </si>
  <si>
    <t>F</t>
  </si>
  <si>
    <t>LFL</t>
  </si>
  <si>
    <t>LOT</t>
  </si>
  <si>
    <t>SEUIL</t>
  </si>
  <si>
    <t>RPl</t>
  </si>
  <si>
    <t>RP</t>
  </si>
  <si>
    <t>Réception prévue</t>
  </si>
  <si>
    <t>Nomenclature</t>
  </si>
  <si>
    <t>Stocks reservés</t>
  </si>
  <si>
    <t>Matrice des produits</t>
  </si>
  <si>
    <t>Composés</t>
  </si>
  <si>
    <t>Composants</t>
  </si>
  <si>
    <t>Periode (i)</t>
  </si>
  <si>
    <t>Code article</t>
  </si>
  <si>
    <t>Lot de gestion</t>
  </si>
  <si>
    <t>Type</t>
  </si>
  <si>
    <t>Delai</t>
  </si>
  <si>
    <t xml:space="preserve">Lot </t>
  </si>
  <si>
    <t>% Rebut</t>
  </si>
  <si>
    <t>% Perte</t>
  </si>
  <si>
    <t>Stock</t>
  </si>
  <si>
    <t>Stock de securité</t>
  </si>
  <si>
    <t>BB</t>
  </si>
  <si>
    <t>SR</t>
  </si>
  <si>
    <t>BN</t>
  </si>
  <si>
    <t>DPS</t>
  </si>
  <si>
    <t>Lot</t>
  </si>
  <si>
    <t>LP</t>
  </si>
  <si>
    <t>S</t>
  </si>
  <si>
    <t>Besoin Indépendant</t>
  </si>
  <si>
    <t>Rpl</t>
  </si>
  <si>
    <t>Lp</t>
  </si>
  <si>
    <t>Semaine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</si>
  <si>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</si>
  <si>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</si>
  <si>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</si>
  <si>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</si>
  <si>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</si>
  <si>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</si>
  <si>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</si>
  <si>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</si>
  <si>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</si>
  <si>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</si>
  <si>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</si>
  <si>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</si>
  <si>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</si>
  <si>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</si>
  <si>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</si>
  <si>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</si>
  <si>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</si>
  <si>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</si>
  <si>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</si>
  <si>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</si>
  <si>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</si>
  <si>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</si>
  <si>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</si>
  <si>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</si>
  <si>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</si>
  <si>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</si>
  <si>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</si>
  <si>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</si>
  <si>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</si>
  <si>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</si>
  <si>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</si>
  <si>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</si>
  <si>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</si>
  <si>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Haltere</t>
  </si>
  <si>
    <t>Axe</t>
  </si>
  <si>
    <t>Poids</t>
  </si>
  <si>
    <t>Etiré</t>
  </si>
  <si>
    <t>Acier</t>
  </si>
  <si>
    <t>Jonc</t>
  </si>
  <si>
    <t>Peinture</t>
  </si>
  <si>
    <t>Vernis</t>
  </si>
  <si>
    <t>Gaine</t>
  </si>
  <si>
    <t xml:space="preserve">LOT </t>
  </si>
  <si>
    <t>Halteres</t>
  </si>
  <si>
    <t xml:space="preserve">Poids </t>
  </si>
  <si>
    <t xml:space="preserve">Axe
</t>
  </si>
  <si>
    <t>Unité d'emploi</t>
  </si>
  <si>
    <t>Unité d'achat</t>
  </si>
  <si>
    <t>cm²</t>
  </si>
  <si>
    <t>Bombe</t>
  </si>
  <si>
    <t>Pot</t>
  </si>
  <si>
    <t>cm</t>
  </si>
  <si>
    <t>Barre de 6m</t>
  </si>
  <si>
    <t>mm</t>
  </si>
  <si>
    <t>Mini: 25m</t>
  </si>
  <si>
    <t>Barre de 3m</t>
  </si>
  <si>
    <t>unité</t>
  </si>
  <si>
    <t xml:space="preserve">Axe </t>
  </si>
  <si>
    <t xml:space="preserve">Etiré </t>
  </si>
  <si>
    <t xml:space="preserve">Gaine </t>
  </si>
  <si>
    <t xml:space="preserve">Jonc </t>
  </si>
  <si>
    <t>Unité</t>
  </si>
  <si>
    <t>Minimum 25m</t>
  </si>
  <si>
    <t>Ordres d'achat (OA)</t>
  </si>
  <si>
    <t>Ordres de fabrication (OF)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</si>
</sst>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Impact"/>
      <family val="2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C6EFC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7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5" borderId="0" applyNumberFormat="0" applyBorder="0" applyAlignment="0" applyProtection="0"/>
  </cellStyleXfs>
  <cellXfs count="207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3" fillId="5" borderId="14" xfId="2" applyBorder="1" applyAlignment="1">
      <alignment horizontal="center" vertical="center"/>
    </xf>
    <xf numFmtId="0" fontId="3" fillId="5" borderId="40" xfId="2" applyBorder="1" applyAlignment="1">
      <alignment horizontal="center"/>
    </xf>
    <xf numFmtId="0" fontId="3" fillId="5" borderId="34" xfId="2" applyBorder="1" applyAlignment="1">
      <alignment horizontal="center"/>
    </xf>
    <xf numFmtId="0" fontId="3" fillId="5" borderId="47" xfId="2" applyBorder="1" applyAlignment="1">
      <alignment horizontal="center"/>
    </xf>
    <xf numFmtId="0" fontId="3" fillId="5" borderId="45" xfId="2" applyBorder="1" applyAlignment="1">
      <alignment horizontal="center"/>
    </xf>
    <xf numFmtId="0" fontId="3" fillId="5" borderId="30" xfId="2" applyBorder="1" applyAlignment="1">
      <alignment horizontal="center"/>
    </xf>
    <xf numFmtId="0" fontId="3" fillId="5" borderId="7" xfId="2" applyBorder="1" applyAlignment="1">
      <alignment horizontal="center"/>
    </xf>
    <xf numFmtId="0" fontId="3" fillId="5" borderId="32" xfId="2" applyBorder="1" applyAlignment="1">
      <alignment horizontal="center"/>
    </xf>
    <xf numFmtId="0" fontId="3" fillId="5" borderId="21" xfId="2" applyBorder="1" applyAlignment="1">
      <alignment horizontal="center"/>
    </xf>
    <xf numFmtId="0" fontId="1" fillId="2" borderId="29" xfId="1" applyBorder="1"/>
    <xf numFmtId="0" fontId="1" fillId="2" borderId="30" xfId="1" applyBorder="1"/>
    <xf numFmtId="0" fontId="1" fillId="2" borderId="31" xfId="1" applyBorder="1"/>
    <xf numFmtId="0" fontId="1" fillId="2" borderId="32" xfId="1" applyBorder="1"/>
    <xf numFmtId="0" fontId="0" fillId="6" borderId="29" xfId="0" applyFill="1" applyBorder="1"/>
    <xf numFmtId="0" fontId="0" fillId="6" borderId="30" xfId="0" applyFill="1" applyBorder="1"/>
    <xf numFmtId="0" fontId="0" fillId="6" borderId="31" xfId="0" applyFill="1" applyBorder="1"/>
    <xf numFmtId="0" fontId="0" fillId="6" borderId="32" xfId="0" applyFill="1" applyBorder="1"/>
    <xf numFmtId="0" fontId="1" fillId="2" borderId="31" xfId="1" quotePrefix="1" applyBorder="1"/>
    <xf numFmtId="0" fontId="0" fillId="0" borderId="41" xfId="0" applyBorder="1" applyAlignment="1">
      <alignment horizontal="center" vertical="center"/>
    </xf>
    <xf numFmtId="0" fontId="3" fillId="5" borderId="32" xfId="2" applyBorder="1" applyAlignment="1">
      <alignment horizontal="center"/>
    </xf>
    <xf numFmtId="0" fontId="3" fillId="5" borderId="47" xfId="2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" fillId="2" borderId="46" xfId="1" applyBorder="1" applyAlignment="1"/>
    <xf numFmtId="0" fontId="1" fillId="2" borderId="36" xfId="1" applyBorder="1" applyAlignment="1"/>
    <xf numFmtId="0" fontId="1" fillId="2" borderId="35" xfId="1" applyBorder="1" applyAlignment="1"/>
    <xf numFmtId="0" fontId="1" fillId="7" borderId="47" xfId="1" applyFill="1" applyBorder="1" applyAlignment="1"/>
    <xf numFmtId="0" fontId="1" fillId="7" borderId="48" xfId="1" applyFill="1" applyBorder="1" applyAlignment="1"/>
    <xf numFmtId="0" fontId="1" fillId="7" borderId="42" xfId="1" applyFill="1" applyBorder="1" applyAlignment="1"/>
    <xf numFmtId="0" fontId="0" fillId="6" borderId="46" xfId="0" applyFill="1" applyBorder="1" applyAlignment="1"/>
    <xf numFmtId="0" fontId="0" fillId="7" borderId="47" xfId="0" applyFill="1" applyBorder="1" applyAlignment="1"/>
    <xf numFmtId="0" fontId="0" fillId="6" borderId="36" xfId="0" applyFill="1" applyBorder="1" applyAlignment="1"/>
    <xf numFmtId="0" fontId="0" fillId="7" borderId="48" xfId="0" applyFill="1" applyBorder="1" applyAlignment="1"/>
    <xf numFmtId="0" fontId="0" fillId="6" borderId="35" xfId="0" applyFill="1" applyBorder="1" applyAlignment="1"/>
    <xf numFmtId="0" fontId="0" fillId="7" borderId="42" xfId="0" applyFill="1" applyBorder="1" applyAlignment="1"/>
    <xf numFmtId="0" fontId="3" fillId="5" borderId="47" xfId="2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/>
    <xf numFmtId="0" fontId="0" fillId="0" borderId="30" xfId="0" applyBorder="1"/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10" borderId="55" xfId="0" applyFill="1" applyBorder="1"/>
    <xf numFmtId="0" fontId="0" fillId="10" borderId="53" xfId="0" applyFill="1" applyBorder="1"/>
    <xf numFmtId="0" fontId="0" fillId="10" borderId="54" xfId="0" applyFill="1" applyBorder="1"/>
    <xf numFmtId="0" fontId="0" fillId="10" borderId="64" xfId="0" applyFill="1" applyBorder="1"/>
    <xf numFmtId="0" fontId="0" fillId="10" borderId="18" xfId="0" applyFill="1" applyBorder="1"/>
    <xf numFmtId="0" fontId="0" fillId="10" borderId="65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7" xfId="0" applyFill="1" applyBorder="1"/>
    <xf numFmtId="0" fontId="0" fillId="6" borderId="2" xfId="0" applyFill="1" applyBorder="1"/>
    <xf numFmtId="0" fontId="0" fillId="10" borderId="1" xfId="0" applyFill="1" applyBorder="1"/>
    <xf numFmtId="0" fontId="2" fillId="11" borderId="0" xfId="0" applyFont="1" applyFill="1" applyBorder="1" applyAlignment="1">
      <alignment horizontal="center" vertical="center"/>
    </xf>
    <xf numFmtId="0" fontId="2" fillId="11" borderId="0" xfId="0" applyFont="1" applyFill="1"/>
    <xf numFmtId="0" fontId="0" fillId="6" borderId="6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57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0" fillId="12" borderId="16" xfId="0" applyFill="1" applyBorder="1"/>
    <xf numFmtId="0" fontId="0" fillId="12" borderId="17" xfId="0" applyFill="1" applyBorder="1"/>
    <xf numFmtId="0" fontId="0" fillId="12" borderId="19" xfId="0" applyFill="1" applyBorder="1"/>
    <xf numFmtId="0" fontId="0" fillId="12" borderId="58" xfId="0" applyFill="1" applyBorder="1"/>
    <xf numFmtId="0" fontId="0" fillId="12" borderId="59" xfId="0" applyFill="1" applyBorder="1"/>
    <xf numFmtId="0" fontId="0" fillId="12" borderId="15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/>
    </xf>
    <xf numFmtId="0" fontId="0" fillId="12" borderId="12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/>
    </xf>
    <xf numFmtId="0" fontId="0" fillId="13" borderId="31" xfId="0" applyFill="1" applyBorder="1" applyAlignment="1">
      <alignment horizontal="center"/>
    </xf>
    <xf numFmtId="0" fontId="0" fillId="13" borderId="29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0" borderId="69" xfId="0" applyFill="1" applyBorder="1"/>
    <xf numFmtId="0" fontId="0" fillId="10" borderId="70" xfId="0" applyFill="1" applyBorder="1" applyAlignment="1">
      <alignment horizontal="center" vertical="center"/>
    </xf>
    <xf numFmtId="0" fontId="0" fillId="10" borderId="71" xfId="0" applyFill="1" applyBorder="1" applyAlignment="1">
      <alignment horizontal="center" vertical="center"/>
    </xf>
    <xf numFmtId="0" fontId="0" fillId="10" borderId="72" xfId="0" applyFill="1" applyBorder="1" applyAlignment="1">
      <alignment horizontal="center" vertical="center"/>
    </xf>
    <xf numFmtId="0" fontId="0" fillId="10" borderId="73" xfId="0" applyFill="1" applyBorder="1"/>
    <xf numFmtId="0" fontId="0" fillId="10" borderId="74" xfId="0" applyFill="1" applyBorder="1"/>
    <xf numFmtId="0" fontId="0" fillId="10" borderId="75" xfId="0" applyFill="1" applyBorder="1"/>
    <xf numFmtId="0" fontId="0" fillId="6" borderId="37" xfId="0" applyFill="1" applyBorder="1"/>
    <xf numFmtId="0" fontId="0" fillId="6" borderId="33" xfId="0" applyFill="1" applyBorder="1"/>
    <xf numFmtId="0" fontId="0" fillId="6" borderId="38" xfId="0" applyFill="1" applyBorder="1"/>
    <xf numFmtId="0" fontId="0" fillId="6" borderId="34" xfId="0" applyFill="1" applyBorder="1"/>
    <xf numFmtId="0" fontId="0" fillId="9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0" borderId="60" xfId="0" applyBorder="1" applyAlignment="1">
      <alignment horizontal="center" vertical="center" textRotation="255" wrapText="1"/>
    </xf>
    <xf numFmtId="0" fontId="0" fillId="0" borderId="61" xfId="0" applyBorder="1" applyAlignment="1">
      <alignment horizontal="center" vertical="center" textRotation="255" wrapText="1"/>
    </xf>
    <xf numFmtId="0" fontId="0" fillId="0" borderId="62" xfId="0" applyBorder="1" applyAlignment="1">
      <alignment horizontal="center" vertical="center" textRotation="255" wrapText="1"/>
    </xf>
    <xf numFmtId="0" fontId="4" fillId="8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9" borderId="37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2" fillId="4" borderId="66" xfId="0" applyFont="1" applyFill="1" applyBorder="1" applyAlignment="1">
      <alignment horizontal="center" vertical="center"/>
    </xf>
    <xf numFmtId="0" fontId="2" fillId="4" borderId="67" xfId="0" applyFont="1" applyFill="1" applyBorder="1" applyAlignment="1">
      <alignment horizontal="center" vertical="center"/>
    </xf>
    <xf numFmtId="0" fontId="2" fillId="4" borderId="68" xfId="0" applyFont="1" applyFill="1" applyBorder="1" applyAlignment="1">
      <alignment horizontal="center" vertical="center"/>
    </xf>
    <xf numFmtId="0" fontId="0" fillId="9" borderId="47" xfId="0" applyFill="1" applyBorder="1" applyAlignment="1">
      <alignment horizontal="center" vertical="center"/>
    </xf>
    <xf numFmtId="0" fontId="0" fillId="9" borderId="52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wrapText="1"/>
    </xf>
    <xf numFmtId="0" fontId="0" fillId="0" borderId="23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3" fillId="5" borderId="43" xfId="2" applyBorder="1" applyAlignment="1">
      <alignment horizontal="center"/>
    </xf>
    <xf numFmtId="0" fontId="3" fillId="5" borderId="25" xfId="2" applyBorder="1" applyAlignment="1">
      <alignment horizontal="center"/>
    </xf>
    <xf numFmtId="0" fontId="3" fillId="5" borderId="27" xfId="2" applyBorder="1" applyAlignment="1">
      <alignment horizontal="center"/>
    </xf>
    <xf numFmtId="0" fontId="3" fillId="5" borderId="47" xfId="2" applyBorder="1" applyAlignment="1">
      <alignment horizontal="center"/>
    </xf>
    <xf numFmtId="0" fontId="3" fillId="5" borderId="42" xfId="2" applyBorder="1" applyAlignment="1">
      <alignment horizontal="center"/>
    </xf>
    <xf numFmtId="0" fontId="3" fillId="5" borderId="48" xfId="2" applyBorder="1" applyAlignment="1">
      <alignment horizontal="center"/>
    </xf>
    <xf numFmtId="0" fontId="3" fillId="5" borderId="23" xfId="2" applyBorder="1" applyAlignment="1">
      <alignment horizontal="center"/>
    </xf>
    <xf numFmtId="0" fontId="3" fillId="5" borderId="24" xfId="2" applyBorder="1" applyAlignment="1">
      <alignment horizontal="center"/>
    </xf>
    <xf numFmtId="0" fontId="3" fillId="5" borderId="33" xfId="2" applyBorder="1" applyAlignment="1">
      <alignment horizontal="center"/>
    </xf>
    <xf numFmtId="0" fontId="3" fillId="5" borderId="38" xfId="2" applyBorder="1" applyAlignment="1">
      <alignment horizontal="center"/>
    </xf>
    <xf numFmtId="0" fontId="3" fillId="5" borderId="29" xfId="2" applyBorder="1" applyAlignment="1">
      <alignment horizontal="center" vertical="center"/>
    </xf>
    <xf numFmtId="0" fontId="3" fillId="5" borderId="37" xfId="2" applyBorder="1" applyAlignment="1">
      <alignment horizontal="center" vertical="center"/>
    </xf>
    <xf numFmtId="0" fontId="3" fillId="5" borderId="30" xfId="2" applyBorder="1" applyAlignment="1">
      <alignment horizontal="center" vertical="center"/>
    </xf>
    <xf numFmtId="0" fontId="3" fillId="5" borderId="31" xfId="2" applyBorder="1" applyAlignment="1">
      <alignment horizontal="center" vertical="center"/>
    </xf>
    <xf numFmtId="0" fontId="3" fillId="5" borderId="2" xfId="2" applyBorder="1" applyAlignment="1">
      <alignment horizontal="center" vertical="center"/>
    </xf>
    <xf numFmtId="0" fontId="3" fillId="5" borderId="32" xfId="2" applyBorder="1" applyAlignment="1">
      <alignment horizontal="center" vertical="center"/>
    </xf>
    <xf numFmtId="0" fontId="0" fillId="6" borderId="31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3" fillId="5" borderId="43" xfId="2" applyBorder="1" applyAlignment="1">
      <alignment horizontal="center" vertical="center"/>
    </xf>
    <xf numFmtId="0" fontId="3" fillId="5" borderId="21" xfId="2" applyBorder="1" applyAlignment="1">
      <alignment horizontal="center" vertical="center"/>
    </xf>
    <xf numFmtId="0" fontId="3" fillId="5" borderId="44" xfId="2" applyBorder="1" applyAlignment="1">
      <alignment horizontal="center" vertical="center"/>
    </xf>
    <xf numFmtId="0" fontId="3" fillId="5" borderId="8" xfId="2" applyBorder="1" applyAlignment="1">
      <alignment horizontal="center" vertical="center"/>
    </xf>
    <xf numFmtId="0" fontId="1" fillId="2" borderId="33" xfId="1" applyBorder="1" applyAlignment="1">
      <alignment horizontal="center"/>
    </xf>
    <xf numFmtId="0" fontId="1" fillId="2" borderId="34" xfId="1" applyBorder="1" applyAlignment="1">
      <alignment horizontal="center"/>
    </xf>
    <xf numFmtId="0" fontId="0" fillId="6" borderId="29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1" fillId="2" borderId="29" xfId="1" applyBorder="1" applyAlignment="1">
      <alignment horizontal="center" vertical="center"/>
    </xf>
    <xf numFmtId="0" fontId="1" fillId="2" borderId="30" xfId="1" applyBorder="1" applyAlignment="1">
      <alignment horizontal="center" vertical="center"/>
    </xf>
    <xf numFmtId="0" fontId="1" fillId="2" borderId="31" xfId="1" applyBorder="1" applyAlignment="1">
      <alignment horizontal="center"/>
    </xf>
    <xf numFmtId="0" fontId="1" fillId="2" borderId="32" xfId="1" applyBorder="1" applyAlignment="1">
      <alignment horizontal="center"/>
    </xf>
    <xf numFmtId="0" fontId="3" fillId="5" borderId="13" xfId="2" applyBorder="1" applyAlignment="1">
      <alignment horizontal="center" vertical="center"/>
    </xf>
    <xf numFmtId="0" fontId="1" fillId="2" borderId="40" xfId="1" applyBorder="1" applyAlignment="1">
      <alignment horizontal="center"/>
    </xf>
    <xf numFmtId="0" fontId="1" fillId="2" borderId="13" xfId="1" applyBorder="1" applyAlignment="1">
      <alignment horizontal="center"/>
    </xf>
    <xf numFmtId="0" fontId="3" fillId="5" borderId="46" xfId="2" applyBorder="1" applyAlignment="1">
      <alignment horizontal="center"/>
    </xf>
    <xf numFmtId="0" fontId="3" fillId="5" borderId="14" xfId="2" applyBorder="1" applyAlignment="1">
      <alignment horizontal="center"/>
    </xf>
    <xf numFmtId="0" fontId="3" fillId="5" borderId="2" xfId="2" applyBorder="1" applyAlignment="1">
      <alignment horizontal="center"/>
    </xf>
    <xf numFmtId="0" fontId="3" fillId="5" borderId="32" xfId="2" applyBorder="1" applyAlignment="1">
      <alignment horizontal="center"/>
    </xf>
    <xf numFmtId="0" fontId="3" fillId="5" borderId="39" xfId="2" applyBorder="1" applyAlignment="1">
      <alignment horizontal="center" vertical="center"/>
    </xf>
    <xf numFmtId="0" fontId="1" fillId="2" borderId="39" xfId="1" applyBorder="1" applyAlignment="1">
      <alignment horizontal="center" vertical="center"/>
    </xf>
    <xf numFmtId="0" fontId="1" fillId="2" borderId="31" xfId="1" applyNumberFormat="1" applyBorder="1" applyAlignment="1">
      <alignment horizontal="center"/>
    </xf>
    <xf numFmtId="0" fontId="1" fillId="2" borderId="13" xfId="1" applyNumberFormat="1" applyBorder="1" applyAlignment="1">
      <alignment horizontal="center"/>
    </xf>
    <xf numFmtId="0" fontId="3" fillId="5" borderId="20" xfId="2" applyBorder="1" applyAlignment="1">
      <alignment horizontal="center"/>
    </xf>
    <xf numFmtId="0" fontId="3" fillId="5" borderId="22" xfId="2" applyBorder="1" applyAlignment="1">
      <alignment horizontal="center"/>
    </xf>
    <xf numFmtId="0" fontId="5" fillId="0" borderId="21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2" fillId="11" borderId="0" xfId="0" applyFont="1" applyFill="1" applyBorder="1" applyAlignment="1">
      <alignment horizontal="center"/>
    </xf>
    <xf numFmtId="0" fontId="2" fillId="11" borderId="26" xfId="0" applyFont="1" applyFill="1" applyBorder="1" applyAlignment="1">
      <alignment horizontal="center"/>
    </xf>
    <xf numFmtId="0" fontId="2" fillId="11" borderId="56" xfId="0" applyFont="1" applyFill="1" applyBorder="1" applyAlignment="1">
      <alignment horizontal="center"/>
    </xf>
    <xf numFmtId="0" fontId="2" fillId="11" borderId="28" xfId="0" applyFont="1" applyFill="1" applyBorder="1" applyAlignment="1">
      <alignment horizontal="center"/>
    </xf>
    <xf numFmtId="0" fontId="0" fillId="10" borderId="22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</cellXfs>
  <cellStyles count="3">
    <cellStyle name="Neutre" xfId="1" builtinId="2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408214</xdr:colOff>
      <xdr:row>24</xdr:row>
      <xdr:rowOff>0</xdr:rowOff>
    </xdr:from>
    <xdr:to>
      <xdr:col>40</xdr:col>
      <xdr:colOff>437030</xdr:colOff>
      <xdr:row>24</xdr:row>
      <xdr:rowOff>0</xdr:rowOff>
    </xdr:to>
    <xdr:cxnSp macro="">
      <xdr:nvCxnSpPr>
        <xdr:cNvPr id="2" name="Connecteur droit 1"/>
        <xdr:cNvCxnSpPr/>
      </xdr:nvCxnSpPr>
      <xdr:spPr>
        <a:xfrm>
          <a:off x="12857949" y="3922059"/>
          <a:ext cx="9934816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421821</xdr:colOff>
      <xdr:row>24</xdr:row>
      <xdr:rowOff>0</xdr:rowOff>
    </xdr:from>
    <xdr:to>
      <xdr:col>27</xdr:col>
      <xdr:colOff>421821</xdr:colOff>
      <xdr:row>24</xdr:row>
      <xdr:rowOff>176893</xdr:rowOff>
    </xdr:to>
    <xdr:cxnSp macro="">
      <xdr:nvCxnSpPr>
        <xdr:cNvPr id="3" name="Connecteur droit 2"/>
        <xdr:cNvCxnSpPr/>
      </xdr:nvCxnSpPr>
      <xdr:spPr>
        <a:xfrm>
          <a:off x="13947321" y="4171950"/>
          <a:ext cx="0" cy="17689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378397</xdr:colOff>
      <xdr:row>23</xdr:row>
      <xdr:rowOff>190500</xdr:rowOff>
    </xdr:from>
    <xdr:to>
      <xdr:col>33</xdr:col>
      <xdr:colOff>378397</xdr:colOff>
      <xdr:row>29</xdr:row>
      <xdr:rowOff>0</xdr:rowOff>
    </xdr:to>
    <xdr:cxnSp macro="">
      <xdr:nvCxnSpPr>
        <xdr:cNvPr id="4" name="Connecteur droit 3"/>
        <xdr:cNvCxnSpPr/>
      </xdr:nvCxnSpPr>
      <xdr:spPr>
        <a:xfrm>
          <a:off x="17400132" y="3910853"/>
          <a:ext cx="0" cy="101973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385397</xdr:colOff>
      <xdr:row>29</xdr:row>
      <xdr:rowOff>4396</xdr:rowOff>
    </xdr:from>
    <xdr:to>
      <xdr:col>33</xdr:col>
      <xdr:colOff>385397</xdr:colOff>
      <xdr:row>37</xdr:row>
      <xdr:rowOff>0</xdr:rowOff>
    </xdr:to>
    <xdr:cxnSp macro="">
      <xdr:nvCxnSpPr>
        <xdr:cNvPr id="8" name="Connecteur droit 7"/>
        <xdr:cNvCxnSpPr/>
      </xdr:nvCxnSpPr>
      <xdr:spPr>
        <a:xfrm>
          <a:off x="17911397" y="4943789"/>
          <a:ext cx="0" cy="12066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375440</xdr:colOff>
      <xdr:row>28</xdr:row>
      <xdr:rowOff>197827</xdr:rowOff>
    </xdr:from>
    <xdr:to>
      <xdr:col>38</xdr:col>
      <xdr:colOff>375440</xdr:colOff>
      <xdr:row>37</xdr:row>
      <xdr:rowOff>0</xdr:rowOff>
    </xdr:to>
    <xdr:cxnSp macro="">
      <xdr:nvCxnSpPr>
        <xdr:cNvPr id="9" name="Connecteur droit 8"/>
        <xdr:cNvCxnSpPr/>
      </xdr:nvCxnSpPr>
      <xdr:spPr>
        <a:xfrm>
          <a:off x="21207175" y="4926709"/>
          <a:ext cx="0" cy="120290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425910</xdr:colOff>
      <xdr:row>23</xdr:row>
      <xdr:rowOff>187571</xdr:rowOff>
    </xdr:from>
    <xdr:to>
      <xdr:col>40</xdr:col>
      <xdr:colOff>425910</xdr:colOff>
      <xdr:row>24</xdr:row>
      <xdr:rowOff>173964</xdr:rowOff>
    </xdr:to>
    <xdr:cxnSp macro="">
      <xdr:nvCxnSpPr>
        <xdr:cNvPr id="12" name="Connecteur droit 11"/>
        <xdr:cNvCxnSpPr/>
      </xdr:nvCxnSpPr>
      <xdr:spPr>
        <a:xfrm>
          <a:off x="22781645" y="3907924"/>
          <a:ext cx="0" cy="18809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392206</xdr:colOff>
      <xdr:row>28</xdr:row>
      <xdr:rowOff>186940</xdr:rowOff>
    </xdr:from>
    <xdr:to>
      <xdr:col>42</xdr:col>
      <xdr:colOff>414618</xdr:colOff>
      <xdr:row>28</xdr:row>
      <xdr:rowOff>186940</xdr:rowOff>
    </xdr:to>
    <xdr:cxnSp macro="">
      <xdr:nvCxnSpPr>
        <xdr:cNvPr id="14" name="Connecteur droit 13"/>
        <xdr:cNvCxnSpPr/>
      </xdr:nvCxnSpPr>
      <xdr:spPr>
        <a:xfrm>
          <a:off x="21223941" y="4915822"/>
          <a:ext cx="3070412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407167</xdr:colOff>
      <xdr:row>28</xdr:row>
      <xdr:rowOff>5233</xdr:rowOff>
    </xdr:from>
    <xdr:to>
      <xdr:col>27</xdr:col>
      <xdr:colOff>407167</xdr:colOff>
      <xdr:row>37</xdr:row>
      <xdr:rowOff>11206</xdr:rowOff>
    </xdr:to>
    <xdr:cxnSp macro="">
      <xdr:nvCxnSpPr>
        <xdr:cNvPr id="16" name="Connecteur droit 15"/>
        <xdr:cNvCxnSpPr/>
      </xdr:nvCxnSpPr>
      <xdr:spPr>
        <a:xfrm>
          <a:off x="12856902" y="4734115"/>
          <a:ext cx="0" cy="140670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411354</xdr:colOff>
      <xdr:row>27</xdr:row>
      <xdr:rowOff>188408</xdr:rowOff>
    </xdr:from>
    <xdr:to>
      <xdr:col>40</xdr:col>
      <xdr:colOff>411354</xdr:colOff>
      <xdr:row>29</xdr:row>
      <xdr:rowOff>0</xdr:rowOff>
    </xdr:to>
    <xdr:cxnSp macro="">
      <xdr:nvCxnSpPr>
        <xdr:cNvPr id="17" name="Connecteur droit 16"/>
        <xdr:cNvCxnSpPr/>
      </xdr:nvCxnSpPr>
      <xdr:spPr>
        <a:xfrm>
          <a:off x="22736489" y="4679812"/>
          <a:ext cx="0" cy="20724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6682</xdr:colOff>
      <xdr:row>32</xdr:row>
      <xdr:rowOff>112058</xdr:rowOff>
    </xdr:from>
    <xdr:to>
      <xdr:col>17</xdr:col>
      <xdr:colOff>224117</xdr:colOff>
      <xdr:row>32</xdr:row>
      <xdr:rowOff>116130</xdr:rowOff>
    </xdr:to>
    <xdr:cxnSp macro="">
      <xdr:nvCxnSpPr>
        <xdr:cNvPr id="19" name="Connecteur droit avec flèche 18"/>
        <xdr:cNvCxnSpPr/>
      </xdr:nvCxnSpPr>
      <xdr:spPr>
        <a:xfrm flipV="1">
          <a:off x="4298535" y="6443382"/>
          <a:ext cx="4195523" cy="40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918882</xdr:colOff>
      <xdr:row>38</xdr:row>
      <xdr:rowOff>22412</xdr:rowOff>
    </xdr:from>
    <xdr:to>
      <xdr:col>1</xdr:col>
      <xdr:colOff>930088</xdr:colOff>
      <xdr:row>47</xdr:row>
      <xdr:rowOff>100853</xdr:rowOff>
    </xdr:to>
    <xdr:cxnSp macro="">
      <xdr:nvCxnSpPr>
        <xdr:cNvPr id="20" name="Connecteur droit avec flèche 19"/>
        <xdr:cNvCxnSpPr/>
      </xdr:nvCxnSpPr>
      <xdr:spPr>
        <a:xfrm flipH="1">
          <a:off x="1680882" y="7519147"/>
          <a:ext cx="11206" cy="17929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420264</xdr:colOff>
      <xdr:row>28</xdr:row>
      <xdr:rowOff>196706</xdr:rowOff>
    </xdr:from>
    <xdr:to>
      <xdr:col>42</xdr:col>
      <xdr:colOff>420264</xdr:colOff>
      <xdr:row>36</xdr:row>
      <xdr:rowOff>190500</xdr:rowOff>
    </xdr:to>
    <xdr:cxnSp macro="">
      <xdr:nvCxnSpPr>
        <xdr:cNvPr id="25" name="Connecteur droit 24"/>
        <xdr:cNvCxnSpPr/>
      </xdr:nvCxnSpPr>
      <xdr:spPr>
        <a:xfrm>
          <a:off x="24299999" y="4925588"/>
          <a:ext cx="0" cy="11928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396603</xdr:colOff>
      <xdr:row>24</xdr:row>
      <xdr:rowOff>0</xdr:rowOff>
    </xdr:from>
    <xdr:to>
      <xdr:col>31</xdr:col>
      <xdr:colOff>396603</xdr:colOff>
      <xdr:row>36</xdr:row>
      <xdr:rowOff>199305</xdr:rowOff>
    </xdr:to>
    <xdr:cxnSp macro="">
      <xdr:nvCxnSpPr>
        <xdr:cNvPr id="37" name="Connecteur droit 36"/>
        <xdr:cNvCxnSpPr/>
      </xdr:nvCxnSpPr>
      <xdr:spPr>
        <a:xfrm>
          <a:off x="15894338" y="3922059"/>
          <a:ext cx="0" cy="22051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392121</xdr:colOff>
      <xdr:row>23</xdr:row>
      <xdr:rowOff>197224</xdr:rowOff>
    </xdr:from>
    <xdr:to>
      <xdr:col>35</xdr:col>
      <xdr:colOff>392121</xdr:colOff>
      <xdr:row>36</xdr:row>
      <xdr:rowOff>194823</xdr:rowOff>
    </xdr:to>
    <xdr:cxnSp macro="">
      <xdr:nvCxnSpPr>
        <xdr:cNvPr id="39" name="Connecteur droit 38"/>
        <xdr:cNvCxnSpPr/>
      </xdr:nvCxnSpPr>
      <xdr:spPr>
        <a:xfrm>
          <a:off x="18937856" y="3917577"/>
          <a:ext cx="0" cy="22051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3</xdr:row>
          <xdr:rowOff>66675</xdr:rowOff>
        </xdr:from>
        <xdr:to>
          <xdr:col>3</xdr:col>
          <xdr:colOff>695325</xdr:colOff>
          <xdr:row>5</xdr:row>
          <xdr:rowOff>123825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0:AT52"/>
  <sheetViews>
    <sheetView topLeftCell="A9" zoomScale="70" zoomScaleNormal="70" workbookViewId="0">
      <selection activeCell="W42" sqref="W42"/>
    </sheetView>
  </sheetViews>
  <sheetFormatPr baseColWidth="10" defaultRowHeight="15" x14ac:dyDescent="0.25"/>
  <cols>
    <col min="2" max="2" width="17.7109375" customWidth="1"/>
    <col min="5" max="5" width="0.42578125" customWidth="1"/>
    <col min="6" max="6" width="11.42578125" customWidth="1"/>
    <col min="7" max="7" width="0.42578125" customWidth="1"/>
    <col min="9" max="9" width="0.42578125" customWidth="1"/>
    <col min="11" max="11" width="0.42578125" customWidth="1"/>
    <col min="13" max="13" width="0.42578125" customWidth="1"/>
    <col min="15" max="15" width="0.42578125" customWidth="1"/>
    <col min="17" max="17" width="0.42578125" customWidth="1"/>
    <col min="19" max="19" width="0.42578125" customWidth="1"/>
    <col min="20" max="20" width="11.42578125" customWidth="1"/>
    <col min="21" max="21" width="0.5703125" customWidth="1"/>
  </cols>
  <sheetData>
    <row r="10" spans="23:23" x14ac:dyDescent="0.25">
      <c r="W10" s="2"/>
    </row>
    <row r="11" spans="23:23" x14ac:dyDescent="0.25">
      <c r="W11" s="2"/>
    </row>
    <row r="12" spans="23:23" x14ac:dyDescent="0.25">
      <c r="W12" s="2"/>
    </row>
    <row r="15" spans="23:23" x14ac:dyDescent="0.25">
      <c r="W15" s="2"/>
    </row>
    <row r="16" spans="23:23" x14ac:dyDescent="0.25">
      <c r="W16" s="2"/>
    </row>
    <row r="18" spans="2:46" ht="15.75" thickBot="1" x14ac:dyDescent="0.3"/>
    <row r="19" spans="2:46" ht="16.5" thickTop="1" thickBot="1" x14ac:dyDescent="0.3">
      <c r="B19" s="85" t="s">
        <v>2</v>
      </c>
      <c r="C19" s="90" t="s">
        <v>77</v>
      </c>
      <c r="D19" s="91" t="s">
        <v>78</v>
      </c>
      <c r="E19" s="91"/>
      <c r="F19" s="91" t="s">
        <v>79</v>
      </c>
      <c r="G19" s="91"/>
      <c r="H19" s="91" t="s">
        <v>80</v>
      </c>
      <c r="I19" s="91"/>
      <c r="J19" s="92" t="s">
        <v>85</v>
      </c>
      <c r="K19" s="92"/>
      <c r="L19" s="91" t="s">
        <v>81</v>
      </c>
      <c r="M19" s="91"/>
      <c r="N19" s="91" t="s">
        <v>82</v>
      </c>
      <c r="O19" s="91"/>
      <c r="P19" s="91" t="s">
        <v>83</v>
      </c>
      <c r="Q19" s="91"/>
      <c r="R19" s="93" t="s">
        <v>84</v>
      </c>
      <c r="S19" s="29"/>
      <c r="Y19" s="131" t="s">
        <v>18</v>
      </c>
      <c r="Z19" s="132"/>
      <c r="AA19" s="132"/>
      <c r="AB19" s="132"/>
      <c r="AC19" s="132"/>
      <c r="AD19" s="132"/>
      <c r="AE19" s="132"/>
      <c r="AF19" s="132"/>
      <c r="AG19" s="132"/>
      <c r="AH19" s="132"/>
      <c r="AI19" s="132"/>
      <c r="AJ19" s="132"/>
      <c r="AK19" s="132"/>
      <c r="AL19" s="132"/>
      <c r="AM19" s="132"/>
      <c r="AN19" s="132"/>
      <c r="AO19" s="132"/>
      <c r="AP19" s="132"/>
      <c r="AQ19" s="132"/>
      <c r="AR19" s="132"/>
      <c r="AS19" s="132"/>
      <c r="AT19" s="133"/>
    </row>
    <row r="20" spans="2:46" ht="15.75" thickBot="1" x14ac:dyDescent="0.3">
      <c r="B20" s="86" t="s">
        <v>3</v>
      </c>
      <c r="C20" s="73">
        <v>1</v>
      </c>
      <c r="D20" s="74">
        <v>2</v>
      </c>
      <c r="E20" s="74"/>
      <c r="F20" s="74">
        <v>3</v>
      </c>
      <c r="G20" s="74"/>
      <c r="H20" s="74">
        <v>1</v>
      </c>
      <c r="I20" s="74"/>
      <c r="J20" s="75">
        <v>1</v>
      </c>
      <c r="K20" s="75"/>
      <c r="L20" s="74">
        <v>1</v>
      </c>
      <c r="M20" s="74"/>
      <c r="N20" s="74">
        <v>1</v>
      </c>
      <c r="O20" s="74"/>
      <c r="P20" s="74">
        <v>1</v>
      </c>
      <c r="Q20" s="74"/>
      <c r="R20" s="76">
        <v>1</v>
      </c>
      <c r="S20" s="29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</row>
    <row r="21" spans="2:46" ht="15.75" thickBot="1" x14ac:dyDescent="0.3">
      <c r="B21" s="86" t="s">
        <v>4</v>
      </c>
      <c r="C21" s="77"/>
      <c r="D21" s="78"/>
      <c r="E21" s="78"/>
      <c r="F21" s="78"/>
      <c r="G21" s="78"/>
      <c r="H21" s="78"/>
      <c r="I21" s="78"/>
      <c r="J21" s="79"/>
      <c r="K21" s="79"/>
      <c r="L21" s="78"/>
      <c r="M21" s="78"/>
      <c r="N21" s="78"/>
      <c r="O21" s="78"/>
      <c r="P21" s="78"/>
      <c r="Q21" s="78"/>
      <c r="R21" s="80"/>
      <c r="S21" s="29"/>
      <c r="Y21" s="2"/>
      <c r="Z21" s="2"/>
      <c r="AA21" s="2"/>
      <c r="AB21" s="2"/>
      <c r="AC21" s="2"/>
      <c r="AD21" s="2"/>
      <c r="AG21" s="139" t="s">
        <v>87</v>
      </c>
      <c r="AH21" s="139"/>
      <c r="AI21" s="139"/>
      <c r="AJ21" s="2"/>
      <c r="AK21" s="2"/>
      <c r="AL21" s="2"/>
    </row>
    <row r="22" spans="2:46" ht="15.75" customHeight="1" thickBot="1" x14ac:dyDescent="0.3">
      <c r="B22" s="86" t="s">
        <v>5</v>
      </c>
      <c r="C22" s="77"/>
      <c r="D22" s="78"/>
      <c r="E22" s="78"/>
      <c r="F22" s="78"/>
      <c r="G22" s="78"/>
      <c r="H22" s="78"/>
      <c r="I22" s="78"/>
      <c r="J22" s="79"/>
      <c r="K22" s="79"/>
      <c r="L22" s="78"/>
      <c r="M22" s="78"/>
      <c r="N22" s="78"/>
      <c r="O22" s="78"/>
      <c r="P22" s="78"/>
      <c r="Q22" s="78"/>
      <c r="R22" s="80"/>
      <c r="S22" s="29"/>
      <c r="Y22" s="2"/>
      <c r="Z22" s="2"/>
      <c r="AA22" s="2"/>
      <c r="AB22" s="2"/>
      <c r="AC22" s="2"/>
      <c r="AD22" s="2"/>
      <c r="AG22" s="139"/>
      <c r="AH22" s="139"/>
      <c r="AI22" s="139"/>
      <c r="AJ22" s="2"/>
      <c r="AK22" s="2"/>
      <c r="AL22" s="2"/>
    </row>
    <row r="23" spans="2:46" ht="15.75" thickBot="1" x14ac:dyDescent="0.3">
      <c r="B23" s="86" t="s">
        <v>6</v>
      </c>
      <c r="C23" s="77" t="s">
        <v>12</v>
      </c>
      <c r="D23" s="78" t="s">
        <v>13</v>
      </c>
      <c r="E23" s="78"/>
      <c r="F23" s="78" t="s">
        <v>86</v>
      </c>
      <c r="G23" s="78"/>
      <c r="H23" s="78" t="s">
        <v>13</v>
      </c>
      <c r="I23" s="78"/>
      <c r="J23" s="79" t="s">
        <v>14</v>
      </c>
      <c r="K23" s="79"/>
      <c r="L23" s="78" t="s">
        <v>13</v>
      </c>
      <c r="M23" s="78"/>
      <c r="N23" s="78" t="s">
        <v>12</v>
      </c>
      <c r="O23" s="78"/>
      <c r="P23" s="78" t="s">
        <v>13</v>
      </c>
      <c r="Q23" s="78"/>
      <c r="R23" s="80" t="s">
        <v>13</v>
      </c>
      <c r="S23" s="29"/>
      <c r="Y23" s="2"/>
      <c r="Z23" s="2"/>
      <c r="AA23" s="2"/>
      <c r="AB23" s="2"/>
      <c r="AC23" s="2"/>
      <c r="AD23" s="2"/>
      <c r="AG23" s="139"/>
      <c r="AH23" s="139"/>
      <c r="AI23" s="139"/>
      <c r="AJ23" s="2"/>
      <c r="AK23" s="2"/>
      <c r="AL23" s="2"/>
    </row>
    <row r="24" spans="2:46" ht="15.75" thickBot="1" x14ac:dyDescent="0.3">
      <c r="B24" s="86" t="s">
        <v>7</v>
      </c>
      <c r="C24" s="77"/>
      <c r="D24" s="78">
        <v>500</v>
      </c>
      <c r="E24" s="78"/>
      <c r="F24" s="78">
        <v>1000</v>
      </c>
      <c r="G24" s="78"/>
      <c r="H24" s="78">
        <v>300</v>
      </c>
      <c r="I24" s="78"/>
      <c r="J24" s="79">
        <v>2500</v>
      </c>
      <c r="K24" s="79"/>
      <c r="L24" s="78">
        <v>6000</v>
      </c>
      <c r="M24" s="78"/>
      <c r="N24" s="78"/>
      <c r="O24" s="78"/>
      <c r="P24" s="78">
        <v>5000</v>
      </c>
      <c r="Q24" s="78"/>
      <c r="R24" s="80">
        <v>150000</v>
      </c>
      <c r="S24" s="29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</row>
    <row r="25" spans="2:46" ht="15.75" thickBot="1" x14ac:dyDescent="0.3">
      <c r="B25" s="86" t="s">
        <v>8</v>
      </c>
      <c r="C25" s="77" t="s">
        <v>11</v>
      </c>
      <c r="D25" s="78" t="s">
        <v>11</v>
      </c>
      <c r="E25" s="78"/>
      <c r="F25" s="78" t="s">
        <v>11</v>
      </c>
      <c r="G25" s="78"/>
      <c r="H25" s="78" t="s">
        <v>0</v>
      </c>
      <c r="I25" s="78"/>
      <c r="J25" s="79" t="s">
        <v>0</v>
      </c>
      <c r="K25" s="79"/>
      <c r="L25" s="78" t="s">
        <v>0</v>
      </c>
      <c r="M25" s="78"/>
      <c r="N25" s="78" t="s">
        <v>0</v>
      </c>
      <c r="O25" s="78"/>
      <c r="P25" s="78" t="s">
        <v>0</v>
      </c>
      <c r="Q25" s="78"/>
      <c r="R25" s="80" t="s">
        <v>0</v>
      </c>
      <c r="S25" s="29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</row>
    <row r="26" spans="2:46" ht="15.75" thickBot="1" x14ac:dyDescent="0.3">
      <c r="B26" s="86" t="s">
        <v>9</v>
      </c>
      <c r="C26" s="77"/>
      <c r="D26" s="78"/>
      <c r="E26" s="78"/>
      <c r="F26" s="78"/>
      <c r="G26" s="78"/>
      <c r="H26" s="78">
        <v>1</v>
      </c>
      <c r="I26" s="78"/>
      <c r="J26" s="79"/>
      <c r="K26" s="79"/>
      <c r="L26" s="78">
        <v>1</v>
      </c>
      <c r="M26" s="78"/>
      <c r="N26" s="78"/>
      <c r="O26" s="78"/>
      <c r="P26" s="78"/>
      <c r="Q26" s="78"/>
      <c r="R26" s="80"/>
      <c r="S26" s="29"/>
      <c r="Y26" s="2"/>
      <c r="Z26" s="2"/>
      <c r="AA26" s="125" t="s">
        <v>88</v>
      </c>
      <c r="AB26" s="125"/>
      <c r="AC26" s="125"/>
      <c r="AD26" s="2"/>
      <c r="AH26" s="2"/>
      <c r="AL26" s="2"/>
      <c r="AM26" s="2"/>
      <c r="AN26" s="140" t="s">
        <v>89</v>
      </c>
      <c r="AO26" s="140"/>
      <c r="AP26" s="140"/>
    </row>
    <row r="27" spans="2:46" ht="15.75" customHeight="1" thickBot="1" x14ac:dyDescent="0.3">
      <c r="B27" s="87" t="s">
        <v>10</v>
      </c>
      <c r="C27" s="77"/>
      <c r="D27" s="78"/>
      <c r="E27" s="78"/>
      <c r="F27" s="78"/>
      <c r="G27" s="78"/>
      <c r="H27" s="78">
        <v>4</v>
      </c>
      <c r="I27" s="78"/>
      <c r="J27" s="79"/>
      <c r="K27" s="79"/>
      <c r="L27" s="78">
        <v>0.1</v>
      </c>
      <c r="M27" s="78"/>
      <c r="N27" s="78"/>
      <c r="O27" s="78"/>
      <c r="P27" s="78"/>
      <c r="Q27" s="78"/>
      <c r="R27" s="80"/>
      <c r="S27" s="29"/>
      <c r="Y27" s="2"/>
      <c r="Z27" s="2"/>
      <c r="AA27" s="125"/>
      <c r="AB27" s="125"/>
      <c r="AC27" s="125"/>
      <c r="AD27" s="2"/>
      <c r="AH27" s="2"/>
      <c r="AL27" s="2"/>
      <c r="AM27" s="2"/>
      <c r="AN27" s="140"/>
      <c r="AO27" s="140"/>
      <c r="AP27" s="140"/>
    </row>
    <row r="28" spans="2:46" ht="15.75" customHeight="1" thickTop="1" thickBot="1" x14ac:dyDescent="0.3">
      <c r="B28" s="88" t="s">
        <v>90</v>
      </c>
      <c r="C28" s="77"/>
      <c r="D28" s="78" t="s">
        <v>100</v>
      </c>
      <c r="E28" s="78"/>
      <c r="F28" s="78" t="s">
        <v>100</v>
      </c>
      <c r="G28" s="78"/>
      <c r="H28" s="78" t="s">
        <v>95</v>
      </c>
      <c r="I28" s="78"/>
      <c r="J28" s="79" t="s">
        <v>95</v>
      </c>
      <c r="K28" s="79"/>
      <c r="L28" s="78" t="s">
        <v>97</v>
      </c>
      <c r="M28" s="78"/>
      <c r="N28" s="78" t="s">
        <v>95</v>
      </c>
      <c r="O28" s="78"/>
      <c r="P28" s="78" t="s">
        <v>92</v>
      </c>
      <c r="Q28" s="78"/>
      <c r="R28" s="80" t="s">
        <v>92</v>
      </c>
      <c r="S28" s="29"/>
      <c r="Y28" s="2"/>
      <c r="Z28" s="2"/>
      <c r="AA28" s="125"/>
      <c r="AB28" s="125"/>
      <c r="AC28" s="125"/>
      <c r="AD28" s="2"/>
      <c r="AH28" s="2"/>
      <c r="AL28" s="2"/>
      <c r="AM28" s="2"/>
      <c r="AN28" s="140"/>
      <c r="AO28" s="140"/>
      <c r="AP28" s="140"/>
    </row>
    <row r="29" spans="2:46" ht="15.75" customHeight="1" thickBot="1" x14ac:dyDescent="0.3">
      <c r="B29" s="89" t="s">
        <v>91</v>
      </c>
      <c r="C29" s="81"/>
      <c r="D29" s="82">
        <v>500</v>
      </c>
      <c r="E29" s="82"/>
      <c r="F29" s="82">
        <v>500</v>
      </c>
      <c r="G29" s="82"/>
      <c r="H29" s="82" t="s">
        <v>99</v>
      </c>
      <c r="I29" s="82"/>
      <c r="J29" s="83" t="s">
        <v>98</v>
      </c>
      <c r="K29" s="83"/>
      <c r="L29" s="82" t="s">
        <v>96</v>
      </c>
      <c r="M29" s="82"/>
      <c r="N29" s="82" t="s">
        <v>95</v>
      </c>
      <c r="O29" s="82"/>
      <c r="P29" s="82" t="s">
        <v>93</v>
      </c>
      <c r="Q29" s="82"/>
      <c r="R29" s="84" t="s">
        <v>94</v>
      </c>
      <c r="S29" s="29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</row>
    <row r="30" spans="2:46" ht="15.75" thickTop="1" x14ac:dyDescent="0.25"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</row>
    <row r="31" spans="2:46" ht="15.75" thickBot="1" x14ac:dyDescent="0.3">
      <c r="AB31" s="2"/>
      <c r="AF31" s="2"/>
      <c r="AJ31" s="2"/>
      <c r="AO31" s="2"/>
      <c r="AP31" s="59"/>
      <c r="AR31" s="59"/>
    </row>
    <row r="32" spans="2:46" x14ac:dyDescent="0.25">
      <c r="B32" s="111" t="s">
        <v>20</v>
      </c>
      <c r="C32" s="112"/>
      <c r="D32" s="111" t="s">
        <v>21</v>
      </c>
      <c r="E32" s="141"/>
      <c r="F32" s="141"/>
      <c r="G32" s="141"/>
      <c r="H32" s="141"/>
      <c r="I32" s="141"/>
      <c r="J32" s="141"/>
      <c r="K32" s="141"/>
      <c r="L32" s="141"/>
      <c r="M32" s="141"/>
      <c r="N32" s="141"/>
      <c r="O32" s="141"/>
      <c r="P32" s="141"/>
      <c r="Q32" s="141"/>
      <c r="R32" s="141"/>
      <c r="S32" s="141"/>
      <c r="T32" s="112"/>
      <c r="U32" s="5"/>
      <c r="AB32" s="2"/>
      <c r="AF32" s="2"/>
      <c r="AJ32" s="2"/>
      <c r="AO32" s="2"/>
      <c r="AP32" s="59"/>
      <c r="AR32" s="59"/>
    </row>
    <row r="33" spans="2:44" ht="15.75" thickBot="1" x14ac:dyDescent="0.3">
      <c r="B33" s="113"/>
      <c r="C33" s="114"/>
      <c r="D33" s="115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2"/>
      <c r="P33" s="142"/>
      <c r="Q33" s="142"/>
      <c r="R33" s="142"/>
      <c r="S33" s="142"/>
      <c r="T33" s="116"/>
      <c r="U33" s="5"/>
      <c r="AB33" s="2"/>
      <c r="AF33" s="2"/>
      <c r="AJ33" s="2"/>
      <c r="AO33" s="2"/>
      <c r="AP33" s="59"/>
      <c r="AR33" s="59"/>
    </row>
    <row r="34" spans="2:44" ht="15.75" customHeight="1" thickBot="1" x14ac:dyDescent="0.3">
      <c r="B34" s="115"/>
      <c r="C34" s="116"/>
      <c r="D34" s="3" t="s">
        <v>77</v>
      </c>
      <c r="E34" s="30"/>
      <c r="F34" s="4" t="s">
        <v>78</v>
      </c>
      <c r="G34" s="26"/>
      <c r="H34" s="4" t="s">
        <v>79</v>
      </c>
      <c r="I34" s="26"/>
      <c r="J34" s="4" t="s">
        <v>80</v>
      </c>
      <c r="K34" s="26"/>
      <c r="L34" s="4" t="s">
        <v>85</v>
      </c>
      <c r="M34" s="34"/>
      <c r="N34" s="51" t="s">
        <v>81</v>
      </c>
      <c r="O34" s="51"/>
      <c r="P34" s="55" t="s">
        <v>82</v>
      </c>
      <c r="Q34" s="55"/>
      <c r="R34" s="55" t="s">
        <v>83</v>
      </c>
      <c r="S34" s="55"/>
      <c r="T34" s="56" t="s">
        <v>84</v>
      </c>
      <c r="U34" s="2"/>
      <c r="AB34" s="2"/>
      <c r="AF34" s="2"/>
      <c r="AJ34" s="2"/>
      <c r="AO34" s="2"/>
      <c r="AP34" s="59"/>
      <c r="AR34" s="59"/>
    </row>
    <row r="35" spans="2:44" ht="15" customHeight="1" x14ac:dyDescent="0.25">
      <c r="B35" s="121" t="s">
        <v>22</v>
      </c>
      <c r="C35" s="130" t="s">
        <v>77</v>
      </c>
      <c r="D35" s="128"/>
      <c r="E35" s="31"/>
      <c r="F35" s="126"/>
      <c r="G35" s="51"/>
      <c r="H35" s="126"/>
      <c r="I35" s="51"/>
      <c r="J35" s="126"/>
      <c r="K35" s="51"/>
      <c r="L35" s="126"/>
      <c r="M35" s="53"/>
      <c r="N35" s="109"/>
      <c r="O35" s="52"/>
      <c r="P35" s="120"/>
      <c r="Q35" s="52"/>
      <c r="R35" s="120"/>
      <c r="S35" s="52"/>
      <c r="T35" s="134"/>
      <c r="U35" s="1"/>
      <c r="AB35" s="2"/>
      <c r="AF35" s="2"/>
      <c r="AJ35" s="2"/>
      <c r="AO35" s="2"/>
      <c r="AP35" s="59"/>
      <c r="AR35" s="59"/>
    </row>
    <row r="36" spans="2:44" x14ac:dyDescent="0.25">
      <c r="B36" s="122"/>
      <c r="C36" s="127"/>
      <c r="D36" s="129"/>
      <c r="E36" s="32"/>
      <c r="F36" s="109"/>
      <c r="G36" s="52"/>
      <c r="H36" s="109"/>
      <c r="I36" s="52"/>
      <c r="J36" s="109"/>
      <c r="K36" s="52"/>
      <c r="L36" s="109"/>
      <c r="M36" s="49"/>
      <c r="N36" s="109"/>
      <c r="O36" s="52"/>
      <c r="P36" s="138"/>
      <c r="Q36" s="52"/>
      <c r="R36" s="138"/>
      <c r="S36" s="52"/>
      <c r="T36" s="135"/>
      <c r="U36" s="1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</row>
    <row r="37" spans="2:44" x14ac:dyDescent="0.25">
      <c r="B37" s="122"/>
      <c r="C37" s="127" t="s">
        <v>78</v>
      </c>
      <c r="D37" s="117">
        <v>1</v>
      </c>
      <c r="E37" s="32"/>
      <c r="F37" s="109"/>
      <c r="G37" s="52"/>
      <c r="H37" s="109"/>
      <c r="I37" s="52"/>
      <c r="J37" s="109"/>
      <c r="K37" s="52"/>
      <c r="L37" s="109"/>
      <c r="M37" s="49"/>
      <c r="N37" s="109"/>
      <c r="O37" s="52"/>
      <c r="P37" s="120"/>
      <c r="Q37" s="52"/>
      <c r="R37" s="120"/>
      <c r="S37" s="52"/>
      <c r="T37" s="134"/>
      <c r="U37" s="1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</row>
    <row r="38" spans="2:44" x14ac:dyDescent="0.25">
      <c r="B38" s="122"/>
      <c r="C38" s="127"/>
      <c r="D38" s="117"/>
      <c r="E38" s="32"/>
      <c r="F38" s="109"/>
      <c r="G38" s="52"/>
      <c r="H38" s="109"/>
      <c r="I38" s="52"/>
      <c r="J38" s="109"/>
      <c r="K38" s="52"/>
      <c r="L38" s="109"/>
      <c r="M38" s="49"/>
      <c r="N38" s="109"/>
      <c r="O38" s="52"/>
      <c r="P38" s="138"/>
      <c r="Q38" s="52"/>
      <c r="R38" s="138"/>
      <c r="S38" s="52"/>
      <c r="T38" s="135"/>
      <c r="U38" s="1"/>
      <c r="Y38" s="59"/>
      <c r="Z38" s="59"/>
      <c r="AA38" s="59"/>
      <c r="AB38" s="125" t="s">
        <v>81</v>
      </c>
      <c r="AC38" s="59"/>
      <c r="AD38" s="59"/>
      <c r="AE38" s="59"/>
      <c r="AF38" s="124" t="s">
        <v>84</v>
      </c>
      <c r="AH38" s="143" t="s">
        <v>83</v>
      </c>
      <c r="AJ38" s="124" t="s">
        <v>82</v>
      </c>
      <c r="AM38" s="125" t="s">
        <v>80</v>
      </c>
      <c r="AN38" s="59"/>
      <c r="AQ38" s="125" t="s">
        <v>85</v>
      </c>
    </row>
    <row r="39" spans="2:44" x14ac:dyDescent="0.25">
      <c r="B39" s="122"/>
      <c r="C39" s="127" t="s">
        <v>79</v>
      </c>
      <c r="D39" s="117">
        <v>2</v>
      </c>
      <c r="E39" s="32"/>
      <c r="F39" s="110"/>
      <c r="G39" s="52"/>
      <c r="H39" s="109"/>
      <c r="I39" s="52"/>
      <c r="J39" s="109"/>
      <c r="K39" s="52"/>
      <c r="L39" s="109"/>
      <c r="M39" s="49"/>
      <c r="N39" s="109"/>
      <c r="O39" s="52"/>
      <c r="P39" s="120"/>
      <c r="Q39" s="52"/>
      <c r="R39" s="120"/>
      <c r="S39" s="52"/>
      <c r="T39" s="134"/>
      <c r="U39" s="1"/>
      <c r="Y39" s="59"/>
      <c r="Z39" s="59"/>
      <c r="AA39" s="59"/>
      <c r="AB39" s="125"/>
      <c r="AC39" s="59"/>
      <c r="AD39" s="59"/>
      <c r="AE39" s="59"/>
      <c r="AF39" s="124"/>
      <c r="AH39" s="143"/>
      <c r="AJ39" s="124"/>
      <c r="AL39" s="59"/>
      <c r="AM39" s="125"/>
      <c r="AN39" s="59"/>
      <c r="AQ39" s="125"/>
    </row>
    <row r="40" spans="2:44" x14ac:dyDescent="0.25">
      <c r="B40" s="122"/>
      <c r="C40" s="127"/>
      <c r="D40" s="117"/>
      <c r="E40" s="32"/>
      <c r="F40" s="110"/>
      <c r="G40" s="52"/>
      <c r="H40" s="109"/>
      <c r="I40" s="52"/>
      <c r="J40" s="109"/>
      <c r="K40" s="52"/>
      <c r="L40" s="109"/>
      <c r="M40" s="49"/>
      <c r="N40" s="109"/>
      <c r="O40" s="52"/>
      <c r="P40" s="138"/>
      <c r="Q40" s="52"/>
      <c r="R40" s="138"/>
      <c r="S40" s="52"/>
      <c r="T40" s="135"/>
      <c r="U40" s="1"/>
      <c r="Y40" s="59"/>
      <c r="Z40" s="59"/>
      <c r="AA40" s="59"/>
      <c r="AB40" s="125"/>
      <c r="AC40" s="59"/>
      <c r="AD40" s="59"/>
      <c r="AE40" s="59"/>
      <c r="AF40" s="124"/>
      <c r="AH40" s="143"/>
      <c r="AJ40" s="124"/>
      <c r="AL40" s="59"/>
      <c r="AM40" s="125"/>
      <c r="AN40" s="59"/>
      <c r="AQ40" s="125"/>
    </row>
    <row r="41" spans="2:44" x14ac:dyDescent="0.25">
      <c r="B41" s="122"/>
      <c r="C41" s="127" t="s">
        <v>80</v>
      </c>
      <c r="D41" s="117"/>
      <c r="E41" s="32"/>
      <c r="F41" s="110">
        <v>16</v>
      </c>
      <c r="G41" s="52"/>
      <c r="H41" s="110"/>
      <c r="I41" s="52"/>
      <c r="J41" s="109"/>
      <c r="K41" s="52"/>
      <c r="L41" s="109"/>
      <c r="M41" s="49"/>
      <c r="N41" s="109"/>
      <c r="O41" s="52"/>
      <c r="P41" s="120"/>
      <c r="Q41" s="52"/>
      <c r="R41" s="120"/>
      <c r="S41" s="52"/>
      <c r="T41" s="134"/>
      <c r="U41" s="1"/>
    </row>
    <row r="42" spans="2:44" x14ac:dyDescent="0.25">
      <c r="B42" s="122"/>
      <c r="C42" s="127"/>
      <c r="D42" s="117"/>
      <c r="E42" s="32"/>
      <c r="F42" s="110"/>
      <c r="G42" s="52"/>
      <c r="H42" s="110"/>
      <c r="I42" s="52"/>
      <c r="J42" s="109"/>
      <c r="K42" s="52"/>
      <c r="L42" s="109"/>
      <c r="M42" s="49"/>
      <c r="N42" s="109"/>
      <c r="O42" s="52"/>
      <c r="P42" s="138"/>
      <c r="Q42" s="52"/>
      <c r="R42" s="138"/>
      <c r="S42" s="52"/>
      <c r="T42" s="135"/>
      <c r="U42" s="1"/>
    </row>
    <row r="43" spans="2:44" x14ac:dyDescent="0.25">
      <c r="B43" s="122"/>
      <c r="C43" s="127" t="s">
        <v>85</v>
      </c>
      <c r="D43" s="117"/>
      <c r="E43" s="32"/>
      <c r="F43" s="110">
        <v>12</v>
      </c>
      <c r="G43" s="52"/>
      <c r="H43" s="110"/>
      <c r="I43" s="52"/>
      <c r="J43" s="110"/>
      <c r="K43" s="52"/>
      <c r="L43" s="109"/>
      <c r="M43" s="49"/>
      <c r="N43" s="109"/>
      <c r="O43" s="52"/>
      <c r="P43" s="120"/>
      <c r="Q43" s="52"/>
      <c r="R43" s="120"/>
      <c r="S43" s="52"/>
      <c r="T43" s="134"/>
      <c r="U43" s="1"/>
    </row>
    <row r="44" spans="2:44" x14ac:dyDescent="0.25">
      <c r="B44" s="122"/>
      <c r="C44" s="127"/>
      <c r="D44" s="117"/>
      <c r="E44" s="32"/>
      <c r="F44" s="110"/>
      <c r="G44" s="52"/>
      <c r="H44" s="110"/>
      <c r="I44" s="52"/>
      <c r="J44" s="110"/>
      <c r="K44" s="52"/>
      <c r="L44" s="109"/>
      <c r="M44" s="49"/>
      <c r="N44" s="109"/>
      <c r="O44" s="52"/>
      <c r="P44" s="138"/>
      <c r="Q44" s="52"/>
      <c r="R44" s="138"/>
      <c r="S44" s="52"/>
      <c r="T44" s="135"/>
      <c r="U44" s="1"/>
    </row>
    <row r="45" spans="2:44" x14ac:dyDescent="0.25">
      <c r="B45" s="122"/>
      <c r="C45" s="127" t="s">
        <v>81</v>
      </c>
      <c r="D45" s="117"/>
      <c r="E45" s="32"/>
      <c r="F45" s="110"/>
      <c r="G45" s="52"/>
      <c r="H45" s="110">
        <v>37</v>
      </c>
      <c r="I45" s="52"/>
      <c r="J45" s="110"/>
      <c r="K45" s="52"/>
      <c r="L45" s="110"/>
      <c r="M45" s="49"/>
      <c r="N45" s="109"/>
      <c r="O45" s="52"/>
      <c r="P45" s="120"/>
      <c r="Q45" s="52"/>
      <c r="R45" s="120"/>
      <c r="S45" s="52"/>
      <c r="T45" s="134"/>
      <c r="U45" s="1"/>
    </row>
    <row r="46" spans="2:44" x14ac:dyDescent="0.25">
      <c r="B46" s="122"/>
      <c r="C46" s="127"/>
      <c r="D46" s="118"/>
      <c r="E46" s="57"/>
      <c r="F46" s="119"/>
      <c r="G46" s="48"/>
      <c r="H46" s="119"/>
      <c r="I46" s="48"/>
      <c r="J46" s="119"/>
      <c r="K46" s="48"/>
      <c r="L46" s="119"/>
      <c r="M46" s="58"/>
      <c r="N46" s="120"/>
      <c r="O46" s="48"/>
      <c r="P46" s="136"/>
      <c r="Q46" s="48"/>
      <c r="R46" s="136"/>
      <c r="S46" s="48"/>
      <c r="T46" s="137"/>
      <c r="U46" s="1"/>
    </row>
    <row r="47" spans="2:44" x14ac:dyDescent="0.25">
      <c r="B47" s="122"/>
      <c r="C47" s="127" t="s">
        <v>82</v>
      </c>
      <c r="D47" s="117">
        <v>45.8</v>
      </c>
      <c r="E47" s="32"/>
      <c r="F47" s="110"/>
      <c r="G47" s="52"/>
      <c r="H47" s="110"/>
      <c r="I47" s="52"/>
      <c r="J47" s="110"/>
      <c r="K47" s="52"/>
      <c r="L47" s="110"/>
      <c r="M47" s="49"/>
      <c r="N47" s="110"/>
      <c r="O47" s="52"/>
      <c r="P47" s="109"/>
      <c r="Q47" s="52"/>
      <c r="R47" s="109"/>
      <c r="S47" s="52"/>
      <c r="T47" s="147"/>
      <c r="U47" s="1"/>
    </row>
    <row r="48" spans="2:44" x14ac:dyDescent="0.25">
      <c r="B48" s="122"/>
      <c r="C48" s="127"/>
      <c r="D48" s="117"/>
      <c r="E48" s="32"/>
      <c r="F48" s="110"/>
      <c r="G48" s="52"/>
      <c r="H48" s="110"/>
      <c r="I48" s="52"/>
      <c r="J48" s="110"/>
      <c r="K48" s="52"/>
      <c r="L48" s="110"/>
      <c r="M48" s="49"/>
      <c r="N48" s="110"/>
      <c r="O48" s="52"/>
      <c r="P48" s="109"/>
      <c r="Q48" s="52"/>
      <c r="R48" s="109"/>
      <c r="S48" s="52"/>
      <c r="T48" s="147"/>
      <c r="U48" s="1"/>
    </row>
    <row r="49" spans="2:21" x14ac:dyDescent="0.25">
      <c r="B49" s="122"/>
      <c r="C49" s="127" t="s">
        <v>83</v>
      </c>
      <c r="D49" s="117">
        <v>74.52</v>
      </c>
      <c r="E49" s="32"/>
      <c r="F49" s="110"/>
      <c r="G49" s="52"/>
      <c r="H49" s="110"/>
      <c r="I49" s="52"/>
      <c r="J49" s="110"/>
      <c r="K49" s="52"/>
      <c r="L49" s="110"/>
      <c r="M49" s="49"/>
      <c r="N49" s="110"/>
      <c r="O49" s="52"/>
      <c r="P49" s="110"/>
      <c r="Q49" s="52"/>
      <c r="R49" s="109"/>
      <c r="S49" s="52"/>
      <c r="T49" s="147"/>
      <c r="U49" s="1"/>
    </row>
    <row r="50" spans="2:21" x14ac:dyDescent="0.25">
      <c r="B50" s="122"/>
      <c r="C50" s="127"/>
      <c r="D50" s="117"/>
      <c r="E50" s="32"/>
      <c r="F50" s="110"/>
      <c r="G50" s="52"/>
      <c r="H50" s="110"/>
      <c r="I50" s="52"/>
      <c r="J50" s="110"/>
      <c r="K50" s="52"/>
      <c r="L50" s="110"/>
      <c r="M50" s="49"/>
      <c r="N50" s="110"/>
      <c r="O50" s="52"/>
      <c r="P50" s="110"/>
      <c r="Q50" s="52"/>
      <c r="R50" s="109"/>
      <c r="S50" s="52"/>
      <c r="T50" s="147"/>
      <c r="U50" s="1"/>
    </row>
    <row r="51" spans="2:21" x14ac:dyDescent="0.25">
      <c r="B51" s="122"/>
      <c r="C51" s="127" t="s">
        <v>84</v>
      </c>
      <c r="D51" s="117">
        <v>321.62</v>
      </c>
      <c r="E51" s="32"/>
      <c r="F51" s="110"/>
      <c r="G51" s="52"/>
      <c r="H51" s="110"/>
      <c r="I51" s="52"/>
      <c r="J51" s="110"/>
      <c r="K51" s="52"/>
      <c r="L51" s="110"/>
      <c r="M51" s="49"/>
      <c r="N51" s="110"/>
      <c r="O51" s="52"/>
      <c r="P51" s="110"/>
      <c r="Q51" s="52"/>
      <c r="R51" s="110"/>
      <c r="S51" s="52"/>
      <c r="T51" s="147"/>
      <c r="U51" s="1"/>
    </row>
    <row r="52" spans="2:21" ht="15.75" thickBot="1" x14ac:dyDescent="0.3">
      <c r="B52" s="123"/>
      <c r="C52" s="144"/>
      <c r="D52" s="145"/>
      <c r="E52" s="33"/>
      <c r="F52" s="146"/>
      <c r="G52" s="54"/>
      <c r="H52" s="146"/>
      <c r="I52" s="54"/>
      <c r="J52" s="146"/>
      <c r="K52" s="54"/>
      <c r="L52" s="146"/>
      <c r="M52" s="50"/>
      <c r="N52" s="146"/>
      <c r="O52" s="54"/>
      <c r="P52" s="146"/>
      <c r="Q52" s="54"/>
      <c r="R52" s="146"/>
      <c r="S52" s="54"/>
      <c r="T52" s="148"/>
      <c r="U52" s="1"/>
    </row>
  </sheetData>
  <mergeCells count="103">
    <mergeCell ref="L47:L48"/>
    <mergeCell ref="N47:N48"/>
    <mergeCell ref="P47:P48"/>
    <mergeCell ref="P43:P44"/>
    <mergeCell ref="R43:R44"/>
    <mergeCell ref="C47:C48"/>
    <mergeCell ref="C49:C50"/>
    <mergeCell ref="D47:D48"/>
    <mergeCell ref="F47:F48"/>
    <mergeCell ref="D51:D52"/>
    <mergeCell ref="F51:F52"/>
    <mergeCell ref="R51:R52"/>
    <mergeCell ref="T51:T52"/>
    <mergeCell ref="H51:H52"/>
    <mergeCell ref="J51:J52"/>
    <mergeCell ref="L51:L52"/>
    <mergeCell ref="N51:N52"/>
    <mergeCell ref="P51:P52"/>
    <mergeCell ref="R47:R48"/>
    <mergeCell ref="T47:T48"/>
    <mergeCell ref="D49:D50"/>
    <mergeCell ref="F49:F50"/>
    <mergeCell ref="H49:H50"/>
    <mergeCell ref="J49:J50"/>
    <mergeCell ref="L49:L50"/>
    <mergeCell ref="N49:N50"/>
    <mergeCell ref="P49:P50"/>
    <mergeCell ref="R49:R50"/>
    <mergeCell ref="T49:T50"/>
    <mergeCell ref="H47:H48"/>
    <mergeCell ref="J47:J48"/>
    <mergeCell ref="Y19:AT19"/>
    <mergeCell ref="T43:T44"/>
    <mergeCell ref="P45:P46"/>
    <mergeCell ref="R45:R46"/>
    <mergeCell ref="T45:T46"/>
    <mergeCell ref="P39:P40"/>
    <mergeCell ref="R39:R40"/>
    <mergeCell ref="T39:T40"/>
    <mergeCell ref="P41:P42"/>
    <mergeCell ref="R41:R42"/>
    <mergeCell ref="T41:T42"/>
    <mergeCell ref="AQ38:AQ40"/>
    <mergeCell ref="P35:P36"/>
    <mergeCell ref="R35:R36"/>
    <mergeCell ref="T35:T36"/>
    <mergeCell ref="P37:P38"/>
    <mergeCell ref="R37:R38"/>
    <mergeCell ref="T37:T38"/>
    <mergeCell ref="AG21:AI23"/>
    <mergeCell ref="AN26:AP28"/>
    <mergeCell ref="AA26:AC28"/>
    <mergeCell ref="D32:T33"/>
    <mergeCell ref="AH38:AH40"/>
    <mergeCell ref="AB38:AB40"/>
    <mergeCell ref="AF38:AF40"/>
    <mergeCell ref="AJ38:AJ40"/>
    <mergeCell ref="AM38:AM40"/>
    <mergeCell ref="L35:L36"/>
    <mergeCell ref="N35:N36"/>
    <mergeCell ref="C43:C44"/>
    <mergeCell ref="C45:C46"/>
    <mergeCell ref="D35:D36"/>
    <mergeCell ref="F35:F36"/>
    <mergeCell ref="H35:H36"/>
    <mergeCell ref="H39:H40"/>
    <mergeCell ref="D41:D42"/>
    <mergeCell ref="H37:H38"/>
    <mergeCell ref="J37:J38"/>
    <mergeCell ref="J35:J36"/>
    <mergeCell ref="D37:D38"/>
    <mergeCell ref="F37:F38"/>
    <mergeCell ref="D39:D40"/>
    <mergeCell ref="F39:F40"/>
    <mergeCell ref="C35:C36"/>
    <mergeCell ref="C37:C38"/>
    <mergeCell ref="C39:C40"/>
    <mergeCell ref="C41:C42"/>
    <mergeCell ref="N39:N40"/>
    <mergeCell ref="J39:J40"/>
    <mergeCell ref="L39:L40"/>
    <mergeCell ref="F41:F42"/>
    <mergeCell ref="H41:H42"/>
    <mergeCell ref="J41:J42"/>
    <mergeCell ref="B32:C34"/>
    <mergeCell ref="N43:N44"/>
    <mergeCell ref="D45:D46"/>
    <mergeCell ref="F45:F46"/>
    <mergeCell ref="H45:H46"/>
    <mergeCell ref="J45:J46"/>
    <mergeCell ref="L45:L46"/>
    <mergeCell ref="L41:L42"/>
    <mergeCell ref="N45:N46"/>
    <mergeCell ref="F43:F44"/>
    <mergeCell ref="D43:D44"/>
    <mergeCell ref="H43:H44"/>
    <mergeCell ref="J43:J44"/>
    <mergeCell ref="L43:L44"/>
    <mergeCell ref="N41:N42"/>
    <mergeCell ref="B35:B52"/>
    <mergeCell ref="L37:L38"/>
    <mergeCell ref="N37:N38"/>
    <mergeCell ref="C51:C5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AM59"/>
  <sheetViews>
    <sheetView topLeftCell="A19" zoomScale="70" zoomScaleNormal="70" workbookViewId="0">
      <selection activeCell="Y43" sqref="Y43"/>
    </sheetView>
  </sheetViews>
  <sheetFormatPr baseColWidth="10" defaultRowHeight="15" x14ac:dyDescent="0.25"/>
  <cols>
    <col min="1" max="1" width="22.7109375" customWidth="1"/>
    <col min="2" max="2" width="31.5703125" customWidth="1"/>
    <col min="4" max="4" width="0.42578125" customWidth="1"/>
    <col min="6" max="6" width="0.42578125" customWidth="1"/>
    <col min="8" max="8" width="0.42578125" customWidth="1"/>
    <col min="10" max="10" width="0.42578125" customWidth="1"/>
    <col min="12" max="12" width="0.42578125" customWidth="1"/>
    <col min="14" max="14" width="0.42578125" customWidth="1"/>
    <col min="16" max="16" width="0.42578125" customWidth="1"/>
    <col min="18" max="18" width="0.42578125" customWidth="1"/>
    <col min="20" max="20" width="0.5703125" customWidth="1"/>
    <col min="21" max="21" width="11.42578125" customWidth="1"/>
    <col min="22" max="22" width="0.5703125" customWidth="1"/>
  </cols>
  <sheetData>
    <row r="4" spans="2:5" x14ac:dyDescent="0.25">
      <c r="E4">
        <v>22</v>
      </c>
    </row>
    <row r="9" spans="2:5" x14ac:dyDescent="0.25">
      <c r="B9">
        <v>22</v>
      </c>
    </row>
    <row r="14" spans="2:5" x14ac:dyDescent="0.25">
      <c r="B14">
        <v>1</v>
      </c>
    </row>
    <row r="16" spans="2:5" x14ac:dyDescent="0.25">
      <c r="B16" t="s">
        <v>0</v>
      </c>
    </row>
    <row r="17" spans="2:23" x14ac:dyDescent="0.25">
      <c r="B17">
        <v>0</v>
      </c>
      <c r="D17">
        <v>0</v>
      </c>
      <c r="F17">
        <v>0</v>
      </c>
    </row>
    <row r="18" spans="2:23" x14ac:dyDescent="0.25">
      <c r="B18">
        <v>0</v>
      </c>
      <c r="D18">
        <v>0</v>
      </c>
      <c r="F18">
        <v>0</v>
      </c>
    </row>
    <row r="19" spans="2:23" x14ac:dyDescent="0.25">
      <c r="B19">
        <v>0</v>
      </c>
      <c r="D19">
        <v>0</v>
      </c>
    </row>
    <row r="20" spans="2:23" x14ac:dyDescent="0.25">
      <c r="B20">
        <v>0</v>
      </c>
      <c r="D20">
        <v>0</v>
      </c>
    </row>
    <row r="21" spans="2:23" x14ac:dyDescent="0.25">
      <c r="B21">
        <v>0</v>
      </c>
      <c r="D21">
        <v>0</v>
      </c>
    </row>
    <row r="22" spans="2:23" ht="15.75" thickBot="1" x14ac:dyDescent="0.3">
      <c r="B22" s="72" t="s">
        <v>17</v>
      </c>
    </row>
    <row r="23" spans="2:23" ht="16.5" thickTop="1" thickBot="1" x14ac:dyDescent="0.3">
      <c r="B23" s="70" t="s">
        <v>1</v>
      </c>
      <c r="C23" s="102" t="s">
        <v>44</v>
      </c>
      <c r="D23" s="103"/>
      <c r="E23" s="103" t="s">
        <v>45</v>
      </c>
      <c r="F23" s="103" t="s">
        <v>46</v>
      </c>
      <c r="G23" s="103" t="s">
        <v>46</v>
      </c>
      <c r="H23" s="103" t="s">
        <v>47</v>
      </c>
      <c r="I23" s="103" t="s">
        <v>47</v>
      </c>
      <c r="J23" s="103"/>
      <c r="K23" s="103" t="s">
        <v>48</v>
      </c>
      <c r="L23" s="103" t="s">
        <v>50</v>
      </c>
      <c r="M23" s="103" t="s">
        <v>49</v>
      </c>
      <c r="N23" s="103" t="s">
        <v>51</v>
      </c>
      <c r="O23" s="103" t="s">
        <v>50</v>
      </c>
      <c r="P23" s="103"/>
      <c r="Q23" s="103" t="s">
        <v>51</v>
      </c>
      <c r="R23" s="103" t="s">
        <v>54</v>
      </c>
      <c r="S23" s="103" t="s">
        <v>52</v>
      </c>
      <c r="T23" s="103"/>
      <c r="U23" s="103" t="s">
        <v>53</v>
      </c>
      <c r="V23" s="103"/>
      <c r="W23" s="104" t="s">
        <v>54</v>
      </c>
    </row>
    <row r="24" spans="2:23" ht="15.75" thickTop="1" x14ac:dyDescent="0.25">
      <c r="B24" s="99" t="s">
        <v>77</v>
      </c>
      <c r="C24" s="21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22"/>
    </row>
    <row r="25" spans="2:23" x14ac:dyDescent="0.25">
      <c r="B25" s="100" t="s">
        <v>78</v>
      </c>
      <c r="C25" s="23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24"/>
    </row>
    <row r="26" spans="2:23" x14ac:dyDescent="0.25">
      <c r="B26" s="100" t="s">
        <v>79</v>
      </c>
      <c r="C26" s="23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24"/>
    </row>
    <row r="27" spans="2:23" x14ac:dyDescent="0.25">
      <c r="B27" s="100" t="s">
        <v>80</v>
      </c>
      <c r="C27" s="23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24"/>
    </row>
    <row r="28" spans="2:23" x14ac:dyDescent="0.25">
      <c r="B28" s="100" t="s">
        <v>85</v>
      </c>
      <c r="C28" s="23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24"/>
    </row>
    <row r="29" spans="2:23" x14ac:dyDescent="0.25">
      <c r="B29" s="100" t="s">
        <v>81</v>
      </c>
      <c r="C29" s="23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24"/>
    </row>
    <row r="30" spans="2:23" x14ac:dyDescent="0.25">
      <c r="B30" s="100" t="s">
        <v>82</v>
      </c>
      <c r="C30" s="23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24"/>
    </row>
    <row r="31" spans="2:23" x14ac:dyDescent="0.25">
      <c r="B31" s="100" t="s">
        <v>83</v>
      </c>
      <c r="C31" s="23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24"/>
    </row>
    <row r="32" spans="2:23" ht="15.75" thickBot="1" x14ac:dyDescent="0.3">
      <c r="B32" s="101" t="s">
        <v>84</v>
      </c>
      <c r="C32" s="106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8"/>
    </row>
    <row r="33" spans="2:39" ht="15.75" thickTop="1" x14ac:dyDescent="0.25">
      <c r="B33" s="29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</row>
    <row r="35" spans="2:39" ht="15.75" thickBot="1" x14ac:dyDescent="0.3">
      <c r="B35" s="71" t="s">
        <v>40</v>
      </c>
    </row>
    <row r="36" spans="2:39" ht="16.5" thickTop="1" thickBot="1" x14ac:dyDescent="0.3">
      <c r="B36" s="98" t="s">
        <v>1</v>
      </c>
      <c r="C36" s="63" t="s">
        <v>44</v>
      </c>
      <c r="D36" s="64"/>
      <c r="E36" s="64" t="s">
        <v>45</v>
      </c>
      <c r="F36" s="64" t="s">
        <v>46</v>
      </c>
      <c r="G36" s="64" t="s">
        <v>46</v>
      </c>
      <c r="H36" s="64" t="s">
        <v>47</v>
      </c>
      <c r="I36" s="64" t="s">
        <v>47</v>
      </c>
      <c r="J36" s="64"/>
      <c r="K36" s="64" t="s">
        <v>48</v>
      </c>
      <c r="L36" s="64" t="s">
        <v>50</v>
      </c>
      <c r="M36" s="64" t="s">
        <v>49</v>
      </c>
      <c r="N36" s="64" t="s">
        <v>51</v>
      </c>
      <c r="O36" s="64" t="s">
        <v>50</v>
      </c>
      <c r="P36" s="64"/>
      <c r="Q36" s="64" t="s">
        <v>51</v>
      </c>
      <c r="R36" s="64" t="s">
        <v>54</v>
      </c>
      <c r="S36" s="64" t="s">
        <v>52</v>
      </c>
      <c r="T36" s="64"/>
      <c r="U36" s="64" t="s">
        <v>53</v>
      </c>
      <c r="V36" s="64"/>
      <c r="W36" s="65" t="s">
        <v>54</v>
      </c>
    </row>
    <row r="37" spans="2:39" ht="15.75" thickTop="1" x14ac:dyDescent="0.25">
      <c r="B37" s="99" t="s">
        <v>77</v>
      </c>
      <c r="C37" s="21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22">
        <v>1000</v>
      </c>
    </row>
    <row r="38" spans="2:39" x14ac:dyDescent="0.25">
      <c r="B38" s="100" t="s">
        <v>78</v>
      </c>
      <c r="C38" s="23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24"/>
    </row>
    <row r="39" spans="2:39" x14ac:dyDescent="0.25">
      <c r="B39" s="100" t="s">
        <v>79</v>
      </c>
      <c r="C39" s="23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24"/>
    </row>
    <row r="40" spans="2:39" x14ac:dyDescent="0.25">
      <c r="B40" s="100" t="s">
        <v>80</v>
      </c>
      <c r="C40" s="23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24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</row>
    <row r="41" spans="2:39" x14ac:dyDescent="0.25">
      <c r="B41" s="100" t="s">
        <v>85</v>
      </c>
      <c r="C41" s="23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24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</row>
    <row r="42" spans="2:39" x14ac:dyDescent="0.25">
      <c r="B42" s="100" t="s">
        <v>81</v>
      </c>
      <c r="C42" s="23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24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</row>
    <row r="43" spans="2:39" x14ac:dyDescent="0.25">
      <c r="B43" s="100" t="s">
        <v>82</v>
      </c>
      <c r="C43" s="23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24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</row>
    <row r="44" spans="2:39" x14ac:dyDescent="0.25">
      <c r="B44" s="100" t="s">
        <v>83</v>
      </c>
      <c r="C44" s="23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24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</row>
    <row r="45" spans="2:39" ht="15.75" thickBot="1" x14ac:dyDescent="0.3">
      <c r="B45" s="101" t="s">
        <v>84</v>
      </c>
      <c r="C45" s="106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8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</row>
    <row r="46" spans="2:39" ht="15.75" thickTop="1" x14ac:dyDescent="0.25">
      <c r="B46" s="29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</row>
    <row r="48" spans="2:39" ht="15.75" thickBot="1" x14ac:dyDescent="0.3">
      <c r="B48" s="71" t="s">
        <v>19</v>
      </c>
    </row>
    <row r="49" spans="2:23" ht="16.5" thickTop="1" thickBot="1" x14ac:dyDescent="0.3">
      <c r="B49" s="70" t="s">
        <v>1</v>
      </c>
      <c r="C49" s="102" t="s">
        <v>44</v>
      </c>
      <c r="D49" s="103"/>
      <c r="E49" s="103" t="s">
        <v>45</v>
      </c>
      <c r="F49" s="103" t="s">
        <v>46</v>
      </c>
      <c r="G49" s="103" t="s">
        <v>46</v>
      </c>
      <c r="H49" s="103" t="s">
        <v>47</v>
      </c>
      <c r="I49" s="103" t="s">
        <v>47</v>
      </c>
      <c r="J49" s="103"/>
      <c r="K49" s="103" t="s">
        <v>48</v>
      </c>
      <c r="L49" s="103" t="s">
        <v>50</v>
      </c>
      <c r="M49" s="103" t="s">
        <v>49</v>
      </c>
      <c r="N49" s="103" t="s">
        <v>51</v>
      </c>
      <c r="O49" s="103" t="s">
        <v>50</v>
      </c>
      <c r="P49" s="103"/>
      <c r="Q49" s="103" t="s">
        <v>51</v>
      </c>
      <c r="R49" s="103" t="s">
        <v>54</v>
      </c>
      <c r="S49" s="103" t="s">
        <v>52</v>
      </c>
      <c r="T49" s="103"/>
      <c r="U49" s="103" t="s">
        <v>53</v>
      </c>
      <c r="V49" s="103"/>
      <c r="W49" s="104" t="s">
        <v>54</v>
      </c>
    </row>
    <row r="50" spans="2:23" ht="15.75" customHeight="1" thickTop="1" x14ac:dyDescent="0.25">
      <c r="B50" s="99" t="s">
        <v>77</v>
      </c>
      <c r="C50" s="21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05"/>
      <c r="W50" s="22"/>
    </row>
    <row r="51" spans="2:23" x14ac:dyDescent="0.25">
      <c r="B51" s="100" t="s">
        <v>78</v>
      </c>
      <c r="C51" s="23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24"/>
    </row>
    <row r="52" spans="2:23" x14ac:dyDescent="0.25">
      <c r="B52" s="100" t="s">
        <v>79</v>
      </c>
      <c r="C52" s="23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24"/>
    </row>
    <row r="53" spans="2:23" x14ac:dyDescent="0.25">
      <c r="B53" s="100" t="s">
        <v>80</v>
      </c>
      <c r="C53" s="23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24"/>
    </row>
    <row r="54" spans="2:23" x14ac:dyDescent="0.25">
      <c r="B54" s="100" t="s">
        <v>85</v>
      </c>
      <c r="C54" s="23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24"/>
    </row>
    <row r="55" spans="2:23" x14ac:dyDescent="0.25">
      <c r="B55" s="100" t="s">
        <v>81</v>
      </c>
      <c r="C55" s="23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24"/>
    </row>
    <row r="56" spans="2:23" x14ac:dyDescent="0.25">
      <c r="B56" s="100" t="s">
        <v>82</v>
      </c>
      <c r="C56" s="23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24"/>
    </row>
    <row r="57" spans="2:23" x14ac:dyDescent="0.25">
      <c r="B57" s="100" t="s">
        <v>83</v>
      </c>
      <c r="C57" s="23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24"/>
    </row>
    <row r="58" spans="2:23" ht="15.75" customHeight="1" thickBot="1" x14ac:dyDescent="0.3">
      <c r="B58" s="101" t="s">
        <v>84</v>
      </c>
      <c r="C58" s="106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8"/>
    </row>
    <row r="59" spans="2:23" ht="15.75" thickTop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T213"/>
  <sheetViews>
    <sheetView zoomScale="55" zoomScaleNormal="55" workbookViewId="0">
      <selection activeCell="H13" sqref="H13"/>
    </sheetView>
  </sheetViews>
  <sheetFormatPr baseColWidth="10" defaultRowHeight="15" x14ac:dyDescent="0.25"/>
  <cols>
    <col min="1" max="1" width="3.5703125" customWidth="1"/>
    <col min="24" max="24" width="11.42578125" customWidth="1"/>
  </cols>
  <sheetData>
    <row r="2" spans="2:72" ht="15.75" thickBot="1" x14ac:dyDescent="0.3"/>
    <row r="3" spans="2:72" ht="15.75" thickBot="1" x14ac:dyDescent="0.3">
      <c r="B3" s="193" t="s">
        <v>23</v>
      </c>
      <c r="C3" s="155"/>
      <c r="D3" s="155"/>
      <c r="E3" s="155"/>
      <c r="F3" s="156"/>
      <c r="G3" s="155" t="s">
        <v>44</v>
      </c>
      <c r="H3" s="156"/>
      <c r="I3" s="155" t="s">
        <v>45</v>
      </c>
      <c r="J3" s="156"/>
      <c r="K3" s="155" t="s">
        <v>46</v>
      </c>
      <c r="L3" s="156"/>
      <c r="M3" s="155" t="s">
        <v>47</v>
      </c>
      <c r="N3" s="156"/>
      <c r="O3" s="155" t="s">
        <v>48</v>
      </c>
      <c r="P3" s="156"/>
      <c r="Q3" s="155" t="s">
        <v>49</v>
      </c>
      <c r="R3" s="156"/>
      <c r="S3" s="155" t="s">
        <v>50</v>
      </c>
      <c r="T3" s="156"/>
      <c r="U3" s="155" t="s">
        <v>51</v>
      </c>
      <c r="V3" s="156"/>
      <c r="W3" s="155" t="s">
        <v>52</v>
      </c>
      <c r="X3" s="156"/>
      <c r="Y3" s="155" t="s">
        <v>53</v>
      </c>
      <c r="Z3" s="156"/>
      <c r="AA3" s="155" t="s">
        <v>54</v>
      </c>
      <c r="AB3" s="156"/>
      <c r="AC3" s="155" t="s">
        <v>55</v>
      </c>
      <c r="AD3" s="156"/>
      <c r="AE3" s="155" t="s">
        <v>56</v>
      </c>
      <c r="AF3" s="156"/>
      <c r="AG3" s="155" t="s">
        <v>57</v>
      </c>
      <c r="AH3" s="156"/>
      <c r="AI3" s="155" t="s">
        <v>58</v>
      </c>
      <c r="AJ3" s="156"/>
      <c r="AK3" s="155" t="s">
        <v>59</v>
      </c>
      <c r="AL3" s="156"/>
      <c r="AM3" s="155" t="s">
        <v>60</v>
      </c>
      <c r="AN3" s="156"/>
      <c r="AO3" s="155" t="s">
        <v>61</v>
      </c>
      <c r="AP3" s="156"/>
      <c r="AQ3" s="155" t="s">
        <v>62</v>
      </c>
      <c r="AR3" s="156"/>
      <c r="AS3" s="155" t="s">
        <v>63</v>
      </c>
      <c r="AT3" s="156"/>
      <c r="AU3" s="155" t="s">
        <v>64</v>
      </c>
      <c r="AV3" s="156"/>
      <c r="AW3" s="155" t="s">
        <v>65</v>
      </c>
      <c r="AX3" s="156"/>
      <c r="AY3" s="155" t="s">
        <v>66</v>
      </c>
      <c r="AZ3" s="156"/>
      <c r="BA3" s="155" t="s">
        <v>67</v>
      </c>
      <c r="BB3" s="156"/>
      <c r="BC3" s="155" t="s">
        <v>68</v>
      </c>
      <c r="BD3" s="156"/>
      <c r="BE3" s="155" t="s">
        <v>69</v>
      </c>
      <c r="BF3" s="156"/>
      <c r="BG3" s="155" t="s">
        <v>70</v>
      </c>
      <c r="BH3" s="156"/>
      <c r="BI3" s="155" t="s">
        <v>71</v>
      </c>
      <c r="BJ3" s="156"/>
      <c r="BK3" s="155" t="s">
        <v>72</v>
      </c>
      <c r="BL3" s="156"/>
      <c r="BM3" s="155" t="s">
        <v>73</v>
      </c>
      <c r="BN3" s="156"/>
      <c r="BO3" s="155" t="s">
        <v>74</v>
      </c>
      <c r="BP3" s="156"/>
      <c r="BQ3" s="155" t="s">
        <v>75</v>
      </c>
      <c r="BR3" s="156"/>
      <c r="BS3" s="155" t="s">
        <v>76</v>
      </c>
      <c r="BT3" s="156"/>
    </row>
    <row r="4" spans="2:72" x14ac:dyDescent="0.25">
      <c r="B4" s="162" t="s">
        <v>24</v>
      </c>
      <c r="C4" s="163"/>
      <c r="D4" s="163"/>
      <c r="E4" s="186">
        <v>23</v>
      </c>
      <c r="F4" s="187"/>
      <c r="G4" s="12" t="s">
        <v>33</v>
      </c>
      <c r="H4" s="13" t="s">
        <v>36</v>
      </c>
      <c r="I4" s="12" t="s">
        <v>33</v>
      </c>
      <c r="J4" s="13" t="s">
        <v>36</v>
      </c>
      <c r="K4" s="12" t="s">
        <v>33</v>
      </c>
      <c r="L4" s="13" t="s">
        <v>36</v>
      </c>
      <c r="M4" s="12" t="s">
        <v>33</v>
      </c>
      <c r="N4" s="13" t="s">
        <v>36</v>
      </c>
      <c r="O4" s="12" t="s">
        <v>33</v>
      </c>
      <c r="P4" s="13" t="s">
        <v>36</v>
      </c>
      <c r="Q4" s="12" t="s">
        <v>33</v>
      </c>
      <c r="R4" s="13" t="s">
        <v>36</v>
      </c>
      <c r="S4" s="12" t="s">
        <v>33</v>
      </c>
      <c r="T4" s="13" t="s">
        <v>36</v>
      </c>
      <c r="U4" s="12" t="s">
        <v>33</v>
      </c>
      <c r="V4" s="13" t="s">
        <v>36</v>
      </c>
      <c r="W4" s="12" t="s">
        <v>33</v>
      </c>
      <c r="X4" s="13" t="s">
        <v>36</v>
      </c>
      <c r="Y4" s="12" t="s">
        <v>33</v>
      </c>
      <c r="Z4" s="13" t="s">
        <v>36</v>
      </c>
      <c r="AA4" s="12" t="s">
        <v>33</v>
      </c>
      <c r="AB4" s="13" t="s">
        <v>36</v>
      </c>
      <c r="AC4" s="12" t="s">
        <v>33</v>
      </c>
      <c r="AD4" s="13" t="s">
        <v>36</v>
      </c>
      <c r="AE4" s="12" t="s">
        <v>33</v>
      </c>
      <c r="AF4" s="13" t="s">
        <v>36</v>
      </c>
      <c r="AG4" s="12" t="s">
        <v>33</v>
      </c>
      <c r="AH4" s="13" t="s">
        <v>36</v>
      </c>
      <c r="AI4" s="12" t="s">
        <v>33</v>
      </c>
      <c r="AJ4" s="13" t="s">
        <v>36</v>
      </c>
      <c r="AK4" s="12" t="s">
        <v>33</v>
      </c>
      <c r="AL4" s="13" t="s">
        <v>36</v>
      </c>
      <c r="AM4" s="12" t="s">
        <v>33</v>
      </c>
      <c r="AN4" s="13" t="s">
        <v>36</v>
      </c>
      <c r="AO4" s="12" t="s">
        <v>33</v>
      </c>
      <c r="AP4" s="13" t="s">
        <v>36</v>
      </c>
      <c r="AQ4" s="12" t="s">
        <v>33</v>
      </c>
      <c r="AR4" s="13" t="s">
        <v>36</v>
      </c>
      <c r="AS4" s="12" t="s">
        <v>33</v>
      </c>
      <c r="AT4" s="13" t="s">
        <v>36</v>
      </c>
      <c r="AU4" s="12" t="s">
        <v>33</v>
      </c>
      <c r="AV4" s="13" t="s">
        <v>36</v>
      </c>
      <c r="AW4" s="12" t="s">
        <v>33</v>
      </c>
      <c r="AX4" s="13" t="s">
        <v>36</v>
      </c>
      <c r="AY4" s="12" t="s">
        <v>33</v>
      </c>
      <c r="AZ4" s="13" t="s">
        <v>36</v>
      </c>
      <c r="BA4" s="12" t="s">
        <v>33</v>
      </c>
      <c r="BB4" s="13" t="s">
        <v>36</v>
      </c>
      <c r="BC4" s="12" t="s">
        <v>33</v>
      </c>
      <c r="BD4" s="13" t="s">
        <v>36</v>
      </c>
      <c r="BE4" s="12" t="s">
        <v>33</v>
      </c>
      <c r="BF4" s="13" t="s">
        <v>36</v>
      </c>
      <c r="BG4" s="12" t="s">
        <v>33</v>
      </c>
      <c r="BH4" s="13" t="s">
        <v>36</v>
      </c>
      <c r="BI4" s="12" t="s">
        <v>33</v>
      </c>
      <c r="BJ4" s="13" t="s">
        <v>36</v>
      </c>
      <c r="BK4" s="12" t="s">
        <v>33</v>
      </c>
      <c r="BL4" s="13" t="s">
        <v>36</v>
      </c>
      <c r="BM4" s="12" t="s">
        <v>33</v>
      </c>
      <c r="BN4" s="13" t="s">
        <v>36</v>
      </c>
      <c r="BO4" s="12" t="s">
        <v>33</v>
      </c>
      <c r="BP4" s="13" t="s">
        <v>36</v>
      </c>
      <c r="BQ4" s="12" t="s">
        <v>33</v>
      </c>
      <c r="BR4" s="13" t="s">
        <v>36</v>
      </c>
      <c r="BS4" s="12" t="s">
        <v>33</v>
      </c>
      <c r="BT4" s="13" t="s">
        <v>36</v>
      </c>
    </row>
    <row r="5" spans="2:72" x14ac:dyDescent="0.25">
      <c r="B5" s="162"/>
      <c r="C5" s="163"/>
      <c r="D5" s="163"/>
      <c r="E5" s="186" t="s">
        <v>29</v>
      </c>
      <c r="F5" s="187"/>
      <c r="G5" s="14" t="s">
        <v>16</v>
      </c>
      <c r="H5" s="15" t="s">
        <v>35</v>
      </c>
      <c r="I5" s="14" t="s">
        <v>16</v>
      </c>
      <c r="J5" s="15" t="s">
        <v>35</v>
      </c>
      <c r="K5" s="14" t="s">
        <v>16</v>
      </c>
      <c r="L5" s="15" t="s">
        <v>35</v>
      </c>
      <c r="M5" s="14" t="s">
        <v>16</v>
      </c>
      <c r="N5" s="15" t="s">
        <v>35</v>
      </c>
      <c r="O5" s="14" t="s">
        <v>16</v>
      </c>
      <c r="P5" s="15" t="s">
        <v>35</v>
      </c>
      <c r="Q5" s="14" t="s">
        <v>16</v>
      </c>
      <c r="R5" s="15" t="s">
        <v>35</v>
      </c>
      <c r="S5" s="14" t="s">
        <v>16</v>
      </c>
      <c r="T5" s="15" t="s">
        <v>35</v>
      </c>
      <c r="U5" s="14" t="s">
        <v>16</v>
      </c>
      <c r="V5" s="15" t="s">
        <v>35</v>
      </c>
      <c r="W5" s="14" t="s">
        <v>16</v>
      </c>
      <c r="X5" s="15" t="s">
        <v>35</v>
      </c>
      <c r="Y5" s="14" t="s">
        <v>16</v>
      </c>
      <c r="Z5" s="27" t="s">
        <v>35</v>
      </c>
      <c r="AA5" s="14" t="s">
        <v>16</v>
      </c>
      <c r="AB5" s="27" t="s">
        <v>35</v>
      </c>
      <c r="AC5" s="14" t="s">
        <v>16</v>
      </c>
      <c r="AD5" s="27" t="s">
        <v>35</v>
      </c>
      <c r="AE5" s="14" t="s">
        <v>16</v>
      </c>
      <c r="AF5" s="27" t="s">
        <v>35</v>
      </c>
      <c r="AG5" s="14" t="s">
        <v>16</v>
      </c>
      <c r="AH5" s="27" t="s">
        <v>35</v>
      </c>
      <c r="AI5" s="14" t="s">
        <v>16</v>
      </c>
      <c r="AJ5" s="27" t="s">
        <v>35</v>
      </c>
      <c r="AK5" s="14" t="s">
        <v>16</v>
      </c>
      <c r="AL5" s="27" t="s">
        <v>35</v>
      </c>
      <c r="AM5" s="14" t="s">
        <v>16</v>
      </c>
      <c r="AN5" s="27" t="s">
        <v>35</v>
      </c>
      <c r="AO5" s="14" t="s">
        <v>16</v>
      </c>
      <c r="AP5" s="27" t="s">
        <v>35</v>
      </c>
      <c r="AQ5" s="14" t="s">
        <v>16</v>
      </c>
      <c r="AR5" s="27" t="s">
        <v>35</v>
      </c>
      <c r="AS5" s="14" t="s">
        <v>16</v>
      </c>
      <c r="AT5" s="27" t="s">
        <v>35</v>
      </c>
      <c r="AU5" s="14" t="s">
        <v>16</v>
      </c>
      <c r="AV5" s="27" t="s">
        <v>35</v>
      </c>
      <c r="AW5" s="14" t="s">
        <v>16</v>
      </c>
      <c r="AX5" s="27" t="s">
        <v>35</v>
      </c>
      <c r="AY5" s="14" t="s">
        <v>16</v>
      </c>
      <c r="AZ5" s="27" t="s">
        <v>35</v>
      </c>
      <c r="BA5" s="14" t="s">
        <v>16</v>
      </c>
      <c r="BB5" s="27" t="s">
        <v>35</v>
      </c>
      <c r="BC5" s="14" t="s">
        <v>16</v>
      </c>
      <c r="BD5" s="27" t="s">
        <v>35</v>
      </c>
      <c r="BE5" s="14" t="s">
        <v>16</v>
      </c>
      <c r="BF5" s="27" t="s">
        <v>35</v>
      </c>
      <c r="BG5" s="14" t="s">
        <v>16</v>
      </c>
      <c r="BH5" s="27" t="s">
        <v>35</v>
      </c>
      <c r="BI5" s="14" t="s">
        <v>16</v>
      </c>
      <c r="BJ5" s="27" t="s">
        <v>35</v>
      </c>
      <c r="BK5" s="14" t="s">
        <v>16</v>
      </c>
      <c r="BL5" s="27" t="s">
        <v>35</v>
      </c>
      <c r="BM5" s="14" t="s">
        <v>16</v>
      </c>
      <c r="BN5" s="27" t="s">
        <v>35</v>
      </c>
      <c r="BO5" s="14" t="s">
        <v>16</v>
      </c>
      <c r="BP5" s="27" t="s">
        <v>35</v>
      </c>
      <c r="BQ5" s="14" t="s">
        <v>16</v>
      </c>
      <c r="BR5" s="27" t="s">
        <v>35</v>
      </c>
      <c r="BS5" s="14" t="s">
        <v>16</v>
      </c>
      <c r="BT5" s="27" t="s">
        <v>35</v>
      </c>
    </row>
    <row r="6" spans="2:72" x14ac:dyDescent="0.25">
      <c r="B6" s="162"/>
      <c r="C6" s="163"/>
      <c r="D6" s="163"/>
      <c r="E6" s="186" t="s">
        <v>30</v>
      </c>
      <c r="F6" s="187"/>
      <c r="G6" s="16" t="s">
        <v>34</v>
      </c>
      <c r="H6" s="11" t="s">
        <v>15</v>
      </c>
      <c r="I6" s="16" t="s">
        <v>34</v>
      </c>
      <c r="J6" s="11" t="s">
        <v>15</v>
      </c>
      <c r="K6" s="16" t="s">
        <v>34</v>
      </c>
      <c r="L6" s="11" t="s">
        <v>15</v>
      </c>
      <c r="M6" s="16" t="s">
        <v>34</v>
      </c>
      <c r="N6" s="11" t="s">
        <v>15</v>
      </c>
      <c r="O6" s="16" t="s">
        <v>34</v>
      </c>
      <c r="P6" s="11" t="s">
        <v>15</v>
      </c>
      <c r="Q6" s="16" t="s">
        <v>34</v>
      </c>
      <c r="R6" s="11" t="s">
        <v>15</v>
      </c>
      <c r="S6" s="16" t="s">
        <v>34</v>
      </c>
      <c r="T6" s="11" t="s">
        <v>15</v>
      </c>
      <c r="U6" s="16" t="s">
        <v>34</v>
      </c>
      <c r="V6" s="11" t="s">
        <v>15</v>
      </c>
      <c r="W6" s="16" t="s">
        <v>34</v>
      </c>
      <c r="X6" s="11" t="s">
        <v>15</v>
      </c>
      <c r="Y6" s="16" t="s">
        <v>34</v>
      </c>
      <c r="Z6" s="28" t="s">
        <v>15</v>
      </c>
      <c r="AA6" s="16" t="s">
        <v>34</v>
      </c>
      <c r="AB6" s="28" t="s">
        <v>15</v>
      </c>
      <c r="AC6" s="16" t="s">
        <v>34</v>
      </c>
      <c r="AD6" s="28" t="s">
        <v>15</v>
      </c>
      <c r="AE6" s="16" t="s">
        <v>34</v>
      </c>
      <c r="AF6" s="28" t="s">
        <v>15</v>
      </c>
      <c r="AG6" s="16" t="s">
        <v>34</v>
      </c>
      <c r="AH6" s="28" t="s">
        <v>15</v>
      </c>
      <c r="AI6" s="16" t="s">
        <v>34</v>
      </c>
      <c r="AJ6" s="28" t="s">
        <v>15</v>
      </c>
      <c r="AK6" s="16" t="s">
        <v>34</v>
      </c>
      <c r="AL6" s="28" t="s">
        <v>15</v>
      </c>
      <c r="AM6" s="16" t="s">
        <v>34</v>
      </c>
      <c r="AN6" s="28" t="s">
        <v>15</v>
      </c>
      <c r="AO6" s="16" t="s">
        <v>34</v>
      </c>
      <c r="AP6" s="28" t="s">
        <v>15</v>
      </c>
      <c r="AQ6" s="16" t="s">
        <v>34</v>
      </c>
      <c r="AR6" s="28" t="s">
        <v>15</v>
      </c>
      <c r="AS6" s="16" t="s">
        <v>34</v>
      </c>
      <c r="AT6" s="28" t="s">
        <v>15</v>
      </c>
      <c r="AU6" s="16" t="s">
        <v>34</v>
      </c>
      <c r="AV6" s="28" t="s">
        <v>15</v>
      </c>
      <c r="AW6" s="16" t="s">
        <v>34</v>
      </c>
      <c r="AX6" s="28" t="s">
        <v>15</v>
      </c>
      <c r="AY6" s="16" t="s">
        <v>34</v>
      </c>
      <c r="AZ6" s="28" t="s">
        <v>15</v>
      </c>
      <c r="BA6" s="16" t="s">
        <v>34</v>
      </c>
      <c r="BB6" s="28" t="s">
        <v>15</v>
      </c>
      <c r="BC6" s="16" t="s">
        <v>34</v>
      </c>
      <c r="BD6" s="28" t="s">
        <v>15</v>
      </c>
      <c r="BE6" s="16" t="s">
        <v>34</v>
      </c>
      <c r="BF6" s="28" t="s">
        <v>15</v>
      </c>
      <c r="BG6" s="16" t="s">
        <v>34</v>
      </c>
      <c r="BH6" s="28" t="s">
        <v>15</v>
      </c>
      <c r="BI6" s="16" t="s">
        <v>34</v>
      </c>
      <c r="BJ6" s="28" t="s">
        <v>15</v>
      </c>
      <c r="BK6" s="16" t="s">
        <v>34</v>
      </c>
      <c r="BL6" s="28" t="s">
        <v>15</v>
      </c>
      <c r="BM6" s="16" t="s">
        <v>34</v>
      </c>
      <c r="BN6" s="28" t="s">
        <v>15</v>
      </c>
      <c r="BO6" s="16" t="s">
        <v>34</v>
      </c>
      <c r="BP6" s="28" t="s">
        <v>15</v>
      </c>
      <c r="BQ6" s="16" t="s">
        <v>34</v>
      </c>
      <c r="BR6" s="28" t="s">
        <v>15</v>
      </c>
      <c r="BS6" s="16" t="s">
        <v>34</v>
      </c>
      <c r="BT6" s="28" t="s">
        <v>15</v>
      </c>
    </row>
    <row r="7" spans="2:72" x14ac:dyDescent="0.25">
      <c r="B7" s="162" t="s">
        <v>25</v>
      </c>
      <c r="C7" s="163"/>
      <c r="D7" s="163" t="s">
        <v>26</v>
      </c>
      <c r="E7" s="163" t="s">
        <v>32</v>
      </c>
      <c r="F7" s="181"/>
      <c r="G7" s="149" t="s">
        <v>38</v>
      </c>
      <c r="H7" s="152" t="s">
        <v>39</v>
      </c>
      <c r="I7" s="149" t="s">
        <v>38</v>
      </c>
      <c r="J7" s="152" t="s">
        <v>39</v>
      </c>
      <c r="K7" s="149" t="s">
        <v>38</v>
      </c>
      <c r="L7" s="152" t="s">
        <v>39</v>
      </c>
      <c r="M7" s="149" t="s">
        <v>38</v>
      </c>
      <c r="N7" s="152" t="s">
        <v>39</v>
      </c>
      <c r="O7" s="149" t="s">
        <v>38</v>
      </c>
      <c r="P7" s="152" t="s">
        <v>39</v>
      </c>
      <c r="Q7" s="149" t="s">
        <v>38</v>
      </c>
      <c r="R7" s="152" t="s">
        <v>39</v>
      </c>
      <c r="S7" s="149" t="s">
        <v>38</v>
      </c>
      <c r="T7" s="152" t="s">
        <v>39</v>
      </c>
      <c r="U7" s="149" t="s">
        <v>38</v>
      </c>
      <c r="V7" s="152" t="s">
        <v>39</v>
      </c>
      <c r="W7" s="149" t="s">
        <v>38</v>
      </c>
      <c r="X7" s="152" t="s">
        <v>39</v>
      </c>
      <c r="Y7" s="149" t="s">
        <v>38</v>
      </c>
      <c r="Z7" s="152" t="s">
        <v>39</v>
      </c>
      <c r="AA7" s="149" t="s">
        <v>38</v>
      </c>
      <c r="AB7" s="152" t="s">
        <v>39</v>
      </c>
      <c r="AC7" s="149" t="s">
        <v>38</v>
      </c>
      <c r="AD7" s="152" t="s">
        <v>39</v>
      </c>
      <c r="AE7" s="149" t="s">
        <v>38</v>
      </c>
      <c r="AF7" s="152" t="s">
        <v>39</v>
      </c>
      <c r="AG7" s="149" t="s">
        <v>38</v>
      </c>
      <c r="AH7" s="152" t="s">
        <v>39</v>
      </c>
      <c r="AI7" s="149" t="s">
        <v>38</v>
      </c>
      <c r="AJ7" s="152" t="s">
        <v>39</v>
      </c>
      <c r="AK7" s="149" t="s">
        <v>38</v>
      </c>
      <c r="AL7" s="152" t="s">
        <v>39</v>
      </c>
      <c r="AM7" s="149" t="s">
        <v>38</v>
      </c>
      <c r="AN7" s="152" t="s">
        <v>39</v>
      </c>
      <c r="AO7" s="149" t="s">
        <v>38</v>
      </c>
      <c r="AP7" s="152" t="s">
        <v>39</v>
      </c>
      <c r="AQ7" s="149" t="s">
        <v>38</v>
      </c>
      <c r="AR7" s="152" t="s">
        <v>39</v>
      </c>
      <c r="AS7" s="149" t="s">
        <v>38</v>
      </c>
      <c r="AT7" s="152" t="s">
        <v>39</v>
      </c>
      <c r="AU7" s="149" t="s">
        <v>38</v>
      </c>
      <c r="AV7" s="152" t="s">
        <v>39</v>
      </c>
      <c r="AW7" s="149" t="s">
        <v>38</v>
      </c>
      <c r="AX7" s="152" t="s">
        <v>39</v>
      </c>
      <c r="AY7" s="149" t="s">
        <v>38</v>
      </c>
      <c r="AZ7" s="152" t="s">
        <v>39</v>
      </c>
      <c r="BA7" s="149" t="s">
        <v>38</v>
      </c>
      <c r="BB7" s="152" t="s">
        <v>39</v>
      </c>
      <c r="BC7" s="149" t="s">
        <v>38</v>
      </c>
      <c r="BD7" s="152" t="s">
        <v>39</v>
      </c>
      <c r="BE7" s="149" t="s">
        <v>38</v>
      </c>
      <c r="BF7" s="152" t="s">
        <v>39</v>
      </c>
      <c r="BG7" s="149" t="s">
        <v>38</v>
      </c>
      <c r="BH7" s="152" t="s">
        <v>39</v>
      </c>
      <c r="BI7" s="149" t="s">
        <v>38</v>
      </c>
      <c r="BJ7" s="152" t="s">
        <v>39</v>
      </c>
      <c r="BK7" s="149" t="s">
        <v>38</v>
      </c>
      <c r="BL7" s="152" t="s">
        <v>39</v>
      </c>
      <c r="BM7" s="149" t="s">
        <v>38</v>
      </c>
      <c r="BN7" s="152" t="s">
        <v>39</v>
      </c>
      <c r="BO7" s="149" t="s">
        <v>38</v>
      </c>
      <c r="BP7" s="152" t="s">
        <v>39</v>
      </c>
      <c r="BQ7" s="149" t="s">
        <v>38</v>
      </c>
      <c r="BR7" s="152" t="s">
        <v>39</v>
      </c>
      <c r="BS7" s="149" t="s">
        <v>38</v>
      </c>
      <c r="BT7" s="152" t="s">
        <v>39</v>
      </c>
    </row>
    <row r="8" spans="2:72" x14ac:dyDescent="0.25">
      <c r="B8" s="162"/>
      <c r="C8" s="163"/>
      <c r="D8" s="163"/>
      <c r="E8" s="163"/>
      <c r="F8" s="181"/>
      <c r="G8" s="150"/>
      <c r="H8" s="153"/>
      <c r="I8" s="150"/>
      <c r="J8" s="153"/>
      <c r="K8" s="150"/>
      <c r="L8" s="153"/>
      <c r="M8" s="150"/>
      <c r="N8" s="153"/>
      <c r="O8" s="150"/>
      <c r="P8" s="153"/>
      <c r="Q8" s="150"/>
      <c r="R8" s="153"/>
      <c r="S8" s="150"/>
      <c r="T8" s="153"/>
      <c r="U8" s="150"/>
      <c r="V8" s="153"/>
      <c r="W8" s="150"/>
      <c r="X8" s="153"/>
      <c r="Y8" s="150"/>
      <c r="Z8" s="153"/>
      <c r="AA8" s="150"/>
      <c r="AB8" s="153"/>
      <c r="AC8" s="150"/>
      <c r="AD8" s="153"/>
      <c r="AE8" s="150"/>
      <c r="AF8" s="153"/>
      <c r="AG8" s="150"/>
      <c r="AH8" s="153"/>
      <c r="AI8" s="150"/>
      <c r="AJ8" s="153"/>
      <c r="AK8" s="150"/>
      <c r="AL8" s="153"/>
      <c r="AM8" s="150"/>
      <c r="AN8" s="153"/>
      <c r="AO8" s="150"/>
      <c r="AP8" s="153"/>
      <c r="AQ8" s="150"/>
      <c r="AR8" s="153"/>
      <c r="AS8" s="150"/>
      <c r="AT8" s="153"/>
      <c r="AU8" s="150"/>
      <c r="AV8" s="153"/>
      <c r="AW8" s="150"/>
      <c r="AX8" s="153"/>
      <c r="AY8" s="150"/>
      <c r="AZ8" s="153"/>
      <c r="BA8" s="150"/>
      <c r="BB8" s="153"/>
      <c r="BC8" s="150"/>
      <c r="BD8" s="153"/>
      <c r="BE8" s="150"/>
      <c r="BF8" s="153"/>
      <c r="BG8" s="150"/>
      <c r="BH8" s="153"/>
      <c r="BI8" s="150"/>
      <c r="BJ8" s="153"/>
      <c r="BK8" s="150"/>
      <c r="BL8" s="153"/>
      <c r="BM8" s="150"/>
      <c r="BN8" s="153"/>
      <c r="BO8" s="150"/>
      <c r="BP8" s="153"/>
      <c r="BQ8" s="150"/>
      <c r="BR8" s="153"/>
      <c r="BS8" s="150"/>
      <c r="BT8" s="153"/>
    </row>
    <row r="9" spans="2:72" ht="15.75" thickBot="1" x14ac:dyDescent="0.3">
      <c r="B9" s="184" t="s">
        <v>28</v>
      </c>
      <c r="C9" s="185"/>
      <c r="D9" s="8" t="s">
        <v>27</v>
      </c>
      <c r="E9" s="185" t="s">
        <v>31</v>
      </c>
      <c r="F9" s="192"/>
      <c r="G9" s="150"/>
      <c r="H9" s="153"/>
      <c r="I9" s="151"/>
      <c r="J9" s="154"/>
      <c r="K9" s="151"/>
      <c r="L9" s="154"/>
      <c r="M9" s="151"/>
      <c r="N9" s="154"/>
      <c r="O9" s="151"/>
      <c r="P9" s="154"/>
      <c r="Q9" s="151"/>
      <c r="R9" s="154"/>
      <c r="S9" s="151"/>
      <c r="T9" s="154"/>
      <c r="U9" s="151"/>
      <c r="V9" s="154"/>
      <c r="W9" s="151"/>
      <c r="X9" s="154"/>
      <c r="Y9" s="151"/>
      <c r="Z9" s="154"/>
      <c r="AA9" s="151"/>
      <c r="AB9" s="154"/>
      <c r="AC9" s="151"/>
      <c r="AD9" s="154"/>
      <c r="AE9" s="151"/>
      <c r="AF9" s="154"/>
      <c r="AG9" s="151"/>
      <c r="AH9" s="154"/>
      <c r="AI9" s="151"/>
      <c r="AJ9" s="154"/>
      <c r="AK9" s="151"/>
      <c r="AL9" s="154"/>
      <c r="AM9" s="151"/>
      <c r="AN9" s="154"/>
      <c r="AO9" s="151"/>
      <c r="AP9" s="154"/>
      <c r="AQ9" s="151"/>
      <c r="AR9" s="154"/>
      <c r="AS9" s="151"/>
      <c r="AT9" s="154"/>
      <c r="AU9" s="151"/>
      <c r="AV9" s="154"/>
      <c r="AW9" s="151"/>
      <c r="AX9" s="154"/>
      <c r="AY9" s="151"/>
      <c r="AZ9" s="154"/>
      <c r="BA9" s="151"/>
      <c r="BB9" s="154"/>
      <c r="BC9" s="151"/>
      <c r="BD9" s="154"/>
      <c r="BE9" s="151"/>
      <c r="BF9" s="154"/>
      <c r="BG9" s="151"/>
      <c r="BH9" s="154"/>
      <c r="BI9" s="151"/>
      <c r="BJ9" s="154"/>
      <c r="BK9" s="151"/>
      <c r="BL9" s="154"/>
      <c r="BM9" s="151"/>
      <c r="BN9" s="154"/>
      <c r="BO9" s="151"/>
      <c r="BP9" s="154"/>
      <c r="BQ9" s="151"/>
      <c r="BR9" s="154"/>
      <c r="BS9" s="151"/>
      <c r="BT9" s="154"/>
    </row>
    <row r="10" spans="2:72" x14ac:dyDescent="0.25">
      <c r="B10" s="159" t="s">
        <v>77</v>
      </c>
      <c r="C10" s="160"/>
      <c r="D10" s="188"/>
      <c r="E10" s="177">
        <v>1</v>
      </c>
      <c r="F10" s="189"/>
      <c r="G10" s="17">
        <f>'Données ressources'!C$37</f>
        <v>0</v>
      </c>
      <c r="H10" s="18">
        <f ca="1">ROUNDUP(E$15-$E$13-G$12-G$10+G$11*(1-($E$11/100)),0)</f>
        <v>0</v>
      </c>
      <c r="I10" s="17">
        <f>'Données ressources'!E37</f>
        <v>0</v>
      </c>
      <c r="J10" s="18">
        <f ca="1">ROUNDUP(H$13-$E$13-I$12-I$10+I$11*(1-($E$11/100)),0)</f>
        <v>0</v>
      </c>
      <c r="K10" s="17">
        <f>'Données ressources'!G37</f>
        <v>0</v>
      </c>
      <c r="L10" s="18">
        <f ca="1">ROUNDUP(J$13-$E$13-K$12-K$10+K$11*(1-($E$11/100)),0)</f>
        <v>0</v>
      </c>
      <c r="M10" s="17">
        <f>'Données ressources'!I37</f>
        <v>0</v>
      </c>
      <c r="N10" s="18">
        <f>ROUNDUP(L$13-$E$13-M$12-M$10+M$11*(1-($E$11/100)),0)</f>
        <v>0</v>
      </c>
      <c r="O10" s="17">
        <f>'Données ressources'!K37</f>
        <v>0</v>
      </c>
      <c r="P10" s="18">
        <f ca="1">ROUNDUP(N$13-$E$13-O$12-O$10+O$11*(1-($E$11/100)),0)</f>
        <v>0</v>
      </c>
      <c r="Q10" s="17">
        <f>'Données ressources'!M37</f>
        <v>0</v>
      </c>
      <c r="R10" s="18">
        <f ca="1">ROUNDUP(P$13-$E$13-Q$12-Q$10+Q$11*(1-($E$11/100)),0)</f>
        <v>0</v>
      </c>
      <c r="S10" s="17">
        <f>'Données ressources'!O37</f>
        <v>0</v>
      </c>
      <c r="T10" s="18">
        <f ca="1">ROUNDUP(R$13-$E$13-S$12-S$10+S$11*(1-($E$11/100)),0)</f>
        <v>0</v>
      </c>
      <c r="U10" s="17">
        <f>'Données ressources'!Q37</f>
        <v>0</v>
      </c>
      <c r="V10" s="18">
        <f ca="1">ROUNDUP(T$13-$E$13-U$12-U$10+U$11*(1-($E$11/100)),0)</f>
        <v>0</v>
      </c>
      <c r="W10" s="17">
        <f>'Données ressources'!S37</f>
        <v>0</v>
      </c>
      <c r="X10" s="18">
        <f ca="1">ROUNDUP(V$13-$E$13-W$12-W$10+W$11*(1-($E$11/100)),0)</f>
        <v>0</v>
      </c>
      <c r="Y10" s="17">
        <f>'Données ressources'!U37</f>
        <v>0</v>
      </c>
      <c r="Z10" s="18">
        <f t="shared" ref="Z10" ca="1" si="0">ROUNDUP(X$13-$E$13-Y$12-Y$10+Y$11*(1-($E$11/100)),0)</f>
        <v>0</v>
      </c>
      <c r="AA10" s="17">
        <f>'Données ressources'!W37</f>
        <v>1000</v>
      </c>
      <c r="AB10" s="18">
        <f ca="1">ROUNDUP(Z$13-$E$13-AA$12-AA$10+AA$11*(1-($E$11/100)),0)</f>
        <v>-1000</v>
      </c>
    </row>
    <row r="11" spans="2:72" x14ac:dyDescent="0.25">
      <c r="B11" s="162"/>
      <c r="C11" s="163"/>
      <c r="D11" s="181"/>
      <c r="E11" s="190"/>
      <c r="F11" s="191"/>
      <c r="G11" s="19">
        <f ca="1">OFFSET('Données ressources'!C$24,0,2)</f>
        <v>0</v>
      </c>
      <c r="H11" s="20">
        <f ca="1">MAX(0,H10/(1-(E11/100)))</f>
        <v>0</v>
      </c>
      <c r="I11" s="25">
        <f ca="1">OFFSET('Données ressources'!E$24,0,2)</f>
        <v>0</v>
      </c>
      <c r="J11" s="20">
        <v>0</v>
      </c>
      <c r="K11" s="25">
        <v>0</v>
      </c>
      <c r="L11" s="20">
        <v>0</v>
      </c>
      <c r="M11" s="25">
        <v>0</v>
      </c>
      <c r="N11" s="20">
        <f ca="1">IF(N$10&gt;0,0,-N$10/(1-(I$11/100)))</f>
        <v>0</v>
      </c>
      <c r="O11" s="25">
        <f ca="1">OFFSET('Données ressources'!K$24,0,2)</f>
        <v>0</v>
      </c>
      <c r="P11" s="20">
        <f ca="1">IF(P$10&gt;0,0,-P$10/(1-(K$11/100)))</f>
        <v>0</v>
      </c>
      <c r="Q11" s="25">
        <f ca="1">OFFSET('Données ressources'!M$24,0,2)</f>
        <v>0</v>
      </c>
      <c r="R11" s="20">
        <f ca="1">IF(R$10&gt;0,0,-R$10/(1-(M$11/100)))</f>
        <v>0</v>
      </c>
      <c r="S11" s="25">
        <f ca="1">OFFSET('Données ressources'!O$24,0,2)</f>
        <v>0</v>
      </c>
      <c r="T11" s="20">
        <f ca="1">IF(T$10&gt;0,0,-T$10/(1-(O$11/100)))</f>
        <v>0</v>
      </c>
      <c r="U11" s="25">
        <f ca="1">OFFSET('Données ressources'!Q$24,0,2)</f>
        <v>0</v>
      </c>
      <c r="V11" s="20">
        <f ca="1">IF(V$10&gt;0,0,-V$10/(1-(Q$11/100)))</f>
        <v>0</v>
      </c>
      <c r="W11" s="25">
        <f ca="1">OFFSET('Données ressources'!S$24,0,2)</f>
        <v>0</v>
      </c>
      <c r="X11" s="20">
        <f ca="1">IF(X$10&gt;0,0,-X$10/(1-(S$11/100)))</f>
        <v>0</v>
      </c>
      <c r="Y11" s="25">
        <f ca="1">OFFSET('Données ressources'!W$24,0,2)</f>
        <v>0</v>
      </c>
      <c r="Z11" s="20">
        <f t="shared" ref="Z11" ca="1" si="1">IF(Z$10&gt;0,0,-Z$10/(1-(U$11/100)))</f>
        <v>0</v>
      </c>
      <c r="AA11" s="25">
        <f ca="1">OFFSET('Données ressources'!Y$24,0,2)</f>
        <v>0</v>
      </c>
      <c r="AB11" s="20">
        <f t="shared" ref="AB11" ca="1" si="2">IF(AB$10&gt;0,0,-AB$10/(1-(W$11/100)))</f>
        <v>1000</v>
      </c>
    </row>
    <row r="12" spans="2:72" x14ac:dyDescent="0.25">
      <c r="B12" s="162"/>
      <c r="C12" s="163"/>
      <c r="D12" s="181"/>
      <c r="E12" s="190"/>
      <c r="F12" s="191"/>
      <c r="G12" s="19">
        <f>'Données ressources'!C50</f>
        <v>0</v>
      </c>
      <c r="H12" s="20">
        <f ca="1">IF(AND($B$13="Lot",$B$15&gt;0),ROUNDUP(H$11/$B$15,)*$B$15,IF(AND($B$13="LFL",$B$15&gt;0),H$11,IF(AND($B$13="SEUIL",$B$15&gt;0),MAX($B$15,H$11,0))))</f>
        <v>0</v>
      </c>
      <c r="I12" s="19">
        <f>'Données ressources'!E50</f>
        <v>0</v>
      </c>
      <c r="J12" s="20">
        <f>IF(AND($B$13="Lot",$B$15&gt;0),ROUNDUP(J$11/$B$15,)*$B$15,IF(AND($B$13="LFL",$B$15&gt;0),J$11,IF(AND($B$13="SEUIL",$B$15&gt;0),MAX($B$15,J$11,0))))</f>
        <v>0</v>
      </c>
      <c r="K12" s="19">
        <v>0</v>
      </c>
      <c r="L12" s="20">
        <v>0</v>
      </c>
      <c r="M12" s="19">
        <v>0</v>
      </c>
      <c r="N12" s="20">
        <f ca="1">IF(AND($B$13="Lot",$B$15&gt;0),ROUNDUP(N$11/$B$15,)*$B$15,IF(AND($B$13="LFL",$B$15&gt;0),N$11,IF(AND($B$13="SEUIL",$B$15&gt;0),MAX($B$15,N$11,0))))</f>
        <v>0</v>
      </c>
      <c r="O12" s="19">
        <f>'Données ressources'!K50</f>
        <v>0</v>
      </c>
      <c r="P12" s="20">
        <f ca="1">IF(AND($B$13="Lot",$B$15&gt;0),ROUNDUP(P$11/$B$15,)*$B$15,IF(AND($B$13="LFL",$B$15&gt;0),P$11,IF(AND($B$13="SEUIL",$B$15&gt;0),MAX($B$15,P$11,0))))</f>
        <v>0</v>
      </c>
      <c r="Q12" s="19">
        <f>'Données ressources'!M50</f>
        <v>0</v>
      </c>
      <c r="R12" s="20">
        <f ca="1">IF(AND($B$13="Lot",$B$15&gt;0),ROUNDUP(R$11/$B$15,)*$B$15,IF(AND($B$13="LFL",$B$15&gt;0),R$11,IF(AND($B$13="SEUIL",$B$15&gt;0),MAX($B$15,R$11,0))))</f>
        <v>0</v>
      </c>
      <c r="S12" s="19">
        <f>'Données ressources'!O50</f>
        <v>0</v>
      </c>
      <c r="T12" s="20">
        <f ca="1">IF(AND($B$13="Lot",$B$15&gt;0),ROUNDUP(T$11/$B$15,)*$B$15,IF(AND($B$13="LFL",$B$15&gt;0),T$11,IF(AND($B$13="SEUIL",$B$15&gt;0),MAX($B$15,T$11,0))))</f>
        <v>0</v>
      </c>
      <c r="U12" s="19">
        <f>'Données ressources'!Q50</f>
        <v>0</v>
      </c>
      <c r="V12" s="20">
        <f ca="1">IF(AND($B$13="Lot",$B$15&gt;0),ROUNDUP(V$11/$B$15,)*$B$15,IF(AND($B$13="LFL",$B$15&gt;0),V$11,IF(AND($B$13="SEUIL",$B$15&gt;0),MAX($B$15,V$11,0))))</f>
        <v>0</v>
      </c>
      <c r="W12" s="19">
        <f>'Données ressources'!S50</f>
        <v>0</v>
      </c>
      <c r="X12" s="20">
        <f ca="1">IF(AND($B$13="Lot",$B$15&gt;0),ROUNDUP(X$11/$B$15,)*$B$15,IF(AND($B$13="LFL",$B$15&gt;0),X$11,IF(AND($B$13="SEUIL",$B$15&gt;0),MAX($B$15,X$11,0))))</f>
        <v>0</v>
      </c>
      <c r="Y12" s="19">
        <f>'Données ressources'!W50</f>
        <v>0</v>
      </c>
      <c r="Z12" s="20">
        <f t="shared" ref="Z12" ca="1" si="3">IF(AND($B$13="Lot",$B$15&gt;0),ROUNDUP(Z$11/$B$15,)*$B$15,IF(AND($B$13="LFL",$B$15&gt;0),Z$11,IF(AND($B$13="SEUIL",$B$15&gt;0),MAX($B$15,Z$11,0))))</f>
        <v>0</v>
      </c>
      <c r="AA12" s="19">
        <f>'Données ressources'!Y50</f>
        <v>0</v>
      </c>
      <c r="AB12" s="20">
        <f t="shared" ref="AB12" ca="1" si="4">IF(AND($B$13="Lot",$B$15&gt;0),ROUNDUP(AB$11/$B$15,)*$B$15,IF(AND($B$13="LFL",$B$15&gt;0),AB$11,IF(AND($B$13="SEUIL",$B$15&gt;0),MAX($B$15,AB$11,0))))</f>
        <v>1000</v>
      </c>
    </row>
    <row r="13" spans="2:72" x14ac:dyDescent="0.25">
      <c r="B13" s="167" t="s">
        <v>12</v>
      </c>
      <c r="C13" s="168"/>
      <c r="D13" s="181"/>
      <c r="E13" s="179"/>
      <c r="F13" s="183"/>
      <c r="G13" s="35">
        <f ca="1">OFFSET(G$13,-1,(1+2*$D$15))</f>
        <v>0</v>
      </c>
      <c r="H13" s="38">
        <f ca="1">H$10+$E13+(H$12*(1-$E11/100))</f>
        <v>0</v>
      </c>
      <c r="I13" s="35">
        <f ca="1">OFFSET(I$13,-1,(1+2*$D$15))</f>
        <v>0</v>
      </c>
      <c r="J13" s="38">
        <f ca="1">J$10+$E13+(J$12*(1-$E11/100))</f>
        <v>0</v>
      </c>
      <c r="K13" s="35">
        <v>0</v>
      </c>
      <c r="L13" s="38">
        <v>0</v>
      </c>
      <c r="M13" s="35">
        <v>0</v>
      </c>
      <c r="N13" s="38">
        <f ca="1">N$10+$E13+(N$12*(1-$E11/100))</f>
        <v>0</v>
      </c>
      <c r="O13" s="35">
        <f ca="1">OFFSET(O$13,-1,(1+2*$D$15))</f>
        <v>0</v>
      </c>
      <c r="P13" s="38">
        <f ca="1">P$10+$E13+(P$12*(1-$E11/100))</f>
        <v>0</v>
      </c>
      <c r="Q13" s="35">
        <f ca="1">OFFSET(Q$13,-1,(1+2*$D$15))</f>
        <v>0</v>
      </c>
      <c r="R13" s="38">
        <f ca="1">R$10+$E13+(R$12*(1-$E11/100))</f>
        <v>0</v>
      </c>
      <c r="S13" s="35">
        <f ca="1">OFFSET(S$13,-1,(1+2*$D$15))</f>
        <v>0</v>
      </c>
      <c r="T13" s="38">
        <f ca="1">T$10+$E13+(T$12*(1-$E11/100))</f>
        <v>0</v>
      </c>
      <c r="U13" s="35">
        <f ca="1">OFFSET(U$13,-1,(1+2*$D$15))</f>
        <v>0</v>
      </c>
      <c r="V13" s="38">
        <f ca="1">V$10+$E13+(V$12*(1-$E11/100))</f>
        <v>0</v>
      </c>
      <c r="W13" s="35">
        <f ca="1">OFFSET(W$13,-1,(1+2*$D$15))</f>
        <v>0</v>
      </c>
      <c r="X13" s="38">
        <f ca="1">X$10+$E13+(X$12*(1-$E11/100))</f>
        <v>0</v>
      </c>
      <c r="Y13" s="35">
        <f t="shared" ref="Y13" ca="1" si="5">OFFSET(Y$13,-1,(1+2*$D$15))</f>
        <v>1000</v>
      </c>
      <c r="Z13" s="38">
        <f t="shared" ref="Z13" ca="1" si="6">Z$10+$E13+(Z$12*(1-$E11/100))</f>
        <v>0</v>
      </c>
      <c r="AA13" s="35">
        <f t="shared" ref="AA13" ca="1" si="7">OFFSET(AA$13,-1,(1+2*$D$15))</f>
        <v>0</v>
      </c>
      <c r="AB13" s="38">
        <f t="shared" ref="AB13" ca="1" si="8">AB$10+$E13+(AB$12*(1-$E11/100))</f>
        <v>0</v>
      </c>
    </row>
    <row r="14" spans="2:72" x14ac:dyDescent="0.25">
      <c r="B14" s="169"/>
      <c r="C14" s="170"/>
      <c r="D14" s="181"/>
      <c r="E14" s="179"/>
      <c r="F14" s="183"/>
      <c r="G14" s="37"/>
      <c r="H14" s="40"/>
      <c r="I14" s="37"/>
      <c r="J14" s="40"/>
      <c r="K14" s="37"/>
      <c r="L14" s="40" t="s">
        <v>49</v>
      </c>
      <c r="M14" s="37"/>
      <c r="N14" s="40"/>
      <c r="O14" s="37"/>
      <c r="P14" s="40"/>
      <c r="Q14" s="37"/>
      <c r="R14" s="40"/>
      <c r="S14" s="37"/>
      <c r="T14" s="40"/>
      <c r="U14" s="37"/>
      <c r="V14" s="40"/>
      <c r="W14" s="37"/>
      <c r="X14" s="40"/>
      <c r="Y14" s="37"/>
      <c r="Z14" s="40"/>
      <c r="AA14" s="37"/>
      <c r="AB14" s="40"/>
    </row>
    <row r="15" spans="2:72" ht="15.75" thickBot="1" x14ac:dyDescent="0.3">
      <c r="B15" s="157">
        <v>1</v>
      </c>
      <c r="C15" s="158"/>
      <c r="D15" s="9">
        <v>1</v>
      </c>
      <c r="E15" s="171">
        <f>'Données techniques'!C21</f>
        <v>0</v>
      </c>
      <c r="F15" s="182"/>
      <c r="G15" s="36"/>
      <c r="H15" s="39"/>
      <c r="I15" s="36"/>
      <c r="J15" s="39"/>
      <c r="K15" s="36">
        <v>0</v>
      </c>
      <c r="L15" s="39">
        <v>0</v>
      </c>
      <c r="M15" s="36">
        <v>0</v>
      </c>
      <c r="N15" s="39"/>
      <c r="O15" s="36"/>
      <c r="P15" s="39"/>
      <c r="Q15" s="36"/>
      <c r="R15" s="39"/>
      <c r="S15" s="36"/>
      <c r="T15" s="39"/>
      <c r="U15" s="36"/>
      <c r="V15" s="39"/>
      <c r="W15" s="36"/>
      <c r="X15" s="39"/>
      <c r="Y15" s="36"/>
      <c r="Z15" s="39"/>
      <c r="AA15" s="36"/>
      <c r="AB15" s="39"/>
    </row>
    <row r="16" spans="2:72" x14ac:dyDescent="0.25">
      <c r="B16" s="159" t="s">
        <v>78</v>
      </c>
      <c r="C16" s="160"/>
      <c r="D16" s="161"/>
      <c r="E16" s="173">
        <v>2</v>
      </c>
      <c r="F16" s="174"/>
      <c r="G16" s="21">
        <f ca="1">ROUNDUP((IF($E$16&gt;$E$10,G$13*'Données techniques'!$D$37/(1-($E$18/100)),0))+(IF($E$16&gt;$E$22,G$25*'Données techniques'!$H$37/(1-(MRP!$E$18/100)),0))+(IF(MRP!$E$16&gt;MRP!E28,MRP!G$31*'Données techniques'!$J$37/(1-($E$18/100)),0))+(IF($E$16&gt;$E$34,G37*'Données techniques'!$L$37/(1-(MRP!$E$18/100)),0))+(IF(MRP!$E$16&gt;MRP!$E$40,MRP!G$43*'Données techniques'!$N$37/(1-(MRP!$E$18/100)),0))+(IF($E$16&gt;$E$46,G$49*'Données techniques'!P37/(1-($E$18/100)),0))+(IF($E$16&gt;MRP!$E$52,MRP!G$55*'Données techniques'!R37/(1-($E$18/100)),0))+(IF($E$16&gt;MRP!$E$58,MRP!G$61*'Données techniques'!T37/(1-($E$18/100)),0))+'Données ressources'!$E$38,0)</f>
        <v>0</v>
      </c>
      <c r="H16" s="22">
        <f ca="1">ROUNDUP($E21-$E19-$G18-$G16+$G17*(1-($E17/100)),0)</f>
        <v>0</v>
      </c>
      <c r="I16" s="21">
        <f ca="1">ROUNDUP((IF($E$16&gt;$E$10,I$13*'Données techniques'!$D$37/(1-($E$18/100)),0))+(IF($E$16&gt;$E$22,I$25*'Données techniques'!$H$37/(1-($E$18/100)),0))+(IF($E$16&gt;$E$28,I$31*'Données techniques'!$J$37/(1-(MRP!$E$18/100)),0))+(IF(MRP!$E$16&gt;MRP!$E$34,MRP!I$37*'Données techniques'!$L$37/(1-(MRP!$E$18/100)),0))+(IF(MRP!$E$16&gt;MRP!$E$40,MRP!I$43*'Données techniques'!$N$37/(1-(MRP!$E$18/100)),0))+(IF($E$16&gt;$E$46,I$49*'Données techniques'!$P$37/(1-($E$18/100)),0))+(IF($E$16&gt;MRP!$E$52,MRP!I$55*'Données techniques'!$R$37/(1-($E$18/100)),0))+(IF($E$16&gt;MRP!$E$58,MRP!I$61*'Données techniques'!$T$37/(1-($E$18/100)),0))+'Données ressources'!E$38,0)</f>
        <v>0</v>
      </c>
      <c r="J16" s="22">
        <f ca="1">ROUNDUP(H19-$E$19-I18-I16+I17*(1-(E17/100)),0)</f>
        <v>0</v>
      </c>
      <c r="K16" s="21">
        <v>0</v>
      </c>
      <c r="L16" s="22">
        <v>0</v>
      </c>
      <c r="M16" s="21">
        <v>0</v>
      </c>
      <c r="N16" s="22">
        <f>ROUNDUP(L19-$E$19-M18-M16+M17*(1-(I17/100)),0)</f>
        <v>0</v>
      </c>
      <c r="O16" s="21">
        <f ca="1">ROUNDUP((IF($E$16&gt;$E$10,O$13*'Données techniques'!$D$37/(1-($E$18/100)),0))+(IF($E$16&gt;$E$22,O$25*'Données techniques'!$H$37/(1-($E$18/100)),0))+(IF($E$16&gt;$E$28,O$31*'Données techniques'!$J$37/(1-(MRP!$E$18/100)),0))+(IF(MRP!$E$16&gt;MRP!$E$34,MRP!O$37*'Données techniques'!$L$37/(1-(MRP!$E$18/100)),0))+(IF(MRP!$E$16&gt;MRP!$E$40,MRP!O$43*'Données techniques'!$N$37/(1-(MRP!$E$18/100)),0))+(IF($E$16&gt;$E$46,O$49*'Données techniques'!$P$37/(1-($E$18/100)),0))+(IF($E$16&gt;MRP!$E$52,MRP!O$55*'Données techniques'!$R$37/(1-($E$18/100)),0))+(IF($E$16&gt;MRP!$E$58,MRP!O$61*'Données techniques'!$T$37/(1-($E$18/100)),0))+'Données ressources'!K$38,0)</f>
        <v>0</v>
      </c>
      <c r="P16" s="22">
        <f ca="1">ROUNDUP(N19-$E$19-O18-O16+O17*(1-(K17/100)),0)</f>
        <v>0</v>
      </c>
      <c r="Q16" s="21">
        <f ca="1">ROUNDUP((IF($E$16&gt;$E$10,Q$13*'Données techniques'!$D$37/(1-($E$18/100)),0))+(IF($E$16&gt;$E$22,Q$25*'Données techniques'!$H$37/(1-($E$18/100)),0))+(IF($E$16&gt;$E$28,Q$31*'Données techniques'!$J$37/(1-(MRP!$E$18/100)),0))+(IF(MRP!$E$16&gt;MRP!$E$34,MRP!Q$37*'Données techniques'!$L$37/(1-(MRP!$E$18/100)),0))+(IF(MRP!$E$16&gt;MRP!$E$40,MRP!Q$43*'Données techniques'!$N$37/(1-(MRP!$E$18/100)),0))+(IF($E$16&gt;$E$46,Q$49*'Données techniques'!$P$37/(1-($E$18/100)),0))+(IF($E$16&gt;MRP!$E$52,MRP!Q$55*'Données techniques'!$R$37/(1-($E$18/100)),0))+(IF($E$16&gt;MRP!$E$58,MRP!Q$61*'Données techniques'!$T$37/(1-($E$18/100)),0))+'Données ressources'!M$38,0)</f>
        <v>0</v>
      </c>
      <c r="R16" s="22">
        <f ca="1">ROUNDUP(P19-$E$19-Q18-Q16+Q17*(1-(M17/100)),0)</f>
        <v>0</v>
      </c>
      <c r="S16" s="21">
        <f ca="1">ROUNDUP((IF($E$16&gt;$E$10,S$13*'Données techniques'!$D$37/(1-($E$18/100)),0))+(IF($E$16&gt;$E$22,S$25*'Données techniques'!$H$37/(1-($E$18/100)),0))+(IF($E$16&gt;$E$28,S$31*'Données techniques'!$J$37/(1-(MRP!$E$18/100)),0))+(IF(MRP!$E$16&gt;MRP!$E$34,MRP!S$37*'Données techniques'!$L$37/(1-(MRP!$E$18/100)),0))+(IF(MRP!$E$16&gt;MRP!$E$40,MRP!S$43*'Données techniques'!$N$37/(1-(MRP!$E$18/100)),0))+(IF($E$16&gt;$E$46,S$49*'Données techniques'!$P$37/(1-($E$18/100)),0))+(IF($E$16&gt;MRP!$E$52,MRP!S$55*'Données techniques'!$R$37/(1-($E$18/100)),0))+(IF($E$16&gt;MRP!$E$58,MRP!S$61*'Données techniques'!$T$37/(1-($E$18/100)),0))+'Données ressources'!O$38,0)</f>
        <v>0</v>
      </c>
      <c r="T16" s="22">
        <f ca="1">ROUNDUP(R19-$E$19-S18-S16+S17*(1-(O17/100)),0)</f>
        <v>0</v>
      </c>
      <c r="U16" s="21">
        <f ca="1">ROUNDUP((IF($E$16&gt;$E$10,U$13*'Données techniques'!$D$37/(1-($E$18/100)),0))+(IF($E$16&gt;$E$22,U$25*'Données techniques'!$H$37/(1-($E$18/100)),0))+(IF($E$16&gt;$E$28,U$31*'Données techniques'!$J$37/(1-(MRP!$E$18/100)),0))+(IF(MRP!$E$16&gt;MRP!$E$34,MRP!U$37*'Données techniques'!$L$37/(1-(MRP!$E$18/100)),0))+(IF(MRP!$E$16&gt;MRP!$E$40,MRP!U$43*'Données techniques'!$N$37/(1-(MRP!$E$18/100)),0))+(IF($E$16&gt;$E$46,U$49*'Données techniques'!$P$37/(1-($E$18/100)),0))+(IF($E$16&gt;MRP!$E$52,MRP!U$55*'Données techniques'!$R$37/(1-($E$18/100)),0))+(IF($E$16&gt;MRP!$E$58,MRP!U$61*'Données techniques'!$T$37/(1-($E$18/100)),0))+'Données ressources'!Q$38,0)</f>
        <v>0</v>
      </c>
      <c r="V16" s="22">
        <f ca="1">ROUNDUP(T19-$E$19-U18-U16+U17*(1-(Q17/100)),0)</f>
        <v>0</v>
      </c>
      <c r="W16" s="21">
        <f ca="1">ROUNDUP((IF($E$16&gt;$E$10,W$13*'Données techniques'!$D$37/(1-($E$18/100)),0))+(IF($E$16&gt;$E$22,W$25*'Données techniques'!$H$37/(1-($E$18/100)),0))+(IF($E$16&gt;$E$28,W$31*'Données techniques'!$J$37/(1-(MRP!$E$18/100)),0))+(IF(MRP!$E$16&gt;MRP!$E$34,MRP!W$37*'Données techniques'!$L$37/(1-(MRP!$E$18/100)),0))+(IF(MRP!$E$16&gt;MRP!$E$40,MRP!W$43*'Données techniques'!$N$37/(1-(MRP!$E$18/100)),0))+(IF($E$16&gt;$E$46,W$49*'Données techniques'!$P$37/(1-($E$18/100)),0))+(IF($E$16&gt;MRP!$E$52,MRP!W$55*'Données techniques'!$R$37/(1-($E$18/100)),0))+(IF($E$16&gt;MRP!$E$58,MRP!W$61*'Données techniques'!$T$37/(1-($E$18/100)),0))+'Données ressources'!S$38,0)</f>
        <v>0</v>
      </c>
      <c r="X16" s="22">
        <f ca="1">ROUNDUP(V19-$E$19-W18-W16+W17*(1-(S17/100)),0)</f>
        <v>0</v>
      </c>
      <c r="Y16" s="21">
        <f ca="1">ROUNDUP((IF($E$16&gt;$E$10,Y$13*'Données techniques'!$D$37/(1-($E$18/100)),0))+(IF($E$16&gt;$E$22,Y$25*'Données techniques'!$H$37/(1-($E$18/100)),0))+(IF($E$16&gt;$E$28,Y$31*'Données techniques'!$J$37/(1-(MRP!$E$18/100)),0))+(IF(MRP!$E$16&gt;MRP!$E$34,MRP!Y$37*'Données techniques'!$L$37/(1-(MRP!$E$18/100)),0))+(IF(MRP!$E$16&gt;MRP!$E$40,MRP!Y$43*'Données techniques'!$N$37/(1-(MRP!$E$18/100)),0))+(IF($E$16&gt;$E$46,Y$49*'Données techniques'!$P$37/(1-($E$18/100)),0))+(IF($E$16&gt;MRP!$E$52,MRP!Y$55*'Données techniques'!$R$37/(1-($E$18/100)),0))+(IF($E$16&gt;MRP!$E$58,MRP!Y$61*'Données techniques'!$T$37/(1-($E$18/100)),0))+'Données ressources'!W$38,0)</f>
        <v>1000</v>
      </c>
      <c r="Z16" s="22">
        <f t="shared" ref="Z16" ca="1" si="9">ROUNDUP(X19-$E$19-Y18-Y16+Y17*(1-(U17/100)),0)</f>
        <v>-1000</v>
      </c>
      <c r="AA16" s="21">
        <f ca="1">ROUNDUP((IF($E$16&gt;$E$10,AA$13*'Données techniques'!$D$37/(1-($E$18/100)),0))+(IF($E$16&gt;$E$22,AA$25*'Données techniques'!$H$37/(1-($E$18/100)),0))+(IF($E$16&gt;$E$28,AA$31*'Données techniques'!$J$37/(1-(MRP!$E$18/100)),0))+(IF(MRP!$E$16&gt;MRP!$E$34,MRP!AA$37*'Données techniques'!$L$37/(1-(MRP!$E$18/100)),0))+(IF(MRP!$E$16&gt;MRP!$E$40,MRP!AA$43*'Données techniques'!$N$37/(1-(MRP!$E$18/100)),0))+(IF($E$16&gt;$E$46,AA$49*'Données techniques'!$P$37/(1-($E$18/100)),0))+(IF($E$16&gt;MRP!$E$52,MRP!AA$55*'Données techniques'!$R$37/(1-($E$18/100)),0))+(IF($E$16&gt;MRP!$E$58,MRP!AA$61*'Données techniques'!$T$37/(1-($E$18/100)),0))+'Données ressources'!Y$38,0)</f>
        <v>0</v>
      </c>
      <c r="AB16" s="22">
        <f t="shared" ref="AB16" ca="1" si="10">ROUNDUP(Z19-$E$19-AA18-AA16+AA17*(1-(W17/100)),0)</f>
        <v>0</v>
      </c>
    </row>
    <row r="17" spans="2:28" x14ac:dyDescent="0.25">
      <c r="B17" s="162"/>
      <c r="C17" s="163"/>
      <c r="D17" s="164"/>
      <c r="E17" s="165">
        <f>'Données techniques'!D26</f>
        <v>0</v>
      </c>
      <c r="F17" s="166"/>
      <c r="G17" s="23">
        <f>'Données ressources'!C25</f>
        <v>0</v>
      </c>
      <c r="H17" s="24">
        <f ca="1">IF(H16&gt;0,0,-H16/(1-($E17/100)))</f>
        <v>0</v>
      </c>
      <c r="I17" s="23">
        <f>'Données ressources'!E25</f>
        <v>0</v>
      </c>
      <c r="J17" s="24">
        <f ca="1">ROUNDUP(IF(J$16&gt;0,0,-J$16/(1-($E$17/100))),0)</f>
        <v>0</v>
      </c>
      <c r="K17" s="23">
        <f>'Données ressources'!G25</f>
        <v>0</v>
      </c>
      <c r="L17" s="24">
        <f>ROUNDUP(IF(L$16&gt;0,0,-L$16/(1-($E$17/100))),0)</f>
        <v>0</v>
      </c>
      <c r="M17" s="23">
        <f>'Données ressources'!I25</f>
        <v>0</v>
      </c>
      <c r="N17" s="24">
        <f>ROUNDUP(IF(N$16&gt;0,0,-N$16/(1-($E$17/100))),0)</f>
        <v>0</v>
      </c>
      <c r="O17" s="23">
        <f>'Données ressources'!K25</f>
        <v>0</v>
      </c>
      <c r="P17" s="24">
        <f ca="1">ROUNDUP(IF(P$16&gt;0,0,-P$16/(1-($E$17/100))),0)</f>
        <v>0</v>
      </c>
      <c r="Q17" s="23">
        <f>'Données ressources'!M25</f>
        <v>0</v>
      </c>
      <c r="R17" s="24">
        <f ca="1">ROUNDUP(IF(R$16&gt;0,0,-R$16/(1-($E$17/100))),0)</f>
        <v>0</v>
      </c>
      <c r="S17" s="23">
        <f>'Données ressources'!O25</f>
        <v>0</v>
      </c>
      <c r="T17" s="24">
        <f ca="1">ROUNDUP(IF(T$16&gt;0,0,-T$16/(1-($E$17/100))),0)</f>
        <v>0</v>
      </c>
      <c r="U17" s="23">
        <f>'Données ressources'!Q25</f>
        <v>0</v>
      </c>
      <c r="V17" s="24">
        <f ca="1">ROUNDUP(IF(V$16&gt;0,0,-V$16/(1-($E$17/100))),0)</f>
        <v>0</v>
      </c>
      <c r="W17" s="23">
        <f>'Données ressources'!S25</f>
        <v>0</v>
      </c>
      <c r="X17" s="24">
        <f ca="1">ROUNDUP(IF(X$16&gt;0,0,-X$16/(1-($E$17/100))),0)</f>
        <v>0</v>
      </c>
      <c r="Y17" s="23">
        <f>'Données ressources'!W25</f>
        <v>0</v>
      </c>
      <c r="Z17" s="24">
        <f t="shared" ref="Z17" ca="1" si="11">ROUNDUP(IF(Z$16&gt;0,0,-Z$16/(1-($E$17/100))),0)</f>
        <v>1000</v>
      </c>
      <c r="AA17" s="23">
        <f>'Données ressources'!Y25</f>
        <v>0</v>
      </c>
      <c r="AB17" s="24">
        <f t="shared" ref="AB17" ca="1" si="12">ROUNDUP(IF(AB$16&gt;0,0,-AB$16/(1-($E$17/100))),0)</f>
        <v>0</v>
      </c>
    </row>
    <row r="18" spans="2:28" x14ac:dyDescent="0.25">
      <c r="B18" s="162"/>
      <c r="C18" s="163"/>
      <c r="D18" s="164"/>
      <c r="E18" s="165">
        <f>'Données techniques'!D27</f>
        <v>0</v>
      </c>
      <c r="F18" s="166"/>
      <c r="G18" s="23">
        <f>'Données ressources'!C51</f>
        <v>0</v>
      </c>
      <c r="H18" s="24">
        <f ca="1">IF(H$17&lt;&gt;0,IF($B$19="LFL",H$17,IF($B$19="Seuil",MAX($B$21,H$17),IF($B$19="Lot",(ROUNDUP(H$17/$B$21,0)*$B$21),0))),0)</f>
        <v>0</v>
      </c>
      <c r="I18" s="23">
        <f>'Données ressources'!E51</f>
        <v>0</v>
      </c>
      <c r="J18" s="24">
        <f ca="1">IF(J$17&lt;&gt;0,IF($B$19="LFL",J$17,IF($B$19="Seuil",MAX($B$19,J$17),IF($B$19="Lot",(ROUNDUP(J$17/$B$21,0)*$B$21),0))),0)</f>
        <v>0</v>
      </c>
      <c r="K18" s="23">
        <f>'Données ressources'!G51</f>
        <v>0</v>
      </c>
      <c r="L18" s="24">
        <f>IF(L$17&lt;&gt;0,IF($B$19="LFL",L$17,IF($B$19="Seuil",MAX($B$19,L$17),IF($B$19="Lot",(ROUNDUP(L$17/$B$21,0)*$B$21),0))),0)</f>
        <v>0</v>
      </c>
      <c r="M18" s="23">
        <f>'Données ressources'!I51</f>
        <v>0</v>
      </c>
      <c r="N18" s="24">
        <f>IF(N$17&lt;&gt;0,IF($B$19="LFL",N$17,IF($B$19="Seuil",MAX($B$19,N$17),IF($B$19="Lot",(ROUNDUP(N$17/$B$21,0)*$B$21),0))),0)</f>
        <v>0</v>
      </c>
      <c r="O18" s="23">
        <f>'Données ressources'!K51</f>
        <v>0</v>
      </c>
      <c r="P18" s="24">
        <f ca="1">IF(P$17&lt;&gt;0,IF($B$19="LFL",P$17,IF($B$19="Seuil",MAX($B$19,P$17),IF($B$19="Lot",(ROUNDUP(P$17/$B$21,0)*$B$21),0))),0)</f>
        <v>0</v>
      </c>
      <c r="Q18" s="23">
        <f>'Données ressources'!M51</f>
        <v>0</v>
      </c>
      <c r="R18" s="24">
        <f ca="1">IF(R$17&lt;&gt;0,IF($B$19="LFL",R$17,IF($B$19="Seuil",MAX($B$19,R$17),IF($B$19="Lot",(ROUNDUP(R$17/$B$21,0)*$B$21),0))),0)</f>
        <v>0</v>
      </c>
      <c r="S18" s="23">
        <f>'Données ressources'!O51</f>
        <v>0</v>
      </c>
      <c r="T18" s="24">
        <f ca="1">IF(T$17&lt;&gt;0,IF($B$19="LFL",T$17,IF($B$19="Seuil",MAX($B$19,T$17),IF($B$19="Lot",(ROUNDUP(T$17/$B$21,0)*$B$21),0))),0)</f>
        <v>0</v>
      </c>
      <c r="U18" s="23">
        <f>'Données ressources'!Q51</f>
        <v>0</v>
      </c>
      <c r="V18" s="24">
        <f ca="1">IF(V$17&lt;&gt;0,IF($B$19="LFL",V$17,IF($B$19="Seuil",MAX($B$19,V$17),IF($B$19="Lot",(ROUNDUP(V$17/$B$21,0)*$B$21),0))),0)</f>
        <v>0</v>
      </c>
      <c r="W18" s="23">
        <f>'Données ressources'!S51</f>
        <v>0</v>
      </c>
      <c r="X18" s="24">
        <f ca="1">IF(X$17&lt;&gt;0,IF($B$19="LFL",X$17,IF($B$19="Seuil",MAX($B$19,X$17),IF($B$19="Lot",(ROUNDUP(X$17/$B$21,0)*$B$21),0))),0)</f>
        <v>0</v>
      </c>
      <c r="Y18" s="23">
        <f>'Données ressources'!W51</f>
        <v>0</v>
      </c>
      <c r="Z18" s="24">
        <f t="shared" ref="Z18" ca="1" si="13">IF(Z$17&lt;&gt;0,IF($B$19="LFL",Z$17,IF($B$19="Seuil",MAX($B$19,Z$17),IF($B$19="Lot",(ROUNDUP(Z$17/$B$21,0)*$B$21),0))),0)</f>
        <v>1000</v>
      </c>
      <c r="AA18" s="23">
        <f>'Données ressources'!Y51</f>
        <v>0</v>
      </c>
      <c r="AB18" s="24">
        <f t="shared" ref="AB18" ca="1" si="14">IF(AB$17&lt;&gt;0,IF($B$19="LFL",AB$17,IF($B$19="Seuil",MAX($B$19,AB$17),IF($B$19="Lot",(ROUNDUP(AB$17/$B$21,0)*$B$21),0))),0)</f>
        <v>0</v>
      </c>
    </row>
    <row r="19" spans="2:28" x14ac:dyDescent="0.25">
      <c r="B19" s="167" t="s">
        <v>13</v>
      </c>
      <c r="C19" s="168"/>
      <c r="D19" s="164" t="s">
        <v>11</v>
      </c>
      <c r="E19" s="165">
        <f>'Données techniques'!D22</f>
        <v>0</v>
      </c>
      <c r="F19" s="166"/>
      <c r="G19" s="41">
        <f ca="1">OFFSET(G$19,-1,(1+2*$D$21))</f>
        <v>0</v>
      </c>
      <c r="H19" s="42">
        <f ca="1">$H16+$E19+($H18*(1-$E17))</f>
        <v>0</v>
      </c>
      <c r="I19" s="41">
        <f ca="1">OFFSET(I$19,-1,(1+2*$D$21))</f>
        <v>0</v>
      </c>
      <c r="J19" s="42">
        <f ca="1">J16+$E19+(J18*(1-$E17))</f>
        <v>0</v>
      </c>
      <c r="K19" s="41">
        <f ca="1">OFFSET(K$19,-1,(1+2*$D$21))</f>
        <v>0</v>
      </c>
      <c r="L19" s="42">
        <f>L16+$E19+(L18*(1-$E17))</f>
        <v>0</v>
      </c>
      <c r="M19" s="41">
        <f ca="1">OFFSET(M$19,-1,(1+2*$D$21))</f>
        <v>0</v>
      </c>
      <c r="N19" s="42">
        <f>N16+$E19+(N18*(1-$E17))</f>
        <v>0</v>
      </c>
      <c r="O19" s="41">
        <f ca="1">OFFSET(O$19,-1,(1+2*$D$21))</f>
        <v>0</v>
      </c>
      <c r="P19" s="42">
        <f ca="1">P16+$E19+(P18*(1-$E17))</f>
        <v>0</v>
      </c>
      <c r="Q19" s="41">
        <f ca="1">OFFSET(Q$19,-1,(1+2*$D$21))</f>
        <v>0</v>
      </c>
      <c r="R19" s="42">
        <f ca="1">R16+$E19+(R18*(1-$E17))</f>
        <v>0</v>
      </c>
      <c r="S19" s="41">
        <f ca="1">OFFSET(S$19,-1,(1+2*$D$21))</f>
        <v>0</v>
      </c>
      <c r="T19" s="42">
        <f ca="1">T16+$E19+(T18*(1-$E17))</f>
        <v>0</v>
      </c>
      <c r="U19" s="41">
        <f ca="1">OFFSET(U$19,-1,(1+2*$D$21))</f>
        <v>1000</v>
      </c>
      <c r="V19" s="42">
        <f ca="1">V16+$E19+(V18*(1-$E17))</f>
        <v>0</v>
      </c>
      <c r="W19" s="41">
        <f ca="1">OFFSET(W$19,-1,(1+2*$D$21))</f>
        <v>0</v>
      </c>
      <c r="X19" s="42">
        <f ca="1">X16+$E19+(X18*(1-$E17))</f>
        <v>0</v>
      </c>
      <c r="Y19" s="41">
        <f t="shared" ref="Y19" ca="1" si="15">OFFSET(Y$19,-1,(1+2*$D$21))</f>
        <v>0</v>
      </c>
      <c r="Z19" s="42">
        <f t="shared" ref="Z19" ca="1" si="16">Z16+$E19+(Z18*(1-$E17))</f>
        <v>0</v>
      </c>
      <c r="AA19" s="41">
        <f t="shared" ref="AA19" ca="1" si="17">OFFSET(AA$19,-1,(1+2*$D$21))</f>
        <v>0</v>
      </c>
      <c r="AB19" s="42">
        <f t="shared" ref="AB19" ca="1" si="18">AB16+$E19+(AB18*(1-$E17))</f>
        <v>0</v>
      </c>
    </row>
    <row r="20" spans="2:28" x14ac:dyDescent="0.25">
      <c r="B20" s="169"/>
      <c r="C20" s="170"/>
      <c r="D20" s="164"/>
      <c r="E20" s="165"/>
      <c r="F20" s="166"/>
      <c r="G20" s="45"/>
      <c r="H20" s="46"/>
      <c r="I20" s="45"/>
      <c r="J20" s="46"/>
      <c r="K20" s="45"/>
      <c r="L20" s="46"/>
      <c r="M20" s="45"/>
      <c r="N20" s="46"/>
      <c r="O20" s="45"/>
      <c r="P20" s="46"/>
      <c r="Q20" s="45"/>
      <c r="R20" s="46"/>
      <c r="S20" s="45"/>
      <c r="T20" s="46"/>
      <c r="U20" s="45"/>
      <c r="V20" s="46"/>
      <c r="W20" s="45"/>
      <c r="X20" s="46"/>
      <c r="Y20" s="45"/>
      <c r="Z20" s="46"/>
      <c r="AA20" s="45"/>
      <c r="AB20" s="46"/>
    </row>
    <row r="21" spans="2:28" ht="15.75" thickBot="1" x14ac:dyDescent="0.3">
      <c r="B21" s="157">
        <v>500</v>
      </c>
      <c r="C21" s="158"/>
      <c r="D21" s="10">
        <v>2</v>
      </c>
      <c r="E21" s="175">
        <f>'Données techniques'!D21</f>
        <v>0</v>
      </c>
      <c r="F21" s="176"/>
      <c r="G21" s="43"/>
      <c r="H21" s="44"/>
      <c r="I21" s="43"/>
      <c r="J21" s="44"/>
      <c r="K21" s="43"/>
      <c r="L21" s="44"/>
      <c r="M21" s="43"/>
      <c r="N21" s="44"/>
      <c r="O21" s="43"/>
      <c r="P21" s="44"/>
      <c r="Q21" s="43"/>
      <c r="R21" s="44"/>
      <c r="S21" s="43"/>
      <c r="T21" s="44"/>
      <c r="U21" s="43"/>
      <c r="V21" s="44"/>
      <c r="W21" s="43"/>
      <c r="X21" s="44"/>
      <c r="Y21" s="43"/>
      <c r="Z21" s="44"/>
      <c r="AA21" s="43"/>
      <c r="AB21" s="44"/>
    </row>
    <row r="22" spans="2:28" x14ac:dyDescent="0.25">
      <c r="B22" s="159" t="s">
        <v>79</v>
      </c>
      <c r="C22" s="160"/>
      <c r="D22" s="161"/>
      <c r="E22" s="177">
        <v>2</v>
      </c>
      <c r="F22" s="178"/>
      <c r="G22" s="17">
        <f ca="1">ROUNDUP((IF($E$22&gt;$E$16,G$19*'Données techniques'!$F$39/(1-($E$24/100)),0))+(IF($E$22&gt;$E$10,G$13*'Données techniques'!$D$39/(1-(MRP!$E$24/100)),0))+(IF(MRP!$E$22&gt;MRP!$E$28,MRP!G$31*'Données techniques'!$J$39/(1-($E$24/100)),0))+(IF($E$22&gt;$E$34,G$37*'Données techniques'!$L$39/(1-(MRP!$E$24/100)),0))+(IF(MRP!$E$22&gt;MRP!$E$40,MRP!G$43*'Données techniques'!$N$39/(1-(MRP!$E$24/100)),0))+(IF($E$22&gt;$E$46,G$49*'Données techniques'!P39/(1-($E$24/100)),0))+(IF($E$22&gt;MRP!$E$52,MRP!G$55*'Données techniques'!R39/(1-($E$24/100)),0))+(IF($E$22&gt;MRP!$E$58,MRP!G$61*'Données techniques'!T39/(1-($E$24/100)),0))+'Données ressources'!$C$39,0)</f>
        <v>0</v>
      </c>
      <c r="H22" s="18">
        <f ca="1">ROUNDUP(E27-$E$25-G22-G24+G23*(1-(E23/100)),0)</f>
        <v>0</v>
      </c>
      <c r="I22" s="17">
        <f ca="1">ROUNDUP((IF($E$22&gt;$E$16,I$19*'Données techniques'!$F$39/(1-($E$24/100)),0))+(IF($E$22&gt;$E$10,I$13*'Données techniques'!$D$39/(1-(MRP!$E$24/100)),0))+(IF(MRP!$E$22&gt;MRP!$E$28,MRP!I$31*'Données techniques'!$J$39/(1-($E$24/100)),0))+(IF($E$22&gt;$E$34,I$37*'Données techniques'!$L$39/(1-(MRP!$E$24/100)),0))+(IF(MRP!$E$22&gt;MRP!$E$40,MRP!I$43*'Données techniques'!$N$39/(1-(MRP!$E$24/100)),0))+(IF($E$22&gt;$E$46,I$49*'Données techniques'!$P$39/(1-($E$24/100)),0))+(IF($E$22&gt;MRP!$E$52,MRP!I$55*'Données techniques'!$R$39/(1-($E$24/100)),0))+(IF($E$22&gt;MRP!$E$58,MRP!I$61*'Données techniques'!$T$39/(1-($E$24/100)),0))+'Données ressources'!$E$39,0)</f>
        <v>0</v>
      </c>
      <c r="J22" s="18">
        <f ca="1">ROUNDUP(H25-$E$25-I22-I24+I23*(1-($E23/100)),0)</f>
        <v>0</v>
      </c>
      <c r="K22" s="17">
        <f>ROUNDUP((IF($E$22&gt;$E$16,K$19*'Données techniques'!$F$39/(1-($E$24/100)),0))+(IF($E$22&gt;$E$10,K$13*'Données techniques'!$D$39/(1-(MRP!$E$24/100)),0))+(IF(MRP!$E$22&gt;MRP!$E$28,MRP!K$31*'Données techniques'!$J$39/(1-($E$24/100)),0))+(IF($E$22&gt;$E$34,K$37*'Données techniques'!$L$39/(1-(MRP!$E$24/100)),0))+(IF(MRP!$E$22&gt;MRP!$E$40,MRP!K$43*'Données techniques'!$N$39/(1-(MRP!$E$24/100)),0))+(IF($E$22&gt;$E$46,K$49*'Données techniques'!$P$39/(1-($E$24/100)),0))+(IF($E$22&gt;MRP!$E$52,MRP!K$55*'Données techniques'!$R$39/(1-($E$24/100)),0))+(IF($E$22&gt;MRP!$E$58,MRP!K$61*'Données techniques'!$T$39/(1-($E$24/100)),0))+'Données ressources'!$E$39,0)</f>
        <v>0</v>
      </c>
      <c r="L22" s="18">
        <f ca="1">ROUNDUP(J25-$E$25-K22-K24+K23*(1-($E23/100)),0)</f>
        <v>0</v>
      </c>
      <c r="M22" s="17">
        <f>ROUNDUP((IF($E$22&gt;$E$16,M$19*'Données techniques'!$F$39/(1-($E$24/100)),0))+(IF($E$22&gt;$E$10,M$13*'Données techniques'!$D$39/(1-(MRP!$E$24/100)),0))+(IF(MRP!$E$22&gt;MRP!$E$28,MRP!M$31*'Données techniques'!$J$39/(1-($E$24/100)),0))+(IF($E$22&gt;$E$34,M$37*'Données techniques'!$L$39/(1-(MRP!$E$24/100)),0))+(IF(MRP!$E$22&gt;MRP!$E$40,MRP!M$43*'Données techniques'!$N$39/(1-(MRP!$E$24/100)),0))+(IF($E$22&gt;$E$46,M$49*'Données techniques'!$P$39/(1-($E$24/100)),0))+(IF($E$22&gt;MRP!$E$52,MRP!M$55*'Données techniques'!$R$39/(1-($E$24/100)),0))+(IF($E$22&gt;MRP!$E$58,MRP!M$61*'Données techniques'!$T$39/(1-($E$24/100)),0))+'Données ressources'!$E$39,0)</f>
        <v>0</v>
      </c>
      <c r="N22" s="18">
        <f ca="1">ROUNDUP(L25-$E$25-M22-M24+M23*(1-($E23/100)),0)</f>
        <v>0</v>
      </c>
      <c r="O22" s="17">
        <f ca="1">ROUNDUP((IF($E$22&gt;$E$16,O$19*'Données techniques'!$F$39/(1-($E$24/100)),0))+(IF($E$22&gt;$E$10,O$13*'Données techniques'!$D$39/(1-(MRP!$E$24/100)),0))+(IF(MRP!$E$22&gt;MRP!$E$28,MRP!O$31*'Données techniques'!$J$39/(1-($E$24/100)),0))+(IF($E$22&gt;$E$34,O$37*'Données techniques'!$L$39/(1-(MRP!$E$24/100)),0))+(IF(MRP!$E$22&gt;MRP!$E$40,MRP!O$43*'Données techniques'!$N$39/(1-(MRP!$E$24/100)),0))+(IF($E$22&gt;$E$46,O$49*'Données techniques'!$P$39/(1-($E$24/100)),0))+(IF($E$22&gt;MRP!$E$52,MRP!O$55*'Données techniques'!$R$39/(1-($E$24/100)),0))+(IF($E$22&gt;MRP!$E$58,MRP!O$61*'Données techniques'!$T$39/(1-($E$24/100)),0))+'Données ressources'!$E$39,0)</f>
        <v>0</v>
      </c>
      <c r="P22" s="18">
        <f ca="1">ROUNDUP(N25-$E$25-O22-O24+O23*(1-($E23/100)),0)</f>
        <v>0</v>
      </c>
      <c r="Q22" s="17">
        <f ca="1">ROUNDUP((IF($E$22&gt;$E$16,Q$19*'Données techniques'!$F$39/(1-($E$24/100)),0))+(IF($E$22&gt;$E$10,Q$13*'Données techniques'!$D$39/(1-(MRP!$E$24/100)),0))+(IF(MRP!$E$22&gt;MRP!$E$28,MRP!Q$31*'Données techniques'!$J$39/(1-($E$24/100)),0))+(IF($E$22&gt;$E$34,Q$37*'Données techniques'!$L$39/(1-(MRP!$E$24/100)),0))+(IF(MRP!$E$22&gt;MRP!$E$40,MRP!Q$43*'Données techniques'!$N$39/(1-(MRP!$E$24/100)),0))+(IF($E$22&gt;$E$46,Q$49*'Données techniques'!$P$39/(1-($E$24/100)),0))+(IF($E$22&gt;MRP!$E$52,MRP!Q$55*'Données techniques'!$R$39/(1-($E$24/100)),0))+(IF($E$22&gt;MRP!$E$58,MRP!Q$61*'Données techniques'!$T$39/(1-($E$24/100)),0))+'Données ressources'!$E$39,0)</f>
        <v>0</v>
      </c>
      <c r="R22" s="18">
        <f ca="1">ROUNDUP(P25-$E$25-Q22-Q24+Q23*(1-($E23/100)),0)</f>
        <v>0</v>
      </c>
      <c r="S22" s="17">
        <f ca="1">ROUNDUP((IF($E$22&gt;$E$16,S$19*'Données techniques'!$F$39/(1-($E$24/100)),0))+(IF($E$22&gt;$E$10,S$13*'Données techniques'!$D$39/(1-(MRP!$E$24/100)),0))+(IF(MRP!$E$22&gt;MRP!$E$28,MRP!S$31*'Données techniques'!$J$39/(1-($E$24/100)),0))+(IF($E$22&gt;$E$34,S$37*'Données techniques'!$L$39/(1-(MRP!$E$24/100)),0))+(IF(MRP!$E$22&gt;MRP!$E$40,MRP!S$43*'Données techniques'!$N$39/(1-(MRP!$E$24/100)),0))+(IF($E$22&gt;$E$46,S$49*'Données techniques'!$P$39/(1-($E$24/100)),0))+(IF($E$22&gt;MRP!$E$52,MRP!S$55*'Données techniques'!$R$39/(1-($E$24/100)),0))+(IF($E$22&gt;MRP!$E$58,MRP!S$61*'Données techniques'!$T$39/(1-($E$24/100)),0))+'Données ressources'!$E$39,0)</f>
        <v>0</v>
      </c>
      <c r="T22" s="18">
        <f ca="1">ROUNDUP(R25-$E$25-S22-S24+S23*(1-($E23/100)),0)</f>
        <v>0</v>
      </c>
      <c r="U22" s="17">
        <f ca="1">ROUNDUP((IF($E$22&gt;$E$16,U$19*'Données techniques'!$F$39/(1-($E$24/100)),0))+(IF($E$22&gt;$E$10,U$13*'Données techniques'!$D$39/(1-(MRP!$E$24/100)),0))+(IF(MRP!$E$22&gt;MRP!$E$28,MRP!U$31*'Données techniques'!$J$39/(1-($E$24/100)),0))+(IF($E$22&gt;$E$34,U$37*'Données techniques'!$L$39/(1-(MRP!$E$24/100)),0))+(IF(MRP!$E$22&gt;MRP!$E$40,MRP!U$43*'Données techniques'!$N$39/(1-(MRP!$E$24/100)),0))+(IF($E$22&gt;$E$46,U$49*'Données techniques'!$P$39/(1-($E$24/100)),0))+(IF($E$22&gt;MRP!$E$52,MRP!U$55*'Données techniques'!$R$39/(1-($E$24/100)),0))+(IF($E$22&gt;MRP!$E$58,MRP!U$61*'Données techniques'!$T$39/(1-($E$24/100)),0))+'Données ressources'!$E$39,0)</f>
        <v>0</v>
      </c>
      <c r="V22" s="18">
        <f ca="1">ROUNDUP(T25-$E$25-U22-U24+U23*(1-($E23/100)),0)</f>
        <v>0</v>
      </c>
      <c r="W22" s="17">
        <f ca="1">ROUNDUP((IF($E$22&gt;$E$16,W$19*'Données techniques'!$F$39/(1-($E$24/100)),0))+(IF($E$22&gt;$E$10,W$13*'Données techniques'!$D$39/(1-(MRP!$E$24/100)),0))+(IF(MRP!$E$22&gt;MRP!$E$28,MRP!W$31*'Données techniques'!$J$39/(1-($E$24/100)),0))+(IF($E$22&gt;$E$34,W$37*'Données techniques'!$L$39/(1-(MRP!$E$24/100)),0))+(IF(MRP!$E$22&gt;MRP!$E$40,MRP!W$43*'Données techniques'!$N$39/(1-(MRP!$E$24/100)),0))+(IF($E$22&gt;$E$46,W$49*'Données techniques'!$P$39/(1-($E$24/100)),0))+(IF($E$22&gt;MRP!$E$52,MRP!W$55*'Données techniques'!$R$39/(1-($E$24/100)),0))+(IF($E$22&gt;MRP!$E$58,MRP!W$61*'Données techniques'!$T$39/(1-($E$24/100)),0))+'Données ressources'!$E$39,0)</f>
        <v>0</v>
      </c>
      <c r="X22" s="18">
        <f ca="1">ROUNDUP(V25-$E$25-W22-W24+W23*(1-($E23/100)),0)</f>
        <v>0</v>
      </c>
      <c r="Y22" s="17">
        <f ca="1">ROUNDUP((IF($E$22&gt;$E$16,Y$19*'Données techniques'!$F$39/(1-($E$24/100)),0))+(IF($E$22&gt;$E$10,Y$13*'Données techniques'!$D$39/(1-(MRP!$E$24/100)),0))+(IF(MRP!$E$22&gt;MRP!$E$28,MRP!Y$31*'Données techniques'!$J$39/(1-($E$24/100)),0))+(IF($E$22&gt;$E$34,Y$37*'Données techniques'!$L$39/(1-(MRP!$E$24/100)),0))+(IF(MRP!$E$22&gt;MRP!$E$40,MRP!Y$43*'Données techniques'!$N$39/(1-(MRP!$E$24/100)),0))+(IF($E$22&gt;$E$46,Y$49*'Données techniques'!$P$39/(1-($E$24/100)),0))+(IF($E$22&gt;MRP!$E$52,MRP!Y$55*'Données techniques'!$R$39/(1-($E$24/100)),0))+(IF($E$22&gt;MRP!$E$58,MRP!Y$61*'Données techniques'!$T$39/(1-($E$24/100)),0))+'Données ressources'!$E$39,0)</f>
        <v>2000</v>
      </c>
      <c r="Z22" s="18">
        <f t="shared" ref="Z22" ca="1" si="19">ROUNDUP(X25-$E$25-Y22-Y24+Y23*(1-($E23/100)),0)</f>
        <v>-2000</v>
      </c>
      <c r="AA22" s="17">
        <f ca="1">ROUNDUP((IF($E$22&gt;$E$16,AA$19*'Données techniques'!$F$39/(1-($E$24/100)),0))+(IF($E$22&gt;$E$10,AA$13*'Données techniques'!$D$39/(1-(MRP!$E$24/100)),0))+(IF(MRP!$E$22&gt;MRP!$E$28,MRP!AA$31*'Données techniques'!$J$39/(1-($E$24/100)),0))+(IF($E$22&gt;$E$34,AA$37*'Données techniques'!$L$39/(1-(MRP!$E$24/100)),0))+(IF(MRP!$E$22&gt;MRP!$E$40,MRP!AA$43*'Données techniques'!$N$39/(1-(MRP!$E$24/100)),0))+(IF($E$22&gt;$E$46,AA$49*'Données techniques'!$P$39/(1-($E$24/100)),0))+(IF($E$22&gt;MRP!$E$52,MRP!AA$55*'Données techniques'!$R$39/(1-($E$24/100)),0))+(IF($E$22&gt;MRP!$E$58,MRP!AA$61*'Données techniques'!$T$39/(1-($E$24/100)),0))+'Données ressources'!$E$39,0)</f>
        <v>0</v>
      </c>
      <c r="AB22" s="18">
        <f t="shared" ref="AB22" ca="1" si="20">ROUNDUP(Z25-$E$25-AA22-AA24+AA23*(1-($E23/100)),0)</f>
        <v>0</v>
      </c>
    </row>
    <row r="23" spans="2:28" x14ac:dyDescent="0.25">
      <c r="B23" s="162"/>
      <c r="C23" s="163"/>
      <c r="D23" s="164"/>
      <c r="E23" s="179">
        <f>'Données techniques'!F26</f>
        <v>0</v>
      </c>
      <c r="F23" s="180"/>
      <c r="G23" s="19">
        <f>'Données ressources'!C26</f>
        <v>0</v>
      </c>
      <c r="H23" s="20">
        <f ca="1">MAX(0,-H22/(1-(E23/100)))</f>
        <v>0</v>
      </c>
      <c r="I23" s="19">
        <f>'Données ressources'!E26</f>
        <v>0</v>
      </c>
      <c r="J23" s="20">
        <f ca="1">ROUNDUP(IF(J$22&gt;0,0,-J$22/(1-($E$23/100))),0)</f>
        <v>0</v>
      </c>
      <c r="K23" s="19">
        <f>'Données ressources'!G26</f>
        <v>0</v>
      </c>
      <c r="L23" s="20">
        <f ca="1">ROUNDUP(IF(L$22&gt;0,0,-L$22/(1-($E$23/100))),0)</f>
        <v>0</v>
      </c>
      <c r="M23" s="19">
        <f>'Données ressources'!I26</f>
        <v>0</v>
      </c>
      <c r="N23" s="20">
        <f ca="1">ROUNDUP(IF(N$22&gt;0,0,-N$22/(1-($E$23/100))),0)</f>
        <v>0</v>
      </c>
      <c r="O23" s="19">
        <f>'Données ressources'!K26</f>
        <v>0</v>
      </c>
      <c r="P23" s="20">
        <f ca="1">ROUNDUP(IF(P$22&gt;0,0,-P$22/(1-($E$23/100))),0)</f>
        <v>0</v>
      </c>
      <c r="Q23" s="19">
        <f>'Données ressources'!M26</f>
        <v>0</v>
      </c>
      <c r="R23" s="20">
        <f ca="1">ROUNDUP(IF(R$22&gt;0,0,-R$22/(1-($E$23/100))),0)</f>
        <v>0</v>
      </c>
      <c r="S23" s="19">
        <f>'Données ressources'!O26</f>
        <v>0</v>
      </c>
      <c r="T23" s="20">
        <f ca="1">ROUNDUP(IF(T$22&gt;0,0,-T$22/(1-($E$23/100))),0)</f>
        <v>0</v>
      </c>
      <c r="U23" s="19">
        <f>'Données ressources'!Q26</f>
        <v>0</v>
      </c>
      <c r="V23" s="20">
        <f ca="1">ROUNDUP(IF(V$22&gt;0,0,-V$22/(1-($E$23/100))),0)</f>
        <v>0</v>
      </c>
      <c r="W23" s="19">
        <f>'Données ressources'!S26</f>
        <v>0</v>
      </c>
      <c r="X23" s="20">
        <f ca="1">ROUNDUP(IF(X$22&gt;0,0,-X$22/(1-($E$23/100))),0)</f>
        <v>0</v>
      </c>
      <c r="Y23" s="19">
        <f>'Données ressources'!W26</f>
        <v>0</v>
      </c>
      <c r="Z23" s="20">
        <f t="shared" ref="Z23" ca="1" si="21">ROUNDUP(IF(Z$22&gt;0,0,-Z$22/(1-($E$23/100))),0)</f>
        <v>2000</v>
      </c>
      <c r="AA23" s="19">
        <f>'Données ressources'!Y26</f>
        <v>0</v>
      </c>
      <c r="AB23" s="20">
        <f t="shared" ref="AB23" ca="1" si="22">ROUNDUP(IF(AB$22&gt;0,0,-AB$22/(1-($E$23/100))),0)</f>
        <v>0</v>
      </c>
    </row>
    <row r="24" spans="2:28" x14ac:dyDescent="0.25">
      <c r="B24" s="162"/>
      <c r="C24" s="163"/>
      <c r="D24" s="164"/>
      <c r="E24" s="179">
        <f>'Données techniques'!F27</f>
        <v>0</v>
      </c>
      <c r="F24" s="180"/>
      <c r="G24" s="19">
        <f>'Données ressources'!C52</f>
        <v>0</v>
      </c>
      <c r="H24" s="20">
        <f ca="1">IF(H$23&lt;&gt;0,IF($B$25="LFL",H$23,IF($B$25="Seuil",MAX($B$25,H$23),IF($B$25="Lot",(ROUNDUP(H$23/$B$27,0)*$B$27),0))),0)</f>
        <v>0</v>
      </c>
      <c r="I24" s="19">
        <f>'Données ressources'!E52</f>
        <v>0</v>
      </c>
      <c r="J24" s="20">
        <f ca="1">IF(J$23&lt;&gt;0,IF($B$25="LFL",J$23,IF($B$25="Seuil",MAX($B$25,J$23),IF($B$25="Lot",(ROUNDUP(J$23/$B$27,0)*$B$27),0))),0)</f>
        <v>0</v>
      </c>
      <c r="K24" s="19">
        <f>'Données ressources'!G52</f>
        <v>0</v>
      </c>
      <c r="L24" s="20">
        <f ca="1">IF(L$23&lt;&gt;0,IF($B$25="LFL",L$23,IF($B$25="Seuil",MAX($B$25,L$23),IF($B$25="Lot",(ROUNDUP(L$23/$B$27,0)*$B$27),0))),0)</f>
        <v>0</v>
      </c>
      <c r="M24" s="19">
        <f>'Données ressources'!I52</f>
        <v>0</v>
      </c>
      <c r="N24" s="20">
        <f ca="1">IF(N$23&lt;&gt;0,IF($B$25="LFL",N$23,IF($B$25="Seuil",MAX($B$25,N$23),IF($B$25="Lot",(ROUNDUP(N$23/$B$27,0)*$B$27),0))),0)</f>
        <v>0</v>
      </c>
      <c r="O24" s="19">
        <f>'Données ressources'!K52</f>
        <v>0</v>
      </c>
      <c r="P24" s="20">
        <f ca="1">IF(P$23&lt;&gt;0,IF($B$25="LFL",P$23,IF($B$25="Seuil",MAX($B$25,P$23),IF($B$25="Lot",(ROUNDUP(P$23/$B$27,0)*$B$27),0))),0)</f>
        <v>0</v>
      </c>
      <c r="Q24" s="19">
        <f>'Données ressources'!M52</f>
        <v>0</v>
      </c>
      <c r="R24" s="20">
        <f ca="1">IF(R$23&lt;&gt;0,IF($B$25="LFL",R$23,IF($B$25="Seuil",MAX($B$25,R$23),IF($B$25="Lot",(ROUNDUP(R$23/$B$27,0)*$B$27),0))),0)</f>
        <v>0</v>
      </c>
      <c r="S24" s="19">
        <f>'Données ressources'!O52</f>
        <v>0</v>
      </c>
      <c r="T24" s="20">
        <f ca="1">IF(T$23&lt;&gt;0,IF($B$25="LFL",T$23,IF($B$25="Seuil",MAX($B$25,T$23),IF($B$25="Lot",(ROUNDUP(T$23/$B$27,0)*$B$27),0))),0)</f>
        <v>0</v>
      </c>
      <c r="U24" s="19">
        <f>'Données ressources'!Q52</f>
        <v>0</v>
      </c>
      <c r="V24" s="20">
        <f ca="1">IF(V$23&lt;&gt;0,IF($B$25="LFL",V$23,IF($B$25="Seuil",MAX($B$25,V$23),IF($B$25="Lot",(ROUNDUP(V$23/$B$27,0)*$B$27),0))),0)</f>
        <v>0</v>
      </c>
      <c r="W24" s="19">
        <f>'Données ressources'!S52</f>
        <v>0</v>
      </c>
      <c r="X24" s="20">
        <f ca="1">IF(X$23&lt;&gt;0,IF($B$25="LFL",X$23,IF($B$25="Seuil",MAX($B$25,X$23),IF($B$25="Lot",(ROUNDUP(X$23/$B$27,0)*$B$27),0))),0)</f>
        <v>0</v>
      </c>
      <c r="Y24" s="19">
        <f>'Données ressources'!W52</f>
        <v>0</v>
      </c>
      <c r="Z24" s="20">
        <f t="shared" ref="Z24" ca="1" si="23">IF(Z$23&lt;&gt;0,IF($B$25="LFL",Z$23,IF($B$25="Seuil",MAX($B$25,Z$23),IF($B$25="Lot",(ROUNDUP(Z$23/$B$27,0)*$B$27),0))),0)</f>
        <v>2000</v>
      </c>
      <c r="AA24" s="19">
        <f>'Données ressources'!Y52</f>
        <v>0</v>
      </c>
      <c r="AB24" s="20">
        <f t="shared" ref="AB24" ca="1" si="24">IF(AB$23&lt;&gt;0,IF($B$25="LFL",AB$23,IF($B$25="Seuil",MAX($B$25,AB$23),IF($B$25="Lot",(ROUNDUP(AB$23/$B$27,0)*$B$27),0))),0)</f>
        <v>0</v>
      </c>
    </row>
    <row r="25" spans="2:28" x14ac:dyDescent="0.25">
      <c r="B25" s="167" t="s">
        <v>37</v>
      </c>
      <c r="C25" s="168"/>
      <c r="D25" s="164" t="s">
        <v>11</v>
      </c>
      <c r="E25" s="179">
        <f>'Données techniques'!F22</f>
        <v>0</v>
      </c>
      <c r="F25" s="180"/>
      <c r="G25" s="35">
        <f ca="1">OFFSET(G$25,-1,(1+2*$D$27))</f>
        <v>0</v>
      </c>
      <c r="H25" s="38">
        <f ca="1">H22+$E25+(H24*(1-$E23))</f>
        <v>0</v>
      </c>
      <c r="I25" s="35">
        <f ca="1">OFFSET(I$25,-1,(1+2*$D$27))</f>
        <v>0</v>
      </c>
      <c r="J25" s="38">
        <f ca="1">J22+$E25+(J24*(1-($E23/100)))</f>
        <v>0</v>
      </c>
      <c r="K25" s="35">
        <f ca="1">OFFSET(K$25,-1,(1+2*$D$27))</f>
        <v>0</v>
      </c>
      <c r="L25" s="38">
        <f ca="1">L22+$E25+(L24*(1-($E23/100)))</f>
        <v>0</v>
      </c>
      <c r="M25" s="35">
        <f ca="1">OFFSET(M$25,-1,(1+2*$D$27))</f>
        <v>0</v>
      </c>
      <c r="N25" s="38">
        <f ca="1">N22+$E25+(N24*(1-($E23/100)))</f>
        <v>0</v>
      </c>
      <c r="O25" s="35">
        <f ca="1">OFFSET(O$25,-1,(1+2*$D$27))</f>
        <v>0</v>
      </c>
      <c r="P25" s="38">
        <f ca="1">P22+$E25+(P24*(1-($E23/100)))</f>
        <v>0</v>
      </c>
      <c r="Q25" s="35">
        <f ca="1">OFFSET(Q$25,-1,(1+2*$D$27))</f>
        <v>0</v>
      </c>
      <c r="R25" s="38">
        <f ca="1">R22+$E25+(R24*(1-($E23/100)))</f>
        <v>0</v>
      </c>
      <c r="S25" s="35">
        <f ca="1">OFFSET(S$25,-1,(1+2*$D$27))</f>
        <v>2000</v>
      </c>
      <c r="T25" s="38">
        <f ca="1">T22+$E25+(T24*(1-($E23/100)))</f>
        <v>0</v>
      </c>
      <c r="U25" s="35">
        <f ca="1">OFFSET(U$25,-1,(1+2*$D$27))</f>
        <v>0</v>
      </c>
      <c r="V25" s="38">
        <f ca="1">V22+$E25+(V24*(1-($E23/100)))</f>
        <v>0</v>
      </c>
      <c r="W25" s="35">
        <f ca="1">OFFSET(W$25,-1,(1+2*$D$27))</f>
        <v>0</v>
      </c>
      <c r="X25" s="38">
        <f ca="1">X22+$E25+(X24*(1-($E23/100)))</f>
        <v>0</v>
      </c>
      <c r="Y25" s="35">
        <f t="shared" ref="Y25" ca="1" si="25">OFFSET(Y$25,-1,(1+2*$D$27))</f>
        <v>0</v>
      </c>
      <c r="Z25" s="38">
        <f t="shared" ref="Z25" ca="1" si="26">Z22+$E25+(Z24*(1-($E23/100)))</f>
        <v>0</v>
      </c>
      <c r="AA25" s="35">
        <f t="shared" ref="AA25" ca="1" si="27">OFFSET(AA$25,-1,(1+2*$D$27))</f>
        <v>0</v>
      </c>
      <c r="AB25" s="38">
        <f t="shared" ref="AB25" ca="1" si="28">AB22+$E25+(AB24*(1-($E23/100)))</f>
        <v>0</v>
      </c>
    </row>
    <row r="26" spans="2:28" x14ac:dyDescent="0.25">
      <c r="B26" s="169"/>
      <c r="C26" s="170"/>
      <c r="D26" s="164"/>
      <c r="E26" s="179"/>
      <c r="F26" s="180"/>
      <c r="G26" s="37"/>
      <c r="H26" s="40"/>
      <c r="I26" s="37"/>
      <c r="J26" s="40"/>
      <c r="K26" s="37"/>
      <c r="L26" s="40"/>
      <c r="M26" s="37"/>
      <c r="N26" s="40"/>
      <c r="O26" s="37"/>
      <c r="P26" s="40"/>
      <c r="Q26" s="37"/>
      <c r="R26" s="40"/>
      <c r="S26" s="37"/>
      <c r="T26" s="40"/>
      <c r="U26" s="37"/>
      <c r="V26" s="40"/>
      <c r="W26" s="37"/>
      <c r="X26" s="40"/>
      <c r="Y26" s="37"/>
      <c r="Z26" s="40"/>
      <c r="AA26" s="37"/>
      <c r="AB26" s="40"/>
    </row>
    <row r="27" spans="2:28" ht="15.75" thickBot="1" x14ac:dyDescent="0.3">
      <c r="B27" s="157">
        <v>1000</v>
      </c>
      <c r="C27" s="158"/>
      <c r="D27" s="10">
        <v>3</v>
      </c>
      <c r="E27" s="171">
        <f>'Données techniques'!F21</f>
        <v>0</v>
      </c>
      <c r="F27" s="172"/>
      <c r="G27" s="36"/>
      <c r="H27" s="39"/>
      <c r="I27" s="36"/>
      <c r="J27" s="39"/>
      <c r="K27" s="36"/>
      <c r="L27" s="39"/>
      <c r="M27" s="36"/>
      <c r="N27" s="39"/>
      <c r="O27" s="36"/>
      <c r="P27" s="39"/>
      <c r="Q27" s="36"/>
      <c r="R27" s="39"/>
      <c r="S27" s="36"/>
      <c r="T27" s="39"/>
      <c r="U27" s="36"/>
      <c r="V27" s="39"/>
      <c r="W27" s="36"/>
      <c r="X27" s="39"/>
      <c r="Y27" s="36"/>
      <c r="Z27" s="39"/>
      <c r="AA27" s="36"/>
      <c r="AB27" s="39"/>
    </row>
    <row r="28" spans="2:28" x14ac:dyDescent="0.25">
      <c r="B28" s="159" t="s">
        <v>80</v>
      </c>
      <c r="C28" s="160"/>
      <c r="D28" s="161"/>
      <c r="E28" s="173">
        <v>3</v>
      </c>
      <c r="F28" s="174"/>
      <c r="G28" s="21">
        <f ca="1">ROUNDUP((IF($E$28&gt;$E$22,G$25*'Données techniques'!$H$41/(1-($E$30/100)),0))+(IF($E$28&gt;$E$16,G$19*'Données techniques'!$F$41/(1-(MRP!$E$30/100)),0))+(IF(MRP!$E$28&gt;MRP!$E$10,MRP!G$13*'Données techniques'!$D$41/(1-($E$30/100)),0))+(IF($E$28&gt;$E$34,G$37*'Données techniques'!$L$41/(1-(MRP!$E$30/100)),0))+(IF(MRP!$E$28&gt;MRP!$E$40,MRP!G$43*'Données techniques'!N41/(1-(MRP!$E$30/100)),0))+(IF($E$28&gt;$E$46,G$49*'Données techniques'!P41/(1-($E$30/100)),0))+(IF($E$28&gt;MRP!$E$52,MRP!G$55*'Données techniques'!R41/(1-($E$30/100)),0))+(IF($E$28&gt;MRP!$E$58,MRP!G$61*'Données techniques'!T41/(1-($E$30/100)),0))+'Données ressources'!C40,0)</f>
        <v>0</v>
      </c>
      <c r="H28" s="22">
        <f ca="1">ROUNDUP(E33-$E$31-G30-G28+G29*(1-(E29/100)),0)</f>
        <v>0</v>
      </c>
      <c r="I28" s="21">
        <f ca="1">ROUNDUP((IF($E$28&gt;$E$22,I$25*'Données techniques'!$H$41/(1-($E$30/100)),0))+(IF($E$28&gt;$E$16,I$19*'Données techniques'!$F$41/(1-(MRP!$E$30/100)),0))+(IF(MRP!$E$28&gt;MRP!$E$10,MRP!I$13*'Données techniques'!$D$41/(1-($E$30/100)),0))+(IF($E$28&gt;$E$34,I$37*'Données techniques'!$L$41/(1-(MRP!$E$30/100)),0))+(IF(MRP!$E$28&gt;MRP!$E$40,MRP!I$43*'Données techniques'!N41/(1-(MRP!$E$30/100)),0))+(IF($E$28&gt;$E$46,I$49*'Données techniques'!$P$41/(1-($E$30/100)),0))+(IF($E$28&gt;MRP!$E$52,MRP!I$55*'Données techniques'!$R$41/(1-($E$30/100)),0))+(IF($E$28&gt;MRP!$E$58,MRP!I$61*'Données techniques'!$T$41/(1-($E$30/100)),0))+'Données ressources'!E40,0)</f>
        <v>0</v>
      </c>
      <c r="J28" s="22">
        <f ca="1">ROUNDUP(H$31-$E$31-I$30-I$28+I$29*(1-($E$29/100)),0)</f>
        <v>0</v>
      </c>
      <c r="K28" s="21">
        <f ca="1">ROUNDUP((IF($E$28&gt;$E$22,K$25*'Données techniques'!$H$41/(1-($E$30/100)),0))+(IF($E$28&gt;$E$16,K$19*'Données techniques'!$F$41/(1-(MRP!$E$30/100)),0))+(IF(MRP!$E$28&gt;MRP!$E$10,MRP!K$13*'Données techniques'!$D$41/(1-($E$30/100)),0))+(IF($E$28&gt;$E$34,K$37*'Données techniques'!$L$41/(1-(MRP!$E$30/100)),0))+(IF(MRP!$E$28&gt;MRP!$E$40,MRP!K$43*'Données techniques'!P41/(1-(MRP!$E$30/100)),0))+(IF($E$28&gt;$E$46,K$49*'Données techniques'!$P$41/(1-($E$30/100)),0))+(IF($E$28&gt;MRP!$E$52,MRP!K$55*'Données techniques'!$R$41/(1-($E$30/100)),0))+(IF($E$28&gt;MRP!$E$58,MRP!K$61*'Données techniques'!$T$41/(1-($E$30/100)),0))+'Données ressources'!G40,0)</f>
        <v>0</v>
      </c>
      <c r="L28" s="22">
        <f ca="1">ROUNDUP(J$31-$E$31-K$30-K$28+K$29*(1-($E$29/100)),0)</f>
        <v>0</v>
      </c>
      <c r="M28" s="21">
        <f ca="1">ROUNDUP((IF($E$28&gt;$E$22,M$25*'Données techniques'!$H$41/(1-($E$30/100)),0))+(IF($E$28&gt;$E$16,M$19*'Données techniques'!$F$41/(1-(MRP!$E$30/100)),0))+(IF(MRP!$E$28&gt;MRP!$E$10,MRP!M$13*'Données techniques'!$D$41/(1-($E$30/100)),0))+(IF($E$28&gt;$E$34,M$37*'Données techniques'!$L$41/(1-(MRP!$E$30/100)),0))+(IF(MRP!$E$28&gt;MRP!$E$40,MRP!M$43*'Données techniques'!R41/(1-(MRP!$E$30/100)),0))+(IF($E$28&gt;$E$46,M$49*'Données techniques'!$P$41/(1-($E$30/100)),0))+(IF($E$28&gt;MRP!$E$52,MRP!M$55*'Données techniques'!$R$41/(1-($E$30/100)),0))+(IF($E$28&gt;MRP!$E$58,MRP!M$61*'Données techniques'!$T$41/(1-($E$30/100)),0))+'Données ressources'!I40,0)</f>
        <v>0</v>
      </c>
      <c r="N28" s="22">
        <f ca="1">ROUNDUP(L$31-$E$31-M$30-M$28+M$29*(1-($E$29/100)),0)</f>
        <v>0</v>
      </c>
      <c r="O28" s="21">
        <f ca="1">ROUNDUP((IF($E$28&gt;$E$22,O$25*'Données techniques'!$H$41/(1-($E$30/100)),0))+(IF($E$28&gt;$E$16,O$19*'Données techniques'!$F$41/(1-(MRP!$E$30/100)),0))+(IF(MRP!$E$28&gt;MRP!$E$10,MRP!O$13*'Données techniques'!$D$41/(1-($E$30/100)),0))+(IF($E$28&gt;$E$34,O$37*'Données techniques'!$L$41/(1-(MRP!$E$30/100)),0))+(IF(MRP!$E$28&gt;MRP!$E$40,MRP!O$43*'Données techniques'!T41/(1-(MRP!$E$30/100)),0))+(IF($E$28&gt;$E$46,O$49*'Données techniques'!$P$41/(1-($E$30/100)),0))+(IF($E$28&gt;MRP!$E$52,MRP!O$55*'Données techniques'!$R$41/(1-($E$30/100)),0))+(IF($E$28&gt;MRP!$E$58,MRP!O$61*'Données techniques'!$T$41/(1-($E$30/100)),0))+'Données ressources'!K40,0)</f>
        <v>0</v>
      </c>
      <c r="P28" s="22">
        <f ca="1">ROUNDUP(N$31-$E$31-O$30-O$28+O$29*(1-($E$29/100)),0)</f>
        <v>0</v>
      </c>
      <c r="Q28" s="21">
        <f ca="1">ROUNDUP((IF($E$28&gt;$E$22,Q$25*'Données techniques'!$H$41/(1-($E$30/100)),0))+(IF($E$28&gt;$E$16,Q$19*'Données techniques'!$F$41/(1-(MRP!$E$30/100)),0))+(IF(MRP!$E$28&gt;MRP!$E$10,MRP!Q$13*'Données techniques'!$D$41/(1-($E$30/100)),0))+(IF($E$28&gt;$E$34,Q$37*'Données techniques'!$L$41/(1-(MRP!$E$30/100)),0))+(IF(MRP!$E$28&gt;MRP!$E$40,MRP!Q$43*'Données techniques'!X41/(1-(MRP!$E$30/100)),0))+(IF($E$28&gt;$E$46,Q$49*'Données techniques'!$P$41/(1-($E$30/100)),0))+(IF($E$28&gt;MRP!$E$52,MRP!Q$55*'Données techniques'!$R$41/(1-($E$30/100)),0))+(IF($E$28&gt;MRP!$E$58,MRP!Q$61*'Données techniques'!$T$41/(1-($E$30/100)),0))+'Données ressources'!M40,0)</f>
        <v>0</v>
      </c>
      <c r="R28" s="22">
        <f ca="1">ROUNDUP(P$31-$E$31-Q$30-Q$28+Q$29*(1-($E$29/100)),0)</f>
        <v>0</v>
      </c>
      <c r="S28" s="21">
        <f ca="1">ROUNDUP((IF($E$28&gt;$E$22,S$25*'Données techniques'!$H$41/(1-($E$30/100)),0))+(IF($E$28&gt;$E$16,S$19*'Données techniques'!$F$41/(1-(MRP!$E$30/100)),0))+(IF(MRP!$E$28&gt;MRP!$E$10,MRP!S$13*'Données techniques'!$D$41/(1-($E$30/100)),0))+(IF($E$28&gt;$E$34,S$37*'Données techniques'!$L$41/(1-(MRP!$E$30/100)),0))+(IF(MRP!$E$28&gt;MRP!$E$40,MRP!S$43*'Données techniques'!#REF!/(1-(MRP!$E$30/100)),0))+(IF($E$28&gt;$E$46,S$49*'Données techniques'!$P$41/(1-($E$30/100)),0))+(IF($E$28&gt;MRP!$E$52,MRP!S$55*'Données techniques'!$R$41/(1-($E$30/100)),0))+(IF($E$28&gt;MRP!$E$58,MRP!S$61*'Données techniques'!$T$41/(1-($E$30/100)),0))+'Données ressources'!O40,0)</f>
        <v>0</v>
      </c>
      <c r="T28" s="22">
        <f ca="1">ROUNDUP(R$31-$E$31-S$30-S$28+S$29*(1-($E$29/100)),0)</f>
        <v>0</v>
      </c>
      <c r="U28" s="21">
        <f ca="1">ROUNDUP((IF($E$28&gt;$E$22,U$25*'Données techniques'!$H$41/(1-($E$30/100)),0))+(IF($E$28&gt;$E$16,U$19*'Données techniques'!$F$41/(1-(MRP!$E$30/100)),0))+(IF(MRP!$E$28&gt;MRP!$E$10,MRP!U$13*'Données techniques'!$D$41/(1-($E$30/100)),0))+(IF($E$28&gt;$E$34,U$37*'Données techniques'!$L$41/(1-(MRP!$E$30/100)),0))+(IF(MRP!$E$28&gt;MRP!$E$40,MRP!U$43*'Données techniques'!#REF!/(1-(MRP!$E$30/100)),0))+(IF($E$28&gt;$E$46,U$49*'Données techniques'!$P$41/(1-($E$30/100)),0))+(IF($E$28&gt;MRP!$E$52,MRP!U$55*'Données techniques'!$R$41/(1-($E$30/100)),0))+(IF($E$28&gt;MRP!$E$58,MRP!U$61*'Données techniques'!$T$41/(1-($E$30/100)),0))+'Données ressources'!Q40,0)</f>
        <v>16667</v>
      </c>
      <c r="V28" s="22">
        <f ca="1">ROUNDUP(T$31-$E$31-U$30-U$28+U$29*(1-($E$29/100)),0)</f>
        <v>-16667</v>
      </c>
      <c r="W28" s="21">
        <f ca="1">ROUNDUP((IF($E$28&gt;$E$22,W$25*'Données techniques'!$H$41/(1-($E$30/100)),0))+(IF($E$28&gt;$E$16,W$19*'Données techniques'!$F$41/(1-(MRP!$E$30/100)),0))+(IF(MRP!$E$28&gt;MRP!$E$10,MRP!W$13*'Données techniques'!$D$41/(1-($E$30/100)),0))+(IF($E$28&gt;$E$34,W$37*'Données techniques'!$L$41/(1-(MRP!$E$30/100)),0))+(IF(MRP!$E$28&gt;MRP!$E$40,MRP!W$43*'Données techniques'!#REF!/(1-(MRP!$E$30/100)),0))+(IF($E$28&gt;$E$46,W$49*'Données techniques'!$P$41/(1-($E$30/100)),0))+(IF($E$28&gt;MRP!$E$52,MRP!W$55*'Données techniques'!$R$41/(1-($E$30/100)),0))+(IF($E$28&gt;MRP!$E$58,MRP!W$61*'Données techniques'!$T$41/(1-($E$30/100)),0))+'Données ressources'!S40,0)</f>
        <v>0</v>
      </c>
      <c r="X28" s="22">
        <f ca="1">ROUNDUP(V$31-$E$31-W$30-W$28+W$29*(1-($E$29/100)),0)</f>
        <v>262</v>
      </c>
      <c r="Y28" s="21">
        <f ca="1">ROUNDUP((IF($E$28&gt;$E$22,Y$25*'Données techniques'!$H$41/(1-($E$30/100)),0))+(IF($E$28&gt;$E$16,Y$19*'Données techniques'!$F$41/(1-(MRP!$E$30/100)),0))+(IF(MRP!$E$28&gt;MRP!$E$10,MRP!Y$13*'Données techniques'!$D$41/(1-($E$30/100)),0))+(IF($E$28&gt;$E$34,Y$37*'Données techniques'!$L$41/(1-(MRP!$E$30/100)),0))+(IF(MRP!$E$28&gt;MRP!$E$40,MRP!Y$43*'Données techniques'!#REF!/(1-(MRP!$E$30/100)),0))+(IF($E$28&gt;$E$46,Y$49*'Données techniques'!$P$41/(1-($E$30/100)),0))+(IF($E$28&gt;MRP!$E$52,MRP!Y$55*'Données techniques'!$R$41/(1-($E$30/100)),0))+(IF($E$28&gt;MRP!$E$58,MRP!Y$61*'Données techniques'!$T$41/(1-($E$30/100)),0))+'Données ressources'!W40,0)</f>
        <v>0</v>
      </c>
      <c r="Z28" s="22">
        <f t="shared" ref="Z28" ca="1" si="29">ROUNDUP(X$31-$E$31-Y$30-Y$28+Y$29*(1-($E$29/100)),0)</f>
        <v>262</v>
      </c>
      <c r="AA28" s="21">
        <f ca="1">ROUNDUP((IF($E$28&gt;$E$22,AA$25*'Données techniques'!$H$41/(1-($E$30/100)),0))+(IF($E$28&gt;$E$16,AA$19*'Données techniques'!$F$41/(1-(MRP!$E$30/100)),0))+(IF(MRP!$E$28&gt;MRP!$E$10,MRP!AA$13*'Données techniques'!$D$41/(1-($E$30/100)),0))+(IF($E$28&gt;$E$34,AA$37*'Données techniques'!$L$41/(1-(MRP!$E$30/100)),0))+(IF(MRP!$E$28&gt;MRP!$E$40,MRP!AA$43*'Données techniques'!#REF!/(1-(MRP!$E$30/100)),0))+(IF($E$28&gt;$E$46,AA$49*'Données techniques'!$P$41/(1-($E$30/100)),0))+(IF($E$28&gt;MRP!$E$52,MRP!AA$55*'Données techniques'!$R$41/(1-($E$30/100)),0))+(IF($E$28&gt;MRP!$E$58,MRP!AA$61*'Données techniques'!$T$41/(1-($E$30/100)),0))+'Données ressources'!Y40,0)</f>
        <v>0</v>
      </c>
      <c r="AB28" s="22">
        <f t="shared" ref="AB28" ca="1" si="30">ROUNDUP(Z$31-$E$31-AA$30-AA$28+AA$29*(1-($E$29/100)),0)</f>
        <v>262</v>
      </c>
    </row>
    <row r="29" spans="2:28" x14ac:dyDescent="0.25">
      <c r="B29" s="162"/>
      <c r="C29" s="163"/>
      <c r="D29" s="164"/>
      <c r="E29" s="165">
        <f>'Données techniques'!H26</f>
        <v>1</v>
      </c>
      <c r="F29" s="166"/>
      <c r="G29" s="23">
        <f>'Données ressources'!C27</f>
        <v>0</v>
      </c>
      <c r="H29" s="24">
        <f ca="1">IF(H28&gt;0,0,-H28/(1-($E29/100)))</f>
        <v>0</v>
      </c>
      <c r="I29" s="23">
        <f>'Données ressources'!E27</f>
        <v>0</v>
      </c>
      <c r="J29" s="24">
        <f ca="1">ROUNDUP(IF(J$28&gt;0,0,-J$28/(1-($E$29/100))),0)</f>
        <v>0</v>
      </c>
      <c r="K29" s="23">
        <f>'Données ressources'!G27</f>
        <v>0</v>
      </c>
      <c r="L29" s="24">
        <f ca="1">ROUNDUP(IF(L$28&gt;0,0,-L$28/(1-($E$29/100))),0)</f>
        <v>0</v>
      </c>
      <c r="M29" s="23">
        <f>'Données ressources'!I27</f>
        <v>0</v>
      </c>
      <c r="N29" s="24">
        <f ca="1">ROUNDUP(IF(N$28&gt;0,0,-N$28/(1-($E$29/100))),0)</f>
        <v>0</v>
      </c>
      <c r="O29" s="23">
        <f>'Données ressources'!K27</f>
        <v>0</v>
      </c>
      <c r="P29" s="24">
        <f ca="1">ROUNDUP(IF(P$28&gt;0,0,-P$28/(1-($E$29/100))),0)</f>
        <v>0</v>
      </c>
      <c r="Q29" s="23">
        <f>'Données ressources'!M27</f>
        <v>0</v>
      </c>
      <c r="R29" s="24">
        <f ca="1">ROUNDUP(IF(R$28&gt;0,0,-R$28/(1-($E$29/100))),0)</f>
        <v>0</v>
      </c>
      <c r="S29" s="23">
        <f>'Données ressources'!O27</f>
        <v>0</v>
      </c>
      <c r="T29" s="24">
        <f ca="1">ROUNDUP(IF(T$28&gt;0,0,-T$28/(1-($E$29/100))),0)</f>
        <v>0</v>
      </c>
      <c r="U29" s="23">
        <f>'Données ressources'!Q27</f>
        <v>0</v>
      </c>
      <c r="V29" s="24">
        <f ca="1">ROUNDUP(IF(V$28&gt;0,0,-V$28/(1-($E$29/100))),0)</f>
        <v>16836</v>
      </c>
      <c r="W29" s="23">
        <f>'Données ressources'!S27</f>
        <v>0</v>
      </c>
      <c r="X29" s="24">
        <f ca="1">ROUNDUP(IF(X$28&gt;0,0,-X$28/(1-($E$29/100))),0)</f>
        <v>0</v>
      </c>
      <c r="Y29" s="23">
        <f>'Données ressources'!W27</f>
        <v>0</v>
      </c>
      <c r="Z29" s="24">
        <f t="shared" ref="Z29" ca="1" si="31">ROUNDUP(IF(Z$28&gt;0,0,-Z$28/(1-($E$29/100))),0)</f>
        <v>0</v>
      </c>
      <c r="AA29" s="23">
        <f>'Données ressources'!Y27</f>
        <v>0</v>
      </c>
      <c r="AB29" s="24">
        <f t="shared" ref="AB29" ca="1" si="32">ROUNDUP(IF(AB$28&gt;0,0,-AB$28/(1-($E$29/100))),0)</f>
        <v>0</v>
      </c>
    </row>
    <row r="30" spans="2:28" x14ac:dyDescent="0.25">
      <c r="B30" s="162"/>
      <c r="C30" s="163"/>
      <c r="D30" s="164"/>
      <c r="E30" s="165">
        <f>'Données techniques'!H27</f>
        <v>4</v>
      </c>
      <c r="F30" s="166"/>
      <c r="G30" s="23">
        <f>'Données ressources'!C53</f>
        <v>0</v>
      </c>
      <c r="H30" s="24">
        <f ca="1">IF(H$29&lt;&gt;0,IF($B$31="LFL",H$29,IF($B$31="SEUIL",MAX($B$31,H$29),IF($B$31="Lot",(ROUNDUP(H$29/$B$33,0)*$B$33),0))),0)</f>
        <v>0</v>
      </c>
      <c r="I30" s="23">
        <f>'Données ressources'!E53</f>
        <v>0</v>
      </c>
      <c r="J30" s="24">
        <f ca="1">IF(J$29&lt;&gt;0,IF($B$31="LFL",J$29,IF($B$31="SEUIL",MAX($B$33,J$29),IF($B$31="Lot",(ROUNDUP(J$29/$B$33,0)*$B$33),0))),0)</f>
        <v>0</v>
      </c>
      <c r="K30" s="23">
        <f>'Données ressources'!G53</f>
        <v>0</v>
      </c>
      <c r="L30" s="24">
        <f ca="1">IF(L$29&lt;&gt;0,IF($B$31="LFL",L$29,IF($B$31="SEUIL",MAX($B$33,L$29),IF($B$31="Lot",(ROUNDUP(L$29/$B$33,0)*$B$33),0))),0)</f>
        <v>0</v>
      </c>
      <c r="M30" s="23">
        <f>'Données ressources'!I53</f>
        <v>0</v>
      </c>
      <c r="N30" s="24">
        <f ca="1">IF(N$29&lt;&gt;0,IF($B$31="LFL",N$29,IF($B$31="SEUIL",MAX($B$33,N$29),IF($B$31="Lot",(ROUNDUP(N$29/$B$33,0)*$B$33),0))),0)</f>
        <v>0</v>
      </c>
      <c r="O30" s="23">
        <f>'Données ressources'!K53</f>
        <v>0</v>
      </c>
      <c r="P30" s="24">
        <f ca="1">IF(P$29&lt;&gt;0,IF($B$31="LFL",P$29,IF($B$31="SEUIL",MAX($B$33,P$29),IF($B$31="Lot",(ROUNDUP(P$29/$B$33,0)*$B$33),0))),0)</f>
        <v>0</v>
      </c>
      <c r="Q30" s="23">
        <f>'Données ressources'!M53</f>
        <v>0</v>
      </c>
      <c r="R30" s="24">
        <f ca="1">IF(R$29&lt;&gt;0,IF($B$31="LFL",R$29,IF($B$31="SEUIL",MAX($B$33,R$29),IF($B$31="Lot",(ROUNDUP(R$29/$B$33,0)*$B$33),0))),0)</f>
        <v>0</v>
      </c>
      <c r="S30" s="23">
        <f>'Données ressources'!O53</f>
        <v>0</v>
      </c>
      <c r="T30" s="24">
        <f ca="1">IF(T$29&lt;&gt;0,IF($B$31="LFL",T$29,IF($B$31="SEUIL",MAX($B$33,T$29),IF($B$31="Lot",(ROUNDUP(T$29/$B$33,0)*$B$33),0))),0)</f>
        <v>0</v>
      </c>
      <c r="U30" s="23">
        <f>'Données ressources'!Q53</f>
        <v>0</v>
      </c>
      <c r="V30" s="24">
        <f ca="1">IF(V$29&lt;&gt;0,IF($B$31="LFL",V$29,IF($B$31="SEUIL",MAX($B$33,V$29),IF($B$31="Lot",(ROUNDUP(V$29/$B$33,0)*$B$33),0))),0)</f>
        <v>17100</v>
      </c>
      <c r="W30" s="23">
        <f>'Données ressources'!S53</f>
        <v>0</v>
      </c>
      <c r="X30" s="24">
        <f ca="1">IF(X$29&lt;&gt;0,IF($B$31="LFL",X$29,IF($B$31="SEUIL",MAX($B$33,X$29),IF($B$31="Lot",(ROUNDUP(X$29/$B$33,0)*$B$33),0))),0)</f>
        <v>0</v>
      </c>
      <c r="Y30" s="23">
        <f>'Données ressources'!W53</f>
        <v>0</v>
      </c>
      <c r="Z30" s="24">
        <f t="shared" ref="Z30" ca="1" si="33">IF(Z$29&lt;&gt;0,IF($B$31="LFL",Z$29,IF($B$31="SEUIL",MAX($B$33,Z$29),IF($B$31="Lot",(ROUNDUP(Z$29/$B$33,0)*$B$33),0))),0)</f>
        <v>0</v>
      </c>
      <c r="AA30" s="23">
        <f>'Données ressources'!Y53</f>
        <v>0</v>
      </c>
      <c r="AB30" s="24">
        <f t="shared" ref="AB30" ca="1" si="34">IF(AB$29&lt;&gt;0,IF($B$31="LFL",AB$29,IF($B$31="SEUIL",MAX($B$33,AB$29),IF($B$31="Lot",(ROUNDUP(AB$29/$B$33,0)*$B$33),0))),0)</f>
        <v>0</v>
      </c>
    </row>
    <row r="31" spans="2:28" x14ac:dyDescent="0.25">
      <c r="B31" s="167" t="s">
        <v>37</v>
      </c>
      <c r="C31" s="168"/>
      <c r="D31" s="164" t="s">
        <v>0</v>
      </c>
      <c r="E31" s="165">
        <f>'Données techniques'!H22</f>
        <v>0</v>
      </c>
      <c r="F31" s="166"/>
      <c r="G31" s="41">
        <f ca="1">OFFSET(G$31,-1,(1+2*$D$33))</f>
        <v>0</v>
      </c>
      <c r="H31" s="42">
        <f ca="1">H28+$E31+(H30*(1-$E29))</f>
        <v>0</v>
      </c>
      <c r="I31" s="41">
        <f ca="1">OFFSET(I$31,-1,(1+2*$D$33))</f>
        <v>0</v>
      </c>
      <c r="J31" s="42">
        <f ca="1">ROUNDUP(J$28+$E$31+J$30*(1-($E$29/100)),0)</f>
        <v>0</v>
      </c>
      <c r="K31" s="41">
        <f ca="1">OFFSET(K$31,-1,(1+2*$D$33))</f>
        <v>0</v>
      </c>
      <c r="L31" s="42">
        <f ca="1">ROUNDUP(L$28+$E$31+L$30*(1-($E$29/100)),0)</f>
        <v>0</v>
      </c>
      <c r="M31" s="41">
        <f ca="1">OFFSET(M$31,-1,(1+2*$D$33))</f>
        <v>0</v>
      </c>
      <c r="N31" s="42">
        <f ca="1">ROUNDUP(N$28+$E$31+N$30*(1-($E$29/100)),0)</f>
        <v>0</v>
      </c>
      <c r="O31" s="41">
        <f ca="1">OFFSET(O$31,-1,(1+2*$D$33))</f>
        <v>0</v>
      </c>
      <c r="P31" s="42">
        <f ca="1">ROUNDUP(P$28+$E$31+P$30*(1-($E$29/100)),0)</f>
        <v>0</v>
      </c>
      <c r="Q31" s="41">
        <f ca="1">OFFSET(Q$31,-1,(1+2*$D$33))</f>
        <v>0</v>
      </c>
      <c r="R31" s="42">
        <f ca="1">ROUNDUP(R$28+$E$31+R$30*(1-($E$29/100)),0)</f>
        <v>0</v>
      </c>
      <c r="S31" s="41">
        <f ca="1">OFFSET(S$31,-1,(1+2*$D$33))</f>
        <v>17100</v>
      </c>
      <c r="T31" s="42">
        <f ca="1">ROUNDUP(T$28+$E$31+T$30*(1-($E$29/100)),0)</f>
        <v>0</v>
      </c>
      <c r="U31" s="41">
        <f ca="1">OFFSET(U$31,-1,(1+2*$D$33))</f>
        <v>0</v>
      </c>
      <c r="V31" s="42">
        <f ca="1">ROUNDUP(V$28+$E$31+V$30*(1-($E$29/100)),0)</f>
        <v>262</v>
      </c>
      <c r="W31" s="41">
        <f ca="1">OFFSET(W$31,-1,(1+2*$D$33))</f>
        <v>0</v>
      </c>
      <c r="X31" s="42">
        <f ca="1">ROUNDUP(X$28+$E$31+X$30*(1-($E$29/100)),0)</f>
        <v>262</v>
      </c>
      <c r="Y31" s="41">
        <f t="shared" ref="Y31" ca="1" si="35">OFFSET(Y$31,-1,(1+2*$D$33))</f>
        <v>0</v>
      </c>
      <c r="Z31" s="42">
        <f t="shared" ref="Z31" ca="1" si="36">ROUNDUP(Z$28+$E$31+Z$30*(1-($E$29/100)),0)</f>
        <v>262</v>
      </c>
      <c r="AA31" s="41">
        <f t="shared" ref="AA31" ca="1" si="37">OFFSET(AA$31,-1,(1+2*$D$33))</f>
        <v>0</v>
      </c>
      <c r="AB31" s="42">
        <f t="shared" ref="AB31" ca="1" si="38">ROUNDUP(AB$28+$E$31+AB$30*(1-($E$29/100)),0)</f>
        <v>262</v>
      </c>
    </row>
    <row r="32" spans="2:28" x14ac:dyDescent="0.25">
      <c r="B32" s="169"/>
      <c r="C32" s="170"/>
      <c r="D32" s="164"/>
      <c r="E32" s="165"/>
      <c r="F32" s="166"/>
      <c r="G32" s="45"/>
      <c r="H32" s="46"/>
      <c r="I32" s="45"/>
      <c r="J32" s="46"/>
      <c r="K32" s="45"/>
      <c r="L32" s="46"/>
      <c r="M32" s="45"/>
      <c r="N32" s="46"/>
      <c r="O32" s="45"/>
      <c r="P32" s="46"/>
      <c r="Q32" s="45"/>
      <c r="R32" s="46"/>
      <c r="S32" s="45"/>
      <c r="T32" s="46"/>
      <c r="U32" s="45"/>
      <c r="V32" s="46"/>
      <c r="W32" s="45"/>
      <c r="X32" s="46"/>
      <c r="Y32" s="45"/>
      <c r="Z32" s="46"/>
      <c r="AA32" s="45"/>
      <c r="AB32" s="46"/>
    </row>
    <row r="33" spans="2:28" ht="15.75" thickBot="1" x14ac:dyDescent="0.3">
      <c r="B33" s="157">
        <v>300</v>
      </c>
      <c r="C33" s="158"/>
      <c r="D33" s="10">
        <v>1</v>
      </c>
      <c r="E33" s="175">
        <f>'Données techniques'!H21</f>
        <v>0</v>
      </c>
      <c r="F33" s="176"/>
      <c r="G33" s="43"/>
      <c r="H33" s="44"/>
      <c r="I33" s="43"/>
      <c r="J33" s="44"/>
      <c r="K33" s="43"/>
      <c r="L33" s="44"/>
      <c r="M33" s="43"/>
      <c r="N33" s="44"/>
      <c r="O33" s="43"/>
      <c r="P33" s="44"/>
      <c r="Q33" s="43"/>
      <c r="R33" s="44"/>
      <c r="S33" s="43"/>
      <c r="T33" s="44"/>
      <c r="U33" s="43"/>
      <c r="V33" s="44"/>
      <c r="W33" s="43"/>
      <c r="X33" s="44"/>
      <c r="Y33" s="43"/>
      <c r="Z33" s="44"/>
      <c r="AA33" s="43"/>
      <c r="AB33" s="44"/>
    </row>
    <row r="34" spans="2:28" x14ac:dyDescent="0.25">
      <c r="B34" s="159" t="s">
        <v>85</v>
      </c>
      <c r="C34" s="160"/>
      <c r="D34" s="161"/>
      <c r="E34" s="177">
        <v>3</v>
      </c>
      <c r="F34" s="178"/>
      <c r="G34" s="17">
        <f ca="1">ROUNDUP((IF(MRP!$E$34&gt;$E$28,G$31*'Données techniques'!J43/(1-($E$36/100)),0))+(IF($E$34&gt;$E$22,G$25*'Données techniques'!H43/(1-($E$36/100)),0))+(IF(MRP!$E$34&gt;MRP!$E$16,MRP!G$19*'Données techniques'!F43/(1-($E$36/100)),0))+(IF($E$34&gt;$E$10,G$13*'Données techniques'!D43/(1-($E$36/100)),0))+(IF(MRP!$E$34&gt;MRP!$E$40,MRP!G$43*'Données techniques'!N43/(1-($E$36/100)),0))+(IF($E$34&gt;$E$46,G$49*'Données techniques'!P43/(1-(MRP!$E$36/100)),0))+(IF(MRP!$E$34&gt;MRP!$E$52,MRP!G$55*'Données techniques'!R43/(1-(MRP!$E$36/100)),0))+(IF(MRP!$E$34&gt;MRP!$E$58,MRP!G$61*'Données techniques'!T43/(1-(MRP!$E$36/100)),0))+'Données ressources'!C41,0)</f>
        <v>0</v>
      </c>
      <c r="H34" s="18">
        <f ca="1">ROUNDUP(E39-$E$37-G36-G34+G35*(1-(E35/100)),0)</f>
        <v>0</v>
      </c>
      <c r="I34" s="17">
        <f ca="1">ROUNDUP((IF(MRP!$E$34&gt;$E$28,I$31*'Données techniques'!J43/(1-($E$36/100)),0))+(IF($E$34&gt;$E$22,I$25*'Données techniques'!H43/(1-($E$36/100)),0))+(IF(MRP!$E$34&gt;MRP!$E$16,MRP!I$19*'Données techniques'!F43/(1-($E$36/100)),0))+(IF($E$34&gt;$E$10,I$13*'Données techniques'!D43/(1-($E$36/100)),0))+(IF(MRP!$E$34&gt;MRP!$E$40,MRP!I$43*'Données techniques'!N43/(1-($E$36/100)),0))+(IF($E$34&gt;$E$46,I$49*'Données techniques'!$P$43/(1-($E$36/100)),0))+(IF($E$34&gt;MRP!$E$52,MRP!I$55*'Données techniques'!$R$43/(1-($E$36/100)),0))+(IF($E$34&gt;MRP!$E$58,MRP!I$61*'Données techniques'!$T$43/(1-($E$36/100)),0))+'Données ressources'!E41,0)</f>
        <v>0</v>
      </c>
      <c r="J34" s="18">
        <f ca="1">ROUNDUP(H37-I36-I34-$E$37+I35*(1-($E$35/100)),0)</f>
        <v>2500</v>
      </c>
      <c r="K34" s="17">
        <f ca="1">ROUNDUP((IF(MRP!$E$34&gt;$E$28,K$31*'Données techniques'!L43/(1-($E$36/100)),0))+(IF($E$34&gt;$E$22,K$25*'Données techniques'!J43/(1-($E$36/100)),0))+(IF(MRP!$E$34&gt;MRP!$E$16,MRP!K$19*'Données techniques'!H43/(1-($E$36/100)),0))+(IF($E$34&gt;$E$10,K$13*'Données techniques'!F43/(1-($E$36/100)),0))+(IF(MRP!$E$34&gt;MRP!$E$40,MRP!K$43*'Données techniques'!P43/(1-($E$36/100)),0))+(IF($E$34&gt;$E$46,K$49*'Données techniques'!$P$43/(1-($E$36/100)),0))+(IF($E$34&gt;MRP!$E$52,MRP!K$55*'Données techniques'!$R$43/(1-($E$36/100)),0))+(IF($E$34&gt;MRP!$E$58,MRP!K$61*'Données techniques'!$T$43/(1-($E$36/100)),0))+'Données ressources'!G41,0)</f>
        <v>0</v>
      </c>
      <c r="L34" s="18">
        <f ca="1">ROUNDUP(J37-K36-K34-$E$37+K35*(1-($E$35/100)),0)</f>
        <v>5000</v>
      </c>
      <c r="M34" s="17">
        <f ca="1">ROUNDUP((IF(MRP!$E$34&gt;$E$28,M$31*'Données techniques'!N43/(1-($E$36/100)),0))+(IF($E$34&gt;$E$22,M$25*'Données techniques'!L43/(1-($E$36/100)),0))+(IF(MRP!$E$34&gt;MRP!$E$16,MRP!M$19*'Données techniques'!J43/(1-($E$36/100)),0))+(IF($E$34&gt;$E$10,M$13*'Données techniques'!H43/(1-($E$36/100)),0))+(IF(MRP!$E$34&gt;MRP!$E$40,MRP!M$43*'Données techniques'!R43/(1-($E$36/100)),0))+(IF($E$34&gt;$E$46,M$49*'Données techniques'!$P$43/(1-($E$36/100)),0))+(IF($E$34&gt;MRP!$E$52,MRP!M$55*'Données techniques'!$R$43/(1-($E$36/100)),0))+(IF($E$34&gt;MRP!$E$58,MRP!M$61*'Données techniques'!$T$43/(1-($E$36/100)),0))+'Données ressources'!I41,0)</f>
        <v>0</v>
      </c>
      <c r="N34" s="18">
        <f ca="1">ROUNDUP(L37-M36-M34-$E$37+M35*(1-($E$35/100)),0)</f>
        <v>7500</v>
      </c>
      <c r="O34" s="17">
        <f ca="1">ROUNDUP((IF(MRP!$E$34&gt;$E$28,O$31*'Données techniques'!P43/(1-($E$36/100)),0))+(IF($E$34&gt;$E$22,O$25*'Données techniques'!N43/(1-($E$36/100)),0))+(IF(MRP!$E$34&gt;MRP!$E$16,MRP!O$19*'Données techniques'!L43/(1-($E$36/100)),0))+(IF($E$34&gt;$E$10,O$13*'Données techniques'!J43/(1-($E$36/100)),0))+(IF(MRP!$E$34&gt;MRP!$E$40,MRP!O$43*'Données techniques'!T43/(1-($E$36/100)),0))+(IF($E$34&gt;$E$46,O$49*'Données techniques'!$P$43/(1-($E$36/100)),0))+(IF($E$34&gt;MRP!$E$52,MRP!O$55*'Données techniques'!$R$43/(1-($E$36/100)),0))+(IF($E$34&gt;MRP!$E$58,MRP!O$61*'Données techniques'!$T$43/(1-($E$36/100)),0))+'Données ressources'!K41,0)</f>
        <v>0</v>
      </c>
      <c r="P34" s="18">
        <f ca="1">ROUNDUP(N37-O36-O34-$E$37+O35*(1-($E$35/100)),0)</f>
        <v>10000</v>
      </c>
      <c r="Q34" s="17">
        <f ca="1">ROUNDUP((IF(MRP!$E$34&gt;$E$28,Q$31*'Données techniques'!R43/(1-($E$36/100)),0))+(IF($E$34&gt;$E$22,Q$25*'Données techniques'!P43/(1-($E$36/100)),0))+(IF(MRP!$E$34&gt;MRP!$E$16,MRP!Q$19*'Données techniques'!N43/(1-($E$36/100)),0))+(IF($E$34&gt;$E$10,Q$13*'Données techniques'!L43/(1-($E$36/100)),0))+(IF(MRP!$E$34&gt;MRP!$E$40,MRP!Q$43*'Données techniques'!X43/(1-($E$36/100)),0))+(IF($E$34&gt;$E$46,Q$49*'Données techniques'!$P$43/(1-($E$36/100)),0))+(IF($E$34&gt;MRP!$E$52,MRP!Q$55*'Données techniques'!$R$43/(1-($E$36/100)),0))+(IF($E$34&gt;MRP!$E$58,MRP!Q$61*'Données techniques'!$T$43/(1-($E$36/100)),0))+'Données ressources'!M41,0)</f>
        <v>0</v>
      </c>
      <c r="R34" s="18">
        <f ca="1">ROUNDUP(P37-Q36-Q34-$E$37+Q35*(1-($E$35/100)),0)</f>
        <v>12500</v>
      </c>
      <c r="S34" s="17">
        <f ca="1">ROUNDUP((IF(MRP!$E$34&gt;$E$28,S$31*'Données techniques'!T43/(1-($E$36/100)),0))+(IF($E$34&gt;$E$22,S$25*'Données techniques'!R43/(1-($E$36/100)),0))+(IF(MRP!$E$34&gt;MRP!$E$16,MRP!S$19*'Données techniques'!P43/(1-($E$36/100)),0))+(IF($E$34&gt;$E$10,S$13*'Données techniques'!N43/(1-($E$36/100)),0))+(IF(MRP!$E$34&gt;MRP!$E$40,MRP!S$43*'Données techniques'!Z43/(1-($E$36/100)),0))+(IF($E$34&gt;$E$46,S$49*'Données techniques'!$P$43/(1-($E$36/100)),0))+(IF($E$34&gt;MRP!$E$52,MRP!S$55*'Données techniques'!$R$43/(1-($E$36/100)),0))+(IF($E$34&gt;MRP!$E$58,MRP!S$61*'Données techniques'!$T$43/(1-($E$36/100)),0))+'Données ressources'!O41,0)</f>
        <v>0</v>
      </c>
      <c r="T34" s="18">
        <f ca="1">ROUNDUP(R37-S36-S34-$E$37+S35*(1-($E$35/100)),0)</f>
        <v>15000</v>
      </c>
      <c r="U34" s="17">
        <f ca="1">ROUNDUP((IF(MRP!$E$34&gt;$E$28,U$31*'Données techniques'!X43/(1-($E$36/100)),0))+(IF($E$34&gt;$E$22,U$25*'Données techniques'!T43/(1-($E$36/100)),0))+(IF(MRP!$E$34&gt;MRP!$E$16,MRP!U$19*'Données techniques'!R43/(1-($E$36/100)),0))+(IF($E$34&gt;$E$10,U$13*'Données techniques'!P43/(1-($E$36/100)),0))+(IF(MRP!$E$34&gt;MRP!$E$40,MRP!U$43*'Données techniques'!AB43/(1-($E$36/100)),0))+(IF($E$34&gt;$E$46,U$49*'Données techniques'!$P$43/(1-($E$36/100)),0))+(IF($E$34&gt;MRP!$E$52,MRP!U$55*'Données techniques'!$R$43/(1-($E$36/100)),0))+(IF($E$34&gt;MRP!$E$58,MRP!U$61*'Données techniques'!$T$43/(1-($E$36/100)),0))+'Données ressources'!Q41,0)</f>
        <v>0</v>
      </c>
      <c r="V34" s="18">
        <f ca="1">ROUNDUP(T37-U36-U34-$E$37+U35*(1-($E$35/100)),0)</f>
        <v>17500</v>
      </c>
      <c r="W34" s="17">
        <f ca="1">ROUNDUP((IF(MRP!$E$34&gt;$E$28,W$31*'Données techniques'!Z43/(1-($E$36/100)),0))+(IF($E$34&gt;$E$22,W$25*'Données techniques'!X43/(1-($E$36/100)),0))+(IF(MRP!$E$34&gt;MRP!$E$16,MRP!W$19*'Données techniques'!T43/(1-($E$36/100)),0))+(IF($E$34&gt;$E$10,W$13*'Données techniques'!R43/(1-($E$36/100)),0))+(IF(MRP!$E$34&gt;MRP!$E$40,MRP!W$43*'Données techniques'!AD43/(1-($E$36/100)),0))+(IF($E$34&gt;$E$46,W$49*'Données techniques'!$P$43/(1-($E$36/100)),0))+(IF($E$34&gt;MRP!$E$52,MRP!W$55*'Données techniques'!$R$43/(1-($E$36/100)),0))+(IF($E$34&gt;MRP!$E$58,MRP!W$61*'Données techniques'!$T$43/(1-($E$36/100)),0))+'Données ressources'!S41,0)</f>
        <v>0</v>
      </c>
      <c r="X34" s="18">
        <f ca="1">ROUNDUP(V37-W36-W34-$E$37+W35*(1-($E$35/100)),0)</f>
        <v>20000</v>
      </c>
      <c r="Y34" s="17">
        <f ca="1">ROUNDUP((IF(MRP!$E$34&gt;$E$28,Y$31*'Données techniques'!AB43/(1-($E$36/100)),0))+(IF($E$34&gt;$E$22,Y$25*'Données techniques'!Z43/(1-($E$36/100)),0))+(IF(MRP!$E$34&gt;MRP!$E$16,MRP!Y$19*'Données techniques'!V43/(1-($E$36/100)),0))+(IF($E$34&gt;$E$10,Y$13*'Données techniques'!T43/(1-($E$36/100)),0))+(IF(MRP!$E$34&gt;MRP!$E$40,MRP!Y$43*'Données techniques'!AF43/(1-($E$36/100)),0))+(IF($E$34&gt;$E$46,Y$49*'Données techniques'!$P$43/(1-($E$36/100)),0))+(IF($E$34&gt;MRP!$E$52,MRP!Y$55*'Données techniques'!$R$43/(1-($E$36/100)),0))+(IF($E$34&gt;MRP!$E$58,MRP!Y$61*'Données techniques'!$T$43/(1-($E$36/100)),0))+'Données ressources'!W41,0)</f>
        <v>0</v>
      </c>
      <c r="Z34" s="18">
        <f t="shared" ref="Z34" ca="1" si="39">ROUNDUP(X37-Y36-Y34-$E$37+Y35*(1-($E$35/100)),0)</f>
        <v>22500</v>
      </c>
      <c r="AA34" s="17">
        <f ca="1">ROUNDUP((IF(MRP!$E$34&gt;$E$28,AA$31*'Données techniques'!AD43/(1-($E$36/100)),0))+(IF($E$34&gt;$E$22,AA$25*'Données techniques'!AB43/(1-($E$36/100)),0))+(IF(MRP!$E$34&gt;MRP!$E$16,MRP!AA$19*'Données techniques'!X43/(1-($E$36/100)),0))+(IF($E$34&gt;$E$10,AA$13*'Données techniques'!V43/(1-($E$36/100)),0))+(IF(MRP!$E$34&gt;MRP!$E$40,MRP!AA$43*'Données techniques'!AH43/(1-($E$36/100)),0))+(IF($E$34&gt;$E$46,AA$49*'Données techniques'!$P$43/(1-($E$36/100)),0))+(IF($E$34&gt;MRP!$E$52,MRP!AA$55*'Données techniques'!$R$43/(1-($E$36/100)),0))+(IF($E$34&gt;MRP!$E$58,MRP!AA$61*'Données techniques'!$T$43/(1-($E$36/100)),0))+'Données ressources'!Y41,0)</f>
        <v>0</v>
      </c>
      <c r="AB34" s="18">
        <f t="shared" ref="AB34" ca="1" si="40">ROUNDUP(Z37-AA36-AA34-$E$37+AA35*(1-($E$35/100)),0)</f>
        <v>25000</v>
      </c>
    </row>
    <row r="35" spans="2:28" x14ac:dyDescent="0.25">
      <c r="B35" s="162"/>
      <c r="C35" s="163"/>
      <c r="D35" s="164"/>
      <c r="E35" s="179">
        <v>0</v>
      </c>
      <c r="F35" s="180"/>
      <c r="G35" s="19">
        <f>'Données ressources'!C28</f>
        <v>0</v>
      </c>
      <c r="H35" s="20">
        <f ca="1">MAX(0,-H34/(1-E35))</f>
        <v>0</v>
      </c>
      <c r="I35" s="19">
        <f>'Données ressources'!E28</f>
        <v>0</v>
      </c>
      <c r="J35" s="20">
        <f ca="1">ROUNDUP(IF(J$34&gt;0,0,-J$34/(1-($E$35/100))),0)</f>
        <v>0</v>
      </c>
      <c r="K35" s="19">
        <f>'Données ressources'!G28</f>
        <v>0</v>
      </c>
      <c r="L35" s="20">
        <f ca="1">ROUNDUP(IF(L$34&gt;0,0,-L$34/(1-($E$35/100))),0)</f>
        <v>0</v>
      </c>
      <c r="M35" s="19">
        <f>'Données ressources'!I28</f>
        <v>0</v>
      </c>
      <c r="N35" s="20">
        <f ca="1">ROUNDUP(IF(N$34&gt;0,0,-N$34/(1-($E$35/100))),0)</f>
        <v>0</v>
      </c>
      <c r="O35" s="19">
        <f>'Données ressources'!K28</f>
        <v>0</v>
      </c>
      <c r="P35" s="20">
        <f ca="1">ROUNDUP(IF(P$34&gt;0,0,-P$34/(1-($E$35/100))),0)</f>
        <v>0</v>
      </c>
      <c r="Q35" s="19">
        <f>'Données ressources'!M28</f>
        <v>0</v>
      </c>
      <c r="R35" s="20">
        <f ca="1">ROUNDUP(IF(R$34&gt;0,0,-R$34/(1-($E$35/100))),0)</f>
        <v>0</v>
      </c>
      <c r="S35" s="19">
        <f>'Données ressources'!O28</f>
        <v>0</v>
      </c>
      <c r="T35" s="20">
        <f ca="1">ROUNDUP(IF(T$34&gt;0,0,-T$34/(1-($E$35/100))),0)</f>
        <v>0</v>
      </c>
      <c r="U35" s="19">
        <f>'Données ressources'!Q28</f>
        <v>0</v>
      </c>
      <c r="V35" s="20">
        <f ca="1">ROUNDUP(IF(V$34&gt;0,0,-V$34/(1-($E$35/100))),0)</f>
        <v>0</v>
      </c>
      <c r="W35" s="19">
        <f>'Données ressources'!S28</f>
        <v>0</v>
      </c>
      <c r="X35" s="20">
        <f ca="1">ROUNDUP(IF(X$34&gt;0,0,-X$34/(1-($E$35/100))),0)</f>
        <v>0</v>
      </c>
      <c r="Y35" s="19">
        <f>'Données ressources'!W28</f>
        <v>0</v>
      </c>
      <c r="Z35" s="20">
        <f t="shared" ref="Z35" ca="1" si="41">ROUNDUP(IF(Z$34&gt;0,0,-Z$34/(1-($E$35/100))),0)</f>
        <v>0</v>
      </c>
      <c r="AA35" s="19">
        <f>'Données ressources'!Y28</f>
        <v>0</v>
      </c>
      <c r="AB35" s="20">
        <f t="shared" ref="AB35" ca="1" si="42">ROUNDUP(IF(AB$34&gt;0,0,-AB$34/(1-($E$35/100))),0)</f>
        <v>0</v>
      </c>
    </row>
    <row r="36" spans="2:28" x14ac:dyDescent="0.25">
      <c r="B36" s="162"/>
      <c r="C36" s="163"/>
      <c r="D36" s="164"/>
      <c r="E36" s="179">
        <v>0</v>
      </c>
      <c r="F36" s="180"/>
      <c r="G36" s="19">
        <f>'Données ressources'!C54</f>
        <v>0</v>
      </c>
      <c r="H36" s="20">
        <f ca="1">IF(AND($B37="Lot",$B39&gt;0),ROUNDUP(H35/$B39,)*$B39,IF(AND($B37="LFL",$B39&gt;0),H35,IF(AND($B37="SEUIL",$B39&gt;0),MAX($B39,H35,0))))</f>
        <v>2500</v>
      </c>
      <c r="I36" s="19">
        <f>'Données ressources'!E54</f>
        <v>0</v>
      </c>
      <c r="J36" s="20">
        <f ca="1">IF(AND($B37="Lot",$B39&gt;0),ROUNDUP(J35/$B39,)*$B39,IF(AND($B37="LFL",$B39&gt;0),J35,IF(AND($B37="SEUIL",$B39&gt;0),MAX($B39,J35,0))))</f>
        <v>2500</v>
      </c>
      <c r="K36" s="19">
        <f>'Données ressources'!G54</f>
        <v>0</v>
      </c>
      <c r="L36" s="20">
        <f ca="1">IF(AND($B37="Lot",$B39&gt;0),ROUNDUP(L35/$B39,)*$B39,IF(AND($B37="LFL",$B39&gt;0),L35,IF(AND($B37="SEUIL",$B39&gt;0),MAX($B39,L35,0))))</f>
        <v>2500</v>
      </c>
      <c r="M36" s="19">
        <f>'Données ressources'!I54</f>
        <v>0</v>
      </c>
      <c r="N36" s="20">
        <f ca="1">IF(AND($B37="Lot",$B39&gt;0),ROUNDUP(N35/$B39,)*$B39,IF(AND($B37="LFL",$B39&gt;0),N35,IF(AND($B37="SEUIL",$B39&gt;0),MAX($B39,N35,0))))</f>
        <v>2500</v>
      </c>
      <c r="O36" s="19">
        <f>'Données ressources'!K54</f>
        <v>0</v>
      </c>
      <c r="P36" s="20">
        <f ca="1">IF(AND($B37="Lot",$B39&gt;0),ROUNDUP(P35/$B39,)*$B39,IF(AND($B37="LFL",$B39&gt;0),P35,IF(AND($B37="SEUIL",$B39&gt;0),MAX($B39,P35,0))))</f>
        <v>2500</v>
      </c>
      <c r="Q36" s="19">
        <f>'Données ressources'!M54</f>
        <v>0</v>
      </c>
      <c r="R36" s="20">
        <f ca="1">IF(AND($B37="Lot",$B39&gt;0),ROUNDUP(R35/$B39,)*$B39,IF(AND($B37="LFL",$B39&gt;0),R35,IF(AND($B37="SEUIL",$B39&gt;0),MAX($B39,R35,0))))</f>
        <v>2500</v>
      </c>
      <c r="S36" s="19">
        <f>'Données ressources'!O54</f>
        <v>0</v>
      </c>
      <c r="T36" s="20">
        <f ca="1">IF(AND($B37="Lot",$B39&gt;0),ROUNDUP(T35/$B39,)*$B39,IF(AND($B37="LFL",$B39&gt;0),T35,IF(AND($B37="SEUIL",$B39&gt;0),MAX($B39,T35,0))))</f>
        <v>2500</v>
      </c>
      <c r="U36" s="19">
        <f>'Données ressources'!Q54</f>
        <v>0</v>
      </c>
      <c r="V36" s="20">
        <f ca="1">IF(AND($B37="Lot",$B39&gt;0),ROUNDUP(V35/$B39,)*$B39,IF(AND($B37="LFL",$B39&gt;0),V35,IF(AND($B37="SEUIL",$B39&gt;0),MAX($B39,V35,0))))</f>
        <v>2500</v>
      </c>
      <c r="W36" s="19">
        <f>'Données ressources'!S54</f>
        <v>0</v>
      </c>
      <c r="X36" s="20">
        <f ca="1">IF(AND($B37="Lot",$B39&gt;0),ROUNDUP(X35/$B39,)*$B39,IF(AND($B37="LFL",$B39&gt;0),X35,IF(AND($B37="SEUIL",$B39&gt;0),MAX($B39,X35,0))))</f>
        <v>2500</v>
      </c>
      <c r="Y36" s="19">
        <f>'Données ressources'!W54</f>
        <v>0</v>
      </c>
      <c r="Z36" s="20">
        <f t="shared" ref="Z36" ca="1" si="43">IF(AND($B37="Lot",$B39&gt;0),ROUNDUP(Z35/$B39,)*$B39,IF(AND($B37="LFL",$B39&gt;0),Z35,IF(AND($B37="SEUIL",$B39&gt;0),MAX($B39,Z35,0))))</f>
        <v>2500</v>
      </c>
      <c r="AA36" s="19">
        <f>'Données ressources'!Y54</f>
        <v>0</v>
      </c>
      <c r="AB36" s="20">
        <f t="shared" ref="AB36" ca="1" si="44">IF(AND($B37="Lot",$B39&gt;0),ROUNDUP(AB35/$B39,)*$B39,IF(AND($B37="LFL",$B39&gt;0),AB35,IF(AND($B37="SEUIL",$B39&gt;0),MAX($B39,AB35,0))))</f>
        <v>2500</v>
      </c>
    </row>
    <row r="37" spans="2:28" x14ac:dyDescent="0.25">
      <c r="B37" s="167" t="s">
        <v>14</v>
      </c>
      <c r="C37" s="168"/>
      <c r="D37" s="164" t="s">
        <v>0</v>
      </c>
      <c r="E37" s="179">
        <f>'Données techniques'!L22</f>
        <v>0</v>
      </c>
      <c r="F37" s="180"/>
      <c r="G37" s="35">
        <f ca="1">OFFSET(G$37,-1,$D$39*2+1)</f>
        <v>2500</v>
      </c>
      <c r="H37" s="38">
        <f ca="1">H34+$E37+(H36*(1-$E35))</f>
        <v>2500</v>
      </c>
      <c r="I37" s="35">
        <f ca="1">OFFSET(I$37,-1,$D$39*2+1)</f>
        <v>2500</v>
      </c>
      <c r="J37" s="38">
        <f ca="1">J34+$E37+(J36*(1-$E35))</f>
        <v>5000</v>
      </c>
      <c r="K37" s="35">
        <f ca="1">OFFSET(K$37,-1,$D$39*2+1)</f>
        <v>2500</v>
      </c>
      <c r="L37" s="38">
        <f ca="1">L34+$E37+(L36*(1-$E35))</f>
        <v>7500</v>
      </c>
      <c r="M37" s="35">
        <f ca="1">OFFSET(M$37,-1,$D$39*2+1)</f>
        <v>2500</v>
      </c>
      <c r="N37" s="38">
        <f ca="1">N34+$E37+(N36*(1-$E35))</f>
        <v>10000</v>
      </c>
      <c r="O37" s="35">
        <f ca="1">OFFSET(O$37,-1,$D$39*2+1)</f>
        <v>2500</v>
      </c>
      <c r="P37" s="38">
        <f ca="1">P34+$E37+(P36*(1-$E35))</f>
        <v>12500</v>
      </c>
      <c r="Q37" s="35">
        <f ca="1">OFFSET(Q$37,-1,$D$39*2+1)</f>
        <v>2500</v>
      </c>
      <c r="R37" s="38">
        <f ca="1">R34+$E37+(R36*(1-$E35))</f>
        <v>15000</v>
      </c>
      <c r="S37" s="35">
        <f ca="1">OFFSET(S$37,-1,$D$39*2+1)</f>
        <v>2500</v>
      </c>
      <c r="T37" s="38">
        <f ca="1">T34+$E37+(T36*(1-$E35))</f>
        <v>17500</v>
      </c>
      <c r="U37" s="35">
        <f ca="1">OFFSET(U$37,-1,$D$39*2+1)</f>
        <v>2500</v>
      </c>
      <c r="V37" s="38">
        <f ca="1">V34+$E37+(V36*(1-$E35))</f>
        <v>20000</v>
      </c>
      <c r="W37" s="35">
        <f ca="1">OFFSET(W$37,-1,$D$39*2+1)</f>
        <v>2500</v>
      </c>
      <c r="X37" s="38">
        <f ca="1">X34+$E37+(X36*(1-$E35))</f>
        <v>22500</v>
      </c>
      <c r="Y37" s="35">
        <f t="shared" ref="Y37" ca="1" si="45">OFFSET(Y$37,-1,$D$39*2+1)</f>
        <v>2500</v>
      </c>
      <c r="Z37" s="38">
        <f t="shared" ref="Z37" ca="1" si="46">Z34+$E37+(Z36*(1-$E35))</f>
        <v>25000</v>
      </c>
      <c r="AA37" s="35">
        <f t="shared" ref="AA37" ca="1" si="47">OFFSET(AA$37,-1,$D$39*2+1)</f>
        <v>0</v>
      </c>
      <c r="AB37" s="38">
        <f t="shared" ref="AB37" ca="1" si="48">AB34+$E37+(AB36*(1-$E35))</f>
        <v>27500</v>
      </c>
    </row>
    <row r="38" spans="2:28" x14ac:dyDescent="0.25">
      <c r="B38" s="169"/>
      <c r="C38" s="170"/>
      <c r="D38" s="164"/>
      <c r="E38" s="179"/>
      <c r="F38" s="180"/>
      <c r="G38" s="37"/>
      <c r="H38" s="40"/>
      <c r="I38" s="37"/>
      <c r="J38" s="40"/>
      <c r="K38" s="37"/>
      <c r="L38" s="40"/>
      <c r="M38" s="37"/>
      <c r="N38" s="40"/>
      <c r="O38" s="37"/>
      <c r="P38" s="40"/>
      <c r="Q38" s="37"/>
      <c r="R38" s="40"/>
      <c r="S38" s="37"/>
      <c r="T38" s="40"/>
      <c r="U38" s="37"/>
      <c r="V38" s="40"/>
      <c r="W38" s="37"/>
      <c r="X38" s="40"/>
      <c r="Y38" s="37"/>
      <c r="Z38" s="40"/>
      <c r="AA38" s="37"/>
      <c r="AB38" s="40"/>
    </row>
    <row r="39" spans="2:28" ht="15.75" thickBot="1" x14ac:dyDescent="0.3">
      <c r="B39" s="184">
        <v>2500</v>
      </c>
      <c r="C39" s="185"/>
      <c r="D39" s="11">
        <v>1</v>
      </c>
      <c r="E39" s="171">
        <f>'Données techniques'!L21</f>
        <v>0</v>
      </c>
      <c r="F39" s="172"/>
      <c r="G39" s="36"/>
      <c r="H39" s="39"/>
      <c r="I39" s="36"/>
      <c r="J39" s="39"/>
      <c r="K39" s="36"/>
      <c r="L39" s="39"/>
      <c r="M39" s="36"/>
      <c r="N39" s="39"/>
      <c r="O39" s="36"/>
      <c r="P39" s="39"/>
      <c r="Q39" s="36"/>
      <c r="R39" s="39"/>
      <c r="S39" s="36"/>
      <c r="T39" s="39"/>
      <c r="U39" s="36"/>
      <c r="V39" s="39"/>
      <c r="W39" s="36"/>
      <c r="X39" s="39"/>
      <c r="Y39" s="36"/>
      <c r="Z39" s="39"/>
      <c r="AA39" s="36"/>
      <c r="AB39" s="39"/>
    </row>
    <row r="40" spans="2:28" x14ac:dyDescent="0.25">
      <c r="B40" s="159" t="s">
        <v>81</v>
      </c>
      <c r="C40" s="160"/>
      <c r="D40" s="161"/>
      <c r="E40" s="173">
        <v>3</v>
      </c>
      <c r="F40" s="174"/>
      <c r="G40" s="21">
        <f ca="1">ROUNDUP((IF(MRP!$E$40&gt;$E$34,G$37*'Données techniques'!L45/(1-($E$42/100)),0))+(IF($E$40&gt;$E$28,G$31*'Données techniques'!J45/(1-($E$42/100)),0))+(IF(MRP!$E$40&gt;MRP!$E$22,MRP!G$25*'Données techniques'!H45/(1-($E$42/100)),0))+(IF($E$40&gt;$E$16,G$19*'Données techniques'!F45/(1-($E$42/100)),0))+(IF(MRP!$E$40&gt;MRP!$E$10,MRP!G$13*'Données techniques'!D45/(1-($E$42/100)),0))+(IF($E$40&gt;$E$46,G$49*'Données techniques'!P45/(1-(MRP!$E$42/100)),0))+IF(MRP!$E$40&gt;MRP!E52,MRP!G$55*'Données techniques'!R45/(1-(MRP!$E$42/100)),0)+(IF($E$40&gt;$E$58,MRP!G61/(1-(MRP!$E$42/100)),0))+'Données ressources'!C42,0)</f>
        <v>0</v>
      </c>
      <c r="H40" s="22">
        <f ca="1">ROUNDUP(E45-$E$43-G42-G40+G41*(1-(E41/100)),0)</f>
        <v>0</v>
      </c>
      <c r="I40" s="21">
        <f ca="1">ROUNDUP((IF(MRP!$E$40&gt;$E$34,I$37*'Données techniques'!$L$45/(1-($E$42/100)),0))+(IF($E$40&gt;$E$28,I$31*'Données techniques'!$J$45/(1-($E$42/100)),0))+(IF(MRP!$E$40&gt;MRP!$E$22,MRP!I$25*'Données techniques'!$H$45/(1-($E$42/100)),0))+(IF($E$40&gt;$E$16,I$19*'Données techniques'!$F$45/(1-($E$42/100)),0))+(IF(MRP!$E$40&gt;MRP!$E$10,MRP!I$13*'Données techniques'!$D$45/(1-($E$42/100)),0))+(IF($E$40&gt;$E$46,I$49*'Données techniques'!$P$45/(1-($E$42/100)),0))+(IF($E$40&gt;MRP!$E$52,MRP!I$55*'Données techniques'!$R$45/(1-($E$42/100)),0))+(IF($E$40&gt;MRP!$E$58,MRP!I$61*'Données techniques'!$T$45/(1-($E$42/100)),0))+'Données ressources'!E42,0)</f>
        <v>0</v>
      </c>
      <c r="J40" s="22">
        <f ca="1">ROUNDUP(H$43-$E$43-I42-I40+I41*(1-($E$41/100)),0)</f>
        <v>0</v>
      </c>
      <c r="K40" s="21">
        <f ca="1">ROUNDUP((IF(MRP!$E$40&gt;$E$34,K$37*'Données techniques'!$L$45/(1-($E$42/100)),0))+(IF($E$40&gt;$E$28,K$31*'Données techniques'!$J$45/(1-($E$42/100)),0))+(IF(MRP!$E$40&gt;MRP!$E$22,MRP!K$25*'Données techniques'!$H$45/(1-($E$42/100)),0))+(IF($E$40&gt;$E$16,K$19*'Données techniques'!$F$45/(1-($E$42/100)),0))+(IF(MRP!$E$40&gt;MRP!$E$10,MRP!K$13*'Données techniques'!$D$45/(1-($E$42/100)),0))+(IF($E$40&gt;$E$46,K$49*'Données techniques'!$P$45/(1-($E$42/100)),0))+(IF($E$40&gt;MRP!$E$52,MRP!K$55*'Données techniques'!$R$45/(1-($E$42/100)),0))+(IF($E$40&gt;MRP!$E$58,MRP!K$61*'Données techniques'!$T$45/(1-($E$42/100)),0))+'Données ressources'!G42,0)</f>
        <v>0</v>
      </c>
      <c r="L40" s="22">
        <f ca="1">ROUNDUP(J$43-$E$43-K42-K40+K41*(1-($E$41/100)),0)</f>
        <v>0</v>
      </c>
      <c r="M40" s="21">
        <f ca="1">ROUNDUP((IF(MRP!$E$40&gt;$E$34,M$37*'Données techniques'!$L$45/(1-($E$42/100)),0))+(IF($E$40&gt;$E$28,M$31*'Données techniques'!$J$45/(1-($E$42/100)),0))+(IF(MRP!$E$40&gt;MRP!$E$22,MRP!M$25*'Données techniques'!$H$45/(1-($E$42/100)),0))+(IF($E$40&gt;$E$16,M$19*'Données techniques'!$F$45/(1-($E$42/100)),0))+(IF(MRP!$E$40&gt;MRP!$E$10,MRP!M$13*'Données techniques'!$D$45/(1-($E$42/100)),0))+(IF($E$40&gt;$E$46,M$49*'Données techniques'!$P$45/(1-($E$42/100)),0))+(IF($E$40&gt;MRP!$E$52,MRP!M$55*'Données techniques'!$R$45/(1-($E$42/100)),0))+(IF($E$40&gt;MRP!$E$58,MRP!M$61*'Données techniques'!$T$45/(1-($E$42/100)),0))+'Données ressources'!I42,0)</f>
        <v>0</v>
      </c>
      <c r="N40" s="22">
        <f ca="1">ROUNDUP(L$43-$E$43-M42-M40+M41*(1-($E$41/100)),0)</f>
        <v>0</v>
      </c>
      <c r="O40" s="21">
        <f ca="1">ROUNDUP((IF(MRP!$E$40&gt;$E$34,O$37*'Données techniques'!$L$45/(1-($E$42/100)),0))+(IF($E$40&gt;$E$28,O$31*'Données techniques'!$J$45/(1-($E$42/100)),0))+(IF(MRP!$E$40&gt;MRP!$E$22,MRP!O$25*'Données techniques'!$H$45/(1-($E$42/100)),0))+(IF($E$40&gt;$E$16,O$19*'Données techniques'!$F$45/(1-($E$42/100)),0))+(IF(MRP!$E$40&gt;MRP!$E$10,MRP!O$13*'Données techniques'!$D$45/(1-($E$42/100)),0))+(IF($E$40&gt;$E$46,O$49*'Données techniques'!$P$45/(1-($E$42/100)),0))+(IF($E$40&gt;MRP!$E$52,MRP!O$55*'Données techniques'!$R$45/(1-($E$42/100)),0))+(IF($E$40&gt;MRP!$E$58,MRP!O$61*'Données techniques'!$T$45/(1-($E$42/100)),0))+'Données ressources'!K42,0)</f>
        <v>0</v>
      </c>
      <c r="P40" s="22">
        <f ca="1">ROUNDUP(N$43-$E$43-O42-O40+O41*(1-($E$41/100)),0)</f>
        <v>0</v>
      </c>
      <c r="Q40" s="21">
        <f ca="1">ROUNDUP((IF(MRP!$E$40&gt;$E$34,Q$37*'Données techniques'!$L$45/(1-($E$42/100)),0))+(IF($E$40&gt;$E$28,Q$31*'Données techniques'!$J$45/(1-($E$42/100)),0))+(IF(MRP!$E$40&gt;MRP!$E$22,MRP!Q$25*'Données techniques'!$H$45/(1-($E$42/100)),0))+(IF($E$40&gt;$E$16,Q$19*'Données techniques'!$F$45/(1-($E$42/100)),0))+(IF(MRP!$E$40&gt;MRP!$E$10,MRP!Q$13*'Données techniques'!$D$45/(1-($E$42/100)),0))+(IF($E$40&gt;$E$46,Q$49*'Données techniques'!$P$45/(1-($E$42/100)),0))+(IF($E$40&gt;MRP!$E$52,MRP!Q$55*'Données techniques'!$R$45/(1-($E$42/100)),0))+(IF($E$40&gt;MRP!$E$58,MRP!Q$61*'Données techniques'!$T$45/(1-($E$42/100)),0))+'Données ressources'!M42,0)</f>
        <v>0</v>
      </c>
      <c r="R40" s="22">
        <f ca="1">ROUNDUP(P$43-$E$43-Q42-Q40+Q41*(1-($E$41/100)),0)</f>
        <v>0</v>
      </c>
      <c r="S40" s="21">
        <f ca="1">ROUNDUP((IF(MRP!$E$40&gt;$E$34,S$37*'Données techniques'!$L$45/(1-($E$42/100)),0))+(IF($E$40&gt;$E$28,S$31*'Données techniques'!$J$45/(1-($E$42/100)),0))+(IF(MRP!$E$40&gt;MRP!$E$22,MRP!S$25*'Données techniques'!$H$45/(1-($E$42/100)),0))+(IF($E$40&gt;$E$16,S$19*'Données techniques'!$F$45/(1-($E$42/100)),0))+(IF(MRP!$E$40&gt;MRP!$E$10,MRP!S$13*'Données techniques'!$D$45/(1-($E$42/100)),0))+(IF($E$40&gt;$E$46,S$49*'Données techniques'!$P$45/(1-($E$42/100)),0))+(IF($E$40&gt;MRP!$E$52,MRP!S$55*'Données techniques'!$R$45/(1-($E$42/100)),0))+(IF($E$40&gt;MRP!$E$58,MRP!S$61*'Données techniques'!$T$45/(1-($E$42/100)),0))+'Données ressources'!O42,0)</f>
        <v>74000</v>
      </c>
      <c r="T40" s="22">
        <f ca="1">ROUNDUP(R$43-$E$43-S42-S40+S41*(1-($E$41/100)),0)</f>
        <v>-74000</v>
      </c>
      <c r="U40" s="21">
        <f ca="1">ROUNDUP((IF(MRP!$E$40&gt;$E$34,U$37*'Données techniques'!$L$45/(1-($E$42/100)),0))+(IF($E$40&gt;$E$28,U$31*'Données techniques'!$J$45/(1-($E$42/100)),0))+(IF(MRP!$E$40&gt;MRP!$E$22,MRP!U$25*'Données techniques'!$H$45/(1-($E$42/100)),0))+(IF($E$40&gt;$E$16,U$19*'Données techniques'!$F$45/(1-($E$42/100)),0))+(IF(MRP!$E$40&gt;MRP!$E$10,MRP!U$13*'Données techniques'!$D$45/(1-($E$42/100)),0))+(IF($E$40&gt;$E$46,U$49*'Données techniques'!$P$45/(1-($E$42/100)),0))+(IF($E$40&gt;MRP!$E$52,MRP!U$55*'Données techniques'!$R$45/(1-($E$42/100)),0))+(IF($E$40&gt;MRP!$E$58,MRP!U$61*'Données techniques'!$T$45/(1-($E$42/100)),0))+'Données ressources'!Q42,0)</f>
        <v>0</v>
      </c>
      <c r="V40" s="22">
        <f ca="1">ROUNDUP(T$43-$E$43-U42-U40+U41*(1-($E$41/100)),0)</f>
        <v>-74000</v>
      </c>
      <c r="W40" s="21">
        <f ca="1">ROUNDUP((IF(MRP!$E$40&gt;$E$34,W$37*'Données techniques'!$L$45/(1-($E$42/100)),0))+(IF($E$40&gt;$E$28,W$31*'Données techniques'!$J$45/(1-($E$42/100)),0))+(IF(MRP!$E$40&gt;MRP!$E$22,MRP!W$25*'Données techniques'!$H$45/(1-($E$42/100)),0))+(IF($E$40&gt;$E$16,W$19*'Données techniques'!$F$45/(1-($E$42/100)),0))+(IF(MRP!$E$40&gt;MRP!$E$10,MRP!W$13*'Données techniques'!$D$45/(1-($E$42/100)),0))+(IF($E$40&gt;$E$46,W$49*'Données techniques'!$P$45/(1-($E$42/100)),0))+(IF($E$40&gt;MRP!$E$52,MRP!W$55*'Données techniques'!$R$45/(1-($E$42/100)),0))+(IF($E$40&gt;MRP!$E$58,MRP!W$61*'Données techniques'!$T$45/(1-($E$42/100)),0))+'Données ressources'!S42,0)</f>
        <v>0</v>
      </c>
      <c r="X40" s="22">
        <f ca="1">ROUNDUP(V$43-$E$43-W42-W40+W41*(1-($E$41/100)),0)</f>
        <v>-74000</v>
      </c>
      <c r="Y40" s="21">
        <f ca="1">ROUNDUP((IF(MRP!$E$40&gt;$E$34,Y$37*'Données techniques'!$L$45/(1-($E$42/100)),0))+(IF($E$40&gt;$E$28,Y$31*'Données techniques'!$J$45/(1-($E$42/100)),0))+(IF(MRP!$E$40&gt;MRP!$E$22,MRP!Y$25*'Données techniques'!$H$45/(1-($E$42/100)),0))+(IF($E$40&gt;$E$16,Y$19*'Données techniques'!$F$45/(1-($E$42/100)),0))+(IF(MRP!$E$40&gt;MRP!$E$10,MRP!Y$13*'Données techniques'!$D$45/(1-($E$42/100)),0))+(IF($E$40&gt;$E$46,Y$49*'Données techniques'!$P$45/(1-($E$42/100)),0))+(IF($E$40&gt;MRP!$E$52,MRP!Y$55*'Données techniques'!$R$45/(1-($E$42/100)),0))+(IF($E$40&gt;MRP!$E$58,MRP!Y$61*'Données techniques'!$T$45/(1-($E$42/100)),0))+'Données ressources'!W42,0)</f>
        <v>0</v>
      </c>
      <c r="Z40" s="22">
        <f t="shared" ref="Z40" ca="1" si="49">ROUNDUP(X$43-$E$43-Y42-Y40+Y41*(1-($E$41/100)),0)</f>
        <v>-74000</v>
      </c>
      <c r="AA40" s="21">
        <f ca="1">ROUNDUP((IF(MRP!$E$40&gt;$E$34,AA$37*'Données techniques'!$L$45/(1-($E$42/100)),0))+(IF($E$40&gt;$E$28,AA$31*'Données techniques'!$J$45/(1-($E$42/100)),0))+(IF(MRP!$E$40&gt;MRP!$E$22,MRP!AA$25*'Données techniques'!$H$45/(1-($E$42/100)),0))+(IF($E$40&gt;$E$16,AA$19*'Données techniques'!$F$45/(1-($E$42/100)),0))+(IF(MRP!$E$40&gt;MRP!$E$10,MRP!AA$13*'Données techniques'!$D$45/(1-($E$42/100)),0))+(IF($E$40&gt;$E$46,AA$49*'Données techniques'!$P$45/(1-($E$42/100)),0))+(IF($E$40&gt;MRP!$E$52,MRP!AA$55*'Données techniques'!$R$45/(1-($E$42/100)),0))+(IF($E$40&gt;MRP!$E$58,MRP!AA$61*'Données techniques'!$T$45/(1-($E$42/100)),0))+'Données ressources'!Y42,0)</f>
        <v>0</v>
      </c>
      <c r="AB40" s="22">
        <f t="shared" ref="AB40" ca="1" si="50">ROUNDUP(Z$43-$E$43-AA42-AA40+AA41*(1-($E$41/100)),0)</f>
        <v>-74000</v>
      </c>
    </row>
    <row r="41" spans="2:28" x14ac:dyDescent="0.25">
      <c r="B41" s="162"/>
      <c r="C41" s="163"/>
      <c r="D41" s="164"/>
      <c r="E41" s="165">
        <v>1</v>
      </c>
      <c r="F41" s="166"/>
      <c r="G41" s="23">
        <f>'Données ressources'!C29</f>
        <v>0</v>
      </c>
      <c r="H41" s="24">
        <f ca="1">MAX(0,-H40/(1-E41/100))</f>
        <v>0</v>
      </c>
      <c r="I41" s="23">
        <f>'Données ressources'!E29</f>
        <v>0</v>
      </c>
      <c r="J41" s="24">
        <f ca="1">ROUNDUP(IF(J$40&gt;0,0,-J$40/(1-($E$41/100))),0)</f>
        <v>0</v>
      </c>
      <c r="K41" s="23">
        <f>'Données ressources'!G29</f>
        <v>0</v>
      </c>
      <c r="L41" s="24">
        <f ca="1">ROUNDUP(IF(L$40&gt;0,0,-L$40/(1-($E$41/100))),0)</f>
        <v>0</v>
      </c>
      <c r="M41" s="23">
        <f>'Données ressources'!I29</f>
        <v>0</v>
      </c>
      <c r="N41" s="24">
        <f ca="1">ROUNDUP(IF(N$40&gt;0,0,-N$40/(1-($E$41/100))),0)</f>
        <v>0</v>
      </c>
      <c r="O41" s="23">
        <f>'Données ressources'!K29</f>
        <v>0</v>
      </c>
      <c r="P41" s="24">
        <f ca="1">ROUNDUP(IF(P$40&gt;0,0,-P$40/(1-($E$41/100))),0)</f>
        <v>0</v>
      </c>
      <c r="Q41" s="23">
        <f>'Données ressources'!M29</f>
        <v>0</v>
      </c>
      <c r="R41" s="24">
        <f ca="1">ROUNDUP(IF(R$40&gt;0,0,-R$40/(1-($E$41/100))),0)</f>
        <v>0</v>
      </c>
      <c r="S41" s="23">
        <f>'Données ressources'!O29</f>
        <v>0</v>
      </c>
      <c r="T41" s="24">
        <f ca="1">ROUNDUP(IF(T$40&gt;0,0,-T$40/(1-($E$41/100))),0)</f>
        <v>74748</v>
      </c>
      <c r="U41" s="23">
        <f>'Données ressources'!Q29</f>
        <v>0</v>
      </c>
      <c r="V41" s="24">
        <f ca="1">ROUNDUP(IF(V$40&gt;0,0,-V$40/(1-($E$41/100))),0)</f>
        <v>74748</v>
      </c>
      <c r="W41" s="23">
        <f>'Données ressources'!S29</f>
        <v>0</v>
      </c>
      <c r="X41" s="24">
        <f ca="1">ROUNDUP(IF(X$40&gt;0,0,-X$40/(1-($E$41/100))),0)</f>
        <v>74748</v>
      </c>
      <c r="Y41" s="23">
        <f>'Données ressources'!W29</f>
        <v>0</v>
      </c>
      <c r="Z41" s="24">
        <f t="shared" ref="Z41" ca="1" si="51">ROUNDUP(IF(Z$40&gt;0,0,-Z$40/(1-($E$41/100))),0)</f>
        <v>74748</v>
      </c>
      <c r="AA41" s="23">
        <f>'Données ressources'!Y29</f>
        <v>0</v>
      </c>
      <c r="AB41" s="24">
        <f t="shared" ref="AB41" ca="1" si="52">ROUNDUP(IF(AB$40&gt;0,0,-AB$40/(1-($E$41/100))),0)</f>
        <v>74748</v>
      </c>
    </row>
    <row r="42" spans="2:28" x14ac:dyDescent="0.25">
      <c r="B42" s="162"/>
      <c r="C42" s="163"/>
      <c r="D42" s="164"/>
      <c r="E42" s="165">
        <f>'Données techniques'!N27</f>
        <v>0</v>
      </c>
      <c r="F42" s="166"/>
      <c r="G42" s="23">
        <f>'Données ressources'!C55</f>
        <v>0</v>
      </c>
      <c r="H42" s="24">
        <f ca="1">IF(AND($B43="Lot",$B45&gt;0),ROUNDUP(H41/$B45,)*$B45,IF(AND($B43="LFL",$B45&gt;0),H41,IF(AND($B43="SEUIL",$B45&gt;0),MAX($B45,H41,0))))</f>
        <v>0</v>
      </c>
      <c r="I42" s="23">
        <f>'Données ressources'!E55</f>
        <v>0</v>
      </c>
      <c r="J42" s="24">
        <f ca="1">IF(AND($B43="Lot",$B45&gt;0),ROUNDUP(J41/$B45,)*$B45,IF(AND($B43="LFL",$B45&gt;0),J41,IF(AND($B43="SEUIL",$B45&gt;0),MAX($B45,J41,0))))</f>
        <v>0</v>
      </c>
      <c r="K42" s="23">
        <f>'Données ressources'!G55</f>
        <v>0</v>
      </c>
      <c r="L42" s="24">
        <f ca="1">IF(AND($B43="Lot",$B45&gt;0),ROUNDUP(L41/$B45,)*$B45,IF(AND($B43="LFL",$B45&gt;0),L41,IF(AND($B43="SEUIL",$B45&gt;0),MAX($B45,L41,0))))</f>
        <v>0</v>
      </c>
      <c r="M42" s="23">
        <f>'Données ressources'!I55</f>
        <v>0</v>
      </c>
      <c r="N42" s="24">
        <f ca="1">IF(AND($B43="Lot",$B45&gt;0),ROUNDUP(N41/$B45,)*$B45,IF(AND($B43="LFL",$B45&gt;0),N41,IF(AND($B43="SEUIL",$B45&gt;0),MAX($B45,N41,0))))</f>
        <v>0</v>
      </c>
      <c r="O42" s="23">
        <f>'Données ressources'!K55</f>
        <v>0</v>
      </c>
      <c r="P42" s="24">
        <f ca="1">IF(AND($B43="Lot",$B45&gt;0),ROUNDUP(P41/$B45,)*$B45,IF(AND($B43="LFL",$B45&gt;0),P41,IF(AND($B43="SEUIL",$B45&gt;0),MAX($B45,P41,0))))</f>
        <v>0</v>
      </c>
      <c r="Q42" s="23">
        <f>'Données ressources'!M55</f>
        <v>0</v>
      </c>
      <c r="R42" s="24">
        <f ca="1">IF(AND($B43="Lot",$B45&gt;0),ROUNDUP(R41/$B45,)*$B45,IF(AND($B43="LFL",$B45&gt;0),R41,IF(AND($B43="SEUIL",$B45&gt;0),MAX($B45,R41,0))))</f>
        <v>0</v>
      </c>
      <c r="S42" s="23">
        <f>'Données ressources'!O55</f>
        <v>0</v>
      </c>
      <c r="T42" s="24">
        <f ca="1">IF(AND($B43="Lot",$B45&gt;0),ROUNDUP(T41/$B45,)*$B45,IF(AND($B43="LFL",$B45&gt;0),T41,IF(AND($B43="SEUIL",$B45&gt;0),MAX($B45,T41,0))))</f>
        <v>78000</v>
      </c>
      <c r="U42" s="23">
        <f>'Données ressources'!Q55</f>
        <v>0</v>
      </c>
      <c r="V42" s="24">
        <f ca="1">IF(AND($B43="Lot",$B45&gt;0),ROUNDUP(V41/$B45,)*$B45,IF(AND($B43="LFL",$B45&gt;0),V41,IF(AND($B43="SEUIL",$B45&gt;0),MAX($B45,V41,0))))</f>
        <v>78000</v>
      </c>
      <c r="W42" s="23">
        <f>'Données ressources'!S55</f>
        <v>0</v>
      </c>
      <c r="X42" s="24">
        <f ca="1">IF(AND($B43="Lot",$B45&gt;0),ROUNDUP(X41/$B45,)*$B45,IF(AND($B43="LFL",$B45&gt;0),X41,IF(AND($B43="SEUIL",$B45&gt;0),MAX($B45,X41,0))))</f>
        <v>78000</v>
      </c>
      <c r="Y42" s="23">
        <f>'Données ressources'!W55</f>
        <v>0</v>
      </c>
      <c r="Z42" s="24">
        <f t="shared" ref="Z42" ca="1" si="53">IF(AND($B43="Lot",$B45&gt;0),ROUNDUP(Z41/$B45,)*$B45,IF(AND($B43="LFL",$B45&gt;0),Z41,IF(AND($B43="SEUIL",$B45&gt;0),MAX($B45,Z41,0))))</f>
        <v>78000</v>
      </c>
      <c r="AA42" s="23">
        <f>'Données ressources'!Y55</f>
        <v>0</v>
      </c>
      <c r="AB42" s="24">
        <f t="shared" ref="AB42" ca="1" si="54">IF(AND($B43="Lot",$B45&gt;0),ROUNDUP(AB41/$B45,)*$B45,IF(AND($B43="LFL",$B45&gt;0),AB41,IF(AND($B43="SEUIL",$B45&gt;0),MAX($B45,AB41,0))))</f>
        <v>78000</v>
      </c>
    </row>
    <row r="43" spans="2:28" x14ac:dyDescent="0.25">
      <c r="B43" s="162" t="s">
        <v>37</v>
      </c>
      <c r="C43" s="163"/>
      <c r="D43" s="164" t="s">
        <v>0</v>
      </c>
      <c r="E43" s="165">
        <f>'Données techniques'!N22</f>
        <v>0</v>
      </c>
      <c r="F43" s="166"/>
      <c r="G43" s="41">
        <f ca="1">OFFSET(G$43,-1,(1+2*$D$45))</f>
        <v>0</v>
      </c>
      <c r="H43" s="42">
        <f ca="1">H40+$E43+(H42*(1-$E41))</f>
        <v>0</v>
      </c>
      <c r="I43" s="41">
        <f ca="1">OFFSET(I$43,-1,(1+2*$D$45))</f>
        <v>0</v>
      </c>
      <c r="J43" s="42">
        <f ca="1">J40+$E43+(J42*(1-$E41))</f>
        <v>0</v>
      </c>
      <c r="K43" s="41">
        <f ca="1">OFFSET(K$43,-1,(1+2*$D$45))</f>
        <v>0</v>
      </c>
      <c r="L43" s="42">
        <f ca="1">L40+$E43+(L42*(1-$E41))</f>
        <v>0</v>
      </c>
      <c r="M43" s="41">
        <f ca="1">OFFSET(M$43,-1,(1+2*$D$45))</f>
        <v>0</v>
      </c>
      <c r="N43" s="42">
        <f ca="1">N40+$E43+(N42*(1-$E41))</f>
        <v>0</v>
      </c>
      <c r="O43" s="41">
        <f ca="1">OFFSET(O$43,-1,(1+2*$D$45))</f>
        <v>0</v>
      </c>
      <c r="P43" s="42">
        <f ca="1">P40+$E43+(P42*(1-$E41))</f>
        <v>0</v>
      </c>
      <c r="Q43" s="41">
        <f ca="1">OFFSET(Q$43,-1,(1+2*$D$45))</f>
        <v>78000</v>
      </c>
      <c r="R43" s="42">
        <f ca="1">R40+$E43+(R42*(1-$E41))</f>
        <v>0</v>
      </c>
      <c r="S43" s="41">
        <f ca="1">OFFSET(S$43,-1,(1+2*$D$45))</f>
        <v>78000</v>
      </c>
      <c r="T43" s="42">
        <f ca="1">T40+$E43+(T42*(1-$E41))</f>
        <v>-74000</v>
      </c>
      <c r="U43" s="41">
        <f ca="1">OFFSET(U$43,-1,(1+2*$D$45))</f>
        <v>78000</v>
      </c>
      <c r="V43" s="42">
        <f ca="1">V40+$E43+(V42*(1-$E41))</f>
        <v>-74000</v>
      </c>
      <c r="W43" s="41">
        <f ca="1">OFFSET(W$43,-1,(1+2*$D$45))</f>
        <v>78000</v>
      </c>
      <c r="X43" s="42">
        <f ca="1">X40+$E43+(X42*(1-$E41))</f>
        <v>-74000</v>
      </c>
      <c r="Y43" s="41">
        <f t="shared" ref="Y43" ca="1" si="55">OFFSET(Y$43,-1,(1+2*$D$45))</f>
        <v>78000</v>
      </c>
      <c r="Z43" s="42">
        <f t="shared" ref="Z43" ca="1" si="56">Z40+$E43+(Z42*(1-$E41))</f>
        <v>-74000</v>
      </c>
      <c r="AA43" s="41">
        <f t="shared" ref="AA43" ca="1" si="57">OFFSET(AA$43,-1,(1+2*$D$45))</f>
        <v>0</v>
      </c>
      <c r="AB43" s="42">
        <f t="shared" ref="AB43" ca="1" si="58">AB40+$E43+(AB42*(1-$E41))</f>
        <v>-74000</v>
      </c>
    </row>
    <row r="44" spans="2:28" x14ac:dyDescent="0.25">
      <c r="B44" s="162"/>
      <c r="C44" s="163"/>
      <c r="D44" s="164"/>
      <c r="E44" s="165"/>
      <c r="F44" s="166"/>
      <c r="G44" s="45"/>
      <c r="H44" s="46"/>
      <c r="I44" s="45"/>
      <c r="J44" s="46"/>
      <c r="K44" s="45"/>
      <c r="L44" s="46"/>
      <c r="M44" s="45"/>
      <c r="N44" s="46"/>
      <c r="O44" s="45"/>
      <c r="P44" s="46"/>
      <c r="Q44" s="45"/>
      <c r="R44" s="46"/>
      <c r="S44" s="45"/>
      <c r="T44" s="46"/>
      <c r="U44" s="45"/>
      <c r="V44" s="46"/>
      <c r="W44" s="45"/>
      <c r="X44" s="46"/>
      <c r="Y44" s="45"/>
      <c r="Z44" s="46"/>
      <c r="AA44" s="45"/>
      <c r="AB44" s="46"/>
    </row>
    <row r="45" spans="2:28" ht="15.75" thickBot="1" x14ac:dyDescent="0.3">
      <c r="B45" s="157">
        <v>6000</v>
      </c>
      <c r="C45" s="158"/>
      <c r="D45" s="10">
        <v>1</v>
      </c>
      <c r="E45" s="175">
        <f>'Données techniques'!N21</f>
        <v>0</v>
      </c>
      <c r="F45" s="176"/>
      <c r="G45" s="43"/>
      <c r="H45" s="44"/>
      <c r="I45" s="43"/>
      <c r="J45" s="44"/>
      <c r="K45" s="43"/>
      <c r="L45" s="44"/>
      <c r="M45" s="43"/>
      <c r="N45" s="44"/>
      <c r="O45" s="43"/>
      <c r="P45" s="44"/>
      <c r="Q45" s="43"/>
      <c r="R45" s="44"/>
      <c r="S45" s="43"/>
      <c r="T45" s="44"/>
      <c r="U45" s="43"/>
      <c r="V45" s="44"/>
      <c r="W45" s="43"/>
      <c r="X45" s="44"/>
      <c r="Y45" s="43"/>
      <c r="Z45" s="44"/>
      <c r="AA45" s="43"/>
      <c r="AB45" s="44"/>
    </row>
    <row r="46" spans="2:28" x14ac:dyDescent="0.25">
      <c r="B46" s="159" t="s">
        <v>82</v>
      </c>
      <c r="C46" s="160"/>
      <c r="D46" s="161"/>
      <c r="E46" s="177">
        <v>3</v>
      </c>
      <c r="F46" s="178"/>
      <c r="G46" s="17">
        <f ca="1">ROUNDUP((IF($E$46&gt;$E$40,G$43*'Données techniques'!N47/(1-($E$48/100)),0))+(IF($E$46&gt;$E$34,G$37*'Données techniques'!L47/(1-(MRP!$E$48/100)),0))+(IF(MRP!$E$46&gt;MRP!$E$28,MRP!G31*'Données techniques'!J47/(1-(MRP!$E$48/100)),0))+(IF(MRP!$E$46&gt;MRP!$E$22,MRP!G$25*'Données techniques'!H47/(1-(MRP!$E$48/100)),0))+(IF(MRP!$E$46&gt;MRP!$E$16,MRP!G$19*'Données techniques'!F47/(1-(MRP!$E$48/100)),0))+(IF(MRP!$E$46&gt;MRP!$E$10,MRP!G$13*'Données techniques'!D47/(1-(MRP!$E$48/100)),0))+(IF(MRP!$E$46&gt;MRP!$E$52,MRP!G$55*'Données techniques'!R47/(1-(MRP!$E$48/100)),0))+(IF(MRP!$E$46&gt;MRP!$E$58,MRP!G61*'Données techniques'!T47/(1-(MRP!E48/100)),0))+'Données ressources'!C43,0)</f>
        <v>0</v>
      </c>
      <c r="H46" s="18">
        <f ca="1">ROUNDUP(E51-$E$37-G48-G46+G47*(1-(E47/100)),0)</f>
        <v>0</v>
      </c>
      <c r="I46" s="17">
        <f ca="1">ROUNDUP((IF(MRP!$E$46&gt;$E$28,I$31*'Données techniques'!$J$47/(1-($E$48/100)),0))+(IF($E$46&gt;$E$22,I$25*'Données techniques'!$H$47/(1-($E$48/100)),0))+(IF(MRP!$E$46&gt;MRP!$E$16,MRP!I$19*'Données techniques'!$F$47/(1-($E$48/100)),0))+(IF($E$46&gt;$E$10,I$13*'Données techniques'!$D$47/(1-($E$48/100)),0))+(IF(MRP!$E$46&gt;MRP!$E$40,MRP!I$43*'Données techniques'!$N$47/(1-($E$48/100)),0))+(IF($E$46&gt;$E$34,I$37*'Données techniques'!$L$47/(1-(MRP!$E$48/100)),0))+(IF($E$46&gt;MRP!$E$52,MRP!I$55*'Données techniques'!$R$47/(1-($E$48/100)),0))+(IF($E$46&gt;MRP!$E$58,MRP!I$61*'Données techniques'!$T$47/(1-($E$48/100)),0))+'Données ressources'!E57,0)</f>
        <v>0</v>
      </c>
      <c r="J46" s="18">
        <f ca="1">ROUNDUP(H49-I48-I46-$E$37+I47*(1-($E$47/100)),0)</f>
        <v>0</v>
      </c>
      <c r="K46" s="17">
        <f ca="1">ROUNDUP((IF(MRP!$E$46&gt;$E$28,K$31*'Données techniques'!$J$47/(1-($E$48/100)),0))+(IF($E$46&gt;$E$22,K$25*'Données techniques'!$H$47/(1-($E$48/100)),0))+(IF(MRP!$E$46&gt;MRP!$E$16,MRP!K$19*'Données techniques'!$F$47/(1-($E$48/100)),0))+(IF($E$46&gt;$E$10,K$13*'Données techniques'!$D$47/(1-($E$48/100)),0))+(IF(MRP!$E$46&gt;MRP!$E$40,MRP!K$43*'Données techniques'!$N$47/(1-($E$48/100)),0))+(IF($E$46&gt;$E$34,K$37*'Données techniques'!$L$47/(1-(MRP!$E$48/100)),0))+(IF($E$46&gt;MRP!$E$52,MRP!K$55*'Données techniques'!$R$47/(1-($E$48/100)),0))+(IF($E$46&gt;MRP!$E$58,MRP!K$61*'Données techniques'!$T$47/(1-($E$48/100)),0))+'Données ressources'!G57,0)</f>
        <v>0</v>
      </c>
      <c r="L46" s="18">
        <f ca="1">ROUNDUP(J49-K48-K46-$E$37+K47*(1-($E$47/100)),0)</f>
        <v>0</v>
      </c>
      <c r="M46" s="17">
        <f ca="1">ROUNDUP((IF(MRP!$E$46&gt;$E$28,M$31*'Données techniques'!$J$47/(1-($E$48/100)),0))+(IF($E$46&gt;$E$22,M$25*'Données techniques'!$H$47/(1-($E$48/100)),0))+(IF(MRP!$E$46&gt;MRP!$E$16,MRP!M$19*'Données techniques'!$F$47/(1-($E$48/100)),0))+(IF($E$46&gt;$E$10,M$13*'Données techniques'!$D$47/(1-($E$48/100)),0))+(IF(MRP!$E$46&gt;MRP!$E$40,MRP!M$43*'Données techniques'!$N$47/(1-($E$48/100)),0))+(IF($E$46&gt;$E$34,M$37*'Données techniques'!$L$47/(1-(MRP!$E$48/100)),0))+(IF($E$46&gt;MRP!$E$52,MRP!M$55*'Données techniques'!$R$47/(1-($E$48/100)),0))+(IF($E$46&gt;MRP!$E$58,MRP!M$61*'Données techniques'!$T$47/(1-($E$48/100)),0))+'Données ressources'!I57,0)</f>
        <v>0</v>
      </c>
      <c r="N46" s="18">
        <f ca="1">ROUNDUP(L49-M48-M46-$E$37+M47*(1-($E$47/100)),0)</f>
        <v>0</v>
      </c>
      <c r="O46" s="17">
        <f ca="1">ROUNDUP((IF(MRP!$E$46&gt;$E$28,O$31*'Données techniques'!$J$47/(1-($E$48/100)),0))+(IF($E$46&gt;$E$22,O$25*'Données techniques'!$H$47/(1-($E$48/100)),0))+(IF(MRP!$E$46&gt;MRP!$E$16,MRP!O$19*'Données techniques'!$F$47/(1-($E$48/100)),0))+(IF($E$46&gt;$E$10,O$13*'Données techniques'!$D$47/(1-($E$48/100)),0))+(IF(MRP!$E$46&gt;MRP!$E$40,MRP!O$43*'Données techniques'!$N$47/(1-($E$48/100)),0))+(IF($E$46&gt;$E$34,O$37*'Données techniques'!$L$47/(1-(MRP!$E$48/100)),0))+(IF($E$46&gt;MRP!$E$52,MRP!O$55*'Données techniques'!$R$47/(1-($E$48/100)),0))+(IF($E$46&gt;MRP!$E$58,MRP!O$61*'Données techniques'!$T$47/(1-($E$48/100)),0))+'Données ressources'!K57,0)</f>
        <v>0</v>
      </c>
      <c r="P46" s="18">
        <f ca="1">ROUNDUP(N49-O48-O46-$E$37+O47*(1-($E$47/100)),0)</f>
        <v>0</v>
      </c>
      <c r="Q46" s="17">
        <f ca="1">ROUNDUP((IF(MRP!$E$46&gt;$E$28,Q$31*'Données techniques'!$J$47/(1-($E$48/100)),0))+(IF($E$46&gt;$E$22,Q$25*'Données techniques'!$H$47/(1-($E$48/100)),0))+(IF(MRP!$E$46&gt;MRP!$E$16,MRP!Q$19*'Données techniques'!$F$47/(1-($E$48/100)),0))+(IF($E$46&gt;$E$10,Q$13*'Données techniques'!$D$47/(1-($E$48/100)),0))+(IF(MRP!$E$46&gt;MRP!$E$40,MRP!Q$43*'Données techniques'!$N$47/(1-($E$48/100)),0))+(IF($E$46&gt;$E$34,Q$37*'Données techniques'!$L$47/(1-(MRP!$E$48/100)),0))+(IF($E$46&gt;MRP!$E$52,MRP!Q$55*'Données techniques'!$R$47/(1-($E$48/100)),0))+(IF($E$46&gt;MRP!$E$58,MRP!Q$61*'Données techniques'!$T$47/(1-($E$48/100)),0))+'Données ressources'!M57,0)</f>
        <v>0</v>
      </c>
      <c r="R46" s="18">
        <f ca="1">ROUNDUP(P49-Q48-Q46-$E$37+Q47*(1-($E$47/100)),0)</f>
        <v>0</v>
      </c>
      <c r="S46" s="17">
        <f ca="1">ROUNDUP((IF(MRP!$E$46&gt;$E$28,S$31*'Données techniques'!$J$47/(1-($E$48/100)),0))+(IF($E$46&gt;$E$22,S$25*'Données techniques'!$H$47/(1-($E$48/100)),0))+(IF(MRP!$E$46&gt;MRP!$E$16,MRP!S$19*'Données techniques'!$F$47/(1-($E$48/100)),0))+(IF($E$46&gt;$E$10,S$13*'Données techniques'!$D$47/(1-($E$48/100)),0))+(IF(MRP!$E$46&gt;MRP!$E$40,MRP!S$43*'Données techniques'!$N$47/(1-($E$48/100)),0))+(IF($E$46&gt;$E$34,S$37*'Données techniques'!$L$47/(1-(MRP!$E$48/100)),0))+(IF($E$46&gt;MRP!$E$52,MRP!S$55*'Données techniques'!$R$47/(1-($E$48/100)),0))+(IF($E$46&gt;MRP!$E$58,MRP!S$61*'Données techniques'!$T$47/(1-($E$48/100)),0))+'Données ressources'!O57,0)</f>
        <v>0</v>
      </c>
      <c r="T46" s="18">
        <f ca="1">ROUNDUP(R49-S48-S46-$E$37+S47*(1-($E$47/100)),0)</f>
        <v>0</v>
      </c>
      <c r="U46" s="17">
        <f ca="1">ROUNDUP((IF(MRP!$E$46&gt;$E$28,U$31*'Données techniques'!$J$47/(1-($E$48/100)),0))+(IF($E$46&gt;$E$22,U$25*'Données techniques'!$H$47/(1-($E$48/100)),0))+(IF(MRP!$E$46&gt;MRP!$E$16,MRP!U$19*'Données techniques'!$F$47/(1-($E$48/100)),0))+(IF($E$46&gt;$E$10,U$13*'Données techniques'!$D$47/(1-($E$48/100)),0))+(IF(MRP!$E$46&gt;MRP!$E$40,MRP!U$43*'Données techniques'!$N$47/(1-($E$48/100)),0))+(IF($E$46&gt;$E$34,U$37*'Données techniques'!$L$47/(1-(MRP!$E$48/100)),0))+(IF($E$46&gt;MRP!$E$52,MRP!U$55*'Données techniques'!$R$47/(1-($E$48/100)),0))+(IF($E$46&gt;MRP!$E$58,MRP!U$61*'Données techniques'!$T$47/(1-($E$48/100)),0))+'Données ressources'!Q57,0)</f>
        <v>0</v>
      </c>
      <c r="V46" s="18">
        <f ca="1">ROUNDUP(T49-U48-U46-$E$37+U47*(1-($E$47/100)),0)</f>
        <v>0</v>
      </c>
      <c r="W46" s="17">
        <f ca="1">ROUNDUP((IF(MRP!$E$46&gt;$E$28,W$31*'Données techniques'!$J$47/(1-($E$48/100)),0))+(IF($E$46&gt;$E$22,W$25*'Données techniques'!$H$47/(1-($E$48/100)),0))+(IF(MRP!$E$46&gt;MRP!$E$16,MRP!W$19*'Données techniques'!$F$47/(1-($E$48/100)),0))+(IF($E$46&gt;$E$10,W$13*'Données techniques'!$D$47/(1-($E$48/100)),0))+(IF(MRP!$E$46&gt;MRP!$E$40,MRP!W$43*'Données techniques'!$N$47/(1-($E$48/100)),0))+(IF($E$46&gt;$E$34,W$37*'Données techniques'!$L$47/(1-(MRP!$E$48/100)),0))+(IF($E$46&gt;MRP!$E$52,MRP!W$55*'Données techniques'!$R$47/(1-($E$48/100)),0))+(IF($E$46&gt;MRP!$E$58,MRP!W$61*'Données techniques'!$T$47/(1-($E$48/100)),0))+'Données ressources'!S57,0)</f>
        <v>0</v>
      </c>
      <c r="X46" s="18">
        <f ca="1">ROUNDUP(V49-W48-W46-$E$37+W47*(1-($E$47/100)),0)</f>
        <v>0</v>
      </c>
      <c r="Y46" s="17">
        <f ca="1">ROUNDUP((IF(MRP!$E$46&gt;$E$28,Y$31*'Données techniques'!$J$47/(1-($E$48/100)),0))+(IF($E$46&gt;$E$22,Y$25*'Données techniques'!$H$47/(1-($E$48/100)),0))+(IF(MRP!$E$46&gt;MRP!$E$16,MRP!Y$19*'Données techniques'!$F$47/(1-($E$48/100)),0))+(IF($E$46&gt;$E$10,Y$13*'Données techniques'!$D$47/(1-($E$48/100)),0))+(IF(MRP!$E$46&gt;MRP!$E$40,MRP!Y$43*'Données techniques'!$N$47/(1-($E$48/100)),0))+(IF($E$46&gt;$E$34,Y$37*'Données techniques'!$L$47/(1-(MRP!$E$48/100)),0))+(IF($E$46&gt;MRP!$E$52,MRP!Y$55*'Données techniques'!$R$47/(1-($E$48/100)),0))+(IF($E$46&gt;MRP!$E$58,MRP!Y$61*'Données techniques'!$T$47/(1-($E$48/100)),0))+'Données ressources'!W57,0)</f>
        <v>45800</v>
      </c>
      <c r="Z46" s="18">
        <f t="shared" ref="Z46" ca="1" si="59">ROUNDUP(X49-Y48-Y46-$E$37+Y47*(1-($E$47/100)),0)</f>
        <v>-45800</v>
      </c>
      <c r="AA46" s="17">
        <f ca="1">ROUNDUP((IF(MRP!$E$46&gt;$E$28,AA$31*'Données techniques'!$J$47/(1-($E$48/100)),0))+(IF($E$46&gt;$E$22,AA$25*'Données techniques'!$H$47/(1-($E$48/100)),0))+(IF(MRP!$E$46&gt;MRP!$E$16,MRP!AA$19*'Données techniques'!$F$47/(1-($E$48/100)),0))+(IF($E$46&gt;$E$10,AA$13*'Données techniques'!$D$47/(1-($E$48/100)),0))+(IF(MRP!$E$46&gt;MRP!$E$40,MRP!AA$43*'Données techniques'!$N$47/(1-($E$48/100)),0))+(IF($E$46&gt;$E$34,AA$37*'Données techniques'!$L$47/(1-(MRP!$E$48/100)),0))+(IF($E$46&gt;MRP!$E$52,MRP!AA$55*'Données techniques'!$R$47/(1-($E$48/100)),0))+(IF($E$46&gt;MRP!$E$58,MRP!AA$61*'Données techniques'!$T$47/(1-($E$48/100)),0))+'Données ressources'!Y57,0)</f>
        <v>0</v>
      </c>
      <c r="AB46" s="18">
        <f t="shared" ref="AB46" ca="1" si="60">ROUNDUP(Z49-AA48-AA46-$E$37+AA47*(1-($E$47/100)),0)</f>
        <v>0</v>
      </c>
    </row>
    <row r="47" spans="2:28" x14ac:dyDescent="0.25">
      <c r="B47" s="162"/>
      <c r="C47" s="163"/>
      <c r="D47" s="164"/>
      <c r="E47" s="179">
        <v>0</v>
      </c>
      <c r="F47" s="180"/>
      <c r="G47" s="19">
        <f>'Données ressources'!C30</f>
        <v>0</v>
      </c>
      <c r="H47" s="20">
        <f ca="1">MAX(0,-H46/(1-E47))</f>
        <v>0</v>
      </c>
      <c r="I47" s="19">
        <f>'Données ressources'!E30</f>
        <v>0</v>
      </c>
      <c r="J47" s="20">
        <f ca="1">ROUNDUP(IF(J$46&gt;0,0,-J$46/(1-($E$47/100))),0)</f>
        <v>0</v>
      </c>
      <c r="K47" s="19">
        <f>'Données ressources'!G30</f>
        <v>0</v>
      </c>
      <c r="L47" s="20">
        <f ca="1">ROUNDUP(IF(L$46&gt;0,0,-L$46/(1-($E$47/100))),0)</f>
        <v>0</v>
      </c>
      <c r="M47" s="19">
        <f>'Données ressources'!I30</f>
        <v>0</v>
      </c>
      <c r="N47" s="20">
        <f ca="1">ROUNDUP(IF(N$46&gt;0,0,-N$46/(1-($E$47/100))),0)</f>
        <v>0</v>
      </c>
      <c r="O47" s="19">
        <f>'Données ressources'!K30</f>
        <v>0</v>
      </c>
      <c r="P47" s="20">
        <f ca="1">ROUNDUP(IF(P$46&gt;0,0,-P$46/(1-($E$47/100))),0)</f>
        <v>0</v>
      </c>
      <c r="Q47" s="19">
        <f>'Données ressources'!M30</f>
        <v>0</v>
      </c>
      <c r="R47" s="20">
        <f ca="1">ROUNDUP(IF(R$46&gt;0,0,-R$46/(1-($E$47/100))),0)</f>
        <v>0</v>
      </c>
      <c r="S47" s="19">
        <f>'Données ressources'!O30</f>
        <v>0</v>
      </c>
      <c r="T47" s="20">
        <f ca="1">ROUNDUP(IF(T$46&gt;0,0,-T$46/(1-($E$47/100))),0)</f>
        <v>0</v>
      </c>
      <c r="U47" s="19">
        <f>'Données ressources'!Q30</f>
        <v>0</v>
      </c>
      <c r="V47" s="20">
        <f ca="1">ROUNDUP(IF(V$46&gt;0,0,-V$46/(1-($E$47/100))),0)</f>
        <v>0</v>
      </c>
      <c r="W47" s="19">
        <f>'Données ressources'!S30</f>
        <v>0</v>
      </c>
      <c r="X47" s="20">
        <f ca="1">ROUNDUP(IF(X$46&gt;0,0,-X$46/(1-($E$47/100))),0)</f>
        <v>0</v>
      </c>
      <c r="Y47" s="19">
        <f>'Données ressources'!W30</f>
        <v>0</v>
      </c>
      <c r="Z47" s="20">
        <f t="shared" ref="Z47" ca="1" si="61">ROUNDUP(IF(Z$46&gt;0,0,-Z$46/(1-($E$47/100))),0)</f>
        <v>45800</v>
      </c>
      <c r="AA47" s="19">
        <f>'Données ressources'!Y30</f>
        <v>0</v>
      </c>
      <c r="AB47" s="20">
        <f t="shared" ref="AB47" ca="1" si="62">ROUNDUP(IF(AB$46&gt;0,0,-AB$46/(1-($E$47/100))),0)</f>
        <v>0</v>
      </c>
    </row>
    <row r="48" spans="2:28" x14ac:dyDescent="0.25">
      <c r="B48" s="162"/>
      <c r="C48" s="163"/>
      <c r="D48" s="164"/>
      <c r="E48" s="179">
        <f>'Données techniques'!L41</f>
        <v>0</v>
      </c>
      <c r="F48" s="180"/>
      <c r="G48" s="19">
        <f>'Données ressources'!C56</f>
        <v>0</v>
      </c>
      <c r="H48" s="20">
        <f ca="1">IF(AND($B49="Lot",$B51&gt;0),ROUNDUP(H47/$B51,)*$B51,IF(AND($B49="LFL",$B51&gt;0),H47,IF(AND($B49="SEUIL",$B51&gt;0),MAX($B51,H47,0))))</f>
        <v>0</v>
      </c>
      <c r="I48" s="19">
        <f>'Données ressources'!E56</f>
        <v>0</v>
      </c>
      <c r="J48" s="20">
        <f ca="1">IF(AND($B49="Lot",$B51&gt;0),ROUNDUP(J47/$B51,)*$B51,IF(AND($B49="LFL",$B51&gt;0),J47,IF(AND($B49="SEUIL",$B51&gt;0),MAX($B51,J47,0))))</f>
        <v>0</v>
      </c>
      <c r="K48" s="19">
        <f>'Données ressources'!G56</f>
        <v>0</v>
      </c>
      <c r="L48" s="20">
        <f ca="1">IF(AND($B49="Lot",$B51&gt;0),ROUNDUP(L47/$B51,)*$B51,IF(AND($B49="LFL",$B51&gt;0),L47,IF(AND($B49="SEUIL",$B51&gt;0),MAX($B51,L47,0))))</f>
        <v>0</v>
      </c>
      <c r="M48" s="19">
        <f>'Données ressources'!I56</f>
        <v>0</v>
      </c>
      <c r="N48" s="20">
        <f ca="1">IF(AND($B49="Lot",$B51&gt;0),ROUNDUP(N47/$B51,)*$B51,IF(AND($B49="LFL",$B51&gt;0),N47,IF(AND($B49="SEUIL",$B51&gt;0),MAX($B51,N47,0))))</f>
        <v>0</v>
      </c>
      <c r="O48" s="19">
        <f>'Données ressources'!K56</f>
        <v>0</v>
      </c>
      <c r="P48" s="20">
        <f ca="1">IF(AND($B49="Lot",$B51&gt;0),ROUNDUP(P47/$B51,)*$B51,IF(AND($B49="LFL",$B51&gt;0),P47,IF(AND($B49="SEUIL",$B51&gt;0),MAX($B51,P47,0))))</f>
        <v>0</v>
      </c>
      <c r="Q48" s="19">
        <f>'Données ressources'!M56</f>
        <v>0</v>
      </c>
      <c r="R48" s="20">
        <f ca="1">IF(AND($B49="Lot",$B51&gt;0),ROUNDUP(R47/$B51,)*$B51,IF(AND($B49="LFL",$B51&gt;0),R47,IF(AND($B49="SEUIL",$B51&gt;0),MAX($B51,R47,0))))</f>
        <v>0</v>
      </c>
      <c r="S48" s="19">
        <f>'Données ressources'!O56</f>
        <v>0</v>
      </c>
      <c r="T48" s="20">
        <f ca="1">IF(AND($B49="Lot",$B51&gt;0),ROUNDUP(T47/$B51,)*$B51,IF(AND($B49="LFL",$B51&gt;0),T47,IF(AND($B49="SEUIL",$B51&gt;0),MAX($B51,T47,0))))</f>
        <v>0</v>
      </c>
      <c r="U48" s="19">
        <f>'Données ressources'!Q56</f>
        <v>0</v>
      </c>
      <c r="V48" s="20">
        <f ca="1">IF(AND($B49="Lot",$B51&gt;0),ROUNDUP(V47/$B51,)*$B51,IF(AND($B49="LFL",$B51&gt;0),V47,IF(AND($B49="SEUIL",$B51&gt;0),MAX($B51,V47,0))))</f>
        <v>0</v>
      </c>
      <c r="W48" s="19">
        <f>'Données ressources'!S56</f>
        <v>0</v>
      </c>
      <c r="X48" s="20">
        <f ca="1">IF(AND($B49="Lot",$B51&gt;0),ROUNDUP(X47/$B51,)*$B51,IF(AND($B49="LFL",$B51&gt;0),X47,IF(AND($B49="SEUIL",$B51&gt;0),MAX($B51,X47,0))))</f>
        <v>0</v>
      </c>
      <c r="Y48" s="19">
        <f>'Données ressources'!W56</f>
        <v>0</v>
      </c>
      <c r="Z48" s="20">
        <f t="shared" ref="Z48" ca="1" si="63">IF(AND($B49="Lot",$B51&gt;0),ROUNDUP(Z47/$B51,)*$B51,IF(AND($B49="LFL",$B51&gt;0),Z47,IF(AND($B49="SEUIL",$B51&gt;0),MAX($B51,Z47,0))))</f>
        <v>45800</v>
      </c>
      <c r="AA48" s="19">
        <f>'Données ressources'!Y56</f>
        <v>0</v>
      </c>
      <c r="AB48" s="20">
        <f t="shared" ref="AB48" ca="1" si="64">IF(AND($B49="Lot",$B51&gt;0),ROUNDUP(AB47/$B51,)*$B51,IF(AND($B49="LFL",$B51&gt;0),AB47,IF(AND($B49="SEUIL",$B51&gt;0),MAX($B51,AB47,0))))</f>
        <v>0</v>
      </c>
    </row>
    <row r="49" spans="2:28" x14ac:dyDescent="0.25">
      <c r="B49" s="167" t="s">
        <v>12</v>
      </c>
      <c r="C49" s="168"/>
      <c r="D49" s="164" t="s">
        <v>0</v>
      </c>
      <c r="E49" s="179">
        <f>'Données techniques'!L36</f>
        <v>0</v>
      </c>
      <c r="F49" s="180"/>
      <c r="G49" s="35">
        <f ca="1">OFFSET(G$49,-1,$D$51*2+1)</f>
        <v>0</v>
      </c>
      <c r="H49" s="38">
        <f ca="1">H46+$E49+(H48*(1-$E47))</f>
        <v>0</v>
      </c>
      <c r="I49" s="35">
        <f ca="1">OFFSET(I$49,-1,$D$51*2+1)</f>
        <v>0</v>
      </c>
      <c r="J49" s="38">
        <f ca="1">J46+$E49+(J48*(1-$E47))</f>
        <v>0</v>
      </c>
      <c r="K49" s="35">
        <f ca="1">OFFSET(K$49,-1,$D$51*2+1)</f>
        <v>0</v>
      </c>
      <c r="L49" s="38">
        <f ca="1">L46+$E49+(L48*(1-$E47))</f>
        <v>0</v>
      </c>
      <c r="M49" s="35">
        <f ca="1">OFFSET(M$49,-1,$D$51*2+1)</f>
        <v>0</v>
      </c>
      <c r="N49" s="38">
        <f ca="1">N46+$E49+(N48*(1-$E47))</f>
        <v>0</v>
      </c>
      <c r="O49" s="35">
        <f ca="1">OFFSET(O$49,-1,$D$51*2+1)</f>
        <v>0</v>
      </c>
      <c r="P49" s="38">
        <f ca="1">P46+$E49+(P48*(1-$E47))</f>
        <v>0</v>
      </c>
      <c r="Q49" s="35">
        <f ca="1">OFFSET(Q$49,-1,$D$51*2+1)</f>
        <v>0</v>
      </c>
      <c r="R49" s="38">
        <f ca="1">R46+$E49+(R48*(1-$E47))</f>
        <v>0</v>
      </c>
      <c r="S49" s="35">
        <f ca="1">OFFSET(S$49,-1,$D$51*2+1)</f>
        <v>0</v>
      </c>
      <c r="T49" s="38">
        <f ca="1">T46+$E49+(T48*(1-$E47))</f>
        <v>0</v>
      </c>
      <c r="U49" s="35">
        <f ca="1">OFFSET(U$49,-1,$D$51*2+1)</f>
        <v>0</v>
      </c>
      <c r="V49" s="38">
        <f ca="1">V46+$E49+(V48*(1-$E47))</f>
        <v>0</v>
      </c>
      <c r="W49" s="35">
        <f ca="1">OFFSET(W$49,-1,$D$51*2+1)</f>
        <v>45800</v>
      </c>
      <c r="X49" s="38">
        <f ca="1">X46+$E49+(X48*(1-$E47))</f>
        <v>0</v>
      </c>
      <c r="Y49" s="35">
        <f t="shared" ref="Y49" ca="1" si="65">OFFSET(Y$49,-1,$D$51*2+1)</f>
        <v>0</v>
      </c>
      <c r="Z49" s="38">
        <f t="shared" ref="Z49" ca="1" si="66">Z46+$E49+(Z48*(1-$E47))</f>
        <v>0</v>
      </c>
      <c r="AA49" s="35">
        <f t="shared" ref="AA49" ca="1" si="67">OFFSET(AA$49,-1,$D$51*2+1)</f>
        <v>0</v>
      </c>
      <c r="AB49" s="38">
        <f t="shared" ref="AB49" ca="1" si="68">AB46+$E49+(AB48*(1-$E47))</f>
        <v>0</v>
      </c>
    </row>
    <row r="50" spans="2:28" x14ac:dyDescent="0.25">
      <c r="B50" s="169"/>
      <c r="C50" s="170"/>
      <c r="D50" s="164"/>
      <c r="E50" s="179"/>
      <c r="F50" s="180"/>
      <c r="G50" s="37"/>
      <c r="H50" s="40"/>
      <c r="I50" s="37"/>
      <c r="J50" s="40"/>
      <c r="K50" s="37"/>
      <c r="L50" s="40"/>
      <c r="M50" s="37"/>
      <c r="N50" s="40"/>
      <c r="O50" s="37"/>
      <c r="P50" s="40"/>
      <c r="Q50" s="37"/>
      <c r="R50" s="40"/>
      <c r="S50" s="37"/>
      <c r="T50" s="40"/>
      <c r="U50" s="37"/>
      <c r="V50" s="40"/>
      <c r="W50" s="37"/>
      <c r="X50" s="40"/>
      <c r="Y50" s="37"/>
      <c r="Z50" s="40"/>
      <c r="AA50" s="37"/>
      <c r="AB50" s="40"/>
    </row>
    <row r="51" spans="2:28" ht="15.75" thickBot="1" x14ac:dyDescent="0.3">
      <c r="B51" s="184">
        <v>1</v>
      </c>
      <c r="C51" s="185"/>
      <c r="D51" s="47">
        <v>1</v>
      </c>
      <c r="E51" s="171">
        <f>'Données techniques'!L35</f>
        <v>0</v>
      </c>
      <c r="F51" s="172"/>
      <c r="G51" s="36"/>
      <c r="H51" s="39"/>
      <c r="I51" s="36"/>
      <c r="J51" s="39"/>
      <c r="K51" s="36"/>
      <c r="L51" s="39"/>
      <c r="M51" s="36"/>
      <c r="N51" s="39"/>
      <c r="O51" s="36"/>
      <c r="P51" s="39"/>
      <c r="Q51" s="36"/>
      <c r="R51" s="39"/>
      <c r="S51" s="36"/>
      <c r="T51" s="39"/>
      <c r="U51" s="36"/>
      <c r="V51" s="39"/>
      <c r="W51" s="36"/>
      <c r="X51" s="39"/>
      <c r="Y51" s="36"/>
      <c r="Z51" s="39"/>
      <c r="AA51" s="36"/>
      <c r="AB51" s="39"/>
    </row>
    <row r="52" spans="2:28" x14ac:dyDescent="0.25">
      <c r="B52" s="159" t="s">
        <v>83</v>
      </c>
      <c r="C52" s="160"/>
      <c r="D52" s="161"/>
      <c r="E52" s="173">
        <v>3</v>
      </c>
      <c r="F52" s="174"/>
      <c r="G52" s="21">
        <f ca="1">ROUNDUP((IF(MRP!$E$52&gt;$E$34,G$37*'Données techniques'!L49/(1-($E$54/100)),0))+(IF($E$52&gt;$E$28,G$31*'Données techniques'!J49/(1-($E$54/100)),0))+(IF(MRP!$E$52&gt;MRP!$E$22,MRP!G$25*'Données techniques'!H49/(1-($E$54/100)),0))+(IF($E$52&gt;$E$16,G$19*'Données techniques'!F49/(1-($E$54/100)),0))+(IF(MRP!$E$52&gt;MRP!$E$10,MRP!G$13*'Données techniques'!D49/(1-($E$54/100)),0))+(IF(MRP!$E$52&gt;MRP!$E$10,MRP!G$13*'Données techniques'!D49/(1-(MRP!$E$54/100)),0))+(IF(MRP!$E$52&gt;MRP!$E$58,MRP!G61*'Données techniques'!T49/(1-(MRP!$E$54/100)),0))+(IF($E$52&gt;$E$46,G$49*'Données techniques'!P49/(1-(MRP!$E$54/100)),0))+(IF(MRP!$E$52&gt;MRP!$E$40,MRP!G$43*'Données techniques'!N49/(1-(MRP!$E$54/100)),0))+'Données ressources'!C44,0)</f>
        <v>0</v>
      </c>
      <c r="H52" s="22">
        <f ca="1">ROUNDUP(E57-$E$43-G54-G52+G53*(1-(E53/100)),0)</f>
        <v>0</v>
      </c>
      <c r="I52" s="21">
        <f ca="1">ROUNDUP((IF(MRP!$E$52&gt;$E$34,I$37*'Données techniques'!$L$49/(1-($E$54/100)),0))+(IF($E$52&gt;$E$28,I$31*'Données techniques'!$J$49/(1-($E$54/100)),0))+(IF(MRP!$E$52&gt;MRP!$E$22,MRP!I$25*'Données techniques'!$H$49/(1-($E$54/100)),0))+(IF($E$52&gt;$E$16,I$19*'Données techniques'!$F$49/(1-($E$54/100)),0))+(IF(MRP!$E$52&gt;MRP!$E$10,MRP!I$13*'Données techniques'!$D$49/(1-($E$54/100)),0))+(IF($E$52&gt;MRP!$E$58,MRP!I$61*'Données techniques'!$T$49/(1-($E$54/100)),0))+(IF(MRP!$E$52&gt;MRP!$E$40,MRP!I$43*'Données techniques'!$N$49/(1-($E$54/100)),0))+(IF($E$52&gt;$E$46,I$49*'Données techniques'!$P$49/(1-($E$54/100)),0))+'Données ressources'!E44,0)</f>
        <v>0</v>
      </c>
      <c r="J52" s="22">
        <f ca="1">ROUNDUP(H$43-$E$43-I54-I52+I53*(1-($E$53/100)),0)</f>
        <v>0</v>
      </c>
      <c r="K52" s="21">
        <f ca="1">ROUNDUP((IF(MRP!$E$52&gt;$E$34,K$37*'Données techniques'!$L$49/(1-($E$54/100)),0))+(IF($E$52&gt;$E$28,K$31*'Données techniques'!$J$49/(1-($E$54/100)),0))+(IF(MRP!$E$52&gt;MRP!$E$22,MRP!K$25*'Données techniques'!$H$49/(1-($E$54/100)),0))+(IF($E$52&gt;$E$16,K$19*'Données techniques'!$F$49/(1-($E$54/100)),0))+(IF(MRP!$E$52&gt;MRP!$E$10,MRP!K$13*'Données techniques'!$D$49/(1-($E$54/100)),0))+(IF($E$52&gt;MRP!$E$58,MRP!K$61*'Données techniques'!$T$49/(1-($E$54/100)),0))+(IF(MRP!$E$52&gt;MRP!$E$40,MRP!K$43*'Données techniques'!$N$49/(1-($E$54/100)),0))+(IF($E$52&gt;$E$46,K$49*'Données techniques'!$P$49/(1-($E$54/100)),0))+'Données ressources'!G44,0)</f>
        <v>0</v>
      </c>
      <c r="L52" s="22">
        <f ca="1">ROUNDUP(J$43-$E$43-K54-K52+K53*(1-($E$53/100)),0)</f>
        <v>0</v>
      </c>
      <c r="M52" s="21">
        <f ca="1">ROUNDUP((IF(MRP!$E$52&gt;$E$34,M$37*'Données techniques'!$L$49/(1-($E$54/100)),0))+(IF($E$52&gt;$E$28,M$31*'Données techniques'!$J$49/(1-($E$54/100)),0))+(IF(MRP!$E$52&gt;MRP!$E$22,MRP!M$25*'Données techniques'!$H$49/(1-($E$54/100)),0))+(IF($E$52&gt;$E$16,M$19*'Données techniques'!$F$49/(1-($E$54/100)),0))+(IF(MRP!$E$52&gt;MRP!$E$10,MRP!M$13*'Données techniques'!$D$49/(1-($E$54/100)),0))+(IF($E$52&gt;MRP!$E$58,MRP!M$61*'Données techniques'!$T$49/(1-($E$54/100)),0))+(IF(MRP!$E$52&gt;MRP!$E$40,MRP!M$43*'Données techniques'!$N$49/(1-($E$54/100)),0))+(IF($E$52&gt;$E$46,M$49*'Données techniques'!$P$49/(1-($E$54/100)),0))+'Données ressources'!I44,0)</f>
        <v>0</v>
      </c>
      <c r="N52" s="22">
        <f ca="1">ROUNDUP(L$43-$E$43-M54-M52+M53*(1-($E$53/100)),0)</f>
        <v>0</v>
      </c>
      <c r="O52" s="21">
        <f ca="1">ROUNDUP((IF(MRP!$E$52&gt;$E$34,O$37*'Données techniques'!$L$49/(1-($E$54/100)),0))+(IF($E$52&gt;$E$28,O$31*'Données techniques'!$J$49/(1-($E$54/100)),0))+(IF(MRP!$E$52&gt;MRP!$E$22,MRP!O$25*'Données techniques'!$H$49/(1-($E$54/100)),0))+(IF($E$52&gt;$E$16,O$19*'Données techniques'!$F$49/(1-($E$54/100)),0))+(IF(MRP!$E$52&gt;MRP!$E$10,MRP!O$13*'Données techniques'!$D$49/(1-($E$54/100)),0))+(IF($E$52&gt;MRP!$E$58,MRP!O$61*'Données techniques'!$T$49/(1-($E$54/100)),0))+(IF(MRP!$E$52&gt;MRP!$E$40,MRP!O$43*'Données techniques'!$N$49/(1-($E$54/100)),0))+(IF($E$52&gt;$E$46,O$49*'Données techniques'!$P$49/(1-($E$54/100)),0))+'Données ressources'!K44,0)</f>
        <v>0</v>
      </c>
      <c r="P52" s="22">
        <f ca="1">ROUNDUP(N$43-$E$43-O54-O52+O53*(1-($E$53/100)),0)</f>
        <v>0</v>
      </c>
      <c r="Q52" s="21">
        <f ca="1">ROUNDUP((IF(MRP!$E$52&gt;$E$34,Q$37*'Données techniques'!$L$49/(1-($E$54/100)),0))+(IF($E$52&gt;$E$28,Q$31*'Données techniques'!$J$49/(1-($E$54/100)),0))+(IF(MRP!$E$52&gt;MRP!$E$22,MRP!Q$25*'Données techniques'!$H$49/(1-($E$54/100)),0))+(IF($E$52&gt;$E$16,Q$19*'Données techniques'!$F$49/(1-($E$54/100)),0))+(IF(MRP!$E$52&gt;MRP!$E$10,MRP!Q$13*'Données techniques'!$D$49/(1-($E$54/100)),0))+(IF($E$52&gt;MRP!$E$58,MRP!Q$61*'Données techniques'!$T$49/(1-($E$54/100)),0))+(IF(MRP!$E$52&gt;MRP!$E$40,MRP!Q$43*'Données techniques'!$N$49/(1-($E$54/100)),0))+(IF($E$52&gt;$E$46,Q$49*'Données techniques'!$P$49/(1-($E$54/100)),0))+'Données ressources'!M44,0)</f>
        <v>0</v>
      </c>
      <c r="R52" s="22">
        <f ca="1">ROUNDUP(P$43-$E$43-Q54-Q52+Q53*(1-($E$53/100)),0)</f>
        <v>0</v>
      </c>
      <c r="S52" s="21">
        <f ca="1">ROUNDUP((IF(MRP!$E$52&gt;$E$34,S$37*'Données techniques'!$L$49/(1-($E$54/100)),0))+(IF($E$52&gt;$E$28,S$31*'Données techniques'!$J$49/(1-($E$54/100)),0))+(IF(MRP!$E$52&gt;MRP!$E$22,MRP!S$25*'Données techniques'!$H$49/(1-($E$54/100)),0))+(IF($E$52&gt;$E$16,S$19*'Données techniques'!$F$49/(1-($E$54/100)),0))+(IF(MRP!$E$52&gt;MRP!$E$10,MRP!S$13*'Données techniques'!$D$49/(1-($E$54/100)),0))+(IF($E$52&gt;MRP!$E$58,MRP!S$61*'Données techniques'!$T$49/(1-($E$54/100)),0))+(IF(MRP!$E$52&gt;MRP!$E$40,MRP!S$43*'Données techniques'!$N$49/(1-($E$54/100)),0))+(IF($E$52&gt;$E$46,S$49*'Données techniques'!$P$49/(1-($E$54/100)),0))+'Données ressources'!O44,0)</f>
        <v>0</v>
      </c>
      <c r="T52" s="22">
        <f ca="1">ROUNDUP(R$43-$E$43-S54-S52+S53*(1-($E$53/100)),0)</f>
        <v>0</v>
      </c>
      <c r="U52" s="21">
        <f ca="1">ROUNDUP((IF(MRP!$E$52&gt;$E$34,U$37*'Données techniques'!$L$49/(1-($E$54/100)),0))+(IF($E$52&gt;$E$28,U$31*'Données techniques'!$J$49/(1-($E$54/100)),0))+(IF(MRP!$E$52&gt;MRP!$E$22,MRP!U$25*'Données techniques'!$H$49/(1-($E$54/100)),0))+(IF($E$52&gt;$E$16,U$19*'Données techniques'!$F$49/(1-($E$54/100)),0))+(IF(MRP!$E$52&gt;MRP!$E$10,MRP!U$13*'Données techniques'!$D$49/(1-($E$54/100)),0))+(IF($E$52&gt;MRP!$E$58,MRP!U$61*'Données techniques'!$T$49/(1-($E$54/100)),0))+(IF(MRP!$E$52&gt;MRP!$E$40,MRP!U$43*'Données techniques'!$N$49/(1-($E$54/100)),0))+(IF($E$52&gt;$E$46,U$49*'Données techniques'!$P$49/(1-($E$54/100)),0))+'Données ressources'!Q44,0)</f>
        <v>0</v>
      </c>
      <c r="V52" s="22">
        <f ca="1">ROUNDUP(T$43-$E$43-U54-U52+U53*(1-($E$53/100)),0)</f>
        <v>-74000</v>
      </c>
      <c r="W52" s="21">
        <f ca="1">ROUNDUP((IF(MRP!$E$52&gt;$E$34,W$37*'Données techniques'!$L$49/(1-($E$54/100)),0))+(IF($E$52&gt;$E$28,W$31*'Données techniques'!$J$49/(1-($E$54/100)),0))+(IF(MRP!$E$52&gt;MRP!$E$22,MRP!W$25*'Données techniques'!$H$49/(1-($E$54/100)),0))+(IF($E$52&gt;$E$16,W$19*'Données techniques'!$F$49/(1-($E$54/100)),0))+(IF(MRP!$E$52&gt;MRP!$E$10,MRP!W$13*'Données techniques'!$D$49/(1-($E$54/100)),0))+(IF($E$52&gt;MRP!$E$58,MRP!W$61*'Données techniques'!$T$49/(1-($E$54/100)),0))+(IF(MRP!$E$52&gt;MRP!$E$40,MRP!W$43*'Données techniques'!$N$49/(1-($E$54/100)),0))+(IF($E$52&gt;$E$46,W$49*'Données techniques'!$P$49/(1-($E$54/100)),0))+'Données ressources'!S44,0)</f>
        <v>0</v>
      </c>
      <c r="X52" s="22">
        <f ca="1">ROUNDUP(V$43-$E$43-W54-W52+W53*(1-($E$53/100)),0)</f>
        <v>-74000</v>
      </c>
      <c r="Y52" s="21">
        <f ca="1">ROUNDUP((IF(MRP!$E$52&gt;$E$34,Y$37*'Données techniques'!$L$49/(1-($E$54/100)),0))+(IF($E$52&gt;$E$28,Y$31*'Données techniques'!$J$49/(1-($E$54/100)),0))+(IF(MRP!$E$52&gt;MRP!$E$22,MRP!Y$25*'Données techniques'!$H$49/(1-($E$54/100)),0))+(IF($E$52&gt;$E$16,Y$19*'Données techniques'!$F$49/(1-($E$54/100)),0))+(IF(MRP!$E$52&gt;MRP!$E$10,MRP!Y$13*'Données techniques'!$D$49/(1-($E$54/100)),0))+(IF($E$52&gt;MRP!$E$58,MRP!Y$61*'Données techniques'!$T$49/(1-($E$54/100)),0))+(IF(MRP!$E$52&gt;MRP!$E$40,MRP!Y$43*'Données techniques'!$N$49/(1-($E$54/100)),0))+(IF($E$52&gt;$E$46,Y$49*'Données techniques'!$P$49/(1-($E$54/100)),0))+'Données ressources'!W44,0)</f>
        <v>74520</v>
      </c>
      <c r="Z52" s="22">
        <f t="shared" ref="Z52" ca="1" si="69">ROUNDUP(X$43-$E$43-Y54-Y52+Y53*(1-($E$53/100)),0)</f>
        <v>-148520</v>
      </c>
      <c r="AA52" s="21">
        <f ca="1">ROUNDUP((IF(MRP!$E$52&gt;$E$34,AA$37*'Données techniques'!$L$49/(1-($E$54/100)),0))+(IF($E$52&gt;$E$28,AA$31*'Données techniques'!$J$49/(1-($E$54/100)),0))+(IF(MRP!$E$52&gt;MRP!$E$22,MRP!AA$25*'Données techniques'!$H$49/(1-($E$54/100)),0))+(IF($E$52&gt;$E$16,AA$19*'Données techniques'!$F$49/(1-($E$54/100)),0))+(IF(MRP!$E$52&gt;MRP!$E$10,MRP!AA$13*'Données techniques'!$D$49/(1-($E$54/100)),0))+(IF($E$52&gt;MRP!$E$58,MRP!AA$61*'Données techniques'!$T$49/(1-($E$54/100)),0))+(IF(MRP!$E$52&gt;MRP!$E$40,MRP!AA$43*'Données techniques'!$N$49/(1-($E$54/100)),0))+(IF($E$52&gt;$E$46,AA$49*'Données techniques'!$P$49/(1-($E$54/100)),0))+'Données ressources'!Y44,0)</f>
        <v>0</v>
      </c>
      <c r="AB52" s="22">
        <f t="shared" ref="AB52" ca="1" si="70">ROUNDUP(Z$43-$E$43-AA54-AA52+AA53*(1-($E$53/100)),0)</f>
        <v>-74000</v>
      </c>
    </row>
    <row r="53" spans="2:28" x14ac:dyDescent="0.25">
      <c r="B53" s="162"/>
      <c r="C53" s="163"/>
      <c r="D53" s="164"/>
      <c r="E53" s="165">
        <f>'Données techniques'!N40</f>
        <v>0</v>
      </c>
      <c r="F53" s="166"/>
      <c r="G53" s="23">
        <f>'Données ressources'!C31</f>
        <v>0</v>
      </c>
      <c r="H53" s="24">
        <f ca="1">MAX(0,-H52/(1-E53/100))</f>
        <v>0</v>
      </c>
      <c r="I53" s="23">
        <f>'Données ressources'!E31</f>
        <v>0</v>
      </c>
      <c r="J53" s="24">
        <f ca="1">ROUNDUP(IF(J$52&gt;0,0,-J$52/(1-($E$53/100))),0)</f>
        <v>0</v>
      </c>
      <c r="K53" s="23">
        <f>'Données ressources'!G31</f>
        <v>0</v>
      </c>
      <c r="L53" s="24">
        <f ca="1">ROUNDUP(IF(L$52&gt;0,0,-L$52/(1-($E$53/100))),0)</f>
        <v>0</v>
      </c>
      <c r="M53" s="23">
        <f>'Données ressources'!I31</f>
        <v>0</v>
      </c>
      <c r="N53" s="24">
        <f ca="1">ROUNDUP(IF(N$52&gt;0,0,-N$52/(1-($E$53/100))),0)</f>
        <v>0</v>
      </c>
      <c r="O53" s="23">
        <f>'Données ressources'!K31</f>
        <v>0</v>
      </c>
      <c r="P53" s="24">
        <f ca="1">ROUNDUP(IF(P$52&gt;0,0,-P$52/(1-($E$53/100))),0)</f>
        <v>0</v>
      </c>
      <c r="Q53" s="23">
        <f>'Données ressources'!M31</f>
        <v>0</v>
      </c>
      <c r="R53" s="24">
        <f ca="1">ROUNDUP(IF(R$52&gt;0,0,-R$52/(1-($E$53/100))),0)</f>
        <v>0</v>
      </c>
      <c r="S53" s="23">
        <f>'Données ressources'!O31</f>
        <v>0</v>
      </c>
      <c r="T53" s="24">
        <f ca="1">ROUNDUP(IF(T$52&gt;0,0,-T$52/(1-($E$53/100))),0)</f>
        <v>0</v>
      </c>
      <c r="U53" s="23">
        <f>'Données ressources'!Q31</f>
        <v>0</v>
      </c>
      <c r="V53" s="24">
        <f ca="1">ROUNDUP(IF(V$52&gt;0,0,-V$52/(1-($E$53/100))),0)</f>
        <v>74000</v>
      </c>
      <c r="W53" s="23">
        <f>'Données ressources'!S31</f>
        <v>0</v>
      </c>
      <c r="X53" s="24">
        <f ca="1">ROUNDUP(IF(X$52&gt;0,0,-X$52/(1-($E$53/100))),0)</f>
        <v>74000</v>
      </c>
      <c r="Y53" s="23">
        <f>'Données ressources'!W31</f>
        <v>0</v>
      </c>
      <c r="Z53" s="24">
        <f t="shared" ref="Z53" ca="1" si="71">ROUNDUP(IF(Z$52&gt;0,0,-Z$52/(1-($E$53/100))),0)</f>
        <v>148520</v>
      </c>
      <c r="AA53" s="23">
        <f>'Données ressources'!Y31</f>
        <v>0</v>
      </c>
      <c r="AB53" s="24">
        <f t="shared" ref="AB53" ca="1" si="72">ROUNDUP(IF(AB$52&gt;0,0,-AB$52/(1-($E$53/100))),0)</f>
        <v>74000</v>
      </c>
    </row>
    <row r="54" spans="2:28" x14ac:dyDescent="0.25">
      <c r="B54" s="162"/>
      <c r="C54" s="163"/>
      <c r="D54" s="164"/>
      <c r="E54" s="165">
        <f>'Données techniques'!N41</f>
        <v>0</v>
      </c>
      <c r="F54" s="166"/>
      <c r="G54" s="23">
        <f>'Données ressources'!C57</f>
        <v>0</v>
      </c>
      <c r="H54" s="24">
        <f ca="1">IF(AND($B55="Lot",$B57&gt;0),ROUNDUP(H53/$B57,)*$B57,IF(AND($B55="LFL",$B57&gt;0),H53,IF(AND($B55="SEUIL",$B57&gt;0),MAX($B57,H53,0))))</f>
        <v>0</v>
      </c>
      <c r="I54" s="23">
        <f>'Données ressources'!E57</f>
        <v>0</v>
      </c>
      <c r="J54" s="24">
        <f ca="1">IF(AND($B55="Lot",$B57&gt;0),ROUNDUP(J53/$B57,)*$B57,IF(AND($B55="LFL",$B57&gt;0),J53,IF(AND($B55="SEUIL",$B57&gt;0),MAX($B57,J53,0))))</f>
        <v>0</v>
      </c>
      <c r="K54" s="23">
        <f>'Données ressources'!G57</f>
        <v>0</v>
      </c>
      <c r="L54" s="24">
        <f ca="1">IF(AND($B55="Lot",$B57&gt;0),ROUNDUP(L53/$B57,)*$B57,IF(AND($B55="LFL",$B57&gt;0),L53,IF(AND($B55="SEUIL",$B57&gt;0),MAX($B57,L53,0))))</f>
        <v>0</v>
      </c>
      <c r="M54" s="23">
        <f>'Données ressources'!I57</f>
        <v>0</v>
      </c>
      <c r="N54" s="24">
        <f ca="1">IF(AND($B55="Lot",$B57&gt;0),ROUNDUP(N53/$B57,)*$B57,IF(AND($B55="LFL",$B57&gt;0),N53,IF(AND($B55="SEUIL",$B57&gt;0),MAX($B57,N53,0))))</f>
        <v>0</v>
      </c>
      <c r="O54" s="23">
        <f>'Données ressources'!K57</f>
        <v>0</v>
      </c>
      <c r="P54" s="24">
        <f ca="1">IF(AND($B55="Lot",$B57&gt;0),ROUNDUP(P53/$B57,)*$B57,IF(AND($B55="LFL",$B57&gt;0),P53,IF(AND($B55="SEUIL",$B57&gt;0),MAX($B57,P53,0))))</f>
        <v>0</v>
      </c>
      <c r="Q54" s="23">
        <f>'Données ressources'!M57</f>
        <v>0</v>
      </c>
      <c r="R54" s="24">
        <f ca="1">IF(AND($B55="Lot",$B57&gt;0),ROUNDUP(R53/$B57,)*$B57,IF(AND($B55="LFL",$B57&gt;0),R53,IF(AND($B55="SEUIL",$B57&gt;0),MAX($B57,R53,0))))</f>
        <v>0</v>
      </c>
      <c r="S54" s="23">
        <f>'Données ressources'!O57</f>
        <v>0</v>
      </c>
      <c r="T54" s="24">
        <f ca="1">IF(AND($B55="Lot",$B57&gt;0),ROUNDUP(T53/$B57,)*$B57,IF(AND($B55="LFL",$B57&gt;0),T53,IF(AND($B55="SEUIL",$B57&gt;0),MAX($B57,T53,0))))</f>
        <v>0</v>
      </c>
      <c r="U54" s="23">
        <f>'Données ressources'!Q57</f>
        <v>0</v>
      </c>
      <c r="V54" s="24">
        <f ca="1">IF(AND($B55="Lot",$B57&gt;0),ROUNDUP(V53/$B57,)*$B57,IF(AND($B55="LFL",$B57&gt;0),V53,IF(AND($B55="SEUIL",$B57&gt;0),MAX($B57,V53,0))))</f>
        <v>75000</v>
      </c>
      <c r="W54" s="23">
        <f>'Données ressources'!S57</f>
        <v>0</v>
      </c>
      <c r="X54" s="24">
        <f ca="1">IF(AND($B55="Lot",$B57&gt;0),ROUNDUP(X53/$B57,)*$B57,IF(AND($B55="LFL",$B57&gt;0),X53,IF(AND($B55="SEUIL",$B57&gt;0),MAX($B57,X53,0))))</f>
        <v>75000</v>
      </c>
      <c r="Y54" s="23">
        <f>'Données ressources'!W57</f>
        <v>0</v>
      </c>
      <c r="Z54" s="24">
        <f t="shared" ref="Z54" ca="1" si="73">IF(AND($B55="Lot",$B57&gt;0),ROUNDUP(Z53/$B57,)*$B57,IF(AND($B55="LFL",$B57&gt;0),Z53,IF(AND($B55="SEUIL",$B57&gt;0),MAX($B57,Z53,0))))</f>
        <v>150000</v>
      </c>
      <c r="AA54" s="23">
        <f>'Données ressources'!Y57</f>
        <v>0</v>
      </c>
      <c r="AB54" s="24">
        <f t="shared" ref="AB54" ca="1" si="74">IF(AND($B55="Lot",$B57&gt;0),ROUNDUP(AB53/$B57,)*$B57,IF(AND($B55="LFL",$B57&gt;0),AB53,IF(AND($B55="SEUIL",$B57&gt;0),MAX($B57,AB53,0))))</f>
        <v>75000</v>
      </c>
    </row>
    <row r="55" spans="2:28" x14ac:dyDescent="0.25">
      <c r="B55" s="162" t="s">
        <v>37</v>
      </c>
      <c r="C55" s="163"/>
      <c r="D55" s="164" t="s">
        <v>0</v>
      </c>
      <c r="E55" s="165">
        <f>'Données techniques'!N36</f>
        <v>0</v>
      </c>
      <c r="F55" s="166"/>
      <c r="G55" s="41">
        <f ca="1">OFFSET(G$55,-1,(1+2*$D$57))</f>
        <v>0</v>
      </c>
      <c r="H55" s="42">
        <f ca="1">H52+$E55+(H54*(1-$E53))</f>
        <v>0</v>
      </c>
      <c r="I55" s="41">
        <f ca="1">OFFSET(I$55,-1,(1+2*$D$57))</f>
        <v>0</v>
      </c>
      <c r="J55" s="42">
        <f ca="1">J52+$E55+(J54*(1-$E53))</f>
        <v>0</v>
      </c>
      <c r="K55" s="41">
        <f ca="1">OFFSET(K$55,-1,(1+2*$D$57))</f>
        <v>0</v>
      </c>
      <c r="L55" s="42">
        <f ca="1">L52+$E55+(L54*(1-$E53))</f>
        <v>0</v>
      </c>
      <c r="M55" s="41">
        <f ca="1">OFFSET(M$55,-1,(1+2*$D$57))</f>
        <v>0</v>
      </c>
      <c r="N55" s="42">
        <f ca="1">N52+$E55+(N54*(1-$E53))</f>
        <v>0</v>
      </c>
      <c r="O55" s="41">
        <f ca="1">OFFSET(O$55,-1,(1+2*$D$57))</f>
        <v>0</v>
      </c>
      <c r="P55" s="42">
        <f ca="1">P52+$E55+(P54*(1-$E53))</f>
        <v>0</v>
      </c>
      <c r="Q55" s="41">
        <f ca="1">OFFSET(Q$55,-1,(1+2*$D$57))</f>
        <v>0</v>
      </c>
      <c r="R55" s="42">
        <f ca="1">R52+$E55+(R54*(1-$E53))</f>
        <v>0</v>
      </c>
      <c r="S55" s="41">
        <f ca="1">OFFSET(S$55,-1,(1+2*$D$57))</f>
        <v>75000</v>
      </c>
      <c r="T55" s="42">
        <f ca="1">T52+$E55+(T54*(1-$E53))</f>
        <v>0</v>
      </c>
      <c r="U55" s="41">
        <f ca="1">OFFSET(U$55,-1,(1+2*$D$57))</f>
        <v>75000</v>
      </c>
      <c r="V55" s="42">
        <f ca="1">V52+$E55+(V54*(1-$E53))</f>
        <v>1000</v>
      </c>
      <c r="W55" s="41">
        <f ca="1">OFFSET(W$55,-1,(1+2*$D$57))</f>
        <v>150000</v>
      </c>
      <c r="X55" s="42">
        <f ca="1">X52+$E55+(X54*(1-$E53))</f>
        <v>1000</v>
      </c>
      <c r="Y55" s="41">
        <f t="shared" ref="Y55" ca="1" si="75">OFFSET(Y$55,-1,(1+2*$D$57))</f>
        <v>75000</v>
      </c>
      <c r="Z55" s="42">
        <f t="shared" ref="Z55" ca="1" si="76">Z52+$E55+(Z54*(1-$E53))</f>
        <v>1480</v>
      </c>
      <c r="AA55" s="41">
        <f t="shared" ref="AA55" ca="1" si="77">OFFSET(AA$55,-1,(1+2*$D$57))</f>
        <v>0</v>
      </c>
      <c r="AB55" s="42">
        <f t="shared" ref="AB55" ca="1" si="78">AB52+$E55+(AB54*(1-$E53))</f>
        <v>1000</v>
      </c>
    </row>
    <row r="56" spans="2:28" x14ac:dyDescent="0.25">
      <c r="B56" s="162"/>
      <c r="C56" s="163"/>
      <c r="D56" s="164"/>
      <c r="E56" s="165"/>
      <c r="F56" s="166"/>
      <c r="G56" s="45"/>
      <c r="H56" s="46"/>
      <c r="I56" s="45"/>
      <c r="J56" s="46"/>
      <c r="K56" s="45"/>
      <c r="L56" s="46"/>
      <c r="M56" s="45"/>
      <c r="N56" s="46"/>
      <c r="O56" s="45"/>
      <c r="P56" s="46"/>
      <c r="Q56" s="45"/>
      <c r="R56" s="46"/>
      <c r="S56" s="45"/>
      <c r="T56" s="46"/>
      <c r="U56" s="45"/>
      <c r="V56" s="46"/>
      <c r="W56" s="45"/>
      <c r="X56" s="46"/>
      <c r="Y56" s="45"/>
      <c r="Z56" s="46"/>
      <c r="AA56" s="45"/>
      <c r="AB56" s="46"/>
    </row>
    <row r="57" spans="2:28" ht="15.75" thickBot="1" x14ac:dyDescent="0.3">
      <c r="B57" s="157">
        <v>5000</v>
      </c>
      <c r="C57" s="158"/>
      <c r="D57" s="10">
        <v>1</v>
      </c>
      <c r="E57" s="175">
        <f>'Données techniques'!N35</f>
        <v>0</v>
      </c>
      <c r="F57" s="176"/>
      <c r="G57" s="43"/>
      <c r="H57" s="44"/>
      <c r="I57" s="43"/>
      <c r="J57" s="44"/>
      <c r="K57" s="43"/>
      <c r="L57" s="44"/>
      <c r="M57" s="43"/>
      <c r="N57" s="44"/>
      <c r="O57" s="43"/>
      <c r="P57" s="44"/>
      <c r="Q57" s="43"/>
      <c r="R57" s="44"/>
      <c r="S57" s="43"/>
      <c r="T57" s="44"/>
      <c r="U57" s="43"/>
      <c r="V57" s="44"/>
      <c r="W57" s="43"/>
      <c r="X57" s="44"/>
      <c r="Y57" s="43"/>
      <c r="Z57" s="44"/>
      <c r="AA57" s="43"/>
      <c r="AB57" s="44"/>
    </row>
    <row r="58" spans="2:28" x14ac:dyDescent="0.25">
      <c r="B58" s="159" t="s">
        <v>84</v>
      </c>
      <c r="C58" s="160"/>
      <c r="D58" s="161"/>
      <c r="E58" s="177">
        <v>3</v>
      </c>
      <c r="F58" s="178"/>
      <c r="G58" s="17">
        <f ca="1">ROUNDUP((IF(MRP!$E$58&gt;$E$28,G$31*'Données techniques'!J51/(1-($E$60/100)),0))+(IF($E$58&gt;$E$22,G$25*'Données techniques'!H51/(1-($E$60/100)),0))+(IF(MRP!$E$58&gt;MRP!$E$16,MRP!G$19*'Données techniques'!F51/(1-($E$60/100)),0))+(IF($E$58&gt;$E$10,G$13*'Données techniques'!D51/(1-($E$60/100)),0))+(IF(MRP!$E$58&gt;MRP!$E$40,MRP!G$43*'Données techniques'!N51/(1-($E$36/100)),0))+(IF(MRP!$E$58&gt;MRP!$E$52,MRP!G$55*'Données techniques'!R51/(1-(MRP!$E$60/100)),0))+(IF($E$58&gt;$E$46,G$49*'Données techniques'!P51/(1-(MRP!$E$60/100)),0))+(IF(MRP!$E$58&gt;MRP!$E$40,MRP!G$43*'Données techniques'!N51/(1-(MRP!$E$60/100)),0))+'Données ressources'!C45,0)</f>
        <v>0</v>
      </c>
      <c r="H58" s="18">
        <f ca="1">ROUNDUP(E63-$E$37-G60-G58+G59*(1-(E59/100)),0)</f>
        <v>0</v>
      </c>
      <c r="I58" s="17">
        <f ca="1">ROUNDUP((IF(MRP!$E$58&gt;$E$28,I$31*'Données techniques'!$J$51/(1-($E$60/100)),0))+(IF($E$58&gt;$E$22,I$25*'Données techniques'!$H$51/(1-($E$60/100)),0))+(IF(MRP!$E$58&gt;MRP!$E$16,MRP!I$19*'Données techniques'!$F$51/(1-($E$60/100)),0))+(IF($E$58&gt;$E$10,I$13*'Données techniques'!$D$51/(1-($E$60/100)),0))+(IF(MRP!$E$58&gt;MRP!$E$40,MRP!I$43*'Données techniques'!$N$51/(1-($E$60/100)),0))+(IF($E$58&gt;$E$46,I$49*'Données techniques'!$P$51/(1-($E$60/100)),0))+(IF($E$58&gt;MRP!$E$52,MRP!I$55*'Données techniques'!$R$45/(1-($E$60/100)),0))+'Données ressources'!E69,0)</f>
        <v>0</v>
      </c>
      <c r="J58" s="18">
        <f ca="1">ROUNDUP(H61-I60-I58-$E$37+I59*(1-($E$59/100)),0)</f>
        <v>0</v>
      </c>
      <c r="K58" s="17">
        <f ca="1">ROUNDUP((IF(MRP!$E$58&gt;$E$28,K$31*'Données techniques'!$J$51/(1-($E$60/100)),0))+(IF($E$58&gt;$E$22,K$25*'Données techniques'!$H$51/(1-($E$60/100)),0))+(IF(MRP!$E$58&gt;MRP!$E$16,MRP!K$19*'Données techniques'!$F$51/(1-($E$60/100)),0))+(IF($E$58&gt;$E$10,K$13*'Données techniques'!$D$51/(1-($E$60/100)),0))+(IF(MRP!$E$58&gt;MRP!$E$40,MRP!K$43*'Données techniques'!$N$51/(1-($E$60/100)),0))+(IF($E$58&gt;$E$46,K$49*'Données techniques'!$P$51/(1-($E$60/100)),0))+(IF($E$58&gt;MRP!$E$52,MRP!K$55*'Données techniques'!$R$45/(1-($E$60/100)),0))+'Données ressources'!G69,0)</f>
        <v>0</v>
      </c>
      <c r="L58" s="18">
        <f ca="1">ROUNDUP(J61-K60-K58-$E$37+K59*(1-($E$59/100)),0)</f>
        <v>0</v>
      </c>
      <c r="M58" s="17">
        <f ca="1">ROUNDUP((IF(MRP!$E$58&gt;$E$28,M$31*'Données techniques'!$J$51/(1-($E$60/100)),0))+(IF($E$58&gt;$E$22,M$25*'Données techniques'!$H$51/(1-($E$60/100)),0))+(IF(MRP!$E$58&gt;MRP!$E$16,MRP!M$19*'Données techniques'!$F$51/(1-($E$60/100)),0))+(IF($E$58&gt;$E$10,M$13*'Données techniques'!$D$51/(1-($E$60/100)),0))+(IF(MRP!$E$58&gt;MRP!$E$40,MRP!M$43*'Données techniques'!$N$51/(1-($E$60/100)),0))+(IF($E$58&gt;$E$46,M$49*'Données techniques'!$P$51/(1-($E$60/100)),0))+(IF($E$58&gt;MRP!$E$52,MRP!M$55*'Données techniques'!$R$45/(1-($E$60/100)),0))+'Données ressources'!I69,0)</f>
        <v>0</v>
      </c>
      <c r="N58" s="18">
        <f ca="1">ROUNDUP(L61-M60-M58-$E$37+M59*(1-($E$59/100)),0)</f>
        <v>0</v>
      </c>
      <c r="O58" s="17">
        <f ca="1">ROUNDUP((IF(MRP!$E$58&gt;$E$28,O$31*'Données techniques'!$J$51/(1-($E$60/100)),0))+(IF($E$58&gt;$E$22,O$25*'Données techniques'!$H$51/(1-($E$60/100)),0))+(IF(MRP!$E$58&gt;MRP!$E$16,MRP!O$19*'Données techniques'!$F$51/(1-($E$60/100)),0))+(IF($E$58&gt;$E$10,O$13*'Données techniques'!$D$51/(1-($E$60/100)),0))+(IF(MRP!$E$58&gt;MRP!$E$40,MRP!O$43*'Données techniques'!$N$51/(1-($E$60/100)),0))+(IF($E$58&gt;$E$46,O$49*'Données techniques'!$P$51/(1-($E$60/100)),0))+(IF($E$58&gt;MRP!$E$52,MRP!O$55*'Données techniques'!$R$45/(1-($E$60/100)),0))+'Données ressources'!K69,0)</f>
        <v>0</v>
      </c>
      <c r="P58" s="18">
        <f ca="1">ROUNDUP(N61-O60-O58-$E$37+O59*(1-($E$59/100)),0)</f>
        <v>0</v>
      </c>
      <c r="Q58" s="17">
        <f ca="1">ROUNDUP((IF(MRP!$E$58&gt;$E$28,Q$31*'Données techniques'!$J$51/(1-($E$60/100)),0))+(IF($E$58&gt;$E$22,Q$25*'Données techniques'!$H$51/(1-($E$60/100)),0))+(IF(MRP!$E$58&gt;MRP!$E$16,MRP!Q$19*'Données techniques'!$F$51/(1-($E$60/100)),0))+(IF($E$58&gt;$E$10,Q$13*'Données techniques'!$D$51/(1-($E$60/100)),0))+(IF(MRP!$E$58&gt;MRP!$E$40,MRP!Q$43*'Données techniques'!$N$51/(1-($E$60/100)),0))+(IF($E$58&gt;$E$46,Q$49*'Données techniques'!$P$51/(1-($E$60/100)),0))+(IF($E$58&gt;MRP!$E$52,MRP!Q$55*'Données techniques'!$R$45/(1-($E$60/100)),0))+'Données ressources'!M69,0)</f>
        <v>0</v>
      </c>
      <c r="R58" s="18">
        <f ca="1">ROUNDUP(P61-Q60-Q58-$E$37+Q59*(1-($E$59/100)),0)</f>
        <v>0</v>
      </c>
      <c r="S58" s="17">
        <f ca="1">ROUNDUP((IF(MRP!$E$58&gt;$E$28,S$31*'Données techniques'!$J$51/(1-($E$60/100)),0))+(IF($E$58&gt;$E$22,S$25*'Données techniques'!$H$51/(1-($E$60/100)),0))+(IF(MRP!$E$58&gt;MRP!$E$16,MRP!S$19*'Données techniques'!$F$51/(1-($E$60/100)),0))+(IF($E$58&gt;$E$10,S$13*'Données techniques'!$D$51/(1-($E$60/100)),0))+(IF(MRP!$E$58&gt;MRP!$E$40,MRP!S$43*'Données techniques'!$N$51/(1-($E$60/100)),0))+(IF($E$58&gt;$E$46,S$49*'Données techniques'!$P$51/(1-($E$60/100)),0))+(IF($E$58&gt;MRP!$E$52,MRP!S$55*'Données techniques'!$R$45/(1-($E$60/100)),0))+'Données ressources'!O69,0)</f>
        <v>0</v>
      </c>
      <c r="T58" s="18">
        <f ca="1">ROUNDUP(R61-S60-S58-$E$37+S59*(1-($E$59/100)),0)</f>
        <v>0</v>
      </c>
      <c r="U58" s="17">
        <f ca="1">ROUNDUP((IF(MRP!$E$58&gt;$E$28,U$31*'Données techniques'!$J$51/(1-($E$60/100)),0))+(IF($E$58&gt;$E$22,U$25*'Données techniques'!$H$51/(1-($E$60/100)),0))+(IF(MRP!$E$58&gt;MRP!$E$16,MRP!U$19*'Données techniques'!$F$51/(1-($E$60/100)),0))+(IF($E$58&gt;$E$10,U$13*'Données techniques'!$D$51/(1-($E$60/100)),0))+(IF(MRP!$E$58&gt;MRP!$E$40,MRP!U$43*'Données techniques'!$N$51/(1-($E$60/100)),0))+(IF($E$58&gt;$E$46,U$49*'Données techniques'!$P$51/(1-($E$60/100)),0))+(IF($E$58&gt;MRP!$E$52,MRP!U$55*'Données techniques'!$R$45/(1-($E$60/100)),0))+'Données ressources'!Q69,0)</f>
        <v>0</v>
      </c>
      <c r="V58" s="18">
        <f ca="1">ROUNDUP(T61-U60-U58-$E$37+U59*(1-($E$59/100)),0)</f>
        <v>0</v>
      </c>
      <c r="W58" s="17">
        <f ca="1">ROUNDUP((IF(MRP!$E$58&gt;$E$28,W$31*'Données techniques'!$J$51/(1-($E$60/100)),0))+(IF($E$58&gt;$E$22,W$25*'Données techniques'!$H$51/(1-($E$60/100)),0))+(IF(MRP!$E$58&gt;MRP!$E$16,MRP!W$19*'Données techniques'!$F$51/(1-($E$60/100)),0))+(IF($E$58&gt;$E$10,W$13*'Données techniques'!$D$51/(1-($E$60/100)),0))+(IF(MRP!$E$58&gt;MRP!$E$40,MRP!W$43*'Données techniques'!$N$51/(1-($E$60/100)),0))+(IF($E$58&gt;$E$46,W$49*'Données techniques'!$P$51/(1-($E$60/100)),0))+(IF($E$58&gt;MRP!$E$52,MRP!W$55*'Données techniques'!$R$45/(1-($E$60/100)),0))+'Données ressources'!S69,0)</f>
        <v>0</v>
      </c>
      <c r="X58" s="18">
        <f ca="1">ROUNDUP(V61-W60-W58-$E$37+W59*(1-($E$59/100)),0)</f>
        <v>0</v>
      </c>
      <c r="Y58" s="17">
        <f ca="1">ROUNDUP((IF(MRP!$E$58&gt;$E$28,Y$31*'Données techniques'!$J$51/(1-($E$60/100)),0))+(IF($E$58&gt;$E$22,Y$25*'Données techniques'!$H$51/(1-($E$60/100)),0))+(IF(MRP!$E$58&gt;MRP!$E$16,MRP!Y$19*'Données techniques'!$F$51/(1-($E$60/100)),0))+(IF($E$58&gt;$E$10,Y$13*'Données techniques'!$D$51/(1-($E$60/100)),0))+(IF(MRP!$E$58&gt;MRP!$E$40,MRP!Y$43*'Données techniques'!$N$51/(1-($E$60/100)),0))+(IF($E$58&gt;$E$46,Y$49*'Données techniques'!$P$51/(1-($E$60/100)),0))+(IF($E$58&gt;MRP!$E$52,MRP!Y$55*'Données techniques'!$R$45/(1-($E$60/100)),0))+'Données ressources'!W69,0)</f>
        <v>321620</v>
      </c>
      <c r="Z58" s="18">
        <f t="shared" ref="Z58" ca="1" si="79">ROUNDUP(X61-Y60-Y58-$E$37+Y59*(1-($E$59/100)),0)</f>
        <v>-321620</v>
      </c>
      <c r="AA58" s="17">
        <f ca="1">ROUNDUP((IF(MRP!$E$58&gt;$E$28,AA$31*'Données techniques'!$J$51/(1-($E$60/100)),0))+(IF($E$58&gt;$E$22,AA$25*'Données techniques'!$H$51/(1-($E$60/100)),0))+(IF(MRP!$E$58&gt;MRP!$E$16,MRP!AA$19*'Données techniques'!$F$51/(1-($E$60/100)),0))+(IF($E$58&gt;$E$10,AA$13*'Données techniques'!$D$51/(1-($E$60/100)),0))+(IF(MRP!$E$58&gt;MRP!$E$40,MRP!AA$43*'Données techniques'!$N$51/(1-($E$60/100)),0))+(IF($E$58&gt;$E$46,AA$49*'Données techniques'!$P$51/(1-($E$60/100)),0))+(IF($E$58&gt;MRP!$E$52,MRP!AA$55*'Données techniques'!$R$45/(1-($E$60/100)),0))+'Données ressources'!Y69,0)</f>
        <v>0</v>
      </c>
      <c r="AB58" s="18">
        <f t="shared" ref="AB58" ca="1" si="80">ROUNDUP(Z61-AA60-AA58-$E$37+AA59*(1-($E$59/100)),0)</f>
        <v>8380</v>
      </c>
    </row>
    <row r="59" spans="2:28" x14ac:dyDescent="0.25">
      <c r="B59" s="162"/>
      <c r="C59" s="163"/>
      <c r="D59" s="164"/>
      <c r="E59" s="179">
        <v>0</v>
      </c>
      <c r="F59" s="180"/>
      <c r="G59" s="19">
        <f>'Données ressources'!C60</f>
        <v>0</v>
      </c>
      <c r="H59" s="20">
        <f ca="1">MAX(0,-H58/(1-E59))</f>
        <v>0</v>
      </c>
      <c r="I59" s="19">
        <f>'Données ressources'!E32</f>
        <v>0</v>
      </c>
      <c r="J59" s="20">
        <f ca="1">ROUNDUP(IF(J$58&gt;0,0,-J$58/(1-($E$59/100))),0)</f>
        <v>0</v>
      </c>
      <c r="K59" s="19">
        <f>'Données ressources'!G32</f>
        <v>0</v>
      </c>
      <c r="L59" s="20">
        <f ca="1">ROUNDUP(IF(L$58&gt;0,0,-L$58/(1-($E$59/100))),0)</f>
        <v>0</v>
      </c>
      <c r="M59" s="19">
        <f>'Données ressources'!I32</f>
        <v>0</v>
      </c>
      <c r="N59" s="20">
        <f ca="1">ROUNDUP(IF(N$58&gt;0,0,-N$58/(1-($E$59/100))),0)</f>
        <v>0</v>
      </c>
      <c r="O59" s="19">
        <f>'Données ressources'!K32</f>
        <v>0</v>
      </c>
      <c r="P59" s="20">
        <f ca="1">ROUNDUP(IF(P$58&gt;0,0,-P$58/(1-($E$59/100))),0)</f>
        <v>0</v>
      </c>
      <c r="Q59" s="19">
        <f>'Données ressources'!M32</f>
        <v>0</v>
      </c>
      <c r="R59" s="20">
        <f ca="1">ROUNDUP(IF(R$58&gt;0,0,-R$58/(1-($E$59/100))),0)</f>
        <v>0</v>
      </c>
      <c r="S59" s="19">
        <f>'Données ressources'!O32</f>
        <v>0</v>
      </c>
      <c r="T59" s="20">
        <f ca="1">ROUNDUP(IF(T$58&gt;0,0,-T$58/(1-($E$59/100))),0)</f>
        <v>0</v>
      </c>
      <c r="U59" s="19">
        <f>'Données ressources'!Q32</f>
        <v>0</v>
      </c>
      <c r="V59" s="20">
        <f ca="1">ROUNDUP(IF(V$58&gt;0,0,-V$58/(1-($E$59/100))),0)</f>
        <v>0</v>
      </c>
      <c r="W59" s="19">
        <f>'Données ressources'!S32</f>
        <v>0</v>
      </c>
      <c r="X59" s="20">
        <f ca="1">ROUNDUP(IF(X$58&gt;0,0,-X$58/(1-($E$59/100))),0)</f>
        <v>0</v>
      </c>
      <c r="Y59" s="19">
        <f>'Données ressources'!W32</f>
        <v>0</v>
      </c>
      <c r="Z59" s="20">
        <f t="shared" ref="Z59" ca="1" si="81">ROUNDUP(IF(Z$58&gt;0,0,-Z$58/(1-($E$59/100))),0)</f>
        <v>321620</v>
      </c>
      <c r="AA59" s="19">
        <f>'Données ressources'!Y32</f>
        <v>0</v>
      </c>
      <c r="AB59" s="20">
        <f t="shared" ref="AB59" ca="1" si="82">ROUNDUP(IF(AB$58&gt;0,0,-AB$58/(1-($E$59/100))),0)</f>
        <v>0</v>
      </c>
    </row>
    <row r="60" spans="2:28" x14ac:dyDescent="0.25">
      <c r="B60" s="162"/>
      <c r="C60" s="163"/>
      <c r="D60" s="164"/>
      <c r="E60" s="179">
        <f>'Données techniques'!L53</f>
        <v>0</v>
      </c>
      <c r="F60" s="180"/>
      <c r="G60" s="19">
        <f>'Données ressources'!C58</f>
        <v>0</v>
      </c>
      <c r="H60" s="20">
        <f ca="1">IF(AND($B61="Lot",$B63&gt;0),ROUNDUP(H59/$B63,)*$B63,IF(AND($B61="LFL",$B63&gt;0),H59,IF(AND($B61="SEUIL",$B63&gt;0),MAX($B63,H59,0))))</f>
        <v>0</v>
      </c>
      <c r="I60" s="19">
        <f>'Données ressources'!E58</f>
        <v>0</v>
      </c>
      <c r="J60" s="20">
        <f ca="1">IF(AND($B61="Lot",$B63&gt;0),ROUNDUP(J59/$B63,)*$B63,IF(AND($B61="LFL",$B63&gt;0),J59,IF(AND($B61="SEUIL",$B63&gt;0),MAX($B63,J59,0))))</f>
        <v>0</v>
      </c>
      <c r="K60" s="19">
        <f>'Données ressources'!G58</f>
        <v>0</v>
      </c>
      <c r="L60" s="20">
        <f ca="1">IF(AND($B61="Lot",$B63&gt;0),ROUNDUP(L59/$B63,)*$B63,IF(AND($B61="LFL",$B63&gt;0),L59,IF(AND($B61="SEUIL",$B63&gt;0),MAX($B63,L59,0))))</f>
        <v>0</v>
      </c>
      <c r="M60" s="19">
        <f>'Données ressources'!I58</f>
        <v>0</v>
      </c>
      <c r="N60" s="20">
        <f ca="1">IF(AND($B61="Lot",$B63&gt;0),ROUNDUP(N59/$B63,)*$B63,IF(AND($B61="LFL",$B63&gt;0),N59,IF(AND($B61="SEUIL",$B63&gt;0),MAX($B63,N59,0))))</f>
        <v>0</v>
      </c>
      <c r="O60" s="19">
        <f>'Données ressources'!K58</f>
        <v>0</v>
      </c>
      <c r="P60" s="20">
        <f ca="1">IF(AND($B61="Lot",$B63&gt;0),ROUNDUP(P59/$B63,)*$B63,IF(AND($B61="LFL",$B63&gt;0),P59,IF(AND($B61="SEUIL",$B63&gt;0),MAX($B63,P59,0))))</f>
        <v>0</v>
      </c>
      <c r="Q60" s="19">
        <f>'Données ressources'!M58</f>
        <v>0</v>
      </c>
      <c r="R60" s="20">
        <f ca="1">IF(AND($B61="Lot",$B63&gt;0),ROUNDUP(R59/$B63,)*$B63,IF(AND($B61="LFL",$B63&gt;0),R59,IF(AND($B61="SEUIL",$B63&gt;0),MAX($B63,R59,0))))</f>
        <v>0</v>
      </c>
      <c r="S60" s="19">
        <f>'Données ressources'!O58</f>
        <v>0</v>
      </c>
      <c r="T60" s="20">
        <f ca="1">IF(AND($B61="Lot",$B63&gt;0),ROUNDUP(T59/$B63,)*$B63,IF(AND($B61="LFL",$B63&gt;0),T59,IF(AND($B61="SEUIL",$B63&gt;0),MAX($B63,T59,0))))</f>
        <v>0</v>
      </c>
      <c r="U60" s="19">
        <f>'Données ressources'!Q58</f>
        <v>0</v>
      </c>
      <c r="V60" s="20">
        <f ca="1">IF(AND($B61="Lot",$B63&gt;0),ROUNDUP(V59/$B63,)*$B63,IF(AND($B61="LFL",$B63&gt;0),V59,IF(AND($B61="SEUIL",$B63&gt;0),MAX($B63,V59,0))))</f>
        <v>0</v>
      </c>
      <c r="W60" s="19">
        <f>'Données ressources'!S58</f>
        <v>0</v>
      </c>
      <c r="X60" s="20">
        <f ca="1">IF(AND($B61="Lot",$B63&gt;0),ROUNDUP(X59/$B63,)*$B63,IF(AND($B61="LFL",$B63&gt;0),X59,IF(AND($B61="SEUIL",$B63&gt;0),MAX($B63,X59,0))))</f>
        <v>0</v>
      </c>
      <c r="Y60" s="19">
        <f>'Données ressources'!W58</f>
        <v>0</v>
      </c>
      <c r="Z60" s="20">
        <f t="shared" ref="Z60" ca="1" si="83">IF(AND($B61="Lot",$B63&gt;0),ROUNDUP(Z59/$B63,)*$B63,IF(AND($B61="LFL",$B63&gt;0),Z59,IF(AND($B61="SEUIL",$B63&gt;0),MAX($B63,Z59,0))))</f>
        <v>330000</v>
      </c>
      <c r="AA60" s="19">
        <f>'Données ressources'!Y58</f>
        <v>0</v>
      </c>
      <c r="AB60" s="20">
        <f t="shared" ref="AB60" ca="1" si="84">IF(AND($B61="Lot",$B63&gt;0),ROUNDUP(AB59/$B63,)*$B63,IF(AND($B61="LFL",$B63&gt;0),AB59,IF(AND($B61="SEUIL",$B63&gt;0),MAX($B63,AB59,0))))</f>
        <v>0</v>
      </c>
    </row>
    <row r="61" spans="2:28" x14ac:dyDescent="0.25">
      <c r="B61" s="167" t="s">
        <v>37</v>
      </c>
      <c r="C61" s="168"/>
      <c r="D61" s="164" t="s">
        <v>0</v>
      </c>
      <c r="E61" s="179">
        <f>'Données techniques'!L48</f>
        <v>0</v>
      </c>
      <c r="F61" s="180"/>
      <c r="G61" s="35">
        <f ca="1">OFFSET(G$61,-1,$D$63*2+1)</f>
        <v>0</v>
      </c>
      <c r="H61" s="38">
        <f ca="1">H58+$E61+(H60*(1-$E59))</f>
        <v>0</v>
      </c>
      <c r="I61" s="35">
        <f ca="1">OFFSET(I$61,-1,$D$63*2+1)</f>
        <v>0</v>
      </c>
      <c r="J61" s="38">
        <f ca="1">J58+$E61+(J60*(1-$E59))</f>
        <v>0</v>
      </c>
      <c r="K61" s="35">
        <f ca="1">OFFSET(K$61,-1,$D$63*2+1)</f>
        <v>0</v>
      </c>
      <c r="L61" s="38">
        <f ca="1">L58+$E61+(L60*(1-$E59))</f>
        <v>0</v>
      </c>
      <c r="M61" s="35">
        <f ca="1">OFFSET(M$61,-1,$D$63*2+1)</f>
        <v>0</v>
      </c>
      <c r="N61" s="38">
        <f ca="1">N58+$E61+(N60*(1-$E59))</f>
        <v>0</v>
      </c>
      <c r="O61" s="35">
        <f ca="1">OFFSET(O$61,-1,$D$63*2+1)</f>
        <v>0</v>
      </c>
      <c r="P61" s="38">
        <f ca="1">P58+$E61+(P60*(1-$E59))</f>
        <v>0</v>
      </c>
      <c r="Q61" s="35">
        <f ca="1">OFFSET(Q$61,-1,$D$63*2+1)</f>
        <v>0</v>
      </c>
      <c r="R61" s="38">
        <f ca="1">R58+$E61+(R60*(1-$E59))</f>
        <v>0</v>
      </c>
      <c r="S61" s="35">
        <f ca="1">OFFSET(S$61,-1,$D$63*2+1)</f>
        <v>0</v>
      </c>
      <c r="T61" s="38">
        <f ca="1">T58+$E61+(T60*(1-$E59))</f>
        <v>0</v>
      </c>
      <c r="U61" s="35">
        <f ca="1">OFFSET(U$61,-1,$D$63*2+1)</f>
        <v>0</v>
      </c>
      <c r="V61" s="38">
        <f ca="1">V58+$E61+(V60*(1-$E59))</f>
        <v>0</v>
      </c>
      <c r="W61" s="35">
        <f ca="1">OFFSET(W$61,-1,$D$63*2+1)</f>
        <v>330000</v>
      </c>
      <c r="X61" s="38">
        <f ca="1">X58+$E61+(X60*(1-$E59))</f>
        <v>0</v>
      </c>
      <c r="Y61" s="35">
        <f t="shared" ref="Y61" ca="1" si="85">OFFSET(Y$61,-1,$D$63*2+1)</f>
        <v>0</v>
      </c>
      <c r="Z61" s="38">
        <f t="shared" ref="Z61" ca="1" si="86">Z58+$E61+(Z60*(1-$E59))</f>
        <v>8380</v>
      </c>
      <c r="AA61" s="35">
        <f t="shared" ref="AA61" ca="1" si="87">OFFSET(AA$61,-1,$D$63*2+1)</f>
        <v>0</v>
      </c>
      <c r="AB61" s="38">
        <f t="shared" ref="AB61" ca="1" si="88">AB58+$E61+(AB60*(1-$E59))</f>
        <v>8380</v>
      </c>
    </row>
    <row r="62" spans="2:28" x14ac:dyDescent="0.25">
      <c r="B62" s="169"/>
      <c r="C62" s="170"/>
      <c r="D62" s="164"/>
      <c r="E62" s="179"/>
      <c r="F62" s="180"/>
      <c r="G62" s="37"/>
      <c r="H62" s="40"/>
      <c r="I62" s="37"/>
      <c r="J62" s="40"/>
      <c r="K62" s="37"/>
      <c r="L62" s="40"/>
      <c r="M62" s="37"/>
      <c r="N62" s="40"/>
      <c r="O62" s="37"/>
      <c r="P62" s="40"/>
      <c r="Q62" s="37"/>
      <c r="R62" s="40"/>
      <c r="S62" s="37"/>
      <c r="T62" s="40"/>
      <c r="U62" s="37"/>
      <c r="V62" s="40"/>
      <c r="W62" s="37"/>
      <c r="X62" s="40"/>
      <c r="Y62" s="37"/>
      <c r="Z62" s="40"/>
      <c r="AA62" s="37"/>
      <c r="AB62" s="40"/>
    </row>
    <row r="63" spans="2:28" ht="15.75" thickBot="1" x14ac:dyDescent="0.3">
      <c r="B63" s="157">
        <v>15000</v>
      </c>
      <c r="C63" s="158"/>
      <c r="D63" s="10">
        <v>1</v>
      </c>
      <c r="E63" s="171">
        <f>'Données techniques'!L47</f>
        <v>0</v>
      </c>
      <c r="F63" s="172"/>
      <c r="G63" s="36"/>
      <c r="H63" s="39"/>
      <c r="I63" s="36"/>
      <c r="J63" s="39"/>
      <c r="K63" s="36"/>
      <c r="L63" s="39"/>
      <c r="M63" s="36"/>
      <c r="N63" s="39"/>
      <c r="O63" s="36"/>
      <c r="P63" s="39"/>
      <c r="Q63" s="36"/>
      <c r="R63" s="39"/>
      <c r="S63" s="36"/>
      <c r="T63" s="39"/>
      <c r="U63" s="36"/>
      <c r="V63" s="39"/>
      <c r="W63" s="36"/>
      <c r="X63" s="39"/>
      <c r="Y63" s="36"/>
      <c r="Z63" s="39"/>
      <c r="AA63" s="36"/>
      <c r="AB63" s="39"/>
    </row>
    <row r="70" spans="2:4" x14ac:dyDescent="0.25">
      <c r="B70" s="6"/>
      <c r="C70" s="6"/>
      <c r="D70" s="6"/>
    </row>
    <row r="71" spans="2:4" x14ac:dyDescent="0.25">
      <c r="B71" s="6"/>
      <c r="C71" s="6"/>
      <c r="D71" s="6"/>
    </row>
    <row r="72" spans="2:4" x14ac:dyDescent="0.25">
      <c r="B72" s="6"/>
      <c r="C72" s="6"/>
      <c r="D72" s="6"/>
    </row>
    <row r="73" spans="2:4" x14ac:dyDescent="0.25">
      <c r="B73" s="6"/>
      <c r="C73" s="6"/>
      <c r="D73" s="6"/>
    </row>
    <row r="74" spans="2:4" x14ac:dyDescent="0.25">
      <c r="B74" s="6"/>
      <c r="C74" s="6"/>
      <c r="D74" s="6"/>
    </row>
    <row r="75" spans="2:4" x14ac:dyDescent="0.25">
      <c r="B75" s="7"/>
      <c r="C75" s="7"/>
      <c r="D75" s="5"/>
    </row>
    <row r="76" spans="2:4" x14ac:dyDescent="0.25">
      <c r="B76" s="6"/>
      <c r="C76" s="6"/>
      <c r="D76" s="6"/>
    </row>
    <row r="77" spans="2:4" x14ac:dyDescent="0.25">
      <c r="B77" s="6"/>
      <c r="C77" s="6"/>
      <c r="D77" s="6"/>
    </row>
    <row r="78" spans="2:4" x14ac:dyDescent="0.25">
      <c r="B78" s="6"/>
      <c r="C78" s="6"/>
      <c r="D78" s="6"/>
    </row>
    <row r="79" spans="2:4" x14ac:dyDescent="0.25">
      <c r="B79" s="6"/>
      <c r="C79" s="6"/>
      <c r="D79" s="6"/>
    </row>
    <row r="80" spans="2:4" x14ac:dyDescent="0.25">
      <c r="B80" s="6"/>
      <c r="C80" s="6"/>
      <c r="D80" s="6"/>
    </row>
    <row r="81" spans="2:4" x14ac:dyDescent="0.25">
      <c r="B81" s="7"/>
      <c r="C81" s="7"/>
      <c r="D81" s="5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7"/>
      <c r="C87" s="7"/>
      <c r="D87" s="5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7"/>
      <c r="C93" s="7"/>
      <c r="D93" s="5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7"/>
      <c r="C99" s="7"/>
      <c r="D99" s="5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7"/>
      <c r="C105" s="7"/>
      <c r="D105" s="5"/>
    </row>
    <row r="106" spans="2:4" x14ac:dyDescent="0.25">
      <c r="B106" s="2"/>
      <c r="C106" s="2"/>
      <c r="D106" s="2"/>
    </row>
    <row r="107" spans="2:4" x14ac:dyDescent="0.25">
      <c r="B107" s="2"/>
      <c r="C107" s="2"/>
      <c r="D107" s="2"/>
    </row>
    <row r="108" spans="2:4" x14ac:dyDescent="0.25">
      <c r="B108" s="2"/>
      <c r="C108" s="2"/>
      <c r="D108" s="2"/>
    </row>
    <row r="109" spans="2:4" x14ac:dyDescent="0.25">
      <c r="B109" s="2"/>
      <c r="C109" s="2"/>
      <c r="D109" s="2"/>
    </row>
    <row r="110" spans="2:4" x14ac:dyDescent="0.25">
      <c r="B110" s="2"/>
      <c r="C110" s="2"/>
      <c r="D110" s="2"/>
    </row>
    <row r="111" spans="2:4" x14ac:dyDescent="0.25">
      <c r="B111" s="2"/>
      <c r="C111" s="2"/>
      <c r="D111" s="2"/>
    </row>
    <row r="112" spans="2:4" x14ac:dyDescent="0.25">
      <c r="B112" s="2"/>
      <c r="C112" s="2"/>
      <c r="D112" s="2"/>
    </row>
    <row r="113" spans="2:4" x14ac:dyDescent="0.25">
      <c r="B113" s="2"/>
      <c r="C113" s="2"/>
      <c r="D113" s="2"/>
    </row>
    <row r="114" spans="2:4" x14ac:dyDescent="0.25">
      <c r="B114" s="2"/>
      <c r="C114" s="2"/>
      <c r="D114" s="2"/>
    </row>
    <row r="115" spans="2:4" x14ac:dyDescent="0.25">
      <c r="B115" s="2"/>
      <c r="C115" s="2"/>
      <c r="D115" s="2"/>
    </row>
    <row r="116" spans="2:4" x14ac:dyDescent="0.25">
      <c r="B116" s="2"/>
      <c r="C116" s="2"/>
      <c r="D116" s="2"/>
    </row>
    <row r="117" spans="2:4" x14ac:dyDescent="0.25">
      <c r="B117" s="2"/>
      <c r="C117" s="2"/>
      <c r="D117" s="2"/>
    </row>
    <row r="118" spans="2:4" x14ac:dyDescent="0.25">
      <c r="B118" s="2"/>
      <c r="C118" s="2"/>
      <c r="D118" s="2"/>
    </row>
    <row r="119" spans="2:4" x14ac:dyDescent="0.25">
      <c r="B119" s="2"/>
      <c r="C119" s="2"/>
      <c r="D119" s="2"/>
    </row>
    <row r="120" spans="2:4" x14ac:dyDescent="0.25">
      <c r="B120" s="2"/>
      <c r="C120" s="2"/>
      <c r="D120" s="2"/>
    </row>
    <row r="121" spans="2:4" x14ac:dyDescent="0.25">
      <c r="B121" s="2"/>
      <c r="C121" s="2"/>
      <c r="D121" s="2"/>
    </row>
    <row r="122" spans="2:4" x14ac:dyDescent="0.25">
      <c r="B122" s="2"/>
      <c r="C122" s="2"/>
      <c r="D122" s="2"/>
    </row>
    <row r="123" spans="2:4" x14ac:dyDescent="0.25">
      <c r="B123" s="2"/>
      <c r="C123" s="2"/>
      <c r="D123" s="2"/>
    </row>
    <row r="124" spans="2:4" x14ac:dyDescent="0.25">
      <c r="B124" s="2"/>
      <c r="C124" s="2"/>
      <c r="D124" s="2"/>
    </row>
    <row r="125" spans="2:4" x14ac:dyDescent="0.25">
      <c r="B125" s="2"/>
      <c r="C125" s="2"/>
      <c r="D125" s="2"/>
    </row>
    <row r="126" spans="2:4" x14ac:dyDescent="0.25">
      <c r="B126" s="2"/>
      <c r="C126" s="2"/>
      <c r="D126" s="2"/>
    </row>
    <row r="127" spans="2:4" x14ac:dyDescent="0.25">
      <c r="B127" s="2"/>
      <c r="C127" s="2"/>
      <c r="D127" s="2"/>
    </row>
    <row r="128" spans="2:4" x14ac:dyDescent="0.25">
      <c r="B128" s="2"/>
      <c r="C128" s="2"/>
      <c r="D128" s="2"/>
    </row>
    <row r="129" spans="2:4" x14ac:dyDescent="0.25">
      <c r="B129" s="2"/>
      <c r="C129" s="2"/>
      <c r="D129" s="2"/>
    </row>
    <row r="130" spans="2:4" x14ac:dyDescent="0.25">
      <c r="B130" s="2"/>
      <c r="C130" s="2"/>
      <c r="D130" s="2"/>
    </row>
    <row r="131" spans="2:4" x14ac:dyDescent="0.25">
      <c r="B131" s="2"/>
      <c r="C131" s="2"/>
      <c r="D131" s="2"/>
    </row>
    <row r="132" spans="2:4" x14ac:dyDescent="0.25">
      <c r="B132" s="2"/>
      <c r="C132" s="2"/>
      <c r="D132" s="2"/>
    </row>
    <row r="133" spans="2:4" x14ac:dyDescent="0.25">
      <c r="B133" s="2"/>
      <c r="C133" s="2"/>
      <c r="D133" s="2"/>
    </row>
    <row r="134" spans="2:4" x14ac:dyDescent="0.25">
      <c r="B134" s="2"/>
      <c r="C134" s="2"/>
      <c r="D134" s="2"/>
    </row>
    <row r="135" spans="2:4" x14ac:dyDescent="0.25">
      <c r="B135" s="2"/>
      <c r="C135" s="2"/>
      <c r="D135" s="2"/>
    </row>
    <row r="136" spans="2:4" x14ac:dyDescent="0.25">
      <c r="B136" s="2"/>
      <c r="C136" s="2"/>
      <c r="D136" s="2"/>
    </row>
    <row r="137" spans="2:4" x14ac:dyDescent="0.25">
      <c r="B137" s="2"/>
      <c r="C137" s="2"/>
      <c r="D137" s="2"/>
    </row>
    <row r="138" spans="2:4" x14ac:dyDescent="0.25">
      <c r="B138" s="2"/>
      <c r="C138" s="2"/>
      <c r="D138" s="2"/>
    </row>
    <row r="139" spans="2:4" x14ac:dyDescent="0.25">
      <c r="B139" s="2"/>
      <c r="C139" s="2"/>
      <c r="D139" s="2"/>
    </row>
    <row r="140" spans="2:4" x14ac:dyDescent="0.25">
      <c r="B140" s="2"/>
      <c r="C140" s="2"/>
      <c r="D140" s="2"/>
    </row>
    <row r="141" spans="2:4" x14ac:dyDescent="0.25">
      <c r="B141" s="2"/>
      <c r="C141" s="2"/>
      <c r="D141" s="2"/>
    </row>
    <row r="142" spans="2:4" x14ac:dyDescent="0.25">
      <c r="B142" s="2"/>
      <c r="C142" s="2"/>
      <c r="D142" s="2"/>
    </row>
    <row r="143" spans="2:4" x14ac:dyDescent="0.25">
      <c r="B143" s="2"/>
      <c r="C143" s="2"/>
      <c r="D143" s="2"/>
    </row>
    <row r="144" spans="2:4" x14ac:dyDescent="0.25">
      <c r="B144" s="2"/>
      <c r="C144" s="2"/>
      <c r="D144" s="2"/>
    </row>
    <row r="145" spans="2:4" x14ac:dyDescent="0.25">
      <c r="B145" s="2"/>
      <c r="C145" s="2"/>
      <c r="D145" s="2"/>
    </row>
    <row r="146" spans="2:4" x14ac:dyDescent="0.25">
      <c r="B146" s="2"/>
      <c r="C146" s="2"/>
      <c r="D146" s="2"/>
    </row>
    <row r="147" spans="2:4" x14ac:dyDescent="0.25">
      <c r="B147" s="2"/>
      <c r="C147" s="2"/>
      <c r="D147" s="2"/>
    </row>
    <row r="148" spans="2:4" x14ac:dyDescent="0.25">
      <c r="B148" s="2"/>
      <c r="C148" s="2"/>
      <c r="D148" s="2"/>
    </row>
    <row r="149" spans="2:4" x14ac:dyDescent="0.25">
      <c r="B149" s="2"/>
      <c r="C149" s="2"/>
      <c r="D149" s="2"/>
    </row>
    <row r="150" spans="2:4" x14ac:dyDescent="0.25">
      <c r="B150" s="2"/>
      <c r="C150" s="2"/>
      <c r="D150" s="2"/>
    </row>
    <row r="151" spans="2:4" x14ac:dyDescent="0.25">
      <c r="B151" s="2"/>
      <c r="C151" s="2"/>
      <c r="D151" s="2"/>
    </row>
    <row r="152" spans="2:4" x14ac:dyDescent="0.25">
      <c r="B152" s="2"/>
      <c r="C152" s="2"/>
      <c r="D152" s="2"/>
    </row>
    <row r="153" spans="2:4" x14ac:dyDescent="0.25">
      <c r="B153" s="2"/>
      <c r="C153" s="2"/>
      <c r="D153" s="2"/>
    </row>
    <row r="154" spans="2:4" x14ac:dyDescent="0.25">
      <c r="B154" s="2"/>
      <c r="C154" s="2"/>
      <c r="D154" s="2"/>
    </row>
    <row r="155" spans="2:4" x14ac:dyDescent="0.25">
      <c r="B155" s="2"/>
      <c r="C155" s="2"/>
      <c r="D155" s="2"/>
    </row>
    <row r="156" spans="2:4" x14ac:dyDescent="0.25">
      <c r="B156" s="2"/>
      <c r="C156" s="2"/>
      <c r="D156" s="2"/>
    </row>
    <row r="157" spans="2:4" x14ac:dyDescent="0.25">
      <c r="B157" s="2"/>
      <c r="C157" s="2"/>
      <c r="D157" s="2"/>
    </row>
    <row r="158" spans="2:4" x14ac:dyDescent="0.25">
      <c r="B158" s="2"/>
      <c r="C158" s="2"/>
      <c r="D158" s="2"/>
    </row>
    <row r="159" spans="2:4" x14ac:dyDescent="0.25">
      <c r="B159" s="2"/>
      <c r="C159" s="2"/>
      <c r="D159" s="2"/>
    </row>
    <row r="160" spans="2:4" x14ac:dyDescent="0.25">
      <c r="B160" s="2"/>
      <c r="C160" s="2"/>
      <c r="D160" s="2"/>
    </row>
    <row r="161" spans="2:4" x14ac:dyDescent="0.25">
      <c r="B161" s="2"/>
      <c r="C161" s="2"/>
      <c r="D161" s="2"/>
    </row>
    <row r="162" spans="2:4" x14ac:dyDescent="0.25">
      <c r="B162" s="2"/>
      <c r="C162" s="2"/>
      <c r="D162" s="2"/>
    </row>
    <row r="163" spans="2:4" x14ac:dyDescent="0.25">
      <c r="B163" s="2"/>
      <c r="C163" s="2"/>
      <c r="D163" s="2"/>
    </row>
    <row r="164" spans="2:4" x14ac:dyDescent="0.25">
      <c r="B164" s="2"/>
      <c r="C164" s="2"/>
      <c r="D164" s="2"/>
    </row>
    <row r="165" spans="2:4" x14ac:dyDescent="0.25">
      <c r="B165" s="2"/>
      <c r="C165" s="2"/>
      <c r="D165" s="2"/>
    </row>
    <row r="166" spans="2:4" x14ac:dyDescent="0.25">
      <c r="B166" s="2"/>
      <c r="C166" s="2"/>
      <c r="D166" s="2"/>
    </row>
    <row r="167" spans="2:4" x14ac:dyDescent="0.25">
      <c r="B167" s="2"/>
      <c r="C167" s="2"/>
      <c r="D167" s="2"/>
    </row>
    <row r="168" spans="2:4" x14ac:dyDescent="0.25">
      <c r="B168" s="2"/>
      <c r="C168" s="2"/>
      <c r="D168" s="2"/>
    </row>
    <row r="169" spans="2:4" x14ac:dyDescent="0.25">
      <c r="B169" s="2"/>
      <c r="C169" s="2"/>
      <c r="D169" s="2"/>
    </row>
    <row r="170" spans="2:4" x14ac:dyDescent="0.25">
      <c r="B170" s="2"/>
      <c r="C170" s="2"/>
      <c r="D170" s="2"/>
    </row>
    <row r="171" spans="2:4" x14ac:dyDescent="0.25">
      <c r="B171" s="2"/>
      <c r="C171" s="2"/>
      <c r="D171" s="2"/>
    </row>
    <row r="172" spans="2:4" x14ac:dyDescent="0.25">
      <c r="B172" s="2"/>
      <c r="C172" s="2"/>
      <c r="D172" s="2"/>
    </row>
    <row r="173" spans="2:4" x14ac:dyDescent="0.25">
      <c r="B173" s="2"/>
      <c r="C173" s="2"/>
      <c r="D173" s="2"/>
    </row>
    <row r="174" spans="2:4" x14ac:dyDescent="0.25">
      <c r="B174" s="2"/>
      <c r="C174" s="2"/>
      <c r="D174" s="2"/>
    </row>
    <row r="175" spans="2:4" x14ac:dyDescent="0.25">
      <c r="B175" s="2"/>
      <c r="C175" s="2"/>
      <c r="D175" s="2"/>
    </row>
    <row r="176" spans="2:4" x14ac:dyDescent="0.25">
      <c r="B176" s="2"/>
      <c r="C176" s="2"/>
      <c r="D176" s="2"/>
    </row>
    <row r="177" spans="2:4" x14ac:dyDescent="0.25">
      <c r="B177" s="2"/>
      <c r="C177" s="2"/>
      <c r="D177" s="2"/>
    </row>
    <row r="178" spans="2:4" x14ac:dyDescent="0.25">
      <c r="B178" s="2"/>
      <c r="C178" s="2"/>
      <c r="D178" s="2"/>
    </row>
    <row r="179" spans="2:4" x14ac:dyDescent="0.25">
      <c r="B179" s="2"/>
      <c r="C179" s="2"/>
      <c r="D179" s="2"/>
    </row>
    <row r="180" spans="2:4" x14ac:dyDescent="0.25">
      <c r="B180" s="2"/>
      <c r="C180" s="2"/>
      <c r="D180" s="2"/>
    </row>
    <row r="181" spans="2:4" x14ac:dyDescent="0.25">
      <c r="B181" s="2"/>
      <c r="C181" s="2"/>
      <c r="D181" s="2"/>
    </row>
    <row r="182" spans="2:4" x14ac:dyDescent="0.25">
      <c r="B182" s="2"/>
      <c r="C182" s="2"/>
      <c r="D182" s="2"/>
    </row>
    <row r="183" spans="2:4" x14ac:dyDescent="0.25">
      <c r="B183" s="2"/>
      <c r="C183" s="2"/>
      <c r="D183" s="2"/>
    </row>
    <row r="184" spans="2:4" x14ac:dyDescent="0.25">
      <c r="B184" s="2"/>
      <c r="C184" s="2"/>
      <c r="D184" s="2"/>
    </row>
    <row r="185" spans="2:4" x14ac:dyDescent="0.25">
      <c r="B185" s="2"/>
      <c r="C185" s="2"/>
      <c r="D185" s="2"/>
    </row>
    <row r="186" spans="2:4" x14ac:dyDescent="0.25">
      <c r="B186" s="2"/>
      <c r="C186" s="2"/>
      <c r="D186" s="2"/>
    </row>
    <row r="187" spans="2:4" x14ac:dyDescent="0.25">
      <c r="B187" s="2"/>
      <c r="C187" s="2"/>
      <c r="D187" s="2"/>
    </row>
    <row r="188" spans="2:4" x14ac:dyDescent="0.25">
      <c r="B188" s="2"/>
      <c r="C188" s="2"/>
      <c r="D188" s="2"/>
    </row>
    <row r="189" spans="2:4" x14ac:dyDescent="0.25">
      <c r="B189" s="2"/>
      <c r="C189" s="2"/>
      <c r="D189" s="2"/>
    </row>
    <row r="190" spans="2:4" x14ac:dyDescent="0.25">
      <c r="B190" s="2"/>
      <c r="C190" s="2"/>
      <c r="D190" s="2"/>
    </row>
    <row r="191" spans="2:4" x14ac:dyDescent="0.25">
      <c r="B191" s="2"/>
      <c r="C191" s="2"/>
      <c r="D191" s="2"/>
    </row>
    <row r="192" spans="2:4" x14ac:dyDescent="0.25">
      <c r="B192" s="2"/>
      <c r="C192" s="2"/>
      <c r="D192" s="2"/>
    </row>
    <row r="193" spans="2:4" x14ac:dyDescent="0.25">
      <c r="B193" s="2"/>
      <c r="C193" s="2"/>
      <c r="D193" s="2"/>
    </row>
    <row r="194" spans="2:4" x14ac:dyDescent="0.25">
      <c r="B194" s="2"/>
      <c r="C194" s="2"/>
      <c r="D194" s="2"/>
    </row>
    <row r="195" spans="2:4" x14ac:dyDescent="0.25">
      <c r="B195" s="2"/>
      <c r="C195" s="2"/>
      <c r="D195" s="2"/>
    </row>
    <row r="196" spans="2:4" x14ac:dyDescent="0.25">
      <c r="B196" s="2"/>
      <c r="C196" s="2"/>
      <c r="D196" s="2"/>
    </row>
    <row r="197" spans="2:4" x14ac:dyDescent="0.25">
      <c r="B197" s="2"/>
      <c r="C197" s="2"/>
      <c r="D197" s="2"/>
    </row>
    <row r="198" spans="2:4" x14ac:dyDescent="0.25">
      <c r="B198" s="2"/>
      <c r="C198" s="2"/>
      <c r="D198" s="2"/>
    </row>
    <row r="199" spans="2:4" x14ac:dyDescent="0.25">
      <c r="B199" s="2"/>
      <c r="C199" s="2"/>
      <c r="D199" s="2"/>
    </row>
    <row r="200" spans="2:4" x14ac:dyDescent="0.25">
      <c r="B200" s="2"/>
      <c r="C200" s="2"/>
      <c r="D200" s="2"/>
    </row>
    <row r="201" spans="2:4" x14ac:dyDescent="0.25">
      <c r="B201" s="2"/>
      <c r="C201" s="2"/>
      <c r="D201" s="2"/>
    </row>
    <row r="202" spans="2:4" x14ac:dyDescent="0.25">
      <c r="B202" s="2"/>
      <c r="C202" s="2"/>
      <c r="D202" s="2"/>
    </row>
    <row r="203" spans="2:4" x14ac:dyDescent="0.25">
      <c r="B203" s="2"/>
      <c r="C203" s="2"/>
      <c r="D203" s="2"/>
    </row>
    <row r="204" spans="2:4" x14ac:dyDescent="0.25">
      <c r="B204" s="2"/>
      <c r="C204" s="2"/>
      <c r="D204" s="2"/>
    </row>
    <row r="205" spans="2:4" x14ac:dyDescent="0.25">
      <c r="B205" s="2"/>
      <c r="C205" s="2"/>
      <c r="D205" s="2"/>
    </row>
    <row r="206" spans="2:4" x14ac:dyDescent="0.25">
      <c r="B206" s="2"/>
      <c r="C206" s="2"/>
      <c r="D206" s="2"/>
    </row>
    <row r="207" spans="2:4" x14ac:dyDescent="0.25">
      <c r="B207" s="2"/>
      <c r="C207" s="2"/>
      <c r="D207" s="2"/>
    </row>
    <row r="208" spans="2:4" x14ac:dyDescent="0.25">
      <c r="B208" s="2"/>
      <c r="C208" s="2"/>
      <c r="D208" s="2"/>
    </row>
    <row r="209" spans="2:4" x14ac:dyDescent="0.25">
      <c r="B209" s="2"/>
      <c r="C209" s="2"/>
      <c r="D209" s="2"/>
    </row>
    <row r="210" spans="2:4" x14ac:dyDescent="0.25">
      <c r="B210" s="2"/>
      <c r="C210" s="2"/>
      <c r="D210" s="2"/>
    </row>
    <row r="211" spans="2:4" x14ac:dyDescent="0.25">
      <c r="B211" s="2"/>
      <c r="C211" s="2"/>
      <c r="D211" s="2"/>
    </row>
    <row r="212" spans="2:4" x14ac:dyDescent="0.25">
      <c r="B212" s="2"/>
      <c r="C212" s="2"/>
      <c r="D212" s="2"/>
    </row>
    <row r="213" spans="2:4" x14ac:dyDescent="0.25">
      <c r="B213" s="2"/>
      <c r="C213" s="2"/>
      <c r="D213" s="2"/>
    </row>
  </sheetData>
  <mergeCells count="190">
    <mergeCell ref="B58:D60"/>
    <mergeCell ref="E58:F58"/>
    <mergeCell ref="E59:F59"/>
    <mergeCell ref="E60:F60"/>
    <mergeCell ref="B61:C62"/>
    <mergeCell ref="D61:D62"/>
    <mergeCell ref="E61:F62"/>
    <mergeCell ref="B63:C63"/>
    <mergeCell ref="E63:F63"/>
    <mergeCell ref="B52:D54"/>
    <mergeCell ref="E52:F52"/>
    <mergeCell ref="E53:F53"/>
    <mergeCell ref="E54:F54"/>
    <mergeCell ref="B55:C56"/>
    <mergeCell ref="D55:D56"/>
    <mergeCell ref="E55:F56"/>
    <mergeCell ref="B57:C57"/>
    <mergeCell ref="E57:F57"/>
    <mergeCell ref="B46:D48"/>
    <mergeCell ref="E46:F46"/>
    <mergeCell ref="E47:F47"/>
    <mergeCell ref="E48:F48"/>
    <mergeCell ref="B49:C50"/>
    <mergeCell ref="D49:D50"/>
    <mergeCell ref="E49:F50"/>
    <mergeCell ref="B51:C51"/>
    <mergeCell ref="E51:F51"/>
    <mergeCell ref="B10:D12"/>
    <mergeCell ref="E10:F10"/>
    <mergeCell ref="E11:F11"/>
    <mergeCell ref="E12:F12"/>
    <mergeCell ref="K3:L3"/>
    <mergeCell ref="M3:N3"/>
    <mergeCell ref="O3:P3"/>
    <mergeCell ref="Q3:R3"/>
    <mergeCell ref="S3:T3"/>
    <mergeCell ref="E9:F9"/>
    <mergeCell ref="G3:H3"/>
    <mergeCell ref="P7:P9"/>
    <mergeCell ref="B3:F3"/>
    <mergeCell ref="K7:K9"/>
    <mergeCell ref="L7:L9"/>
    <mergeCell ref="M7:M9"/>
    <mergeCell ref="N7:N9"/>
    <mergeCell ref="O7:O9"/>
    <mergeCell ref="Q7:Q9"/>
    <mergeCell ref="V7:V9"/>
    <mergeCell ref="W7:W9"/>
    <mergeCell ref="I3:J3"/>
    <mergeCell ref="B7:C8"/>
    <mergeCell ref="B4:D6"/>
    <mergeCell ref="G7:G9"/>
    <mergeCell ref="H7:H9"/>
    <mergeCell ref="I7:I9"/>
    <mergeCell ref="J7:J9"/>
    <mergeCell ref="B9:C9"/>
    <mergeCell ref="E4:F4"/>
    <mergeCell ref="E5:F5"/>
    <mergeCell ref="E6:F6"/>
    <mergeCell ref="E7:F8"/>
    <mergeCell ref="D7:D8"/>
    <mergeCell ref="R7:R9"/>
    <mergeCell ref="S7:S9"/>
    <mergeCell ref="T7:T9"/>
    <mergeCell ref="U7:U9"/>
    <mergeCell ref="W3:X3"/>
    <mergeCell ref="U3:V3"/>
    <mergeCell ref="X7:X9"/>
    <mergeCell ref="B13:C14"/>
    <mergeCell ref="D13:D14"/>
    <mergeCell ref="B15:C15"/>
    <mergeCell ref="E15:F15"/>
    <mergeCell ref="E13:F14"/>
    <mergeCell ref="B37:C38"/>
    <mergeCell ref="D37:D38"/>
    <mergeCell ref="B39:C39"/>
    <mergeCell ref="B22:D24"/>
    <mergeCell ref="B25:C26"/>
    <mergeCell ref="D25:D26"/>
    <mergeCell ref="B27:C27"/>
    <mergeCell ref="E23:F23"/>
    <mergeCell ref="E24:F24"/>
    <mergeCell ref="E25:F26"/>
    <mergeCell ref="B16:D18"/>
    <mergeCell ref="B19:C20"/>
    <mergeCell ref="D19:D20"/>
    <mergeCell ref="B21:C21"/>
    <mergeCell ref="E28:F28"/>
    <mergeCell ref="E29:F29"/>
    <mergeCell ref="B28:D30"/>
    <mergeCell ref="E30:F30"/>
    <mergeCell ref="E27:F27"/>
    <mergeCell ref="E16:F16"/>
    <mergeCell ref="E17:F17"/>
    <mergeCell ref="E18:F18"/>
    <mergeCell ref="E19:F20"/>
    <mergeCell ref="E21:F21"/>
    <mergeCell ref="E22:F22"/>
    <mergeCell ref="E45:F45"/>
    <mergeCell ref="E36:F36"/>
    <mergeCell ref="E37:F38"/>
    <mergeCell ref="B31:C32"/>
    <mergeCell ref="D31:D32"/>
    <mergeCell ref="B33:C33"/>
    <mergeCell ref="B34:D36"/>
    <mergeCell ref="E39:F39"/>
    <mergeCell ref="E40:F40"/>
    <mergeCell ref="E41:F41"/>
    <mergeCell ref="E31:F32"/>
    <mergeCell ref="E33:F33"/>
    <mergeCell ref="E34:F34"/>
    <mergeCell ref="E35:F35"/>
    <mergeCell ref="B45:C45"/>
    <mergeCell ref="B40:D42"/>
    <mergeCell ref="B43:C44"/>
    <mergeCell ref="D43:D44"/>
    <mergeCell ref="E42:F42"/>
    <mergeCell ref="E43:F44"/>
    <mergeCell ref="AY3:AZ3"/>
    <mergeCell ref="BA3:BB3"/>
    <mergeCell ref="AI3:AJ3"/>
    <mergeCell ref="AK3:AL3"/>
    <mergeCell ref="AM3:AN3"/>
    <mergeCell ref="AO3:AP3"/>
    <mergeCell ref="AQ3:AR3"/>
    <mergeCell ref="Y3:Z3"/>
    <mergeCell ref="AA3:AB3"/>
    <mergeCell ref="AC3:AD3"/>
    <mergeCell ref="AE3:AF3"/>
    <mergeCell ref="AG3:AH3"/>
    <mergeCell ref="AN7:AN9"/>
    <mergeCell ref="AO7:AO9"/>
    <mergeCell ref="AP7:AP9"/>
    <mergeCell ref="AQ7:AQ9"/>
    <mergeCell ref="AR7:AR9"/>
    <mergeCell ref="AS7:AS9"/>
    <mergeCell ref="AH7:AH9"/>
    <mergeCell ref="AI7:AI9"/>
    <mergeCell ref="AJ7:AJ9"/>
    <mergeCell ref="AK7:AK9"/>
    <mergeCell ref="AL7:AL9"/>
    <mergeCell ref="AM7:AM9"/>
    <mergeCell ref="AS3:AT3"/>
    <mergeCell ref="AU3:AV3"/>
    <mergeCell ref="AW3:AX3"/>
    <mergeCell ref="AX7:AX9"/>
    <mergeCell ref="AT7:AT9"/>
    <mergeCell ref="AU7:AU9"/>
    <mergeCell ref="AV7:AV9"/>
    <mergeCell ref="AW7:AW9"/>
    <mergeCell ref="Y7:Y9"/>
    <mergeCell ref="Z7:Z9"/>
    <mergeCell ref="AA7:AA9"/>
    <mergeCell ref="AB7:AB9"/>
    <mergeCell ref="AC7:AC9"/>
    <mergeCell ref="AD7:AD9"/>
    <mergeCell ref="AE7:AE9"/>
    <mergeCell ref="AF7:AF9"/>
    <mergeCell ref="AG7:AG9"/>
    <mergeCell ref="BM3:BN3"/>
    <mergeCell ref="BO3:BP3"/>
    <mergeCell ref="BQ3:BR3"/>
    <mergeCell ref="BS3:BT3"/>
    <mergeCell ref="BC7:BC9"/>
    <mergeCell ref="BD7:BD9"/>
    <mergeCell ref="BE3:BF3"/>
    <mergeCell ref="BG3:BH3"/>
    <mergeCell ref="BI3:BJ3"/>
    <mergeCell ref="BN7:BN9"/>
    <mergeCell ref="BO7:BO9"/>
    <mergeCell ref="BP7:BP9"/>
    <mergeCell ref="BQ7:BQ9"/>
    <mergeCell ref="BR7:BR9"/>
    <mergeCell ref="BC3:BD3"/>
    <mergeCell ref="BJ7:BJ9"/>
    <mergeCell ref="BK7:BK9"/>
    <mergeCell ref="BL7:BL9"/>
    <mergeCell ref="BM7:BM9"/>
    <mergeCell ref="BS7:BS9"/>
    <mergeCell ref="BT7:BT9"/>
    <mergeCell ref="BK3:BL3"/>
    <mergeCell ref="AY7:AY9"/>
    <mergeCell ref="AZ7:AZ9"/>
    <mergeCell ref="BA7:BA9"/>
    <mergeCell ref="BB7:BB9"/>
    <mergeCell ref="BE7:BE9"/>
    <mergeCell ref="BF7:BF9"/>
    <mergeCell ref="BG7:BG9"/>
    <mergeCell ref="BH7:BH9"/>
    <mergeCell ref="BI7:BI9"/>
  </mergeCells>
  <pageMargins left="0.7" right="0.7" top="0.75" bottom="0.75" header="0.3" footer="0.3"/>
  <pageSetup paperSize="9" orientation="portrait" r:id="rId1"/>
  <ignoredErrors>
    <ignoredError sqref="J19 I24 I36 H37 J37 I42 H43 J43 I12 J1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3:M16"/>
  <sheetViews>
    <sheetView tabSelected="1" zoomScale="85" zoomScaleNormal="85" workbookViewId="0">
      <selection activeCell="A23" sqref="A23"/>
    </sheetView>
  </sheetViews>
  <sheetFormatPr baseColWidth="10" defaultRowHeight="15" x14ac:dyDescent="0.25"/>
  <cols>
    <col min="3" max="3" width="17.140625" customWidth="1"/>
    <col min="9" max="9" width="11.42578125" customWidth="1"/>
    <col min="10" max="10" width="17.140625" customWidth="1"/>
    <col min="11" max="11" width="11.42578125" customWidth="1"/>
  </cols>
  <sheetData>
    <row r="3" spans="2:13" ht="15.75" thickBot="1" x14ac:dyDescent="0.3"/>
    <row r="4" spans="2:13" x14ac:dyDescent="0.25">
      <c r="C4" s="201" t="s">
        <v>43</v>
      </c>
      <c r="D4" s="202"/>
      <c r="E4" s="194"/>
    </row>
    <row r="5" spans="2:13" x14ac:dyDescent="0.25">
      <c r="C5" s="203"/>
      <c r="D5" s="204"/>
      <c r="E5" s="195"/>
    </row>
    <row r="6" spans="2:13" ht="15.75" thickBot="1" x14ac:dyDescent="0.3">
      <c r="C6" s="205"/>
      <c r="D6" s="206"/>
      <c r="E6" s="196"/>
    </row>
    <row r="9" spans="2:13" ht="15.75" thickBot="1" x14ac:dyDescent="0.3">
      <c r="C9" s="199" t="s">
        <v>108</v>
      </c>
      <c r="D9" s="199"/>
      <c r="E9" s="199"/>
      <c r="F9" s="200"/>
      <c r="J9" s="197" t="s">
        <v>107</v>
      </c>
      <c r="K9" s="197"/>
      <c r="L9" s="197"/>
      <c r="M9" s="198"/>
    </row>
    <row r="10" spans="2:13" ht="15.75" thickBot="1" x14ac:dyDescent="0.3">
      <c r="B10" s="2"/>
      <c r="C10" s="63" t="s">
        <v>105</v>
      </c>
      <c r="D10" s="64" t="s">
        <v>41</v>
      </c>
      <c r="E10" s="64" t="s">
        <v>42</v>
      </c>
      <c r="F10" s="65" t="s">
        <v>31</v>
      </c>
      <c r="J10" s="63" t="s">
        <v>105</v>
      </c>
      <c r="K10" s="64" t="s">
        <v>41</v>
      </c>
      <c r="L10" s="64" t="s">
        <v>42</v>
      </c>
      <c r="M10" s="65" t="s">
        <v>31</v>
      </c>
    </row>
    <row r="11" spans="2:13" x14ac:dyDescent="0.25">
      <c r="B11" s="60" t="s">
        <v>77</v>
      </c>
      <c r="C11" s="94" t="s">
        <v>105</v>
      </c>
      <c r="D11" s="66">
        <f>IF($E$4=1, MRP!H12,IF($E$4=2, MRP!J12,IF($E$4=3, MRP!L12,IF($E$4=4, MRP!N12,IF($E$4=5, MRP!P12,IF($E$4=6, MRP!R12,IF($E$4=7, MRP!T12,IF($E$4=8, MRP!V12,IF($E$4=9, MRP!X12,0)))))))))</f>
        <v>0</v>
      </c>
      <c r="E11" s="67">
        <f>IF($E$4=1, MRP!G13,IF($E$4=2, MRP!I13,IF($E$4=3, MRP!K13,IF($E$4=4, MRP!M13,IF($E$4=5, MRP!O13,IF($E$4=6, MRP!Q13,IF($E$4=7, MRP!S13,IF($E$4=8, MRP!U13,IF($E$4=9, MRP!W13,0)))))))))</f>
        <v>0</v>
      </c>
      <c r="F11" s="67">
        <f>IF($E$4=20, MRP!H36,IF($E$4=21, MRP!J36,IF($E$4=22, MRP!L36,IF($E$4=23, MRP!N36,IF($E$4=24, MRP!P36,IF($E$4=25, MRP!R36,IF($E$4=26, MRP!T36,IF($E$4=27, MRP!V36,IF($E$4=28, MRP!X36,0)))))))))</f>
        <v>0</v>
      </c>
      <c r="I11" s="60" t="s">
        <v>102</v>
      </c>
      <c r="J11" s="96" t="s">
        <v>99</v>
      </c>
      <c r="K11" s="66"/>
      <c r="L11" s="67"/>
      <c r="M11" s="67"/>
    </row>
    <row r="12" spans="2:13" x14ac:dyDescent="0.25">
      <c r="B12" s="61" t="s">
        <v>101</v>
      </c>
      <c r="C12" s="95" t="s">
        <v>105</v>
      </c>
      <c r="D12" s="68">
        <f>IF($E$4=1, MRP!H18,IF($E$4=2, MRP!J18,IF($E$4=3, MRP!L18,IF($E$4=4, MRP!N18,IF($E$4=5, MRP!P18,IF($E$4=6, MRP!R18,IF($E$4=7, MRP!T18,IF($E$4=8, MRP!V18,IF($E$4=9, MRP!X18,0)))))))))</f>
        <v>0</v>
      </c>
      <c r="E12" s="69">
        <f>IF($E$4=1, MRP!G19,IF($E$4=2, MRP!I19,IF($E$4=3, MRP!K19,IF($E$4=4, MRP!M19,IF($E$4=5, MRP!O19,IF($E$4=6, MRP!Q19,IF($E$4=7, MRP!S19,IF($E$4=8, MRP!U19,IF($E$4=9, MRP!W19,0)))))))))</f>
        <v>0</v>
      </c>
      <c r="F12" s="69">
        <f>IF($E$4=20, MRP!H37,IF($E$4=21, MRP!J37,IF($E$4=22, MRP!L37,IF($E$4=23, MRP!N37,IF($E$4=24, MRP!P37,IF($E$4=25, MRP!R37,IF($E$4=26, MRP!T37,IF($E$4=27, MRP!V37,IF($E$4=28, MRP!X37,0)))))))))</f>
        <v>0</v>
      </c>
      <c r="I12" s="61" t="s">
        <v>103</v>
      </c>
      <c r="J12" s="97" t="s">
        <v>106</v>
      </c>
      <c r="K12" s="68"/>
      <c r="L12" s="69"/>
      <c r="M12" s="69"/>
    </row>
    <row r="13" spans="2:13" ht="15.75" thickBot="1" x14ac:dyDescent="0.3">
      <c r="B13" s="62" t="s">
        <v>79</v>
      </c>
      <c r="C13" s="95" t="s">
        <v>105</v>
      </c>
      <c r="D13" s="68">
        <f>IF($E$4=1, MRP!H24,IF($E$4=2, MRP!J24,IF($E$4=3, MRP!L24,IF($E$4=4, MRP!N24,IF($E$4=5, MRP!P24,IF($E$4=6, MRP!R24,IF($E$4=7, MRP!T24,IF($E$4=8, MRP!V24,IF($E$4=9, MRP!X24,0)))))))))</f>
        <v>0</v>
      </c>
      <c r="E13" s="69">
        <f>IF($E$4=1, MRP!G25,IF($E$4=2, MRP!I25,IF($E$4=3, MRP!K25,IF($E$4=4, MRP!M25,IF($E$4=5, MRP!O25,IF($E$4=6, MRP!Q25,IF($E$4=7, MRP!S25,IF($E$4=8, MRP!U25,IF($E$4=9, MRP!W25,0)))))))))</f>
        <v>0</v>
      </c>
      <c r="F13" s="69">
        <f>IF($E$4=20, MRP!H38,IF($E$4=21, MRP!J38,IF($E$4=22, MRP!L38,IF($E$4=23, MRP!N38,IF($E$4=24, MRP!P38,IF($E$4=25, MRP!R38,IF($E$4=26, MRP!T38,IF($E$4=27, MRP!V38,IF($E$4=28, MRP!X38,0)))))))))</f>
        <v>0</v>
      </c>
      <c r="I13" s="61" t="s">
        <v>81</v>
      </c>
      <c r="J13" s="97" t="s">
        <v>96</v>
      </c>
      <c r="K13" s="68"/>
      <c r="L13" s="69"/>
      <c r="M13" s="69"/>
    </row>
    <row r="14" spans="2:13" x14ac:dyDescent="0.25">
      <c r="I14" s="61" t="s">
        <v>104</v>
      </c>
      <c r="J14" s="97" t="s">
        <v>95</v>
      </c>
      <c r="K14" s="68"/>
      <c r="L14" s="69"/>
      <c r="M14" s="69"/>
    </row>
    <row r="15" spans="2:13" x14ac:dyDescent="0.25">
      <c r="I15" s="61" t="s">
        <v>83</v>
      </c>
      <c r="J15" s="97" t="s">
        <v>93</v>
      </c>
      <c r="K15" s="68"/>
      <c r="L15" s="69"/>
      <c r="M15" s="69"/>
    </row>
    <row r="16" spans="2:13" ht="15.75" thickBot="1" x14ac:dyDescent="0.3">
      <c r="I16" s="62" t="s">
        <v>84</v>
      </c>
      <c r="J16" s="97" t="s">
        <v>94</v>
      </c>
      <c r="K16" s="68"/>
      <c r="L16" s="69"/>
      <c r="M16" s="69"/>
    </row>
  </sheetData>
  <mergeCells count="4">
    <mergeCell ref="E4:E6"/>
    <mergeCell ref="J9:M9"/>
    <mergeCell ref="C9:F9"/>
    <mergeCell ref="C4:D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2</xdr:col>
                <xdr:colOff>76200</xdr:colOff>
                <xdr:row>3</xdr:row>
                <xdr:rowOff>66675</xdr:rowOff>
              </from>
              <to>
                <xdr:col>3</xdr:col>
                <xdr:colOff>695325</xdr:colOff>
                <xdr:row>5</xdr:row>
                <xdr:rowOff>123825</xdr:rowOff>
              </to>
            </anchor>
          </controlPr>
        </control>
      </mc:Choice>
      <mc:Fallback>
        <control shapeId="512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techniques</vt:lpstr>
      <vt:lpstr>Données ressources</vt:lpstr>
      <vt:lpstr>MRP</vt:lpstr>
      <vt:lpstr>OF &amp; OA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refgte</dc:creator>
  <cp:lastModifiedBy>Paul</cp:lastModifiedBy>
  <dcterms:created xsi:type="dcterms:W3CDTF">2014-10-17T06:31:22Z</dcterms:created>
  <dcterms:modified xsi:type="dcterms:W3CDTF">2014-12-07T15:21:57Z</dcterms:modified>
</cp:coreProperties>
</file>