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5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V\Desktop\"/>
    </mc:Choice>
  </mc:AlternateContent>
  <bookViews>
    <workbookView xWindow="0" yWindow="0" windowWidth="28800" windowHeight="12435" tabRatio="395" activeTab="4"/>
  </bookViews>
  <sheets>
    <sheet name="BBB" sheetId="62" r:id="rId1"/>
    <sheet name="AAA" sheetId="59" r:id="rId2"/>
    <sheet name="Accueil" sheetId="58" r:id="rId3"/>
    <sheet name="Récap" sheetId="4" r:id="rId4"/>
    <sheet name="Impression" sheetId="60" r:id="rId5"/>
    <sheet name="Config" sheetId="19" r:id="rId6"/>
  </sheets>
  <definedNames>
    <definedName name="Agent" localSheetId="1">Agents[Agent]</definedName>
    <definedName name="Agent" localSheetId="0">Agents[Agent]</definedName>
    <definedName name="Agent">Agents[Agent]</definedName>
    <definedName name="_xlnm.Print_Titles" localSheetId="3">Récap!$C:$C</definedName>
    <definedName name="JFerie">Config!$I$4:$J$14</definedName>
    <definedName name="Poste">Config!$M$37:$M$55</definedName>
    <definedName name="Service">Config!$L$37:$L$42</definedName>
    <definedName name="TypeJour">Config!$C$3:$C$13</definedName>
    <definedName name="_xlnm.Print_Area" localSheetId="1">AAA!$A$1:$V$97</definedName>
    <definedName name="_xlnm.Print_Area" localSheetId="2">Accueil!$B$1</definedName>
    <definedName name="_xlnm.Print_Area" localSheetId="0">BBB!$A$1:$V$97</definedName>
    <definedName name="_xlnm.Print_Area" localSheetId="4">Impression!$A$1:$C$1</definedName>
    <definedName name="_xlnm.Print_Area" localSheetId="3">Récap!$M$1:$BW$5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5" i="62" l="1"/>
  <c r="P81" i="62"/>
  <c r="E81" i="62"/>
  <c r="P80" i="62"/>
  <c r="E80" i="62"/>
  <c r="P79" i="62"/>
  <c r="E79" i="62"/>
  <c r="P78" i="62"/>
  <c r="E78" i="62"/>
  <c r="P77" i="62"/>
  <c r="E77" i="62"/>
  <c r="P76" i="62"/>
  <c r="E76" i="62"/>
  <c r="S75" i="62"/>
  <c r="P75" i="62"/>
  <c r="H75" i="62"/>
  <c r="E75" i="62"/>
  <c r="R74" i="62"/>
  <c r="P74" i="62" s="1"/>
  <c r="Q74" i="62"/>
  <c r="G74" i="62"/>
  <c r="F74" i="62"/>
  <c r="P65" i="62"/>
  <c r="E65" i="62"/>
  <c r="P64" i="62"/>
  <c r="E64" i="62"/>
  <c r="P63" i="62"/>
  <c r="E63" i="62"/>
  <c r="P62" i="62"/>
  <c r="E62" i="62"/>
  <c r="P61" i="62"/>
  <c r="E61" i="62"/>
  <c r="P60" i="62"/>
  <c r="E60" i="62"/>
  <c r="S59" i="62"/>
  <c r="P59" i="62"/>
  <c r="H59" i="62"/>
  <c r="E59" i="62"/>
  <c r="R58" i="62"/>
  <c r="P58" i="62" s="1"/>
  <c r="Q58" i="62"/>
  <c r="G58" i="62"/>
  <c r="E58" i="62" s="1"/>
  <c r="F58" i="62"/>
  <c r="P49" i="62"/>
  <c r="E49" i="62"/>
  <c r="P48" i="62"/>
  <c r="E48" i="62"/>
  <c r="P47" i="62"/>
  <c r="E47" i="62"/>
  <c r="P46" i="62"/>
  <c r="E46" i="62"/>
  <c r="P45" i="62"/>
  <c r="E45" i="62"/>
  <c r="P44" i="62"/>
  <c r="E44" i="62"/>
  <c r="S43" i="62"/>
  <c r="P43" i="62"/>
  <c r="H43" i="62"/>
  <c r="E43" i="62"/>
  <c r="R42" i="62"/>
  <c r="P42" i="62" s="1"/>
  <c r="Q42" i="62"/>
  <c r="G42" i="62"/>
  <c r="E42" i="62" s="1"/>
  <c r="F42" i="62"/>
  <c r="P33" i="62"/>
  <c r="E33" i="62"/>
  <c r="P32" i="62"/>
  <c r="E32" i="62"/>
  <c r="P31" i="62"/>
  <c r="E31" i="62"/>
  <c r="P30" i="62"/>
  <c r="E30" i="62"/>
  <c r="P29" i="62"/>
  <c r="E29" i="62"/>
  <c r="P28" i="62"/>
  <c r="E28" i="62"/>
  <c r="S27" i="62"/>
  <c r="P27" i="62"/>
  <c r="H27" i="62"/>
  <c r="E27" i="62"/>
  <c r="R26" i="62"/>
  <c r="P26" i="62" s="1"/>
  <c r="Q26" i="62"/>
  <c r="G26" i="62"/>
  <c r="E26" i="62" s="1"/>
  <c r="F26" i="62"/>
  <c r="P17" i="62"/>
  <c r="E17" i="62"/>
  <c r="P16" i="62"/>
  <c r="E16" i="62"/>
  <c r="P15" i="62"/>
  <c r="G15" i="62"/>
  <c r="C73" i="62" s="1"/>
  <c r="I74" i="62" s="1"/>
  <c r="E15" i="62"/>
  <c r="R14" i="62"/>
  <c r="N72" i="62" s="1"/>
  <c r="P14" i="62"/>
  <c r="G14" i="62"/>
  <c r="G1" i="62" s="1"/>
  <c r="R1" i="62" s="1"/>
  <c r="E14" i="62"/>
  <c r="P13" i="62"/>
  <c r="E13" i="62"/>
  <c r="P12" i="62"/>
  <c r="E12" i="62"/>
  <c r="S11" i="62"/>
  <c r="P11" i="62"/>
  <c r="H11" i="62"/>
  <c r="E11" i="62"/>
  <c r="R10" i="62"/>
  <c r="Q10" i="62"/>
  <c r="G10" i="62"/>
  <c r="E10" i="62" s="1"/>
  <c r="F10" i="62"/>
  <c r="L1" i="62"/>
  <c r="Q85" i="62" s="1"/>
  <c r="C3" i="62" l="1"/>
  <c r="C4" i="62" s="1"/>
  <c r="C5" i="62" s="1"/>
  <c r="C6" i="62" s="1"/>
  <c r="C7" i="62" s="1"/>
  <c r="C8" i="62" s="1"/>
  <c r="C9" i="62" s="1"/>
  <c r="M69" i="62"/>
  <c r="F83" i="62"/>
  <c r="M71" i="62"/>
  <c r="A67" i="62"/>
  <c r="M73" i="62"/>
  <c r="G83" i="62"/>
  <c r="F92" i="62" s="1"/>
  <c r="C19" i="62"/>
  <c r="C20" i="62" s="1"/>
  <c r="C21" i="62" s="1"/>
  <c r="C22" i="62" s="1"/>
  <c r="C23" i="62" s="1"/>
  <c r="C24" i="62" s="1"/>
  <c r="C25" i="62" s="1"/>
  <c r="A3" i="62"/>
  <c r="I10" i="62"/>
  <c r="R28" i="62"/>
  <c r="P34" i="62"/>
  <c r="G29" i="62"/>
  <c r="Q90" i="62"/>
  <c r="R29" i="62"/>
  <c r="R44" i="62"/>
  <c r="Q86" i="62"/>
  <c r="Q87" i="62" s="1"/>
  <c r="G13" i="62"/>
  <c r="E18" i="62"/>
  <c r="K10" i="62" s="1"/>
  <c r="G12" i="62"/>
  <c r="G28" i="62"/>
  <c r="E34" i="62"/>
  <c r="K26" i="62" s="1"/>
  <c r="Q83" i="62"/>
  <c r="F89" i="62"/>
  <c r="G60" i="62"/>
  <c r="E66" i="62"/>
  <c r="K58" i="62" s="1"/>
  <c r="P82" i="62"/>
  <c r="V74" i="62" s="1"/>
  <c r="R77" i="62"/>
  <c r="F90" i="62"/>
  <c r="G61" i="62"/>
  <c r="Q89" i="62"/>
  <c r="G44" i="62"/>
  <c r="E50" i="62"/>
  <c r="K42" i="62" s="1"/>
  <c r="G45" i="62"/>
  <c r="R61" i="62"/>
  <c r="R76" i="62"/>
  <c r="R45" i="62"/>
  <c r="R60" i="62"/>
  <c r="F86" i="62"/>
  <c r="F87" i="62" s="1"/>
  <c r="V26" i="62"/>
  <c r="B67" i="62"/>
  <c r="N69" i="62"/>
  <c r="N71" i="62"/>
  <c r="N73" i="62"/>
  <c r="T74" i="62" s="1"/>
  <c r="C67" i="62"/>
  <c r="B68" i="62"/>
  <c r="B70" i="62"/>
  <c r="B72" i="62"/>
  <c r="E74" i="62"/>
  <c r="P10" i="62"/>
  <c r="P50" i="62"/>
  <c r="V42" i="62" s="1"/>
  <c r="P66" i="62"/>
  <c r="V58" i="62" s="1"/>
  <c r="L67" i="62"/>
  <c r="C68" i="62"/>
  <c r="C70" i="62"/>
  <c r="C72" i="62"/>
  <c r="M67" i="62"/>
  <c r="M68" i="62"/>
  <c r="M70" i="62"/>
  <c r="M72" i="62"/>
  <c r="N67" i="62"/>
  <c r="N68" i="62"/>
  <c r="N70" i="62"/>
  <c r="R83" i="62"/>
  <c r="Q92" i="62" s="1"/>
  <c r="B69" i="62"/>
  <c r="B71" i="62"/>
  <c r="B73" i="62"/>
  <c r="C69" i="62"/>
  <c r="C71" i="62"/>
  <c r="R12" i="62" l="1"/>
  <c r="P18" i="62"/>
  <c r="V10" i="62" s="1"/>
  <c r="V83" i="62" s="1"/>
  <c r="P83" i="62"/>
  <c r="R13" i="62"/>
  <c r="E83" i="62"/>
  <c r="F104" i="62" s="1"/>
  <c r="G76" i="62"/>
  <c r="E82" i="62"/>
  <c r="K74" i="62" s="1"/>
  <c r="K83" i="62" s="1"/>
  <c r="G77" i="62"/>
  <c r="T82" i="62"/>
  <c r="I26" i="62"/>
  <c r="C35" i="62"/>
  <c r="C36" i="62" s="1"/>
  <c r="C37" i="62" s="1"/>
  <c r="C38" i="62" s="1"/>
  <c r="C39" i="62" s="1"/>
  <c r="C40" i="62" s="1"/>
  <c r="C41" i="62" s="1"/>
  <c r="A19" i="62"/>
  <c r="F85" i="59"/>
  <c r="P81" i="59"/>
  <c r="E81" i="59"/>
  <c r="P80" i="59"/>
  <c r="E80" i="59"/>
  <c r="P79" i="59"/>
  <c r="E79" i="59"/>
  <c r="P78" i="59"/>
  <c r="E78" i="59"/>
  <c r="P77" i="59"/>
  <c r="E77" i="59"/>
  <c r="P76" i="59"/>
  <c r="E76" i="59"/>
  <c r="S75" i="59"/>
  <c r="P75" i="59"/>
  <c r="H75" i="59"/>
  <c r="E75" i="59"/>
  <c r="R74" i="59"/>
  <c r="P74" i="59" s="1"/>
  <c r="Q74" i="59"/>
  <c r="G74" i="59"/>
  <c r="F74" i="59"/>
  <c r="P65" i="59"/>
  <c r="E65" i="59"/>
  <c r="P64" i="59"/>
  <c r="E64" i="59"/>
  <c r="P63" i="59"/>
  <c r="E63" i="59"/>
  <c r="P62" i="59"/>
  <c r="E62" i="59"/>
  <c r="P61" i="59"/>
  <c r="E61" i="59"/>
  <c r="P60" i="59"/>
  <c r="E60" i="59"/>
  <c r="S59" i="59"/>
  <c r="P59" i="59"/>
  <c r="H59" i="59"/>
  <c r="E59" i="59"/>
  <c r="R58" i="59"/>
  <c r="P58" i="59" s="1"/>
  <c r="Q58" i="59"/>
  <c r="G58" i="59"/>
  <c r="E58" i="59" s="1"/>
  <c r="F58" i="59"/>
  <c r="P49" i="59"/>
  <c r="E49" i="59"/>
  <c r="P48" i="59"/>
  <c r="E48" i="59"/>
  <c r="P47" i="59"/>
  <c r="E47" i="59"/>
  <c r="P46" i="59"/>
  <c r="E46" i="59"/>
  <c r="P45" i="59"/>
  <c r="E45" i="59"/>
  <c r="P44" i="59"/>
  <c r="E44" i="59"/>
  <c r="S43" i="59"/>
  <c r="P43" i="59"/>
  <c r="H43" i="59"/>
  <c r="E43" i="59"/>
  <c r="R42" i="59"/>
  <c r="P42" i="59" s="1"/>
  <c r="Q42" i="59"/>
  <c r="G42" i="59"/>
  <c r="E42" i="59" s="1"/>
  <c r="F42" i="59"/>
  <c r="P33" i="59"/>
  <c r="E33" i="59"/>
  <c r="P32" i="59"/>
  <c r="E32" i="59"/>
  <c r="P31" i="59"/>
  <c r="E31" i="59"/>
  <c r="P30" i="59"/>
  <c r="E30" i="59"/>
  <c r="P29" i="59"/>
  <c r="E29" i="59"/>
  <c r="P28" i="59"/>
  <c r="E28" i="59"/>
  <c r="S27" i="59"/>
  <c r="P27" i="59"/>
  <c r="H27" i="59"/>
  <c r="E27" i="59"/>
  <c r="R26" i="59"/>
  <c r="P26" i="59" s="1"/>
  <c r="Q26" i="59"/>
  <c r="G26" i="59"/>
  <c r="E26" i="59" s="1"/>
  <c r="F26" i="59"/>
  <c r="P17" i="59"/>
  <c r="E17" i="59"/>
  <c r="P16" i="59"/>
  <c r="E16" i="59"/>
  <c r="P15" i="59"/>
  <c r="G15" i="59"/>
  <c r="C73" i="59" s="1"/>
  <c r="I74" i="59" s="1"/>
  <c r="E15" i="59"/>
  <c r="R14" i="59"/>
  <c r="N72" i="59" s="1"/>
  <c r="P14" i="59"/>
  <c r="G14" i="59"/>
  <c r="C3" i="59" s="1"/>
  <c r="C4" i="59" s="1"/>
  <c r="C5" i="59" s="1"/>
  <c r="C6" i="59" s="1"/>
  <c r="C7" i="59" s="1"/>
  <c r="C8" i="59" s="1"/>
  <c r="C9" i="59" s="1"/>
  <c r="E14" i="59"/>
  <c r="P13" i="59"/>
  <c r="E13" i="59"/>
  <c r="P12" i="59"/>
  <c r="E12" i="59"/>
  <c r="S11" i="59"/>
  <c r="P11" i="59"/>
  <c r="H11" i="59"/>
  <c r="E11" i="59"/>
  <c r="R10" i="59"/>
  <c r="Q10" i="59"/>
  <c r="G10" i="59"/>
  <c r="F10" i="59"/>
  <c r="L1" i="59"/>
  <c r="Q85" i="59" s="1"/>
  <c r="G1" i="59" l="1"/>
  <c r="R1" i="59" s="1"/>
  <c r="Q104" i="62"/>
  <c r="I42" i="62"/>
  <c r="C51" i="62"/>
  <c r="C52" i="62" s="1"/>
  <c r="C53" i="62" s="1"/>
  <c r="C54" i="62" s="1"/>
  <c r="C55" i="62" s="1"/>
  <c r="C56" i="62" s="1"/>
  <c r="C57" i="62" s="1"/>
  <c r="A35" i="62"/>
  <c r="I82" i="62"/>
  <c r="M71" i="59"/>
  <c r="A67" i="59"/>
  <c r="M73" i="59"/>
  <c r="M69" i="59"/>
  <c r="F83" i="59"/>
  <c r="C19" i="59"/>
  <c r="C20" i="59" s="1"/>
  <c r="C21" i="59" s="1"/>
  <c r="C22" i="59" s="1"/>
  <c r="C23" i="59" s="1"/>
  <c r="C24" i="59" s="1"/>
  <c r="C25" i="59" s="1"/>
  <c r="A3" i="59"/>
  <c r="G28" i="59"/>
  <c r="E34" i="59"/>
  <c r="K26" i="59" s="1"/>
  <c r="Q83" i="59"/>
  <c r="G60" i="59"/>
  <c r="E66" i="59"/>
  <c r="K58" i="59" s="1"/>
  <c r="P82" i="59"/>
  <c r="V74" i="59" s="1"/>
  <c r="R77" i="59"/>
  <c r="F89" i="59"/>
  <c r="E10" i="59"/>
  <c r="G13" i="59" s="1"/>
  <c r="G44" i="59"/>
  <c r="E50" i="59"/>
  <c r="K42" i="59" s="1"/>
  <c r="G61" i="59"/>
  <c r="G45" i="59"/>
  <c r="R61" i="59"/>
  <c r="Q89" i="59"/>
  <c r="F90" i="59"/>
  <c r="R28" i="59"/>
  <c r="G29" i="59"/>
  <c r="R45" i="59"/>
  <c r="R60" i="59"/>
  <c r="R76" i="59"/>
  <c r="R29" i="59"/>
  <c r="R44" i="59"/>
  <c r="Q90" i="59"/>
  <c r="F86" i="59"/>
  <c r="F87" i="59" s="1"/>
  <c r="G83" i="59"/>
  <c r="F92" i="59" s="1"/>
  <c r="Q86" i="59"/>
  <c r="Q87" i="59" s="1"/>
  <c r="B67" i="59"/>
  <c r="N69" i="59"/>
  <c r="N71" i="59"/>
  <c r="N73" i="59"/>
  <c r="T74" i="59" s="1"/>
  <c r="C67" i="59"/>
  <c r="B68" i="59"/>
  <c r="B70" i="59"/>
  <c r="B72" i="59"/>
  <c r="E74" i="59"/>
  <c r="G77" i="59" s="1"/>
  <c r="P10" i="59"/>
  <c r="P83" i="59" s="1"/>
  <c r="P34" i="59"/>
  <c r="V26" i="59" s="1"/>
  <c r="P50" i="59"/>
  <c r="V42" i="59" s="1"/>
  <c r="P66" i="59"/>
  <c r="V58" i="59" s="1"/>
  <c r="L67" i="59"/>
  <c r="C68" i="59"/>
  <c r="C70" i="59"/>
  <c r="C72" i="59"/>
  <c r="M67" i="59"/>
  <c r="M68" i="59"/>
  <c r="M70" i="59"/>
  <c r="M72" i="59"/>
  <c r="N67" i="59"/>
  <c r="N68" i="59"/>
  <c r="N70" i="59"/>
  <c r="R83" i="59"/>
  <c r="Q92" i="59" s="1"/>
  <c r="B69" i="59"/>
  <c r="B71" i="59"/>
  <c r="B73" i="59"/>
  <c r="C69" i="59"/>
  <c r="C71" i="59"/>
  <c r="I58" i="62" l="1"/>
  <c r="I83" i="62" s="1"/>
  <c r="A51" i="62"/>
  <c r="N3" i="62"/>
  <c r="N4" i="62" s="1"/>
  <c r="N5" i="62" s="1"/>
  <c r="N6" i="62" s="1"/>
  <c r="N7" i="62" s="1"/>
  <c r="N8" i="62" s="1"/>
  <c r="N9" i="62" s="1"/>
  <c r="R12" i="59"/>
  <c r="P18" i="59"/>
  <c r="V10" i="59" s="1"/>
  <c r="V83" i="59" s="1"/>
  <c r="T82" i="59"/>
  <c r="R13" i="59"/>
  <c r="E18" i="59"/>
  <c r="K10" i="59" s="1"/>
  <c r="G12" i="59"/>
  <c r="I10" i="59" s="1"/>
  <c r="E83" i="59"/>
  <c r="F104" i="59" s="1"/>
  <c r="Q104" i="59" s="1"/>
  <c r="G76" i="59"/>
  <c r="I82" i="59" s="1"/>
  <c r="E82" i="59"/>
  <c r="K74" i="59" s="1"/>
  <c r="I26" i="59"/>
  <c r="C35" i="59"/>
  <c r="C36" i="59" s="1"/>
  <c r="C37" i="59" s="1"/>
  <c r="C38" i="59" s="1"/>
  <c r="C39" i="59" s="1"/>
  <c r="C40" i="59" s="1"/>
  <c r="C41" i="59" s="1"/>
  <c r="A19" i="59"/>
  <c r="K83" i="59" l="1"/>
  <c r="N19" i="62"/>
  <c r="N20" i="62" s="1"/>
  <c r="N21" i="62" s="1"/>
  <c r="N22" i="62" s="1"/>
  <c r="N23" i="62" s="1"/>
  <c r="N24" i="62" s="1"/>
  <c r="N25" i="62" s="1"/>
  <c r="L3" i="62"/>
  <c r="T10" i="62"/>
  <c r="K92" i="62"/>
  <c r="K88" i="62"/>
  <c r="K91" i="62" s="1"/>
  <c r="V87" i="62" s="1"/>
  <c r="I42" i="59"/>
  <c r="C51" i="59"/>
  <c r="C52" i="59" s="1"/>
  <c r="C53" i="59" s="1"/>
  <c r="C54" i="59" s="1"/>
  <c r="C55" i="59" s="1"/>
  <c r="C56" i="59" s="1"/>
  <c r="C57" i="59" s="1"/>
  <c r="A35" i="59"/>
  <c r="K4" i="58"/>
  <c r="C4" i="58"/>
  <c r="N35" i="62" l="1"/>
  <c r="N36" i="62" s="1"/>
  <c r="N37" i="62" s="1"/>
  <c r="N38" i="62" s="1"/>
  <c r="N39" i="62" s="1"/>
  <c r="N40" i="62" s="1"/>
  <c r="N41" i="62" s="1"/>
  <c r="L19" i="62"/>
  <c r="T26" i="62"/>
  <c r="I58" i="59"/>
  <c r="I83" i="59" s="1"/>
  <c r="N3" i="59"/>
  <c r="N4" i="59" s="1"/>
  <c r="N5" i="59" s="1"/>
  <c r="N6" i="59" s="1"/>
  <c r="N7" i="59" s="1"/>
  <c r="N8" i="59" s="1"/>
  <c r="N9" i="59" s="1"/>
  <c r="A51" i="59"/>
  <c r="P4" i="58"/>
  <c r="F4" i="58" s="1"/>
  <c r="BT1" i="4" s="1"/>
  <c r="AL4" i="4"/>
  <c r="AS4" i="4"/>
  <c r="BC4" i="4"/>
  <c r="BB4" i="4"/>
  <c r="AX4" i="4"/>
  <c r="AT4" i="4"/>
  <c r="AA4" i="4"/>
  <c r="S4" i="4"/>
  <c r="T4" i="4"/>
  <c r="W4" i="4"/>
  <c r="AU4" i="4"/>
  <c r="AK4" i="4"/>
  <c r="AB4" i="4"/>
  <c r="AO4" i="4"/>
  <c r="BG4" i="4"/>
  <c r="BD4" i="4"/>
  <c r="BK4" i="4"/>
  <c r="AF4" i="4"/>
  <c r="AJ4" i="4"/>
  <c r="R4" i="4"/>
  <c r="BL4" i="4"/>
  <c r="AC4" i="4"/>
  <c r="BM4" i="4"/>
  <c r="N51" i="62" l="1"/>
  <c r="N52" i="62" s="1"/>
  <c r="N53" i="62" s="1"/>
  <c r="N54" i="62" s="1"/>
  <c r="N55" i="62" s="1"/>
  <c r="N56" i="62" s="1"/>
  <c r="N57" i="62" s="1"/>
  <c r="L35" i="62"/>
  <c r="T42" i="62"/>
  <c r="N19" i="59"/>
  <c r="N20" i="59" s="1"/>
  <c r="N21" i="59" s="1"/>
  <c r="N22" i="59" s="1"/>
  <c r="N23" i="59" s="1"/>
  <c r="N24" i="59" s="1"/>
  <c r="N25" i="59" s="1"/>
  <c r="L3" i="59"/>
  <c r="T10" i="59"/>
  <c r="K92" i="59"/>
  <c r="K88" i="59"/>
  <c r="K91" i="59" s="1"/>
  <c r="V87" i="59" s="1"/>
  <c r="BU4" i="4"/>
  <c r="BV4" i="4"/>
  <c r="BD3" i="4"/>
  <c r="S3" i="4"/>
  <c r="AJ3" i="4"/>
  <c r="R3" i="4"/>
  <c r="AC3" i="4"/>
  <c r="T3" i="4"/>
  <c r="BL3" i="4"/>
  <c r="BM3" i="4"/>
  <c r="AT3" i="4"/>
  <c r="AK3" i="4"/>
  <c r="AL3" i="4"/>
  <c r="AA3" i="4"/>
  <c r="AU3" i="4"/>
  <c r="BK3" i="4"/>
  <c r="AB3" i="4"/>
  <c r="BB3" i="4"/>
  <c r="BC3" i="4"/>
  <c r="AS3" i="4"/>
  <c r="L51" i="62" l="1"/>
  <c r="T58" i="62"/>
  <c r="T83" i="62" s="1"/>
  <c r="N35" i="59"/>
  <c r="N36" i="59" s="1"/>
  <c r="N37" i="59" s="1"/>
  <c r="N38" i="59" s="1"/>
  <c r="N39" i="59" s="1"/>
  <c r="N40" i="59" s="1"/>
  <c r="N41" i="59" s="1"/>
  <c r="T26" i="59"/>
  <c r="L19" i="59"/>
  <c r="BV3" i="4"/>
  <c r="BU3" i="4"/>
  <c r="AF3" i="4"/>
  <c r="AO3" i="4"/>
  <c r="U3" i="4"/>
  <c r="U4" i="4"/>
  <c r="V92" i="62" l="1"/>
  <c r="V88" i="62"/>
  <c r="V91" i="62" s="1"/>
  <c r="N51" i="59"/>
  <c r="N52" i="59" s="1"/>
  <c r="N53" i="59" s="1"/>
  <c r="N54" i="59" s="1"/>
  <c r="N55" i="59" s="1"/>
  <c r="N56" i="59" s="1"/>
  <c r="N57" i="59" s="1"/>
  <c r="L35" i="59"/>
  <c r="T42" i="59"/>
  <c r="N4" i="4"/>
  <c r="AD4" i="4"/>
  <c r="W3" i="4"/>
  <c r="BE4" i="4"/>
  <c r="AM3" i="4"/>
  <c r="AX3" i="4"/>
  <c r="AV3" i="4"/>
  <c r="AV4" i="4"/>
  <c r="N3" i="4"/>
  <c r="BE3" i="4"/>
  <c r="BG3" i="4"/>
  <c r="AM4" i="4"/>
  <c r="AD3" i="4"/>
  <c r="L51" i="59" l="1"/>
  <c r="T58" i="59"/>
  <c r="T83" i="59" s="1"/>
  <c r="BQ4" i="4"/>
  <c r="BQ3" i="4"/>
  <c r="V92" i="59" l="1"/>
  <c r="V88" i="59"/>
  <c r="V91" i="59" s="1"/>
  <c r="F9" i="19" l="1"/>
  <c r="M1" i="4" s="1"/>
  <c r="H3" i="4" l="1"/>
  <c r="M33" i="19" l="1"/>
  <c r="M28" i="19"/>
  <c r="M29" i="19" s="1"/>
  <c r="M30" i="19" s="1"/>
  <c r="N15" i="19"/>
  <c r="N19" i="19" s="1"/>
  <c r="N21" i="19" s="1"/>
  <c r="J14" i="19"/>
  <c r="L14" i="19" s="1"/>
  <c r="I14" i="19"/>
  <c r="K14" i="19" s="1"/>
  <c r="J13" i="19"/>
  <c r="L13" i="19" s="1"/>
  <c r="I13" i="19"/>
  <c r="K13" i="19" s="1"/>
  <c r="J12" i="19"/>
  <c r="L12" i="19" s="1"/>
  <c r="I12" i="19"/>
  <c r="K12" i="19" s="1"/>
  <c r="J11" i="19"/>
  <c r="L11" i="19" s="1"/>
  <c r="I11" i="19"/>
  <c r="K11" i="19" s="1"/>
  <c r="J10" i="19"/>
  <c r="L10" i="19" s="1"/>
  <c r="I10" i="19"/>
  <c r="K10" i="19" s="1"/>
  <c r="J9" i="19"/>
  <c r="L9" i="19" s="1"/>
  <c r="I9" i="19"/>
  <c r="K9" i="19" s="1"/>
  <c r="F10" i="19"/>
  <c r="J8" i="19"/>
  <c r="L8" i="19" s="1"/>
  <c r="I8" i="19"/>
  <c r="K8" i="19" s="1"/>
  <c r="J7" i="19"/>
  <c r="L7" i="19" s="1"/>
  <c r="I7" i="19"/>
  <c r="K7" i="19" s="1"/>
  <c r="J6" i="19"/>
  <c r="L6" i="19" s="1"/>
  <c r="I6" i="19"/>
  <c r="K6" i="19" s="1"/>
  <c r="J5" i="19"/>
  <c r="L5" i="19" s="1"/>
  <c r="I5" i="19"/>
  <c r="K5" i="19" s="1"/>
  <c r="J4" i="19"/>
  <c r="L4" i="19" s="1"/>
  <c r="I4" i="19"/>
  <c r="K4" i="19" s="1"/>
  <c r="L3" i="19"/>
  <c r="K3" i="19"/>
  <c r="J3" i="19"/>
  <c r="I3" i="19"/>
  <c r="I3" i="4" l="1"/>
  <c r="K76" i="59" s="1"/>
  <c r="I4" i="4"/>
  <c r="K76" i="62" s="1"/>
  <c r="F11" i="19"/>
  <c r="V1" i="4"/>
  <c r="V76" i="62" l="1"/>
  <c r="V77" i="62" s="1"/>
  <c r="K77" i="62"/>
  <c r="K78" i="62" s="1"/>
  <c r="V76" i="59"/>
  <c r="V77" i="59" s="1"/>
  <c r="K77" i="59"/>
  <c r="K78" i="59" s="1"/>
  <c r="F12" i="19"/>
  <c r="AE1" i="4"/>
  <c r="K79" i="62" l="1"/>
  <c r="K79" i="59"/>
  <c r="F13" i="19"/>
  <c r="AN1" i="4"/>
  <c r="E101" i="62" l="1"/>
  <c r="F101" i="62" s="1"/>
  <c r="P101" i="62"/>
  <c r="Q101" i="62" s="1"/>
  <c r="P101" i="59"/>
  <c r="Q101" i="59" s="1"/>
  <c r="E101" i="59"/>
  <c r="F101" i="59" s="1"/>
  <c r="F14" i="19"/>
  <c r="AW1" i="4"/>
  <c r="BF1" i="4" l="1"/>
  <c r="J3" i="4"/>
  <c r="BS3" i="4"/>
  <c r="BS4" i="4"/>
  <c r="H4" i="4" l="1"/>
  <c r="BN3" i="4"/>
  <c r="J4" i="4"/>
  <c r="BW4" i="4"/>
  <c r="BN4" i="4"/>
  <c r="BW3" i="4"/>
  <c r="BA3" i="4"/>
  <c r="AZ4" i="4"/>
  <c r="V3" i="4"/>
  <c r="AY3" i="4"/>
  <c r="BJ4" i="4"/>
  <c r="AP3" i="4"/>
  <c r="AE3" i="4"/>
  <c r="Z4" i="4"/>
  <c r="Q4" i="4"/>
  <c r="M4" i="4"/>
  <c r="M3" i="4"/>
  <c r="V4" i="4"/>
  <c r="AN3" i="4"/>
  <c r="Y3" i="4"/>
  <c r="AW4" i="4"/>
  <c r="AQ3" i="4"/>
  <c r="AR3" i="4"/>
  <c r="X4" i="4"/>
  <c r="P4" i="4"/>
  <c r="AW3" i="4"/>
  <c r="BI4" i="4"/>
  <c r="Z3" i="4"/>
  <c r="BF4" i="4"/>
  <c r="BH3" i="4"/>
  <c r="Q3" i="4"/>
  <c r="BA4" i="4"/>
  <c r="AY4" i="4"/>
  <c r="BJ3" i="4"/>
  <c r="O4" i="4"/>
  <c r="BI3" i="4"/>
  <c r="AE4" i="4"/>
  <c r="BF3" i="4"/>
  <c r="X3" i="4"/>
  <c r="AI4" i="4"/>
  <c r="AG4" i="4"/>
  <c r="AH3" i="4"/>
  <c r="AN4" i="4"/>
  <c r="AQ4" i="4"/>
  <c r="O3" i="4"/>
  <c r="AZ3" i="4"/>
  <c r="AR4" i="4"/>
  <c r="AI3" i="4"/>
  <c r="P3" i="4"/>
  <c r="Y4" i="4"/>
  <c r="BH4" i="4"/>
  <c r="AP4" i="4"/>
  <c r="AH4" i="4"/>
  <c r="AG3" i="4"/>
  <c r="BO4" i="4" l="1"/>
  <c r="BP4" i="4" s="1"/>
  <c r="BR4" i="4"/>
  <c r="BT4" i="4"/>
  <c r="BT3" i="4"/>
  <c r="BR3" i="4"/>
  <c r="BO3" i="4"/>
  <c r="BP3" i="4" s="1"/>
</calcChain>
</file>

<file path=xl/comments1.xml><?xml version="1.0" encoding="utf-8"?>
<comments xmlns="http://schemas.openxmlformats.org/spreadsheetml/2006/main">
  <authors>
    <author>VV</author>
    <author>VALERY</author>
  </authors>
  <commentList>
    <comment ref="K76" authorId="0" shapeId="0">
      <text>
        <r>
          <rPr>
            <sz val="9"/>
            <color indexed="81"/>
            <rFont val="Tahoma"/>
            <family val="2"/>
          </rPr>
          <t>= Récap colonne I</t>
        </r>
      </text>
    </comment>
    <comment ref="I82" authorId="1" shapeId="0">
      <text>
        <r>
          <rPr>
            <b/>
            <sz val="9"/>
            <color indexed="81"/>
            <rFont val="Tahoma"/>
            <family val="2"/>
          </rPr>
          <t>VALERY:</t>
        </r>
        <r>
          <rPr>
            <sz val="9"/>
            <color indexed="81"/>
            <rFont val="Tahoma"/>
            <family val="2"/>
          </rPr>
          <t xml:space="preserve">
Permet d'affiche ou non selon si 4 ou 5 semaines la banque d'heure</t>
        </r>
      </text>
    </comment>
    <comment ref="T82" authorId="1" shapeId="0">
      <text>
        <r>
          <rPr>
            <b/>
            <sz val="9"/>
            <color indexed="81"/>
            <rFont val="Tahoma"/>
            <family val="2"/>
          </rPr>
          <t>VALERY:</t>
        </r>
        <r>
          <rPr>
            <sz val="9"/>
            <color indexed="81"/>
            <rFont val="Tahoma"/>
            <family val="2"/>
          </rPr>
          <t xml:space="preserve">
Permet d'affiche ou non selon si 4 ou 5 semaines la banque d'heure</t>
        </r>
      </text>
    </comment>
    <comment ref="K89" authorId="1" shapeId="0">
      <text>
        <r>
          <rPr>
            <sz val="9"/>
            <color indexed="81"/>
            <rFont val="Tahoma"/>
            <family val="2"/>
          </rPr>
          <t>Heures payer sur la paie du mois majoré à 25% pour reduire la BH</t>
        </r>
      </text>
    </comment>
    <comment ref="V89" authorId="1" shapeId="0">
      <text>
        <r>
          <rPr>
            <sz val="9"/>
            <color indexed="81"/>
            <rFont val="Tahoma"/>
            <family val="2"/>
          </rPr>
          <t>Heures payer sur la paie du mois majoré à 25% pour reduire la BH</t>
        </r>
      </text>
    </comment>
    <comment ref="K91" authorId="0" shapeId="0">
      <text>
        <r>
          <rPr>
            <sz val="9"/>
            <color indexed="81"/>
            <rFont val="Tahoma"/>
            <family val="2"/>
          </rPr>
          <t>aquis + total du mois + repos compensatoire - heures payées à 25%</t>
        </r>
      </text>
    </comment>
    <comment ref="V91" authorId="0" shapeId="0">
      <text>
        <r>
          <rPr>
            <sz val="9"/>
            <color indexed="81"/>
            <rFont val="Tahoma"/>
            <family val="2"/>
          </rPr>
          <t>aquis + total du mois + repos compensatoire - heures payées à 25%</t>
        </r>
      </text>
    </comment>
  </commentList>
</comments>
</file>

<file path=xl/comments2.xml><?xml version="1.0" encoding="utf-8"?>
<comments xmlns="http://schemas.openxmlformats.org/spreadsheetml/2006/main">
  <authors>
    <author>VV</author>
    <author>VALERY</author>
  </authors>
  <commentList>
    <comment ref="K76" authorId="0" shapeId="0">
      <text>
        <r>
          <rPr>
            <sz val="9"/>
            <color indexed="81"/>
            <rFont val="Tahoma"/>
            <family val="2"/>
          </rPr>
          <t>= Récap colonne I</t>
        </r>
      </text>
    </comment>
    <comment ref="I82" authorId="1" shapeId="0">
      <text>
        <r>
          <rPr>
            <b/>
            <sz val="9"/>
            <color indexed="81"/>
            <rFont val="Tahoma"/>
            <family val="2"/>
          </rPr>
          <t>VALERY:</t>
        </r>
        <r>
          <rPr>
            <sz val="9"/>
            <color indexed="81"/>
            <rFont val="Tahoma"/>
            <family val="2"/>
          </rPr>
          <t xml:space="preserve">
Permet d'affiche ou non selon si 4 ou 5 semaines la banque d'heure</t>
        </r>
      </text>
    </comment>
    <comment ref="T82" authorId="1" shapeId="0">
      <text>
        <r>
          <rPr>
            <b/>
            <sz val="9"/>
            <color indexed="81"/>
            <rFont val="Tahoma"/>
            <family val="2"/>
          </rPr>
          <t>VALERY:</t>
        </r>
        <r>
          <rPr>
            <sz val="9"/>
            <color indexed="81"/>
            <rFont val="Tahoma"/>
            <family val="2"/>
          </rPr>
          <t xml:space="preserve">
Permet d'affiche ou non selon si 4 ou 5 semaines la banque d'heure</t>
        </r>
      </text>
    </comment>
    <comment ref="K89" authorId="1" shapeId="0">
      <text>
        <r>
          <rPr>
            <sz val="9"/>
            <color indexed="81"/>
            <rFont val="Tahoma"/>
            <family val="2"/>
          </rPr>
          <t>Heures payer sur la paie du mois majoré à 25% pour reduire la BH</t>
        </r>
      </text>
    </comment>
    <comment ref="V89" authorId="1" shapeId="0">
      <text>
        <r>
          <rPr>
            <sz val="9"/>
            <color indexed="81"/>
            <rFont val="Tahoma"/>
            <family val="2"/>
          </rPr>
          <t>Heures payer sur la paie du mois majoré à 25% pour reduire la BH</t>
        </r>
      </text>
    </comment>
    <comment ref="K91" authorId="0" shapeId="0">
      <text>
        <r>
          <rPr>
            <sz val="9"/>
            <color indexed="81"/>
            <rFont val="Tahoma"/>
            <family val="2"/>
          </rPr>
          <t>aquis + total du mois + repos compensatoire - heures payées à 25%</t>
        </r>
      </text>
    </comment>
    <comment ref="V91" authorId="0" shapeId="0">
      <text>
        <r>
          <rPr>
            <sz val="9"/>
            <color indexed="81"/>
            <rFont val="Tahoma"/>
            <family val="2"/>
          </rPr>
          <t>aquis + total du mois + repos compensatoire - heures payées à 25%</t>
        </r>
      </text>
    </comment>
  </commentList>
</comments>
</file>

<file path=xl/comments3.xml><?xml version="1.0" encoding="utf-8"?>
<comments xmlns="http://schemas.openxmlformats.org/spreadsheetml/2006/main">
  <authors>
    <author>VV</author>
  </authors>
  <commentList>
    <comment ref="J2" authorId="0" shapeId="0">
      <text>
        <r>
          <rPr>
            <sz val="11"/>
            <color indexed="81"/>
            <rFont val="Tahoma"/>
            <family val="2"/>
          </rPr>
          <t>A reporter dans le tableau de gestion des heures de l'années suivante "</t>
        </r>
        <r>
          <rPr>
            <i/>
            <sz val="11"/>
            <color indexed="81"/>
            <rFont val="Tahoma"/>
            <family val="2"/>
          </rPr>
          <t>colonne E</t>
        </r>
        <r>
          <rPr>
            <sz val="11"/>
            <color indexed="81"/>
            <rFont val="Tahoma"/>
            <family val="2"/>
          </rPr>
          <t>"</t>
        </r>
      </text>
    </comment>
    <comment ref="BS2" authorId="0" shapeId="0">
      <text>
        <r>
          <rPr>
            <sz val="9"/>
            <color indexed="81"/>
            <rFont val="Tahoma"/>
            <family val="2"/>
          </rPr>
          <t>A reporter dans le tableau de l'année suivante colonne 'B'</t>
        </r>
      </text>
    </comment>
    <comment ref="BW2" authorId="0" shapeId="0">
      <text>
        <r>
          <rPr>
            <sz val="9"/>
            <color indexed="81"/>
            <rFont val="Tahoma"/>
            <family val="2"/>
          </rPr>
          <t>A reporter dans le tableau de l'année suivante colonne 'C'</t>
        </r>
      </text>
    </comment>
  </commentList>
</comments>
</file>

<file path=xl/sharedStrings.xml><?xml version="1.0" encoding="utf-8"?>
<sst xmlns="http://schemas.openxmlformats.org/spreadsheetml/2006/main" count="811" uniqueCount="176">
  <si>
    <t>S</t>
  </si>
  <si>
    <t>J</t>
  </si>
  <si>
    <t>D</t>
  </si>
  <si>
    <t>TJ</t>
  </si>
  <si>
    <t>H</t>
  </si>
  <si>
    <t>HN</t>
  </si>
  <si>
    <t>P</t>
  </si>
  <si>
    <t>OBS</t>
  </si>
  <si>
    <t>L</t>
  </si>
  <si>
    <t>Ma</t>
  </si>
  <si>
    <t>Me</t>
  </si>
  <si>
    <t>V</t>
  </si>
  <si>
    <t>Type de journée</t>
  </si>
  <si>
    <t>Seuil heure sup 25%</t>
  </si>
  <si>
    <t>AM</t>
  </si>
  <si>
    <t>Arrêt Maladie</t>
  </si>
  <si>
    <t>AT</t>
  </si>
  <si>
    <t>Accident de Travail</t>
  </si>
  <si>
    <t>CE</t>
  </si>
  <si>
    <t>Congès Exceptionnel</t>
  </si>
  <si>
    <t>CP</t>
  </si>
  <si>
    <t>Congès Payer</t>
  </si>
  <si>
    <t>GR</t>
  </si>
  <si>
    <t>Grêve</t>
  </si>
  <si>
    <t>JF</t>
  </si>
  <si>
    <t>Jour Férier</t>
  </si>
  <si>
    <t>REC</t>
  </si>
  <si>
    <t>Récupération</t>
  </si>
  <si>
    <t>RH</t>
  </si>
  <si>
    <t>Repos Hebdomadaire</t>
  </si>
  <si>
    <t>X</t>
  </si>
  <si>
    <t>Jour Travaillé</t>
  </si>
  <si>
    <t>Total</t>
  </si>
  <si>
    <t>Heure Sup.</t>
  </si>
  <si>
    <t>Total Mois</t>
  </si>
  <si>
    <t>Total d'heure depuis 1er Janv.</t>
  </si>
  <si>
    <t>CP Pris</t>
  </si>
  <si>
    <t>CP restant</t>
  </si>
  <si>
    <t>A réaliser</t>
  </si>
  <si>
    <t>Heures Travaillées</t>
  </si>
  <si>
    <t>Heures de nuit</t>
  </si>
  <si>
    <t>Congès Payés</t>
  </si>
  <si>
    <t>Paniers</t>
  </si>
  <si>
    <t>Heures Supp.</t>
  </si>
  <si>
    <t>Explication</t>
  </si>
  <si>
    <t>Banque d'heure</t>
  </si>
  <si>
    <t>Banque H 4/5 S</t>
  </si>
  <si>
    <t>Total du mois</t>
  </si>
  <si>
    <t>Nouvelle aquis</t>
  </si>
  <si>
    <t>Heures payées à 25%</t>
  </si>
  <si>
    <t>Banque d'Heure</t>
  </si>
  <si>
    <t>Reste CP</t>
  </si>
  <si>
    <t>Agent</t>
  </si>
  <si>
    <t>CP au 1er Janvier</t>
  </si>
  <si>
    <t>Aquis</t>
  </si>
  <si>
    <t>CP aquis au 31 Déc.</t>
  </si>
  <si>
    <t>HS :</t>
  </si>
  <si>
    <t>Reste à travaillé sur :</t>
  </si>
  <si>
    <t>Total Année</t>
  </si>
  <si>
    <t>Tps Travail Partiel</t>
  </si>
  <si>
    <t>Moyenne mois</t>
  </si>
  <si>
    <t>Jour de l'an</t>
  </si>
  <si>
    <t>Ascension</t>
  </si>
  <si>
    <t>Assomption</t>
  </si>
  <si>
    <t>Toussaint</t>
  </si>
  <si>
    <t>Noël</t>
  </si>
  <si>
    <t>Jours</t>
  </si>
  <si>
    <t>Les samedis et dimanches correspondent à</t>
  </si>
  <si>
    <t>5 semaines de congés payés</t>
  </si>
  <si>
    <t>Le nombre d'heures réalisé par le salarié à l'année</t>
  </si>
  <si>
    <t>Nombre de jours fériés ne tombant pas un samedi ou dimanche en 2015</t>
  </si>
  <si>
    <r>
      <t xml:space="preserve">Temps de travail annuel avec </t>
    </r>
    <r>
      <rPr>
        <u/>
        <sz val="11"/>
        <color theme="1"/>
        <rFont val="Calibri"/>
        <family val="2"/>
        <scheme val="minor"/>
      </rPr>
      <t>8 jours fériés ne tombant pas un samedi ou dimanche</t>
    </r>
  </si>
  <si>
    <t>TT x contrat</t>
  </si>
  <si>
    <t>TT de l'agent</t>
  </si>
  <si>
    <t>Heure Annuelle</t>
  </si>
  <si>
    <t>Une année compte</t>
  </si>
  <si>
    <t>L'administration effectue un arrondi à</t>
  </si>
  <si>
    <t>On ajoute la journée de solidarité</t>
  </si>
  <si>
    <t>Durée légale annuelle</t>
  </si>
  <si>
    <t>Les jours fériés ne tombant pas un samedi ou dimanche (A)</t>
  </si>
  <si>
    <t>365-(104+A+25)=B</t>
  </si>
  <si>
    <t>B/5=C</t>
  </si>
  <si>
    <t>Sur un rythme de travail de 5 jours par semaine (C)</t>
  </si>
  <si>
    <t>Heures</t>
  </si>
  <si>
    <t>heurs</t>
  </si>
  <si>
    <t>heures</t>
  </si>
  <si>
    <t>Calcul du temps de Travail de référence</t>
  </si>
  <si>
    <t>HST</t>
  </si>
  <si>
    <t>Heure Semaine Théorique</t>
  </si>
  <si>
    <t>Gestion de la banque d'heure - voir synoptique Onglet Config</t>
  </si>
  <si>
    <t>Récap</t>
  </si>
  <si>
    <t>Accueil</t>
  </si>
  <si>
    <t>Année en cours</t>
  </si>
  <si>
    <t>Jours fériés</t>
  </si>
  <si>
    <t>Config</t>
  </si>
  <si>
    <t>Libellé</t>
  </si>
  <si>
    <t>Active</t>
  </si>
  <si>
    <t>Lundi de Pâques</t>
  </si>
  <si>
    <t>1er jour du calendrier</t>
  </si>
  <si>
    <t>Fête du travail</t>
  </si>
  <si>
    <t>ARMISTICE 1945</t>
  </si>
  <si>
    <t>Nombre de semaine</t>
  </si>
  <si>
    <t>Lundi de Pentecote</t>
  </si>
  <si>
    <t>Fête Nationale</t>
  </si>
  <si>
    <t>Total activé</t>
  </si>
  <si>
    <t>Service</t>
  </si>
  <si>
    <t>Poste</t>
  </si>
  <si>
    <t>Damage</t>
  </si>
  <si>
    <t>BH N-1</t>
  </si>
  <si>
    <t>Nouveau CP au 1er Juin</t>
  </si>
  <si>
    <t>Reste CP au 31 Déc</t>
  </si>
  <si>
    <t>Jour ancienneté</t>
  </si>
  <si>
    <t>Début de contrat</t>
  </si>
  <si>
    <t>Fin de contrat</t>
  </si>
  <si>
    <t>ARMISTICE 1918</t>
  </si>
  <si>
    <t>1er Jour du calendrier</t>
  </si>
  <si>
    <t>JFT</t>
  </si>
  <si>
    <t>Jour Férier Travaillé</t>
  </si>
  <si>
    <t>SS</t>
  </si>
  <si>
    <t>Sans Solde</t>
  </si>
  <si>
    <t>x</t>
  </si>
  <si>
    <t>Vide</t>
  </si>
  <si>
    <t>Liste des pages</t>
  </si>
  <si>
    <t>Impression</t>
  </si>
  <si>
    <t>Valeur de la casse à cocher pour la gestion du repos compensatoire</t>
  </si>
  <si>
    <t>BH :</t>
  </si>
  <si>
    <t>Congès Payés du mois</t>
  </si>
  <si>
    <t>Congès Payés restant</t>
  </si>
  <si>
    <t>CP en jour</t>
  </si>
  <si>
    <t>CP en heure</t>
  </si>
  <si>
    <t>JF en heure</t>
  </si>
  <si>
    <t>AM en jour</t>
  </si>
  <si>
    <t>AT en jour</t>
  </si>
  <si>
    <t>REC en jour</t>
  </si>
  <si>
    <t>CE en jour</t>
  </si>
  <si>
    <t>SS en jour</t>
  </si>
  <si>
    <t>Temps de travail de référence en 2016</t>
  </si>
  <si>
    <r>
      <t xml:space="preserve">Repos compensatoire </t>
    </r>
    <r>
      <rPr>
        <sz val="8"/>
        <rFont val="Calibri"/>
        <family val="2"/>
        <scheme val="minor"/>
      </rPr>
      <t>(20% des heures de nuit du mois)</t>
    </r>
  </si>
  <si>
    <r>
      <t xml:space="preserve">Heure de nuit exceptionnelle </t>
    </r>
    <r>
      <rPr>
        <sz val="8"/>
        <rFont val="Calibri"/>
        <family val="2"/>
        <scheme val="minor"/>
      </rPr>
      <t>(non assujettis au repos compensatoire)</t>
    </r>
  </si>
  <si>
    <t>Aquis période précédente</t>
  </si>
  <si>
    <t>CP aquis période précédente</t>
  </si>
  <si>
    <t>Services</t>
  </si>
  <si>
    <t>Caisses</t>
  </si>
  <si>
    <t>Adj. piste</t>
  </si>
  <si>
    <t>Adj. Secteur</t>
  </si>
  <si>
    <t>Maintenance</t>
  </si>
  <si>
    <t>Agent de vente</t>
  </si>
  <si>
    <t>Neige de culture</t>
  </si>
  <si>
    <t>Chauffeur</t>
  </si>
  <si>
    <t>Pistes</t>
  </si>
  <si>
    <t>Conducteur TK</t>
  </si>
  <si>
    <t>RM</t>
  </si>
  <si>
    <t>Conducteur TSF</t>
  </si>
  <si>
    <t>Conducteur TSD</t>
  </si>
  <si>
    <t>Contrôle</t>
  </si>
  <si>
    <t>Patinoire</t>
  </si>
  <si>
    <t>Pisteur</t>
  </si>
  <si>
    <t>Polyvalant</t>
  </si>
  <si>
    <t>Resp. piste</t>
  </si>
  <si>
    <t>Resp. damage</t>
  </si>
  <si>
    <t>Snowmaker</t>
  </si>
  <si>
    <t>Snowpark</t>
  </si>
  <si>
    <t>Technicien</t>
  </si>
  <si>
    <t xml:space="preserve">Vigie </t>
  </si>
  <si>
    <t>Vigie TSD</t>
  </si>
  <si>
    <t>Vigie TSF</t>
  </si>
  <si>
    <t>Total saison</t>
  </si>
  <si>
    <t>Gestion des heures - Saisonniers</t>
  </si>
  <si>
    <t>Service Caisses</t>
  </si>
  <si>
    <t>Service Damage</t>
  </si>
  <si>
    <t>Service Pistes</t>
  </si>
  <si>
    <t>Service RM</t>
  </si>
  <si>
    <t>Service Maintenance</t>
  </si>
  <si>
    <t>AAA</t>
  </si>
  <si>
    <t>BBB</t>
  </si>
  <si>
    <t>Impressions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</si>
</sst>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h:mm;@"/>
    <numFmt numFmtId="165" formatCode="dddd"/>
    <numFmt numFmtId="166" formatCode="dd/mm/yy;@"/>
    <numFmt numFmtId="167" formatCode="mmmm"/>
    <numFmt numFmtId="168" formatCode="mmmm&quot; &quot;yyyy"/>
    <numFmt numFmtId="169" formatCode="dd"/>
    <numFmt numFmtId="170" formatCode="&quot;€&quot;#,##0.00_);[Red]\(&quot;€&quot;#,##0.00\)"/>
    <numFmt numFmtId="171" formatCode="[$-F800]dddd\,\ mmmm\ dd\,\ yyyy"/>
    <numFmt numFmtId="172" formatCode="mmmm\-yyyy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2"/>
      <name val="Calibri"/>
      <family val="2"/>
      <scheme val="minor"/>
    </font>
    <font>
      <sz val="8"/>
      <color rgb="FF000000"/>
      <name val="Tahoma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36"/>
      <name val="Arial"/>
      <family val="2"/>
    </font>
    <font>
      <b/>
      <sz val="14"/>
      <color theme="0"/>
      <name val="Calibri"/>
      <family val="2"/>
      <scheme val="minor"/>
    </font>
    <font>
      <b/>
      <sz val="12"/>
      <name val="Arial"/>
      <family val="2"/>
    </font>
    <font>
      <sz val="11"/>
      <color indexed="81"/>
      <name val="Tahoma"/>
      <family val="2"/>
    </font>
    <font>
      <i/>
      <sz val="11"/>
      <color indexed="81"/>
      <name val="Tahoma"/>
      <family val="2"/>
    </font>
    <font>
      <b/>
      <sz val="28"/>
      <color theme="7"/>
      <name val="Calibri"/>
      <family val="2"/>
      <scheme val="minor"/>
    </font>
    <font>
      <sz val="10"/>
      <color theme="0" tint="-0.1499984740745262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9"/>
        <bgColor theme="9"/>
      </patternFill>
    </fill>
    <fill>
      <patternFill patternType="solid">
        <fgColor theme="8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1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theme="5" tint="-0.24994659260841701"/>
      </left>
      <right style="hair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hair">
        <color theme="5" tint="-0.24994659260841701"/>
      </right>
      <top style="hair">
        <color theme="5" tint="-0.24994659260841701"/>
      </top>
      <bottom style="medium">
        <color theme="5" tint="-0.24994659260841701"/>
      </bottom>
      <diagonal/>
    </border>
    <border>
      <left style="hair">
        <color theme="5" tint="-0.24994659260841701"/>
      </left>
      <right/>
      <top style="medium">
        <color theme="5" tint="-0.24994659260841701"/>
      </top>
      <bottom/>
      <diagonal/>
    </border>
    <border>
      <left style="hair">
        <color theme="5" tint="-0.24994659260841701"/>
      </left>
      <right/>
      <top/>
      <bottom style="medium">
        <color theme="5" tint="-0.24994659260841701"/>
      </bottom>
      <diagonal/>
    </border>
    <border>
      <left style="hair">
        <color theme="5" tint="-0.24994659260841701"/>
      </left>
      <right/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/>
      <top style="hair">
        <color theme="5" tint="-0.24994659260841701"/>
      </top>
      <bottom style="medium">
        <color theme="5" tint="-0.24994659260841701"/>
      </bottom>
      <diagonal/>
    </border>
    <border>
      <left style="medium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thin">
        <color indexed="64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medium">
        <color theme="9" tint="-0.24994659260841701"/>
      </bottom>
      <diagonal/>
    </border>
    <border>
      <left style="hair">
        <color theme="9" tint="-0.24994659260841701"/>
      </left>
      <right style="thin">
        <color indexed="64"/>
      </right>
      <top style="hair">
        <color theme="9" tint="-0.24994659260841701"/>
      </top>
      <bottom style="medium">
        <color theme="9" tint="-0.2499465926084170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theme="7"/>
      </left>
      <right style="thick">
        <color theme="7"/>
      </right>
      <top style="thick">
        <color theme="7"/>
      </top>
      <bottom style="hair">
        <color auto="1"/>
      </bottom>
      <diagonal/>
    </border>
    <border>
      <left style="thick">
        <color theme="7"/>
      </left>
      <right style="thick">
        <color theme="7"/>
      </right>
      <top style="hair">
        <color auto="1"/>
      </top>
      <bottom style="hair">
        <color auto="1"/>
      </bottom>
      <diagonal/>
    </border>
    <border>
      <left style="thick">
        <color theme="7"/>
      </left>
      <right style="thick">
        <color theme="7"/>
      </right>
      <top style="hair">
        <color auto="1"/>
      </top>
      <bottom style="thick">
        <color theme="7"/>
      </bottom>
      <diagonal/>
    </border>
    <border>
      <left/>
      <right style="medium">
        <color theme="9" tint="-0.24994659260841701"/>
      </right>
      <top style="medium">
        <color theme="5" tint="-0.24994659260841701"/>
      </top>
      <bottom/>
      <diagonal/>
    </border>
    <border>
      <left/>
      <right style="medium">
        <color theme="9" tint="-0.24994659260841701"/>
      </right>
      <top/>
      <bottom style="medium">
        <color theme="5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theme="7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7"/>
      </left>
      <right style="thin">
        <color indexed="64"/>
      </right>
      <top style="thick">
        <color theme="7"/>
      </top>
      <bottom style="thin">
        <color indexed="64"/>
      </bottom>
      <diagonal/>
    </border>
    <border>
      <left style="thin">
        <color indexed="64"/>
      </left>
      <right style="thick">
        <color theme="7"/>
      </right>
      <top style="thick">
        <color theme="7"/>
      </top>
      <bottom style="thin">
        <color indexed="64"/>
      </bottom>
      <diagonal/>
    </border>
    <border>
      <left style="thick">
        <color theme="7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ck">
        <color theme="7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hair">
        <color rgb="FFFF0000"/>
      </bottom>
      <diagonal/>
    </border>
    <border>
      <left style="medium">
        <color rgb="FFFF0000"/>
      </left>
      <right style="medium">
        <color rgb="FFFF0000"/>
      </right>
      <top style="hair">
        <color rgb="FFFF0000"/>
      </top>
      <bottom style="hair">
        <color rgb="FFFF0000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rgb="FFFF0000"/>
      </left>
      <right style="medium">
        <color rgb="FFFF0000"/>
      </right>
      <top style="hair">
        <color rgb="FFFF0000"/>
      </top>
      <bottom style="medium">
        <color rgb="FFFF0000"/>
      </bottom>
      <diagonal/>
    </border>
    <border>
      <left style="thick">
        <color theme="7"/>
      </left>
      <right style="thin">
        <color indexed="64"/>
      </right>
      <top style="thin">
        <color indexed="64"/>
      </top>
      <bottom style="thick">
        <color theme="7"/>
      </bottom>
      <diagonal/>
    </border>
    <border>
      <left style="thin">
        <color indexed="64"/>
      </left>
      <right style="thick">
        <color theme="7"/>
      </right>
      <top style="thin">
        <color indexed="64"/>
      </top>
      <bottom style="thick">
        <color theme="7"/>
      </bottom>
      <diagonal/>
    </border>
    <border>
      <left style="thick">
        <color theme="7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theme="1"/>
      </top>
      <bottom style="double">
        <color theme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hair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/>
      <diagonal/>
    </border>
    <border>
      <left/>
      <right style="medium">
        <color theme="5" tint="-0.24994659260841701"/>
      </right>
      <top/>
      <bottom style="medium">
        <color theme="5" tint="-0.24994659260841701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 style="hair">
        <color theme="5" tint="-0.24994659260841701"/>
      </top>
      <bottom style="medium">
        <color theme="5" tint="-0.24994659260841701"/>
      </bottom>
      <diagonal/>
    </border>
    <border>
      <left style="medium">
        <color theme="9" tint="-0.24994659260841701"/>
      </left>
      <right/>
      <top style="thin">
        <color auto="1"/>
      </top>
      <bottom style="hair">
        <color theme="9" tint="-0.24994659260841701"/>
      </bottom>
      <diagonal/>
    </border>
    <border>
      <left/>
      <right style="thin">
        <color indexed="64"/>
      </right>
      <top style="thin">
        <color auto="1"/>
      </top>
      <bottom style="hair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medium">
        <color theme="7"/>
      </left>
      <right style="hair">
        <color theme="7"/>
      </right>
      <top style="medium">
        <color theme="7"/>
      </top>
      <bottom/>
      <diagonal/>
    </border>
    <border>
      <left style="hair">
        <color theme="7"/>
      </left>
      <right style="hair">
        <color theme="7"/>
      </right>
      <top style="medium">
        <color theme="7"/>
      </top>
      <bottom/>
      <diagonal/>
    </border>
    <border>
      <left style="hair">
        <color theme="7"/>
      </left>
      <right style="medium">
        <color theme="7"/>
      </right>
      <top style="medium">
        <color theme="7"/>
      </top>
      <bottom/>
      <diagonal/>
    </border>
    <border>
      <left style="medium">
        <color theme="7"/>
      </left>
      <right style="hair">
        <color theme="7"/>
      </right>
      <top/>
      <bottom style="medium">
        <color theme="7"/>
      </bottom>
      <diagonal/>
    </border>
    <border>
      <left style="hair">
        <color theme="7"/>
      </left>
      <right style="hair">
        <color theme="7"/>
      </right>
      <top/>
      <bottom style="medium">
        <color theme="7"/>
      </bottom>
      <diagonal/>
    </border>
    <border>
      <left style="hair">
        <color theme="7"/>
      </left>
      <right style="medium">
        <color theme="7"/>
      </right>
      <top/>
      <bottom style="medium">
        <color theme="7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ck">
        <color theme="7"/>
      </bottom>
      <diagonal/>
    </border>
    <border>
      <left style="thick">
        <color theme="7"/>
      </left>
      <right style="thick">
        <color theme="7"/>
      </right>
      <top style="thick">
        <color theme="7"/>
      </top>
      <bottom/>
      <diagonal/>
    </border>
    <border>
      <left style="thick">
        <color theme="7"/>
      </left>
      <right style="thick">
        <color theme="7"/>
      </right>
      <top/>
      <bottom/>
      <diagonal/>
    </border>
  </borders>
  <cellStyleXfs count="8">
    <xf numFmtId="0" fontId="0" fillId="0" borderId="0"/>
    <xf numFmtId="0" fontId="9" fillId="0" borderId="0"/>
    <xf numFmtId="0" fontId="11" fillId="0" borderId="0"/>
    <xf numFmtId="0" fontId="19" fillId="0" borderId="0" applyNumberFormat="0" applyFill="0" applyBorder="0" applyAlignment="0" applyProtection="0"/>
    <xf numFmtId="0" fontId="8" fillId="0" borderId="0"/>
    <xf numFmtId="0" fontId="30" fillId="14" borderId="0" applyNumberFormat="0" applyBorder="0" applyAlignment="0" applyProtection="0"/>
    <xf numFmtId="0" fontId="4" fillId="0" borderId="0"/>
    <xf numFmtId="0" fontId="1" fillId="0" borderId="0"/>
  </cellStyleXfs>
  <cellXfs count="403">
    <xf numFmtId="0" fontId="0" fillId="0" borderId="0" xfId="0"/>
    <xf numFmtId="0" fontId="14" fillId="0" borderId="0" xfId="1" applyFont="1" applyAlignment="1" applyProtection="1">
      <alignment horizontal="center" vertical="center" wrapText="1"/>
    </xf>
    <xf numFmtId="0" fontId="14" fillId="0" borderId="0" xfId="1" applyFont="1" applyAlignment="1" applyProtection="1">
      <alignment vertical="center"/>
    </xf>
    <xf numFmtId="0" fontId="9" fillId="0" borderId="0" xfId="1" applyProtection="1"/>
    <xf numFmtId="0" fontId="9" fillId="0" borderId="0" xfId="1" applyAlignment="1" applyProtection="1">
      <alignment horizontal="center" vertical="center"/>
    </xf>
    <xf numFmtId="0" fontId="11" fillId="0" borderId="0" xfId="2" applyBorder="1" applyAlignment="1">
      <alignment vertical="center"/>
    </xf>
    <xf numFmtId="0" fontId="11" fillId="0" borderId="0" xfId="2" applyAlignment="1">
      <alignment horizontal="center" vertical="center"/>
    </xf>
    <xf numFmtId="0" fontId="16" fillId="8" borderId="47" xfId="4" applyFont="1" applyFill="1" applyBorder="1" applyAlignment="1">
      <alignment horizontal="center" vertical="center"/>
    </xf>
    <xf numFmtId="0" fontId="16" fillId="8" borderId="48" xfId="4" applyFont="1" applyFill="1" applyBorder="1" applyAlignment="1">
      <alignment horizontal="center" vertical="center"/>
    </xf>
    <xf numFmtId="0" fontId="17" fillId="7" borderId="40" xfId="4" applyFont="1" applyFill="1" applyBorder="1" applyAlignment="1">
      <alignment horizontal="center" vertical="center"/>
    </xf>
    <xf numFmtId="0" fontId="8" fillId="7" borderId="41" xfId="4" applyFill="1" applyBorder="1" applyAlignment="1">
      <alignment horizontal="center" vertical="center"/>
    </xf>
    <xf numFmtId="0" fontId="8" fillId="7" borderId="51" xfId="4" applyFill="1" applyBorder="1" applyAlignment="1">
      <alignment vertical="center"/>
    </xf>
    <xf numFmtId="0" fontId="16" fillId="8" borderId="52" xfId="2" applyFont="1" applyFill="1" applyBorder="1" applyAlignment="1">
      <alignment horizontal="center" vertical="center"/>
    </xf>
    <xf numFmtId="0" fontId="16" fillId="8" borderId="0" xfId="2" applyFont="1" applyFill="1" applyBorder="1" applyAlignment="1">
      <alignment horizontal="center" vertical="center"/>
    </xf>
    <xf numFmtId="0" fontId="16" fillId="8" borderId="1" xfId="2" applyFont="1" applyFill="1" applyBorder="1" applyAlignment="1">
      <alignment horizontal="center" vertical="center"/>
    </xf>
    <xf numFmtId="0" fontId="16" fillId="8" borderId="19" xfId="2" applyFont="1" applyFill="1" applyBorder="1" applyAlignment="1">
      <alignment horizontal="center" vertical="center"/>
    </xf>
    <xf numFmtId="0" fontId="22" fillId="8" borderId="53" xfId="2" applyFont="1" applyFill="1" applyBorder="1" applyAlignment="1">
      <alignment horizontal="center" vertical="center"/>
    </xf>
    <xf numFmtId="0" fontId="23" fillId="0" borderId="54" xfId="3" applyFont="1" applyFill="1" applyBorder="1" applyAlignment="1">
      <alignment horizontal="left" vertical="center"/>
    </xf>
    <xf numFmtId="0" fontId="8" fillId="7" borderId="42" xfId="4" applyFill="1" applyBorder="1" applyAlignment="1">
      <alignment horizontal="center" vertical="center"/>
    </xf>
    <xf numFmtId="0" fontId="8" fillId="7" borderId="55" xfId="4" applyFill="1" applyBorder="1" applyAlignment="1">
      <alignment vertical="center"/>
    </xf>
    <xf numFmtId="14" fontId="11" fillId="7" borderId="56" xfId="2" applyNumberFormat="1" applyFill="1" applyBorder="1" applyAlignment="1">
      <alignment horizontal="center" vertical="center"/>
    </xf>
    <xf numFmtId="14" fontId="11" fillId="7" borderId="57" xfId="2" applyNumberFormat="1" applyFill="1" applyBorder="1" applyAlignment="1">
      <alignment horizontal="center" vertical="center"/>
    </xf>
    <xf numFmtId="0" fontId="24" fillId="7" borderId="53" xfId="2" applyFont="1" applyFill="1" applyBorder="1" applyAlignment="1" applyProtection="1">
      <alignment horizontal="center" vertical="center"/>
      <protection locked="0"/>
    </xf>
    <xf numFmtId="0" fontId="11" fillId="0" borderId="0" xfId="2" applyNumberFormat="1" applyAlignment="1">
      <alignment horizontal="center" vertical="center"/>
    </xf>
    <xf numFmtId="0" fontId="23" fillId="0" borderId="0" xfId="3" applyFont="1" applyFill="1" applyBorder="1" applyAlignment="1">
      <alignment horizontal="left" vertical="center"/>
    </xf>
    <xf numFmtId="14" fontId="11" fillId="7" borderId="58" xfId="2" applyNumberFormat="1" applyFill="1" applyBorder="1" applyAlignment="1">
      <alignment horizontal="center" vertical="center"/>
    </xf>
    <xf numFmtId="14" fontId="11" fillId="7" borderId="60" xfId="2" applyNumberFormat="1" applyFill="1" applyBorder="1" applyAlignment="1">
      <alignment horizontal="center" vertical="center"/>
    </xf>
    <xf numFmtId="0" fontId="23" fillId="0" borderId="0" xfId="3" applyNumberFormat="1" applyFont="1" applyFill="1" applyBorder="1" applyAlignment="1">
      <alignment horizontal="left" vertical="center"/>
    </xf>
    <xf numFmtId="0" fontId="8" fillId="7" borderId="43" xfId="4" applyFill="1" applyBorder="1" applyAlignment="1">
      <alignment horizontal="center" vertical="center"/>
    </xf>
    <xf numFmtId="0" fontId="8" fillId="7" borderId="63" xfId="4" applyFill="1" applyBorder="1" applyAlignment="1">
      <alignment vertical="center"/>
    </xf>
    <xf numFmtId="14" fontId="11" fillId="7" borderId="65" xfId="2" applyNumberFormat="1" applyFill="1" applyBorder="1" applyAlignment="1">
      <alignment horizontal="center" vertical="center"/>
    </xf>
    <xf numFmtId="14" fontId="11" fillId="7" borderId="66" xfId="2" applyNumberFormat="1" applyFill="1" applyBorder="1" applyAlignment="1">
      <alignment horizontal="center" vertical="center"/>
    </xf>
    <xf numFmtId="0" fontId="24" fillId="7" borderId="70" xfId="2" applyFont="1" applyFill="1" applyBorder="1" applyAlignment="1" applyProtection="1">
      <alignment horizontal="center" vertical="center"/>
      <protection locked="0"/>
    </xf>
    <xf numFmtId="0" fontId="8" fillId="0" borderId="0" xfId="4" applyAlignment="1">
      <alignment vertical="center"/>
    </xf>
    <xf numFmtId="0" fontId="25" fillId="0" borderId="0" xfId="2" applyFont="1" applyFill="1" applyBorder="1" applyAlignment="1" applyProtection="1">
      <alignment horizontal="left" vertical="center"/>
    </xf>
    <xf numFmtId="0" fontId="25" fillId="0" borderId="0" xfId="2" applyFont="1" applyAlignment="1" applyProtection="1">
      <alignment horizontal="left" vertical="center"/>
    </xf>
    <xf numFmtId="0" fontId="25" fillId="0" borderId="0" xfId="2" applyFont="1" applyAlignment="1" applyProtection="1">
      <alignment vertical="center"/>
    </xf>
    <xf numFmtId="0" fontId="13" fillId="0" borderId="0" xfId="4" applyFont="1" applyFill="1" applyBorder="1" applyAlignment="1" applyProtection="1">
      <alignment horizontal="center" vertical="center" wrapText="1"/>
    </xf>
    <xf numFmtId="0" fontId="13" fillId="0" borderId="0" xfId="4" applyFont="1" applyFill="1" applyAlignment="1" applyProtection="1">
      <alignment horizontal="left" vertical="center"/>
    </xf>
    <xf numFmtId="0" fontId="8" fillId="0" borderId="0" xfId="4" applyFont="1" applyAlignment="1" applyProtection="1">
      <alignment horizontal="left" vertical="center"/>
    </xf>
    <xf numFmtId="0" fontId="13" fillId="0" borderId="0" xfId="1" applyFont="1" applyFill="1" applyBorder="1" applyAlignment="1" applyProtection="1">
      <alignment horizontal="center" vertical="top" wrapText="1"/>
    </xf>
    <xf numFmtId="0" fontId="13" fillId="0" borderId="0" xfId="1" applyFont="1" applyFill="1" applyBorder="1" applyAlignment="1" applyProtection="1">
      <alignment horizontal="center" vertical="center" wrapText="1"/>
    </xf>
    <xf numFmtId="0" fontId="14" fillId="0" borderId="0" xfId="1" applyFont="1" applyFill="1" applyBorder="1" applyAlignment="1" applyProtection="1">
      <alignment horizontal="center" vertical="center"/>
    </xf>
    <xf numFmtId="0" fontId="13" fillId="0" borderId="0" xfId="1" applyFont="1" applyFill="1" applyAlignment="1" applyProtection="1">
      <alignment horizontal="center" vertical="center" wrapText="1"/>
    </xf>
    <xf numFmtId="14" fontId="14" fillId="0" borderId="0" xfId="1" applyNumberFormat="1" applyFont="1" applyFill="1" applyAlignment="1" applyProtection="1">
      <alignment horizontal="center" vertical="center"/>
    </xf>
    <xf numFmtId="0" fontId="14" fillId="0" borderId="0" xfId="1" applyNumberFormat="1" applyFont="1" applyFill="1" applyBorder="1" applyAlignment="1">
      <alignment horizontal="center" vertical="center"/>
    </xf>
    <xf numFmtId="0" fontId="13" fillId="0" borderId="0" xfId="1" applyFont="1" applyFill="1" applyBorder="1" applyAlignment="1" applyProtection="1">
      <alignment horizontal="center" vertical="center"/>
    </xf>
    <xf numFmtId="0" fontId="25" fillId="0" borderId="0" xfId="0" applyFont="1" applyProtection="1"/>
    <xf numFmtId="0" fontId="25" fillId="0" borderId="0" xfId="0" applyFont="1" applyAlignment="1" applyProtection="1">
      <alignment vertical="center"/>
    </xf>
    <xf numFmtId="0" fontId="11" fillId="0" borderId="0" xfId="2" applyAlignment="1">
      <alignment vertical="center"/>
    </xf>
    <xf numFmtId="0" fontId="16" fillId="8" borderId="1" xfId="4" applyFont="1" applyFill="1" applyBorder="1" applyAlignment="1">
      <alignment vertical="center"/>
    </xf>
    <xf numFmtId="0" fontId="16" fillId="8" borderId="14" xfId="4" applyFont="1" applyFill="1" applyBorder="1" applyAlignment="1">
      <alignment vertical="center"/>
    </xf>
    <xf numFmtId="166" fontId="17" fillId="7" borderId="40" xfId="4" applyNumberFormat="1" applyFont="1" applyFill="1" applyBorder="1" applyAlignment="1">
      <alignment horizontal="center" vertical="center"/>
    </xf>
    <xf numFmtId="0" fontId="8" fillId="0" borderId="0" xfId="4" applyFont="1" applyAlignment="1">
      <alignment vertical="center"/>
    </xf>
    <xf numFmtId="9" fontId="8" fillId="0" borderId="0" xfId="4" applyNumberFormat="1" applyAlignment="1">
      <alignment vertical="center"/>
    </xf>
    <xf numFmtId="0" fontId="17" fillId="7" borderId="61" xfId="4" applyFont="1" applyFill="1" applyBorder="1" applyAlignment="1" applyProtection="1">
      <alignment horizontal="center" vertical="center"/>
      <protection locked="0"/>
    </xf>
    <xf numFmtId="0" fontId="17" fillId="7" borderId="62" xfId="4" applyFont="1" applyFill="1" applyBorder="1" applyAlignment="1" applyProtection="1">
      <alignment horizontal="center" vertical="center"/>
      <protection locked="0"/>
    </xf>
    <xf numFmtId="0" fontId="25" fillId="0" borderId="0" xfId="2" applyFont="1" applyFill="1" applyBorder="1" applyAlignment="1" applyProtection="1">
      <alignment vertical="center"/>
    </xf>
    <xf numFmtId="0" fontId="17" fillId="7" borderId="64" xfId="4" applyFont="1" applyFill="1" applyBorder="1" applyAlignment="1" applyProtection="1">
      <alignment horizontal="center" vertical="center"/>
      <protection locked="0"/>
    </xf>
    <xf numFmtId="0" fontId="25" fillId="0" borderId="0" xfId="2" applyFont="1" applyBorder="1" applyAlignment="1" applyProtection="1">
      <alignment vertical="center"/>
    </xf>
    <xf numFmtId="0" fontId="8" fillId="0" borderId="3" xfId="4" applyFont="1" applyBorder="1" applyAlignment="1">
      <alignment vertical="center"/>
    </xf>
    <xf numFmtId="0" fontId="8" fillId="0" borderId="10" xfId="4" applyFont="1" applyBorder="1" applyAlignment="1">
      <alignment vertical="center"/>
    </xf>
    <xf numFmtId="0" fontId="8" fillId="0" borderId="5" xfId="4" applyFont="1" applyBorder="1" applyAlignment="1">
      <alignment vertical="center"/>
    </xf>
    <xf numFmtId="0" fontId="8" fillId="0" borderId="6" xfId="4" applyFont="1" applyBorder="1" applyAlignment="1">
      <alignment vertical="center"/>
    </xf>
    <xf numFmtId="0" fontId="8" fillId="0" borderId="5" xfId="4" applyBorder="1" applyAlignment="1">
      <alignment vertical="center"/>
    </xf>
    <xf numFmtId="0" fontId="8" fillId="0" borderId="8" xfId="4" applyFont="1" applyBorder="1" applyAlignment="1">
      <alignment vertical="center"/>
    </xf>
    <xf numFmtId="0" fontId="8" fillId="0" borderId="11" xfId="4" applyFont="1" applyBorder="1" applyAlignment="1">
      <alignment vertical="center"/>
    </xf>
    <xf numFmtId="0" fontId="8" fillId="7" borderId="74" xfId="4" applyFont="1" applyFill="1" applyBorder="1" applyAlignment="1">
      <alignment vertical="center"/>
    </xf>
    <xf numFmtId="0" fontId="8" fillId="7" borderId="75" xfId="4" applyFill="1" applyBorder="1" applyAlignment="1">
      <alignment horizontal="center" vertical="center"/>
    </xf>
    <xf numFmtId="165" fontId="11" fillId="7" borderId="58" xfId="2" applyNumberFormat="1" applyFill="1" applyBorder="1" applyAlignment="1">
      <alignment horizontal="left" vertical="center"/>
    </xf>
    <xf numFmtId="165" fontId="11" fillId="7" borderId="1" xfId="2" applyNumberFormat="1" applyFill="1" applyBorder="1" applyAlignment="1">
      <alignment horizontal="left" vertical="center"/>
    </xf>
    <xf numFmtId="0" fontId="11" fillId="7" borderId="59" xfId="2" applyFont="1" applyFill="1" applyBorder="1" applyAlignment="1">
      <alignment horizontal="left" vertical="center"/>
    </xf>
    <xf numFmtId="165" fontId="11" fillId="7" borderId="67" xfId="2" applyNumberFormat="1" applyFill="1" applyBorder="1" applyAlignment="1">
      <alignment horizontal="left" vertical="center"/>
    </xf>
    <xf numFmtId="165" fontId="11" fillId="7" borderId="68" xfId="2" applyNumberFormat="1" applyFill="1" applyBorder="1" applyAlignment="1">
      <alignment horizontal="left" vertical="center"/>
    </xf>
    <xf numFmtId="0" fontId="11" fillId="7" borderId="69" xfId="2" applyFont="1" applyFill="1" applyBorder="1" applyAlignment="1">
      <alignment horizontal="left" vertical="center"/>
    </xf>
    <xf numFmtId="167" fontId="8" fillId="7" borderId="76" xfId="4" applyNumberFormat="1" applyFont="1" applyFill="1" applyBorder="1" applyAlignment="1">
      <alignment horizontal="left" vertical="center"/>
    </xf>
    <xf numFmtId="167" fontId="8" fillId="7" borderId="77" xfId="4" applyNumberFormat="1" applyFont="1" applyFill="1" applyBorder="1" applyAlignment="1">
      <alignment horizontal="left" vertical="center"/>
    </xf>
    <xf numFmtId="167" fontId="8" fillId="7" borderId="78" xfId="4" applyNumberFormat="1" applyFont="1" applyFill="1" applyBorder="1" applyAlignment="1">
      <alignment horizontal="left" vertical="center"/>
    </xf>
    <xf numFmtId="0" fontId="16" fillId="8" borderId="1" xfId="4" applyFont="1" applyFill="1" applyBorder="1" applyAlignment="1">
      <alignment horizontal="left" vertical="center"/>
    </xf>
    <xf numFmtId="0" fontId="8" fillId="7" borderId="79" xfId="4" applyFill="1" applyBorder="1" applyAlignment="1">
      <alignment vertical="center"/>
    </xf>
    <xf numFmtId="0" fontId="8" fillId="7" borderId="74" xfId="4" applyFill="1" applyBorder="1" applyAlignment="1">
      <alignment horizontal="center" vertical="center"/>
    </xf>
    <xf numFmtId="49" fontId="28" fillId="6" borderId="22" xfId="2" applyNumberFormat="1" applyFont="1" applyFill="1" applyBorder="1" applyAlignment="1" applyProtection="1">
      <alignment vertical="center"/>
    </xf>
    <xf numFmtId="0" fontId="23" fillId="3" borderId="1" xfId="2" applyFont="1" applyFill="1" applyBorder="1" applyAlignment="1" applyProtection="1">
      <alignment horizontal="center" vertical="center"/>
    </xf>
    <xf numFmtId="0" fontId="23" fillId="3" borderId="16" xfId="2" applyFont="1" applyFill="1" applyBorder="1" applyAlignment="1" applyProtection="1">
      <alignment horizontal="center" vertical="center"/>
    </xf>
    <xf numFmtId="0" fontId="25" fillId="0" borderId="2" xfId="2" applyFont="1" applyBorder="1" applyAlignment="1" applyProtection="1">
      <alignment horizontal="center" vertical="center"/>
    </xf>
    <xf numFmtId="169" fontId="25" fillId="0" borderId="10" xfId="2" applyNumberFormat="1" applyFont="1" applyBorder="1" applyAlignment="1" applyProtection="1">
      <alignment horizontal="center" vertical="center"/>
    </xf>
    <xf numFmtId="0" fontId="25" fillId="0" borderId="2" xfId="2" applyFont="1" applyBorder="1" applyAlignment="1" applyProtection="1">
      <alignment horizontal="center" vertical="center"/>
      <protection locked="0"/>
    </xf>
    <xf numFmtId="0" fontId="25" fillId="0" borderId="4" xfId="2" applyFont="1" applyBorder="1" applyAlignment="1" applyProtection="1">
      <alignment horizontal="center" vertical="center"/>
    </xf>
    <xf numFmtId="169" fontId="25" fillId="0" borderId="6" xfId="2" applyNumberFormat="1" applyFont="1" applyBorder="1" applyAlignment="1" applyProtection="1">
      <alignment horizontal="center" vertical="center"/>
    </xf>
    <xf numFmtId="0" fontId="25" fillId="0" borderId="4" xfId="2" applyFont="1" applyBorder="1" applyAlignment="1" applyProtection="1">
      <alignment horizontal="center" vertical="center"/>
      <protection locked="0"/>
    </xf>
    <xf numFmtId="0" fontId="25" fillId="3" borderId="4" xfId="2" applyFont="1" applyFill="1" applyBorder="1" applyAlignment="1" applyProtection="1">
      <alignment horizontal="center" vertical="center"/>
    </xf>
    <xf numFmtId="169" fontId="25" fillId="3" borderId="6" xfId="2" applyNumberFormat="1" applyFont="1" applyFill="1" applyBorder="1" applyAlignment="1" applyProtection="1">
      <alignment horizontal="center" vertical="center"/>
    </xf>
    <xf numFmtId="0" fontId="25" fillId="3" borderId="4" xfId="2" applyFont="1" applyFill="1" applyBorder="1" applyAlignment="1" applyProtection="1">
      <alignment horizontal="center" vertical="center"/>
      <protection locked="0"/>
    </xf>
    <xf numFmtId="0" fontId="25" fillId="3" borderId="7" xfId="2" applyFont="1" applyFill="1" applyBorder="1" applyAlignment="1" applyProtection="1">
      <alignment horizontal="center" vertical="center"/>
    </xf>
    <xf numFmtId="169" fontId="25" fillId="3" borderId="11" xfId="2" applyNumberFormat="1" applyFont="1" applyFill="1" applyBorder="1" applyAlignment="1" applyProtection="1">
      <alignment horizontal="center" vertical="center"/>
    </xf>
    <xf numFmtId="0" fontId="25" fillId="3" borderId="7" xfId="2" applyFont="1" applyFill="1" applyBorder="1" applyAlignment="1" applyProtection="1">
      <alignment horizontal="center" vertical="center"/>
      <protection locked="0"/>
    </xf>
    <xf numFmtId="0" fontId="25" fillId="4" borderId="13" xfId="2" applyFont="1" applyFill="1" applyBorder="1" applyAlignment="1" applyProtection="1">
      <alignment horizontal="center" vertical="center"/>
    </xf>
    <xf numFmtId="0" fontId="25" fillId="4" borderId="1" xfId="2" applyFont="1" applyFill="1" applyBorder="1" applyAlignment="1" applyProtection="1">
      <alignment horizontal="center" vertical="center"/>
    </xf>
    <xf numFmtId="0" fontId="25" fillId="4" borderId="9" xfId="2" applyFont="1" applyFill="1" applyBorder="1" applyAlignment="1" applyProtection="1">
      <alignment horizontal="center" vertical="center"/>
    </xf>
    <xf numFmtId="0" fontId="29" fillId="4" borderId="1" xfId="2" applyFont="1" applyFill="1" applyBorder="1" applyAlignment="1" applyProtection="1">
      <alignment horizontal="center" vertical="center"/>
    </xf>
    <xf numFmtId="0" fontId="29" fillId="0" borderId="0" xfId="2" applyFont="1" applyBorder="1" applyAlignment="1" applyProtection="1">
      <alignment horizontal="center" vertical="center"/>
    </xf>
    <xf numFmtId="0" fontId="29" fillId="0" borderId="0" xfId="2" applyFont="1" applyBorder="1" applyAlignment="1" applyProtection="1">
      <alignment vertical="center"/>
    </xf>
    <xf numFmtId="0" fontId="29" fillId="0" borderId="15" xfId="2" applyFont="1" applyBorder="1" applyAlignment="1" applyProtection="1">
      <alignment vertical="center"/>
    </xf>
    <xf numFmtId="0" fontId="29" fillId="0" borderId="0" xfId="2" applyFont="1" applyAlignment="1" applyProtection="1">
      <alignment horizontal="center" vertical="center"/>
    </xf>
    <xf numFmtId="0" fontId="29" fillId="9" borderId="30" xfId="2" applyFont="1" applyFill="1" applyBorder="1" applyAlignment="1" applyProtection="1">
      <alignment horizontal="center" vertical="center"/>
    </xf>
    <xf numFmtId="0" fontId="29" fillId="7" borderId="0" xfId="2" applyNumberFormat="1" applyFont="1" applyFill="1" applyBorder="1" applyAlignment="1" applyProtection="1">
      <alignment horizontal="left" vertical="center"/>
    </xf>
    <xf numFmtId="0" fontId="29" fillId="0" borderId="0" xfId="2" applyNumberFormat="1" applyFont="1" applyBorder="1" applyAlignment="1" applyProtection="1">
      <alignment horizontal="left" vertical="center"/>
    </xf>
    <xf numFmtId="169" fontId="29" fillId="9" borderId="30" xfId="0" applyNumberFormat="1" applyFont="1" applyFill="1" applyBorder="1" applyAlignment="1" applyProtection="1">
      <alignment horizontal="center"/>
    </xf>
    <xf numFmtId="164" fontId="29" fillId="0" borderId="15" xfId="2" applyNumberFormat="1" applyFont="1" applyBorder="1" applyAlignment="1" applyProtection="1">
      <alignment vertical="center"/>
    </xf>
    <xf numFmtId="0" fontId="29" fillId="9" borderId="31" xfId="2" applyNumberFormat="1" applyFont="1" applyFill="1" applyBorder="1" applyAlignment="1" applyProtection="1">
      <alignment horizontal="center" vertical="center"/>
    </xf>
    <xf numFmtId="14" fontId="29" fillId="0" borderId="0" xfId="2" applyNumberFormat="1" applyFont="1" applyBorder="1" applyAlignment="1" applyProtection="1">
      <alignment horizontal="center" vertical="center"/>
    </xf>
    <xf numFmtId="170" fontId="29" fillId="0" borderId="0" xfId="2" applyNumberFormat="1" applyFont="1" applyFill="1" applyBorder="1" applyAlignment="1" applyProtection="1">
      <alignment horizontal="center" vertical="center"/>
    </xf>
    <xf numFmtId="0" fontId="29" fillId="0" borderId="0" xfId="2" applyFont="1" applyFill="1" applyBorder="1" applyAlignment="1" applyProtection="1">
      <alignment horizontal="center" vertical="center"/>
    </xf>
    <xf numFmtId="0" fontId="25" fillId="0" borderId="5" xfId="2" applyFont="1" applyBorder="1" applyAlignment="1" applyProtection="1">
      <alignment horizontal="center" vertical="center"/>
      <protection locked="0"/>
    </xf>
    <xf numFmtId="0" fontId="25" fillId="3" borderId="8" xfId="2" applyFont="1" applyFill="1" applyBorder="1" applyAlignment="1" applyProtection="1">
      <alignment horizontal="center" vertical="center"/>
      <protection locked="0"/>
    </xf>
    <xf numFmtId="0" fontId="25" fillId="0" borderId="3" xfId="2" applyFont="1" applyBorder="1" applyAlignment="1" applyProtection="1">
      <alignment horizontal="center" vertical="center"/>
      <protection locked="0"/>
    </xf>
    <xf numFmtId="0" fontId="25" fillId="3" borderId="5" xfId="2" applyFont="1" applyFill="1" applyBorder="1" applyAlignment="1" applyProtection="1">
      <alignment horizontal="center" vertical="center"/>
      <protection locked="0"/>
    </xf>
    <xf numFmtId="0" fontId="6" fillId="7" borderId="42" xfId="4" applyFont="1" applyFill="1" applyBorder="1" applyAlignment="1">
      <alignment horizontal="center" vertical="center"/>
    </xf>
    <xf numFmtId="0" fontId="6" fillId="7" borderId="55" xfId="4" applyFont="1" applyFill="1" applyBorder="1" applyAlignment="1">
      <alignment vertical="center"/>
    </xf>
    <xf numFmtId="0" fontId="11" fillId="0" borderId="0" xfId="2" applyBorder="1" applyAlignment="1">
      <alignment horizontal="center" vertical="center"/>
    </xf>
    <xf numFmtId="0" fontId="11" fillId="0" borderId="0" xfId="2" applyAlignment="1" applyProtection="1">
      <alignment vertical="center"/>
    </xf>
    <xf numFmtId="0" fontId="33" fillId="17" borderId="46" xfId="3" applyFont="1" applyFill="1" applyBorder="1" applyAlignment="1">
      <alignment horizontal="center" vertical="center"/>
    </xf>
    <xf numFmtId="0" fontId="11" fillId="0" borderId="0" xfId="2" applyAlignment="1" applyProtection="1">
      <alignment horizontal="center" vertical="center"/>
    </xf>
    <xf numFmtId="0" fontId="10" fillId="0" borderId="0" xfId="3" applyFont="1" applyFill="1" applyBorder="1" applyAlignment="1" applyProtection="1">
      <alignment horizontal="center" vertical="center"/>
    </xf>
    <xf numFmtId="0" fontId="5" fillId="7" borderId="42" xfId="4" applyFont="1" applyFill="1" applyBorder="1" applyAlignment="1">
      <alignment horizontal="center" vertical="center"/>
    </xf>
    <xf numFmtId="0" fontId="5" fillId="7" borderId="55" xfId="4" applyFont="1" applyFill="1" applyBorder="1" applyAlignment="1">
      <alignment vertical="center"/>
    </xf>
    <xf numFmtId="0" fontId="29" fillId="0" borderId="0" xfId="2" applyNumberFormat="1" applyFont="1" applyFill="1" applyBorder="1" applyAlignment="1" applyProtection="1">
      <alignment horizontal="center" vertical="center"/>
    </xf>
    <xf numFmtId="49" fontId="28" fillId="6" borderId="22" xfId="0" applyNumberFormat="1" applyFont="1" applyFill="1" applyBorder="1" applyAlignment="1" applyProtection="1">
      <alignment vertical="center"/>
    </xf>
    <xf numFmtId="49" fontId="25" fillId="0" borderId="0" xfId="0" applyNumberFormat="1" applyFont="1" applyAlignment="1" applyProtection="1">
      <alignment vertical="center"/>
    </xf>
    <xf numFmtId="0" fontId="23" fillId="3" borderId="16" xfId="0" applyFont="1" applyFill="1" applyBorder="1" applyAlignment="1" applyProtection="1">
      <alignment horizontal="center" vertical="center"/>
    </xf>
    <xf numFmtId="0" fontId="25" fillId="4" borderId="13" xfId="0" applyFont="1" applyFill="1" applyBorder="1" applyAlignment="1" applyProtection="1">
      <alignment horizontal="center" vertical="center"/>
    </xf>
    <xf numFmtId="0" fontId="25" fillId="4" borderId="1" xfId="0" applyFont="1" applyFill="1" applyBorder="1" applyAlignment="1" applyProtection="1">
      <alignment horizontal="center" vertical="center"/>
    </xf>
    <xf numFmtId="0" fontId="25" fillId="4" borderId="9" xfId="0" applyFont="1" applyFill="1" applyBorder="1" applyAlignment="1" applyProtection="1">
      <alignment horizontal="center" vertical="center"/>
    </xf>
    <xf numFmtId="0" fontId="29" fillId="4" borderId="1" xfId="0" applyFont="1" applyFill="1" applyBorder="1" applyAlignment="1" applyProtection="1">
      <alignment horizontal="center" vertical="center"/>
    </xf>
    <xf numFmtId="0" fontId="29" fillId="7" borderId="0" xfId="0" applyFont="1" applyFill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vertical="center"/>
    </xf>
    <xf numFmtId="0" fontId="29" fillId="0" borderId="15" xfId="0" applyFont="1" applyBorder="1" applyAlignment="1" applyProtection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Alignment="1" applyProtection="1">
      <alignment horizontal="center" vertical="center"/>
    </xf>
    <xf numFmtId="0" fontId="29" fillId="9" borderId="30" xfId="0" applyFont="1" applyFill="1" applyBorder="1" applyAlignment="1" applyProtection="1">
      <alignment horizontal="center" vertical="center"/>
    </xf>
    <xf numFmtId="0" fontId="29" fillId="7" borderId="0" xfId="0" applyFont="1" applyFill="1" applyBorder="1" applyAlignment="1" applyProtection="1">
      <alignment vertical="center"/>
    </xf>
    <xf numFmtId="0" fontId="29" fillId="7" borderId="15" xfId="0" applyFont="1" applyFill="1" applyBorder="1" applyAlignment="1" applyProtection="1">
      <alignment vertical="center"/>
    </xf>
    <xf numFmtId="0" fontId="29" fillId="9" borderId="31" xfId="0" applyFont="1" applyFill="1" applyBorder="1" applyAlignment="1" applyProtection="1">
      <alignment horizontal="center" vertical="center"/>
    </xf>
    <xf numFmtId="164" fontId="29" fillId="0" borderId="15" xfId="0" applyNumberFormat="1" applyFont="1" applyBorder="1" applyAlignment="1" applyProtection="1">
      <alignment vertical="center"/>
    </xf>
    <xf numFmtId="0" fontId="29" fillId="0" borderId="0" xfId="0" applyFont="1" applyBorder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vertical="center"/>
      <protection locked="0"/>
    </xf>
    <xf numFmtId="0" fontId="29" fillId="0" borderId="15" xfId="0" applyFont="1" applyBorder="1" applyAlignment="1" applyProtection="1">
      <alignment vertical="center"/>
      <protection locked="0"/>
    </xf>
    <xf numFmtId="0" fontId="29" fillId="0" borderId="36" xfId="0" applyFont="1" applyBorder="1" applyAlignment="1" applyProtection="1">
      <alignment vertical="center"/>
    </xf>
    <xf numFmtId="2" fontId="29" fillId="0" borderId="37" xfId="0" applyNumberFormat="1" applyFont="1" applyBorder="1" applyAlignment="1" applyProtection="1">
      <alignment horizontal="center" vertical="center"/>
    </xf>
    <xf numFmtId="2" fontId="29" fillId="7" borderId="37" xfId="0" applyNumberFormat="1" applyFont="1" applyFill="1" applyBorder="1" applyAlignment="1" applyProtection="1">
      <alignment horizontal="center" vertical="center"/>
    </xf>
    <xf numFmtId="0" fontId="29" fillId="0" borderId="38" xfId="0" applyFont="1" applyBorder="1" applyAlignment="1" applyProtection="1">
      <alignment vertical="center"/>
    </xf>
    <xf numFmtId="2" fontId="29" fillId="0" borderId="39" xfId="0" applyNumberFormat="1" applyFont="1" applyBorder="1" applyAlignment="1" applyProtection="1">
      <alignment horizontal="center" vertical="center"/>
    </xf>
    <xf numFmtId="2" fontId="29" fillId="0" borderId="0" xfId="0" applyNumberFormat="1" applyFont="1" applyAlignment="1" applyProtection="1">
      <alignment horizontal="center" vertical="center"/>
    </xf>
    <xf numFmtId="0" fontId="29" fillId="8" borderId="1" xfId="0" applyFont="1" applyFill="1" applyBorder="1" applyAlignment="1" applyProtection="1">
      <alignment horizontal="center" vertical="center"/>
    </xf>
    <xf numFmtId="0" fontId="23" fillId="6" borderId="1" xfId="0" applyFont="1" applyFill="1" applyBorder="1" applyAlignment="1" applyProtection="1">
      <alignment horizontal="center" vertical="center"/>
    </xf>
    <xf numFmtId="0" fontId="23" fillId="6" borderId="14" xfId="0" applyFont="1" applyFill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0" xfId="0" applyFont="1" applyAlignment="1" applyProtection="1">
      <alignment horizontal="left" vertical="center"/>
    </xf>
    <xf numFmtId="0" fontId="25" fillId="0" borderId="0" xfId="0" applyFont="1" applyBorder="1" applyAlignment="1" applyProtection="1">
      <alignment vertical="center"/>
    </xf>
    <xf numFmtId="2" fontId="25" fillId="0" borderId="9" xfId="0" applyNumberFormat="1" applyFont="1" applyBorder="1" applyAlignment="1" applyProtection="1">
      <alignment horizontal="left" vertical="center"/>
    </xf>
    <xf numFmtId="0" fontId="25" fillId="0" borderId="21" xfId="0" applyFont="1" applyBorder="1" applyAlignment="1" applyProtection="1">
      <alignment vertical="center"/>
    </xf>
    <xf numFmtId="0" fontId="25" fillId="0" borderId="15" xfId="0" applyFont="1" applyBorder="1" applyAlignment="1" applyProtection="1">
      <alignment vertical="center"/>
    </xf>
    <xf numFmtId="2" fontId="25" fillId="0" borderId="15" xfId="0" applyNumberFormat="1" applyFont="1" applyBorder="1" applyAlignment="1" applyProtection="1">
      <alignment horizontal="right" vertical="center"/>
    </xf>
    <xf numFmtId="2" fontId="25" fillId="0" borderId="25" xfId="0" applyNumberFormat="1" applyFont="1" applyBorder="1" applyAlignment="1" applyProtection="1">
      <alignment horizontal="right" vertical="center"/>
    </xf>
    <xf numFmtId="0" fontId="25" fillId="0" borderId="23" xfId="0" applyFont="1" applyBorder="1" applyAlignment="1" applyProtection="1">
      <alignment vertical="center"/>
    </xf>
    <xf numFmtId="0" fontId="25" fillId="0" borderId="22" xfId="0" applyFont="1" applyBorder="1" applyAlignment="1" applyProtection="1">
      <alignment vertical="center"/>
    </xf>
    <xf numFmtId="0" fontId="25" fillId="0" borderId="24" xfId="0" applyFont="1" applyBorder="1" applyAlignment="1" applyProtection="1">
      <alignment vertical="center"/>
    </xf>
    <xf numFmtId="2" fontId="25" fillId="0" borderId="0" xfId="0" applyNumberFormat="1" applyFont="1" applyAlignment="1" applyProtection="1">
      <alignment horizontal="center" vertical="center"/>
    </xf>
    <xf numFmtId="2" fontId="25" fillId="0" borderId="15" xfId="0" applyNumberFormat="1" applyFont="1" applyBorder="1" applyAlignment="1" applyProtection="1">
      <alignment horizontal="right" vertical="center"/>
      <protection locked="0"/>
    </xf>
    <xf numFmtId="0" fontId="29" fillId="0" borderId="0" xfId="2" applyFont="1" applyBorder="1" applyAlignment="1" applyProtection="1">
      <alignment horizontal="center" vertical="center"/>
      <protection locked="0"/>
    </xf>
    <xf numFmtId="0" fontId="29" fillId="0" borderId="0" xfId="2" applyFont="1" applyBorder="1" applyAlignment="1" applyProtection="1">
      <alignment vertical="center"/>
      <protection locked="0"/>
    </xf>
    <xf numFmtId="0" fontId="29" fillId="0" borderId="15" xfId="2" applyFont="1" applyBorder="1" applyAlignment="1" applyProtection="1">
      <alignment vertical="center"/>
      <protection locked="0"/>
    </xf>
    <xf numFmtId="2" fontId="25" fillId="0" borderId="15" xfId="0" applyNumberFormat="1" applyFont="1" applyFill="1" applyBorder="1" applyAlignment="1" applyProtection="1">
      <alignment horizontal="right" vertical="center"/>
    </xf>
    <xf numFmtId="2" fontId="29" fillId="0" borderId="37" xfId="0" applyNumberFormat="1" applyFont="1" applyFill="1" applyBorder="1" applyAlignment="1" applyProtection="1">
      <alignment horizontal="center" vertical="center"/>
    </xf>
    <xf numFmtId="2" fontId="25" fillId="0" borderId="13" xfId="0" applyNumberFormat="1" applyFont="1" applyFill="1" applyBorder="1" applyAlignment="1" applyProtection="1">
      <alignment horizontal="left" vertical="center"/>
    </xf>
    <xf numFmtId="164" fontId="32" fillId="14" borderId="0" xfId="5" applyNumberFormat="1" applyFont="1" applyBorder="1" applyAlignment="1">
      <alignment vertical="center"/>
    </xf>
    <xf numFmtId="0" fontId="32" fillId="14" borderId="0" xfId="5" applyFont="1" applyBorder="1" applyAlignment="1">
      <alignment vertical="center"/>
    </xf>
    <xf numFmtId="0" fontId="13" fillId="15" borderId="105" xfId="2" applyFont="1" applyFill="1" applyBorder="1" applyAlignment="1">
      <alignment horizontal="left" vertical="center"/>
    </xf>
    <xf numFmtId="0" fontId="13" fillId="15" borderId="105" xfId="2" applyFont="1" applyFill="1" applyBorder="1" applyAlignment="1" applyProtection="1">
      <alignment horizontal="center" vertical="center"/>
      <protection locked="0"/>
    </xf>
    <xf numFmtId="0" fontId="13" fillId="16" borderId="105" xfId="2" applyFont="1" applyFill="1" applyBorder="1" applyAlignment="1">
      <alignment horizontal="left" vertical="center"/>
    </xf>
    <xf numFmtId="0" fontId="13" fillId="16" borderId="105" xfId="2" applyFont="1" applyFill="1" applyBorder="1" applyAlignment="1" applyProtection="1">
      <alignment horizontal="center" vertical="center"/>
      <protection locked="0"/>
    </xf>
    <xf numFmtId="0" fontId="11" fillId="0" borderId="0" xfId="2" applyFont="1" applyAlignment="1">
      <alignment vertical="center"/>
    </xf>
    <xf numFmtId="0" fontId="11" fillId="0" borderId="0" xfId="2" applyFill="1" applyAlignment="1">
      <alignment vertical="center"/>
    </xf>
    <xf numFmtId="0" fontId="14" fillId="0" borderId="0" xfId="1" applyFont="1" applyFill="1" applyBorder="1" applyAlignment="1" applyProtection="1">
      <alignment horizontal="center" vertical="center"/>
      <protection locked="0"/>
    </xf>
    <xf numFmtId="0" fontId="25" fillId="4" borderId="14" xfId="2" applyFont="1" applyFill="1" applyBorder="1" applyAlignment="1" applyProtection="1">
      <alignment horizontal="right" vertical="center"/>
    </xf>
    <xf numFmtId="0" fontId="25" fillId="4" borderId="13" xfId="2" applyFont="1" applyFill="1" applyBorder="1" applyAlignment="1" applyProtection="1">
      <alignment horizontal="right" vertical="center"/>
    </xf>
    <xf numFmtId="0" fontId="13" fillId="0" borderId="0" xfId="1" applyFont="1" applyFill="1" applyBorder="1" applyAlignment="1" applyProtection="1">
      <alignment horizontal="center" vertical="center" wrapText="1"/>
    </xf>
    <xf numFmtId="0" fontId="29" fillId="8" borderId="17" xfId="0" applyFont="1" applyFill="1" applyBorder="1" applyAlignment="1" applyProtection="1">
      <alignment horizontal="center" vertical="center"/>
    </xf>
    <xf numFmtId="0" fontId="25" fillId="7" borderId="0" xfId="0" applyFont="1" applyFill="1" applyBorder="1" applyAlignment="1" applyProtection="1">
      <alignment vertical="center"/>
      <protection hidden="1"/>
    </xf>
    <xf numFmtId="0" fontId="29" fillId="17" borderId="1" xfId="0" applyFont="1" applyFill="1" applyBorder="1" applyAlignment="1" applyProtection="1">
      <alignment horizontal="center" vertical="center"/>
    </xf>
    <xf numFmtId="0" fontId="29" fillId="17" borderId="1" xfId="2" applyFont="1" applyFill="1" applyBorder="1" applyAlignment="1" applyProtection="1">
      <alignment horizontal="center" vertical="center"/>
    </xf>
    <xf numFmtId="0" fontId="23" fillId="6" borderId="14" xfId="0" applyFont="1" applyFill="1" applyBorder="1" applyAlignment="1" applyProtection="1">
      <alignment horizontal="right" vertical="center"/>
    </xf>
    <xf numFmtId="0" fontId="23" fillId="6" borderId="13" xfId="0" applyFont="1" applyFill="1" applyBorder="1" applyAlignment="1" applyProtection="1">
      <alignment horizontal="right" vertical="center"/>
    </xf>
    <xf numFmtId="0" fontId="13" fillId="0" borderId="0" xfId="1" applyFont="1" applyFill="1" applyBorder="1" applyAlignment="1" applyProtection="1">
      <alignment horizontal="center" vertical="center" wrapText="1"/>
    </xf>
    <xf numFmtId="0" fontId="14" fillId="0" borderId="0" xfId="1" applyFont="1" applyFill="1" applyAlignment="1" applyProtection="1">
      <alignment horizontal="center" vertical="center"/>
    </xf>
    <xf numFmtId="0" fontId="13" fillId="0" borderId="0" xfId="1" applyNumberFormat="1" applyFont="1" applyFill="1" applyBorder="1" applyAlignment="1" applyProtection="1">
      <alignment horizontal="center" vertical="center"/>
    </xf>
    <xf numFmtId="167" fontId="8" fillId="0" borderId="0" xfId="4" applyNumberFormat="1" applyFont="1" applyFill="1" applyBorder="1" applyAlignment="1">
      <alignment horizontal="left" vertical="center"/>
    </xf>
    <xf numFmtId="0" fontId="17" fillId="0" borderId="0" xfId="4" applyFont="1" applyFill="1" applyBorder="1" applyAlignment="1" applyProtection="1">
      <alignment horizontal="center" vertical="center"/>
      <protection locked="0"/>
    </xf>
    <xf numFmtId="0" fontId="16" fillId="8" borderId="118" xfId="1" applyFont="1" applyFill="1" applyBorder="1" applyAlignment="1" applyProtection="1">
      <alignment horizontal="center" vertical="center"/>
    </xf>
    <xf numFmtId="0" fontId="9" fillId="7" borderId="41" xfId="1" applyFill="1" applyBorder="1" applyAlignment="1" applyProtection="1">
      <alignment horizontal="left" vertical="center"/>
    </xf>
    <xf numFmtId="0" fontId="9" fillId="7" borderId="42" xfId="1" applyFill="1" applyBorder="1" applyAlignment="1" applyProtection="1">
      <alignment horizontal="left" vertical="center"/>
    </xf>
    <xf numFmtId="0" fontId="9" fillId="7" borderId="43" xfId="1" applyFill="1" applyBorder="1" applyAlignment="1" applyProtection="1">
      <alignment horizontal="left" vertical="center"/>
    </xf>
    <xf numFmtId="0" fontId="9" fillId="0" borderId="0" xfId="1" applyAlignment="1" applyProtection="1">
      <alignment vertical="center"/>
    </xf>
    <xf numFmtId="0" fontId="2" fillId="7" borderId="42" xfId="1" applyFont="1" applyFill="1" applyBorder="1" applyAlignment="1" applyProtection="1">
      <alignment horizontal="left" vertical="center"/>
    </xf>
    <xf numFmtId="0" fontId="37" fillId="0" borderId="0" xfId="2" applyFont="1" applyAlignment="1">
      <alignment vertical="center"/>
    </xf>
    <xf numFmtId="0" fontId="25" fillId="0" borderId="0" xfId="0" applyFont="1" applyBorder="1" applyAlignment="1" applyProtection="1">
      <alignment horizontal="center" vertical="center"/>
    </xf>
    <xf numFmtId="0" fontId="25" fillId="0" borderId="20" xfId="0" applyFont="1" applyBorder="1" applyAlignment="1" applyProtection="1">
      <alignment horizontal="left" vertical="center"/>
    </xf>
    <xf numFmtId="0" fontId="25" fillId="0" borderId="18" xfId="0" applyFont="1" applyBorder="1" applyAlignment="1" applyProtection="1">
      <alignment horizontal="left" vertical="center"/>
    </xf>
    <xf numFmtId="0" fontId="23" fillId="6" borderId="13" xfId="0" applyFont="1" applyFill="1" applyBorder="1" applyAlignment="1" applyProtection="1">
      <alignment horizontal="left" vertical="center"/>
    </xf>
    <xf numFmtId="0" fontId="25" fillId="4" borderId="13" xfId="2" applyFont="1" applyFill="1" applyBorder="1" applyAlignment="1" applyProtection="1">
      <alignment horizontal="left" vertical="center"/>
    </xf>
    <xf numFmtId="0" fontId="13" fillId="0" borderId="0" xfId="3" applyFont="1" applyFill="1" applyAlignment="1" applyProtection="1">
      <alignment horizontal="left" vertical="center"/>
    </xf>
    <xf numFmtId="0" fontId="14" fillId="0" borderId="0" xfId="1" applyFont="1" applyFill="1" applyAlignment="1" applyProtection="1">
      <alignment horizontal="center" vertical="center"/>
      <protection locked="0"/>
    </xf>
    <xf numFmtId="0" fontId="14" fillId="0" borderId="0" xfId="1" applyNumberFormat="1" applyFont="1" applyFill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20" fillId="0" borderId="119" xfId="3" applyFont="1" applyFill="1" applyBorder="1" applyAlignment="1" applyProtection="1">
      <alignment horizontal="left" vertical="center"/>
      <protection locked="0"/>
    </xf>
    <xf numFmtId="0" fontId="20" fillId="0" borderId="120" xfId="3" applyFont="1" applyFill="1" applyBorder="1" applyAlignment="1" applyProtection="1">
      <alignment horizontal="left" vertical="center"/>
      <protection locked="0"/>
    </xf>
    <xf numFmtId="0" fontId="14" fillId="0" borderId="0" xfId="1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Border="1" applyAlignment="1" applyProtection="1">
      <alignment horizontal="center" vertical="center"/>
    </xf>
    <xf numFmtId="0" fontId="25" fillId="0" borderId="18" xfId="0" applyFont="1" applyBorder="1" applyAlignment="1" applyProtection="1">
      <alignment horizontal="left" vertical="center"/>
    </xf>
    <xf numFmtId="0" fontId="25" fillId="0" borderId="20" xfId="0" applyFont="1" applyBorder="1" applyAlignment="1" applyProtection="1">
      <alignment horizontal="left" vertical="center"/>
    </xf>
    <xf numFmtId="0" fontId="23" fillId="6" borderId="13" xfId="0" applyFont="1" applyFill="1" applyBorder="1" applyAlignment="1" applyProtection="1">
      <alignment horizontal="left" vertical="center"/>
    </xf>
    <xf numFmtId="0" fontId="25" fillId="4" borderId="13" xfId="2" applyFont="1" applyFill="1" applyBorder="1" applyAlignment="1" applyProtection="1">
      <alignment horizontal="left" vertical="center"/>
    </xf>
    <xf numFmtId="0" fontId="13" fillId="0" borderId="0" xfId="7" applyNumberFormat="1" applyFont="1" applyFill="1" applyBorder="1" applyAlignment="1">
      <alignment vertical="center" wrapText="1"/>
    </xf>
    <xf numFmtId="0" fontId="13" fillId="0" borderId="0" xfId="2" applyFont="1" applyFill="1" applyBorder="1" applyAlignment="1">
      <alignment horizontal="left" vertical="center"/>
    </xf>
    <xf numFmtId="0" fontId="13" fillId="0" borderId="0" xfId="2" applyFont="1" applyFill="1" applyBorder="1" applyAlignment="1" applyProtection="1">
      <alignment horizontal="center" vertical="center"/>
      <protection locked="0"/>
    </xf>
    <xf numFmtId="0" fontId="13" fillId="0" borderId="0" xfId="2" applyFont="1" applyFill="1" applyBorder="1" applyAlignment="1">
      <alignment horizontal="center" vertical="center"/>
    </xf>
    <xf numFmtId="0" fontId="10" fillId="0" borderId="0" xfId="2" applyFont="1" applyBorder="1" applyAlignment="1">
      <alignment horizontal="center" vertical="center"/>
    </xf>
    <xf numFmtId="0" fontId="10" fillId="17" borderId="0" xfId="0" applyFont="1" applyFill="1" applyAlignment="1">
      <alignment horizontal="center" vertical="center"/>
    </xf>
    <xf numFmtId="0" fontId="20" fillId="0" borderId="0" xfId="3" applyNumberFormat="1" applyFont="1" applyFill="1" applyBorder="1" applyAlignment="1" applyProtection="1">
      <alignment horizontal="left" vertical="center"/>
      <protection locked="0"/>
    </xf>
    <xf numFmtId="0" fontId="25" fillId="0" borderId="113" xfId="0" applyFont="1" applyBorder="1" applyAlignment="1" applyProtection="1">
      <alignment horizontal="left" vertical="center"/>
    </xf>
    <xf numFmtId="0" fontId="25" fillId="0" borderId="114" xfId="0" applyFont="1" applyBorder="1" applyAlignment="1" applyProtection="1">
      <alignment horizontal="left" vertical="center"/>
    </xf>
    <xf numFmtId="0" fontId="25" fillId="0" borderId="114" xfId="0" applyFont="1" applyBorder="1" applyAlignment="1" applyProtection="1">
      <alignment horizontal="center" vertical="center"/>
    </xf>
    <xf numFmtId="0" fontId="25" fillId="0" borderId="115" xfId="0" applyFont="1" applyBorder="1" applyAlignment="1" applyProtection="1">
      <alignment horizontal="center" vertical="center"/>
    </xf>
    <xf numFmtId="0" fontId="25" fillId="0" borderId="14" xfId="0" applyFont="1" applyBorder="1" applyAlignment="1" applyProtection="1">
      <alignment horizontal="left" vertical="center"/>
    </xf>
    <xf numFmtId="0" fontId="25" fillId="0" borderId="13" xfId="0" applyFont="1" applyBorder="1" applyAlignment="1" applyProtection="1">
      <alignment horizontal="left" vertical="center"/>
    </xf>
    <xf numFmtId="0" fontId="25" fillId="0" borderId="117" xfId="0" applyFont="1" applyBorder="1" applyAlignment="1" applyProtection="1">
      <alignment horizontal="left" vertical="center"/>
    </xf>
    <xf numFmtId="0" fontId="25" fillId="0" borderId="116" xfId="0" applyFont="1" applyBorder="1" applyAlignment="1" applyProtection="1">
      <alignment horizontal="center" vertical="center"/>
    </xf>
    <xf numFmtId="0" fontId="25" fillId="0" borderId="9" xfId="0" applyFont="1" applyBorder="1" applyAlignment="1" applyProtection="1">
      <alignment horizontal="center" vertical="center"/>
    </xf>
    <xf numFmtId="0" fontId="25" fillId="0" borderId="14" xfId="0" applyFont="1" applyFill="1" applyBorder="1" applyAlignment="1" applyProtection="1">
      <alignment horizontal="left" vertical="center"/>
    </xf>
    <xf numFmtId="0" fontId="25" fillId="0" borderId="13" xfId="0" applyFont="1" applyFill="1" applyBorder="1" applyAlignment="1" applyProtection="1">
      <alignment horizontal="left" vertical="center"/>
    </xf>
    <xf numFmtId="2" fontId="25" fillId="0" borderId="14" xfId="0" applyNumberFormat="1" applyFont="1" applyFill="1" applyBorder="1" applyAlignment="1" applyProtection="1">
      <alignment horizontal="center" vertical="center"/>
    </xf>
    <xf numFmtId="2" fontId="25" fillId="0" borderId="9" xfId="0" applyNumberFormat="1" applyFont="1" applyFill="1" applyBorder="1" applyAlignment="1" applyProtection="1">
      <alignment horizontal="center" vertical="center"/>
    </xf>
    <xf numFmtId="2" fontId="25" fillId="0" borderId="14" xfId="0" applyNumberFormat="1" applyFont="1" applyBorder="1" applyAlignment="1" applyProtection="1">
      <alignment horizontal="center" vertical="center"/>
    </xf>
    <xf numFmtId="2" fontId="25" fillId="0" borderId="9" xfId="0" applyNumberFormat="1" applyFont="1" applyBorder="1" applyAlignment="1" applyProtection="1">
      <alignment horizontal="center" vertical="center"/>
    </xf>
    <xf numFmtId="0" fontId="25" fillId="0" borderId="18" xfId="0" applyFont="1" applyBorder="1" applyAlignment="1" applyProtection="1">
      <alignment horizontal="left" vertical="center" wrapText="1"/>
    </xf>
    <xf numFmtId="0" fontId="25" fillId="0" borderId="20" xfId="0" applyFont="1" applyBorder="1" applyAlignment="1" applyProtection="1">
      <alignment horizontal="left" vertical="center" wrapText="1"/>
    </xf>
    <xf numFmtId="0" fontId="25" fillId="0" borderId="21" xfId="0" applyFont="1" applyBorder="1" applyAlignment="1" applyProtection="1">
      <alignment horizontal="left" vertical="center" wrapText="1"/>
    </xf>
    <xf numFmtId="0" fontId="25" fillId="0" borderId="0" xfId="0" applyFont="1" applyBorder="1" applyAlignment="1" applyProtection="1">
      <alignment horizontal="left" vertical="center" wrapText="1"/>
    </xf>
    <xf numFmtId="0" fontId="25" fillId="0" borderId="20" xfId="0" applyFont="1" applyBorder="1" applyAlignment="1" applyProtection="1">
      <alignment horizontal="center" vertical="center"/>
    </xf>
    <xf numFmtId="0" fontId="25" fillId="0" borderId="19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5" fillId="0" borderId="15" xfId="0" applyFont="1" applyBorder="1" applyAlignment="1" applyProtection="1">
      <alignment horizontal="center" vertical="center"/>
    </xf>
    <xf numFmtId="0" fontId="25" fillId="0" borderId="21" xfId="0" applyFont="1" applyBorder="1" applyAlignment="1" applyProtection="1">
      <alignment horizontal="left" vertical="center"/>
    </xf>
    <xf numFmtId="0" fontId="25" fillId="0" borderId="0" xfId="0" applyFont="1" applyBorder="1" applyAlignment="1" applyProtection="1">
      <alignment horizontal="left" vertical="center"/>
    </xf>
    <xf numFmtId="0" fontId="25" fillId="0" borderId="23" xfId="0" applyFont="1" applyBorder="1" applyAlignment="1" applyProtection="1">
      <alignment horizontal="left" vertical="center" wrapText="1"/>
    </xf>
    <xf numFmtId="0" fontId="25" fillId="0" borderId="22" xfId="0" applyFont="1" applyBorder="1" applyAlignment="1" applyProtection="1">
      <alignment horizontal="left" vertical="center" wrapText="1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15" xfId="0" applyFont="1" applyBorder="1" applyAlignment="1" applyProtection="1">
      <alignment horizontal="center" vertical="center"/>
      <protection locked="0"/>
    </xf>
    <xf numFmtId="0" fontId="25" fillId="0" borderId="22" xfId="0" applyFont="1" applyBorder="1" applyAlignment="1" applyProtection="1">
      <alignment horizontal="center" vertical="center"/>
      <protection locked="0"/>
    </xf>
    <xf numFmtId="0" fontId="25" fillId="0" borderId="24" xfId="0" applyFont="1" applyBorder="1" applyAlignment="1" applyProtection="1">
      <alignment horizontal="center" vertical="center"/>
      <protection locked="0"/>
    </xf>
    <xf numFmtId="0" fontId="25" fillId="0" borderId="23" xfId="0" applyFont="1" applyBorder="1" applyAlignment="1" applyProtection="1">
      <alignment horizontal="left" vertical="center"/>
    </xf>
    <xf numFmtId="0" fontId="25" fillId="0" borderId="22" xfId="0" applyFont="1" applyBorder="1" applyAlignment="1" applyProtection="1">
      <alignment horizontal="left" vertical="center"/>
    </xf>
    <xf numFmtId="0" fontId="25" fillId="0" borderId="22" xfId="0" applyFont="1" applyBorder="1" applyAlignment="1" applyProtection="1">
      <alignment horizontal="center" vertical="center"/>
    </xf>
    <xf numFmtId="0" fontId="25" fillId="0" borderId="24" xfId="0" applyFont="1" applyBorder="1" applyAlignment="1" applyProtection="1">
      <alignment horizontal="center" vertical="center"/>
    </xf>
    <xf numFmtId="0" fontId="25" fillId="0" borderId="18" xfId="0" applyFont="1" applyBorder="1" applyAlignment="1" applyProtection="1">
      <alignment horizontal="left" vertical="center"/>
    </xf>
    <xf numFmtId="0" fontId="25" fillId="0" borderId="20" xfId="0" applyFont="1" applyBorder="1" applyAlignment="1" applyProtection="1">
      <alignment horizontal="left" vertical="center"/>
    </xf>
    <xf numFmtId="0" fontId="25" fillId="0" borderId="27" xfId="0" applyFont="1" applyBorder="1" applyAlignment="1" applyProtection="1">
      <alignment horizontal="center" vertical="center"/>
    </xf>
    <xf numFmtId="0" fontId="25" fillId="0" borderId="26" xfId="0" applyFont="1" applyBorder="1" applyAlignment="1" applyProtection="1">
      <alignment horizontal="center" vertical="center"/>
    </xf>
    <xf numFmtId="0" fontId="25" fillId="0" borderId="28" xfId="0" applyFont="1" applyBorder="1" applyAlignment="1" applyProtection="1">
      <alignment horizontal="center" vertical="center"/>
    </xf>
    <xf numFmtId="0" fontId="25" fillId="0" borderId="29" xfId="0" applyFont="1" applyBorder="1" applyAlignment="1" applyProtection="1">
      <alignment horizontal="center" vertical="center"/>
    </xf>
    <xf numFmtId="0" fontId="25" fillId="0" borderId="20" xfId="0" applyFont="1" applyFill="1" applyBorder="1" applyAlignment="1" applyProtection="1">
      <alignment horizontal="center" vertical="center"/>
    </xf>
    <xf numFmtId="0" fontId="25" fillId="0" borderId="19" xfId="0" applyFont="1" applyFill="1" applyBorder="1" applyAlignment="1" applyProtection="1">
      <alignment horizontal="center" vertical="center"/>
    </xf>
    <xf numFmtId="0" fontId="23" fillId="0" borderId="18" xfId="0" applyFont="1" applyBorder="1" applyAlignment="1" applyProtection="1">
      <alignment horizontal="center" vertical="center"/>
    </xf>
    <xf numFmtId="0" fontId="23" fillId="0" borderId="20" xfId="0" applyFont="1" applyBorder="1" applyAlignment="1" applyProtection="1">
      <alignment horizontal="center" vertical="center"/>
    </xf>
    <xf numFmtId="0" fontId="23" fillId="0" borderId="19" xfId="0" applyFont="1" applyBorder="1" applyAlignment="1" applyProtection="1">
      <alignment horizontal="center" vertical="center"/>
    </xf>
    <xf numFmtId="0" fontId="23" fillId="6" borderId="14" xfId="0" applyFont="1" applyFill="1" applyBorder="1" applyAlignment="1" applyProtection="1">
      <alignment horizontal="left" vertical="center"/>
    </xf>
    <xf numFmtId="0" fontId="23" fillId="6" borderId="13" xfId="0" applyFont="1" applyFill="1" applyBorder="1" applyAlignment="1" applyProtection="1">
      <alignment horizontal="left" vertical="center"/>
    </xf>
    <xf numFmtId="0" fontId="23" fillId="6" borderId="9" xfId="0" applyFont="1" applyFill="1" applyBorder="1" applyAlignment="1" applyProtection="1">
      <alignment horizontal="left" vertical="center"/>
    </xf>
    <xf numFmtId="0" fontId="29" fillId="17" borderId="14" xfId="0" applyFont="1" applyFill="1" applyBorder="1" applyAlignment="1" applyProtection="1">
      <alignment horizontal="left" vertical="center"/>
    </xf>
    <xf numFmtId="0" fontId="29" fillId="17" borderId="13" xfId="0" applyFont="1" applyFill="1" applyBorder="1" applyAlignment="1" applyProtection="1">
      <alignment horizontal="left" vertical="center"/>
    </xf>
    <xf numFmtId="0" fontId="29" fillId="17" borderId="9" xfId="0" applyFont="1" applyFill="1" applyBorder="1" applyAlignment="1" applyProtection="1">
      <alignment horizontal="left" vertical="center"/>
    </xf>
    <xf numFmtId="0" fontId="29" fillId="4" borderId="23" xfId="0" applyFont="1" applyFill="1" applyBorder="1" applyAlignment="1" applyProtection="1">
      <alignment horizontal="center" vertical="center"/>
    </xf>
    <xf numFmtId="0" fontId="29" fillId="4" borderId="22" xfId="0" applyFont="1" applyFill="1" applyBorder="1" applyAlignment="1" applyProtection="1">
      <alignment horizontal="center" vertical="center"/>
    </xf>
    <xf numFmtId="0" fontId="29" fillId="4" borderId="24" xfId="0" applyFont="1" applyFill="1" applyBorder="1" applyAlignment="1" applyProtection="1">
      <alignment horizontal="center" vertical="center"/>
    </xf>
    <xf numFmtId="0" fontId="29" fillId="4" borderId="14" xfId="0" applyFont="1" applyFill="1" applyBorder="1" applyAlignment="1" applyProtection="1">
      <alignment horizontal="center" vertical="center"/>
    </xf>
    <xf numFmtId="0" fontId="29" fillId="4" borderId="13" xfId="0" applyFont="1" applyFill="1" applyBorder="1" applyAlignment="1" applyProtection="1">
      <alignment horizontal="center" vertical="center"/>
    </xf>
    <xf numFmtId="0" fontId="29" fillId="4" borderId="9" xfId="0" applyFont="1" applyFill="1" applyBorder="1" applyAlignment="1" applyProtection="1">
      <alignment horizontal="center" vertical="center"/>
    </xf>
    <xf numFmtId="0" fontId="29" fillId="4" borderId="14" xfId="0" applyFont="1" applyFill="1" applyBorder="1" applyAlignment="1" applyProtection="1">
      <alignment horizontal="left" vertical="center"/>
    </xf>
    <xf numFmtId="0" fontId="29" fillId="4" borderId="13" xfId="0" applyFont="1" applyFill="1" applyBorder="1" applyAlignment="1" applyProtection="1">
      <alignment horizontal="left" vertical="center"/>
    </xf>
    <xf numFmtId="0" fontId="29" fillId="4" borderId="9" xfId="0" applyFont="1" applyFill="1" applyBorder="1" applyAlignment="1" applyProtection="1">
      <alignment horizontal="left" vertical="center"/>
    </xf>
    <xf numFmtId="0" fontId="29" fillId="8" borderId="107" xfId="0" applyFont="1" applyFill="1" applyBorder="1" applyAlignment="1" applyProtection="1">
      <alignment horizontal="center" vertical="center"/>
    </xf>
    <xf numFmtId="0" fontId="29" fillId="8" borderId="110" xfId="0" applyFont="1" applyFill="1" applyBorder="1" applyAlignment="1" applyProtection="1">
      <alignment horizontal="center" vertical="center"/>
    </xf>
    <xf numFmtId="0" fontId="29" fillId="0" borderId="108" xfId="0" applyFont="1" applyBorder="1" applyAlignment="1" applyProtection="1">
      <alignment horizontal="left" vertical="center" wrapText="1"/>
    </xf>
    <xf numFmtId="0" fontId="29" fillId="0" borderId="109" xfId="0" applyFont="1" applyBorder="1" applyAlignment="1" applyProtection="1">
      <alignment horizontal="left" vertical="center" wrapText="1"/>
    </xf>
    <xf numFmtId="0" fontId="29" fillId="0" borderId="111" xfId="0" applyFont="1" applyBorder="1" applyAlignment="1" applyProtection="1">
      <alignment horizontal="left" vertical="center" wrapText="1"/>
    </xf>
    <xf numFmtId="0" fontId="29" fillId="0" borderId="112" xfId="0" applyFont="1" applyBorder="1" applyAlignment="1" applyProtection="1">
      <alignment horizontal="left" vertical="center" wrapText="1"/>
    </xf>
    <xf numFmtId="0" fontId="29" fillId="4" borderId="14" xfId="2" applyFont="1" applyFill="1" applyBorder="1" applyAlignment="1" applyProtection="1">
      <alignment horizontal="left" vertical="center"/>
    </xf>
    <xf numFmtId="0" fontId="29" fillId="4" borderId="13" xfId="2" applyFont="1" applyFill="1" applyBorder="1" applyAlignment="1" applyProtection="1">
      <alignment horizontal="left" vertical="center"/>
    </xf>
    <xf numFmtId="0" fontId="29" fillId="4" borderId="9" xfId="2" applyFont="1" applyFill="1" applyBorder="1" applyAlignment="1" applyProtection="1">
      <alignment horizontal="left" vertical="center"/>
    </xf>
    <xf numFmtId="0" fontId="29" fillId="7" borderId="32" xfId="0" applyFont="1" applyFill="1" applyBorder="1" applyAlignment="1" applyProtection="1">
      <alignment horizontal="center" vertical="center" wrapText="1"/>
    </xf>
    <xf numFmtId="0" fontId="29" fillId="7" borderId="44" xfId="0" applyFont="1" applyFill="1" applyBorder="1" applyAlignment="1" applyProtection="1">
      <alignment horizontal="center" vertical="center" wrapText="1"/>
    </xf>
    <xf numFmtId="0" fontId="29" fillId="7" borderId="33" xfId="0" applyFont="1" applyFill="1" applyBorder="1" applyAlignment="1" applyProtection="1">
      <alignment horizontal="center" vertical="center" wrapText="1"/>
    </xf>
    <xf numFmtId="0" fontId="29" fillId="7" borderId="45" xfId="0" applyFont="1" applyFill="1" applyBorder="1" applyAlignment="1" applyProtection="1">
      <alignment horizontal="center" vertical="center" wrapText="1"/>
    </xf>
    <xf numFmtId="0" fontId="29" fillId="17" borderId="19" xfId="0" applyFont="1" applyFill="1" applyBorder="1" applyAlignment="1" applyProtection="1">
      <alignment horizontal="left" vertical="center"/>
    </xf>
    <xf numFmtId="0" fontId="29" fillId="5" borderId="103" xfId="0" applyFont="1" applyFill="1" applyBorder="1" applyAlignment="1" applyProtection="1">
      <alignment horizontal="center" vertical="center"/>
    </xf>
    <xf numFmtId="0" fontId="29" fillId="5" borderId="104" xfId="0" applyFont="1" applyFill="1" applyBorder="1" applyAlignment="1" applyProtection="1">
      <alignment horizontal="center" vertical="center"/>
    </xf>
    <xf numFmtId="0" fontId="25" fillId="4" borderId="14" xfId="0" applyFont="1" applyFill="1" applyBorder="1" applyAlignment="1" applyProtection="1">
      <alignment horizontal="left" vertical="center"/>
    </xf>
    <xf numFmtId="0" fontId="25" fillId="4" borderId="13" xfId="0" applyFont="1" applyFill="1" applyBorder="1" applyAlignment="1" applyProtection="1">
      <alignment horizontal="left" vertical="center"/>
    </xf>
    <xf numFmtId="0" fontId="25" fillId="4" borderId="9" xfId="0" applyFont="1" applyFill="1" applyBorder="1" applyAlignment="1" applyProtection="1">
      <alignment horizontal="left" vertical="center"/>
    </xf>
    <xf numFmtId="0" fontId="25" fillId="3" borderId="95" xfId="2" applyFont="1" applyFill="1" applyBorder="1" applyAlignment="1" applyProtection="1">
      <alignment horizontal="left" vertical="center"/>
      <protection locked="0"/>
    </xf>
    <xf numFmtId="0" fontId="25" fillId="3" borderId="89" xfId="2" applyFont="1" applyFill="1" applyBorder="1" applyAlignment="1" applyProtection="1">
      <alignment horizontal="left" vertical="center"/>
      <protection locked="0"/>
    </xf>
    <xf numFmtId="0" fontId="25" fillId="3" borderId="96" xfId="2" applyFont="1" applyFill="1" applyBorder="1" applyAlignment="1" applyProtection="1">
      <alignment horizontal="left" vertical="center"/>
      <protection locked="0"/>
    </xf>
    <xf numFmtId="0" fontId="25" fillId="0" borderId="93" xfId="2" applyFont="1" applyBorder="1" applyAlignment="1" applyProtection="1">
      <alignment horizontal="left" vertical="center"/>
      <protection locked="0"/>
    </xf>
    <xf numFmtId="0" fontId="25" fillId="0" borderId="86" xfId="2" applyFont="1" applyBorder="1" applyAlignment="1" applyProtection="1">
      <alignment horizontal="left" vertical="center"/>
      <protection locked="0"/>
    </xf>
    <xf numFmtId="0" fontId="25" fillId="0" borderId="94" xfId="2" applyFont="1" applyBorder="1" applyAlignment="1" applyProtection="1">
      <alignment horizontal="left" vertical="center"/>
      <protection locked="0"/>
    </xf>
    <xf numFmtId="0" fontId="25" fillId="3" borderId="93" xfId="2" applyFont="1" applyFill="1" applyBorder="1" applyAlignment="1" applyProtection="1">
      <alignment horizontal="left" vertical="center"/>
      <protection locked="0"/>
    </xf>
    <xf numFmtId="0" fontId="25" fillId="3" borderId="86" xfId="2" applyFont="1" applyFill="1" applyBorder="1" applyAlignment="1" applyProtection="1">
      <alignment horizontal="left" vertical="center"/>
      <protection locked="0"/>
    </xf>
    <xf numFmtId="0" fontId="25" fillId="3" borderId="94" xfId="2" applyFont="1" applyFill="1" applyBorder="1" applyAlignment="1" applyProtection="1">
      <alignment horizontal="left" vertical="center"/>
      <protection locked="0"/>
    </xf>
    <xf numFmtId="0" fontId="27" fillId="2" borderId="12" xfId="2" applyFont="1" applyFill="1" applyBorder="1" applyAlignment="1" applyProtection="1">
      <alignment horizontal="center" vertical="center"/>
    </xf>
    <xf numFmtId="0" fontId="27" fillId="2" borderId="17" xfId="2" applyFont="1" applyFill="1" applyBorder="1" applyAlignment="1" applyProtection="1">
      <alignment horizontal="center" vertical="center"/>
    </xf>
    <xf numFmtId="0" fontId="27" fillId="2" borderId="16" xfId="2" applyFont="1" applyFill="1" applyBorder="1" applyAlignment="1" applyProtection="1">
      <alignment horizontal="center" vertical="center"/>
    </xf>
    <xf numFmtId="0" fontId="25" fillId="0" borderId="91" xfId="2" applyFont="1" applyBorder="1" applyAlignment="1" applyProtection="1">
      <alignment horizontal="left" vertical="center"/>
      <protection locked="0"/>
    </xf>
    <xf numFmtId="0" fontId="25" fillId="0" borderId="83" xfId="2" applyFont="1" applyBorder="1" applyAlignment="1" applyProtection="1">
      <alignment horizontal="left" vertical="center"/>
      <protection locked="0"/>
    </xf>
    <xf numFmtId="0" fontId="25" fillId="0" borderId="92" xfId="2" applyFont="1" applyBorder="1" applyAlignment="1" applyProtection="1">
      <alignment horizontal="left" vertical="center"/>
      <protection locked="0"/>
    </xf>
    <xf numFmtId="0" fontId="29" fillId="7" borderId="97" xfId="0" applyFont="1" applyFill="1" applyBorder="1" applyAlignment="1" applyProtection="1">
      <alignment horizontal="center" vertical="center" wrapText="1"/>
    </xf>
    <xf numFmtId="0" fontId="29" fillId="7" borderId="98" xfId="0" applyFont="1" applyFill="1" applyBorder="1" applyAlignment="1" applyProtection="1">
      <alignment horizontal="center" vertical="center" wrapText="1"/>
    </xf>
    <xf numFmtId="0" fontId="27" fillId="2" borderId="12" xfId="2" applyFont="1" applyFill="1" applyBorder="1" applyAlignment="1" applyProtection="1">
      <alignment horizontal="center" vertical="center"/>
      <protection locked="0"/>
    </xf>
    <xf numFmtId="0" fontId="27" fillId="2" borderId="17" xfId="2" applyFont="1" applyFill="1" applyBorder="1" applyAlignment="1" applyProtection="1">
      <alignment horizontal="center" vertical="center"/>
      <protection locked="0"/>
    </xf>
    <xf numFmtId="0" fontId="27" fillId="2" borderId="16" xfId="2" applyFont="1" applyFill="1" applyBorder="1" applyAlignment="1" applyProtection="1">
      <alignment horizontal="center" vertical="center"/>
      <protection locked="0"/>
    </xf>
    <xf numFmtId="0" fontId="29" fillId="0" borderId="35" xfId="2" applyFont="1" applyFill="1" applyBorder="1" applyAlignment="1" applyProtection="1">
      <alignment horizontal="left" vertical="center"/>
    </xf>
    <xf numFmtId="0" fontId="29" fillId="0" borderId="102" xfId="2" applyFont="1" applyFill="1" applyBorder="1" applyAlignment="1" applyProtection="1">
      <alignment horizontal="left" vertical="center"/>
    </xf>
    <xf numFmtId="0" fontId="29" fillId="0" borderId="34" xfId="2" applyFont="1" applyFill="1" applyBorder="1" applyAlignment="1" applyProtection="1">
      <alignment horizontal="left" vertical="center"/>
    </xf>
    <xf numFmtId="0" fontId="29" fillId="0" borderId="99" xfId="2" applyFont="1" applyFill="1" applyBorder="1" applyAlignment="1" applyProtection="1">
      <alignment horizontal="left" vertical="center"/>
    </xf>
    <xf numFmtId="0" fontId="29" fillId="0" borderId="100" xfId="2" applyFont="1" applyFill="1" applyBorder="1" applyAlignment="1" applyProtection="1">
      <alignment horizontal="left" vertical="center"/>
    </xf>
    <xf numFmtId="0" fontId="29" fillId="0" borderId="101" xfId="2" applyFont="1" applyFill="1" applyBorder="1" applyAlignment="1" applyProtection="1">
      <alignment horizontal="left" vertical="center"/>
    </xf>
    <xf numFmtId="0" fontId="29" fillId="7" borderId="32" xfId="2" applyFont="1" applyFill="1" applyBorder="1" applyAlignment="1" applyProtection="1">
      <alignment horizontal="center" vertical="center" wrapText="1"/>
    </xf>
    <xf numFmtId="0" fontId="29" fillId="7" borderId="97" xfId="2" applyFont="1" applyFill="1" applyBorder="1" applyAlignment="1" applyProtection="1">
      <alignment horizontal="center" vertical="center" wrapText="1"/>
    </xf>
    <xf numFmtId="0" fontId="29" fillId="7" borderId="33" xfId="2" applyFont="1" applyFill="1" applyBorder="1" applyAlignment="1" applyProtection="1">
      <alignment horizontal="center" vertical="center" wrapText="1"/>
    </xf>
    <xf numFmtId="0" fontId="29" fillId="7" borderId="98" xfId="2" applyFont="1" applyFill="1" applyBorder="1" applyAlignment="1" applyProtection="1">
      <alignment horizontal="center" vertical="center" wrapText="1"/>
    </xf>
    <xf numFmtId="0" fontId="25" fillId="4" borderId="14" xfId="2" applyFont="1" applyFill="1" applyBorder="1" applyAlignment="1" applyProtection="1">
      <alignment horizontal="left" vertical="center"/>
    </xf>
    <xf numFmtId="0" fontId="25" fillId="4" borderId="13" xfId="2" applyFont="1" applyFill="1" applyBorder="1" applyAlignment="1" applyProtection="1">
      <alignment horizontal="left" vertical="center"/>
    </xf>
    <xf numFmtId="0" fontId="25" fillId="4" borderId="9" xfId="2" applyFont="1" applyFill="1" applyBorder="1" applyAlignment="1" applyProtection="1">
      <alignment horizontal="left" vertical="center"/>
    </xf>
    <xf numFmtId="0" fontId="23" fillId="3" borderId="14" xfId="2" applyFont="1" applyFill="1" applyBorder="1" applyAlignment="1" applyProtection="1">
      <alignment horizontal="center" vertical="center"/>
    </xf>
    <xf numFmtId="0" fontId="23" fillId="3" borderId="13" xfId="2" applyFont="1" applyFill="1" applyBorder="1" applyAlignment="1" applyProtection="1">
      <alignment horizontal="center" vertical="center"/>
    </xf>
    <xf numFmtId="0" fontId="23" fillId="3" borderId="9" xfId="2" applyFont="1" applyFill="1" applyBorder="1" applyAlignment="1" applyProtection="1">
      <alignment horizontal="center" vertical="center"/>
    </xf>
    <xf numFmtId="0" fontId="23" fillId="3" borderId="14" xfId="0" applyFont="1" applyFill="1" applyBorder="1" applyAlignment="1" applyProtection="1">
      <alignment horizontal="center" vertical="center"/>
    </xf>
    <xf numFmtId="0" fontId="23" fillId="3" borderId="13" xfId="0" applyFont="1" applyFill="1" applyBorder="1" applyAlignment="1" applyProtection="1">
      <alignment horizontal="center" vertical="center"/>
    </xf>
    <xf numFmtId="0" fontId="23" fillId="3" borderId="9" xfId="0" applyFont="1" applyFill="1" applyBorder="1" applyAlignment="1" applyProtection="1">
      <alignment horizontal="center" vertical="center"/>
    </xf>
    <xf numFmtId="49" fontId="28" fillId="6" borderId="22" xfId="2" applyNumberFormat="1" applyFont="1" applyFill="1" applyBorder="1" applyAlignment="1" applyProtection="1">
      <alignment horizontal="left" vertical="center"/>
    </xf>
    <xf numFmtId="168" fontId="28" fillId="6" borderId="22" xfId="2" applyNumberFormat="1" applyFont="1" applyFill="1" applyBorder="1" applyAlignment="1" applyProtection="1">
      <alignment horizontal="left" vertical="center"/>
    </xf>
    <xf numFmtId="49" fontId="28" fillId="6" borderId="22" xfId="0" applyNumberFormat="1" applyFont="1" applyFill="1" applyBorder="1" applyAlignment="1" applyProtection="1">
      <alignment horizontal="left" vertical="center"/>
    </xf>
    <xf numFmtId="0" fontId="31" fillId="0" borderId="0" xfId="2" applyFont="1" applyBorder="1" applyAlignment="1" applyProtection="1">
      <alignment horizontal="center" vertical="center"/>
    </xf>
    <xf numFmtId="171" fontId="32" fillId="14" borderId="0" xfId="5" applyNumberFormat="1" applyFont="1" applyBorder="1" applyAlignment="1">
      <alignment horizontal="left" vertical="center"/>
    </xf>
    <xf numFmtId="0" fontId="36" fillId="14" borderId="0" xfId="5" applyFont="1" applyBorder="1" applyAlignment="1">
      <alignment horizontal="center" vertical="center"/>
    </xf>
    <xf numFmtId="0" fontId="26" fillId="13" borderId="73" xfId="1" applyNumberFormat="1" applyFont="1" applyFill="1" applyBorder="1" applyAlignment="1">
      <alignment horizontal="left" vertical="center" wrapText="1"/>
    </xf>
    <xf numFmtId="0" fontId="26" fillId="13" borderId="71" xfId="1" applyNumberFormat="1" applyFont="1" applyFill="1" applyBorder="1" applyAlignment="1">
      <alignment horizontal="left" vertical="center" wrapText="1"/>
    </xf>
    <xf numFmtId="0" fontId="26" fillId="13" borderId="72" xfId="1" applyNumberFormat="1" applyFont="1" applyFill="1" applyBorder="1" applyAlignment="1">
      <alignment horizontal="right" vertical="center" wrapText="1"/>
    </xf>
    <xf numFmtId="0" fontId="26" fillId="13" borderId="73" xfId="1" applyNumberFormat="1" applyFont="1" applyFill="1" applyBorder="1" applyAlignment="1">
      <alignment horizontal="right" vertical="center" wrapText="1"/>
    </xf>
    <xf numFmtId="0" fontId="13" fillId="0" borderId="0" xfId="1" applyFont="1" applyFill="1" applyBorder="1" applyAlignment="1" applyProtection="1">
      <alignment horizontal="center" vertical="center" wrapText="1"/>
    </xf>
    <xf numFmtId="0" fontId="13" fillId="0" borderId="106" xfId="1" applyFont="1" applyFill="1" applyBorder="1" applyAlignment="1" applyProtection="1">
      <alignment horizontal="center" vertical="center" wrapText="1"/>
    </xf>
    <xf numFmtId="172" fontId="26" fillId="12" borderId="72" xfId="1" applyNumberFormat="1" applyFont="1" applyFill="1" applyBorder="1" applyAlignment="1">
      <alignment horizontal="center" vertical="center" wrapText="1"/>
    </xf>
    <xf numFmtId="172" fontId="26" fillId="12" borderId="73" xfId="1" applyNumberFormat="1" applyFont="1" applyFill="1" applyBorder="1" applyAlignment="1">
      <alignment horizontal="center" vertical="center" wrapText="1"/>
    </xf>
    <xf numFmtId="172" fontId="26" fillId="12" borderId="71" xfId="1" applyNumberFormat="1" applyFont="1" applyFill="1" applyBorder="1" applyAlignment="1">
      <alignment horizontal="center" vertical="center" wrapText="1"/>
    </xf>
    <xf numFmtId="172" fontId="26" fillId="11" borderId="73" xfId="1" applyNumberFormat="1" applyFont="1" applyFill="1" applyBorder="1" applyAlignment="1">
      <alignment horizontal="center" vertical="center" wrapText="1"/>
    </xf>
    <xf numFmtId="172" fontId="26" fillId="11" borderId="71" xfId="1" applyNumberFormat="1" applyFont="1" applyFill="1" applyBorder="1" applyAlignment="1">
      <alignment horizontal="center" vertical="center" wrapText="1"/>
    </xf>
    <xf numFmtId="172" fontId="26" fillId="11" borderId="72" xfId="1" applyNumberFormat="1" applyFont="1" applyFill="1" applyBorder="1" applyAlignment="1">
      <alignment horizontal="center" vertical="center" wrapText="1"/>
    </xf>
    <xf numFmtId="0" fontId="13" fillId="10" borderId="72" xfId="1" applyNumberFormat="1" applyFont="1" applyFill="1" applyBorder="1" applyAlignment="1">
      <alignment horizontal="center" vertical="center" wrapText="1"/>
    </xf>
    <xf numFmtId="0" fontId="13" fillId="10" borderId="73" xfId="1" applyNumberFormat="1" applyFont="1" applyFill="1" applyBorder="1" applyAlignment="1">
      <alignment horizontal="center" vertical="center" wrapText="1"/>
    </xf>
    <xf numFmtId="0" fontId="13" fillId="10" borderId="71" xfId="1" applyNumberFormat="1" applyFont="1" applyFill="1" applyBorder="1" applyAlignment="1">
      <alignment horizontal="center" vertical="center" wrapText="1"/>
    </xf>
    <xf numFmtId="0" fontId="13" fillId="10" borderId="73" xfId="7" applyNumberFormat="1" applyFont="1" applyFill="1" applyBorder="1" applyAlignment="1">
      <alignment horizontal="center" vertical="center" wrapText="1"/>
    </xf>
    <xf numFmtId="0" fontId="7" fillId="0" borderId="85" xfId="4" applyFont="1" applyBorder="1" applyAlignment="1">
      <alignment horizontal="left" vertical="center" wrapText="1"/>
    </xf>
    <xf numFmtId="0" fontId="7" fillId="0" borderId="86" xfId="4" applyFont="1" applyBorder="1" applyAlignment="1">
      <alignment horizontal="left" vertical="center" wrapText="1"/>
    </xf>
    <xf numFmtId="0" fontId="7" fillId="0" borderId="87" xfId="4" applyFont="1" applyBorder="1" applyAlignment="1">
      <alignment horizontal="left" vertical="center" wrapText="1"/>
    </xf>
    <xf numFmtId="0" fontId="8" fillId="0" borderId="85" xfId="4" applyFont="1" applyBorder="1" applyAlignment="1">
      <alignment horizontal="left" vertical="center" wrapText="1"/>
    </xf>
    <xf numFmtId="0" fontId="8" fillId="0" borderId="86" xfId="4" applyFont="1" applyBorder="1" applyAlignment="1">
      <alignment horizontal="left" vertical="center" wrapText="1"/>
    </xf>
    <xf numFmtId="0" fontId="8" fillId="0" borderId="87" xfId="4" applyFont="1" applyBorder="1" applyAlignment="1">
      <alignment horizontal="left" vertical="center" wrapText="1"/>
    </xf>
    <xf numFmtId="0" fontId="16" fillId="8" borderId="49" xfId="2" applyFont="1" applyFill="1" applyBorder="1" applyAlignment="1">
      <alignment horizontal="center" vertical="center"/>
    </xf>
    <xf numFmtId="0" fontId="16" fillId="8" borderId="27" xfId="2" applyFont="1" applyFill="1" applyBorder="1" applyAlignment="1">
      <alignment horizontal="center" vertical="center"/>
    </xf>
    <xf numFmtId="0" fontId="16" fillId="8" borderId="50" xfId="2" applyFont="1" applyFill="1" applyBorder="1" applyAlignment="1">
      <alignment horizontal="center" vertical="center"/>
    </xf>
    <xf numFmtId="0" fontId="16" fillId="8" borderId="18" xfId="4" applyFont="1" applyFill="1" applyBorder="1" applyAlignment="1">
      <alignment horizontal="center" vertical="center"/>
    </xf>
    <xf numFmtId="0" fontId="16" fillId="8" borderId="19" xfId="4" applyFont="1" applyFill="1" applyBorder="1" applyAlignment="1">
      <alignment horizontal="center" vertical="center"/>
    </xf>
    <xf numFmtId="0" fontId="8" fillId="0" borderId="82" xfId="4" applyFont="1" applyBorder="1" applyAlignment="1">
      <alignment horizontal="left" vertical="center" wrapText="1"/>
    </xf>
    <xf numFmtId="0" fontId="8" fillId="0" borderId="83" xfId="4" applyFont="1" applyBorder="1" applyAlignment="1">
      <alignment horizontal="left" vertical="center" wrapText="1"/>
    </xf>
    <xf numFmtId="0" fontId="8" fillId="0" borderId="84" xfId="4" applyFont="1" applyBorder="1" applyAlignment="1">
      <alignment horizontal="left" vertical="center" wrapText="1"/>
    </xf>
    <xf numFmtId="0" fontId="16" fillId="3" borderId="14" xfId="4" applyFont="1" applyFill="1" applyBorder="1" applyAlignment="1">
      <alignment horizontal="center" vertical="center"/>
    </xf>
    <xf numFmtId="0" fontId="16" fillId="3" borderId="13" xfId="4" applyFont="1" applyFill="1" applyBorder="1" applyAlignment="1">
      <alignment horizontal="center" vertical="center"/>
    </xf>
    <xf numFmtId="0" fontId="16" fillId="3" borderId="9" xfId="4" applyFont="1" applyFill="1" applyBorder="1" applyAlignment="1">
      <alignment horizontal="center" vertical="center"/>
    </xf>
    <xf numFmtId="0" fontId="8" fillId="0" borderId="18" xfId="4" applyFont="1" applyBorder="1" applyAlignment="1">
      <alignment horizontal="left" vertical="center" wrapText="1"/>
    </xf>
    <xf numFmtId="0" fontId="8" fillId="0" borderId="20" xfId="4" applyFont="1" applyBorder="1" applyAlignment="1">
      <alignment horizontal="left" vertical="center" wrapText="1"/>
    </xf>
    <xf numFmtId="0" fontId="8" fillId="0" borderId="19" xfId="4" applyFont="1" applyBorder="1" applyAlignment="1">
      <alignment horizontal="left" vertical="center" wrapText="1"/>
    </xf>
    <xf numFmtId="0" fontId="8" fillId="0" borderId="23" xfId="4" applyFont="1" applyBorder="1" applyAlignment="1">
      <alignment horizontal="left" vertical="center" wrapText="1"/>
    </xf>
    <xf numFmtId="0" fontId="8" fillId="0" borderId="22" xfId="4" applyFont="1" applyBorder="1" applyAlignment="1">
      <alignment horizontal="left" vertical="center" wrapText="1"/>
    </xf>
    <xf numFmtId="0" fontId="8" fillId="0" borderId="24" xfId="4" applyFont="1" applyBorder="1" applyAlignment="1">
      <alignment horizontal="left" vertical="center" wrapText="1"/>
    </xf>
    <xf numFmtId="0" fontId="8" fillId="0" borderId="12" xfId="4" applyBorder="1" applyAlignment="1">
      <alignment horizontal="center" vertical="center"/>
    </xf>
    <xf numFmtId="0" fontId="8" fillId="0" borderId="16" xfId="4" applyBorder="1" applyAlignment="1">
      <alignment horizontal="center" vertical="center"/>
    </xf>
    <xf numFmtId="0" fontId="8" fillId="0" borderId="80" xfId="4" applyBorder="1" applyAlignment="1">
      <alignment horizontal="center" vertical="center"/>
    </xf>
    <xf numFmtId="0" fontId="3" fillId="0" borderId="14" xfId="4" applyFont="1" applyBorder="1" applyAlignment="1">
      <alignment horizontal="left" vertical="center"/>
    </xf>
    <xf numFmtId="0" fontId="8" fillId="0" borderId="13" xfId="4" applyFont="1" applyBorder="1" applyAlignment="1">
      <alignment horizontal="left" vertical="center"/>
    </xf>
    <xf numFmtId="0" fontId="8" fillId="0" borderId="81" xfId="4" applyFont="1" applyBorder="1" applyAlignment="1">
      <alignment horizontal="left" vertical="center"/>
    </xf>
    <xf numFmtId="0" fontId="8" fillId="0" borderId="88" xfId="4" applyFont="1" applyBorder="1" applyAlignment="1">
      <alignment horizontal="left" vertical="center" wrapText="1"/>
    </xf>
    <xf numFmtId="0" fontId="8" fillId="0" borderId="89" xfId="4" applyFont="1" applyBorder="1" applyAlignment="1">
      <alignment horizontal="left" vertical="center" wrapText="1"/>
    </xf>
    <xf numFmtId="0" fontId="8" fillId="0" borderId="90" xfId="4" applyFont="1" applyBorder="1" applyAlignment="1">
      <alignment horizontal="left" vertical="center" wrapText="1"/>
    </xf>
  </cellXfs>
  <cellStyles count="8">
    <cellStyle name="Accent5" xfId="5" builtinId="45"/>
    <cellStyle name="Lien hypertexte" xfId="3" builtinId="8"/>
    <cellStyle name="Normal" xfId="0" builtinId="0"/>
    <cellStyle name="Normal 2" xfId="1"/>
    <cellStyle name="Normal 2 2" xfId="4"/>
    <cellStyle name="Normal 2 2 2" xfId="6"/>
    <cellStyle name="Normal 2 2 3" xfId="7"/>
    <cellStyle name="Normal 3" xfId="2"/>
  </cellStyles>
  <dxfs count="1202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ill>
        <patternFill>
          <bgColor rgb="FFFF85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fgColor indexed="64"/>
          <bgColor theme="7"/>
        </patternFill>
      </fill>
    </dxf>
    <dxf>
      <fill>
        <patternFill>
          <bgColor rgb="FFFF85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9933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rgb="FFFF85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FFFF"/>
      <color rgb="FFFFFF00"/>
      <color rgb="FFE99FFF"/>
      <color rgb="FFE2EFDA"/>
      <color rgb="FFD9E1F2"/>
      <color rgb="FFFFF2CC"/>
      <color rgb="FFFCE4D6"/>
      <color rgb="FFFF99FF"/>
      <color rgb="FFFF33CC"/>
      <color rgb="FFFF85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F80" lockText="1" noThreeD="1"/>
</file>

<file path=xl/ctrlProps/ctrlProp2.xml><?xml version="1.0" encoding="utf-8"?>
<formControlPr xmlns="http://schemas.microsoft.com/office/spreadsheetml/2009/9/main" objectType="CheckBox" fmlaLink="$Q$80" lockText="1" noThreeD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#REF!" lockText="1" noThreeD="1"/>
</file>

<file path=xl/ctrlProps/ctrlProp11.xml><?xml version="1.0" encoding="utf-8"?>
<formControlPr xmlns="http://schemas.microsoft.com/office/spreadsheetml/2009/9/main" objectType="CheckBox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F80" lockText="1" noThreeD="1"/>
</file>

<file path=xl/ctrlProps/ctrlProp14.xml><?xml version="1.0" encoding="utf-8"?>
<formControlPr xmlns="http://schemas.microsoft.com/office/spreadsheetml/2009/9/main" objectType="CheckBox" fmlaLink="$Q$80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fmlaLink="#REF!" lockText="1" noThreeD="1"/>
</file>

<file path=xl/ctrlProps/ctrlProp24.xml><?xml version="1.0" encoding="utf-8"?>
<formControlPr xmlns="http://schemas.microsoft.com/office/spreadsheetml/2009/9/main" objectType="CheckBox" fmlaLink="#REF!" lockText="1" noThreeD="1"/>
</file>

<file path=xl/ctrlProps/ctrlProp25.xml><?xml version="1.0" encoding="utf-8"?>
<formControlPr xmlns="http://schemas.microsoft.com/office/spreadsheetml/2009/9/main" objectType="CheckBox" checked="Checked" fmlaLink="$O$4" lockText="1" noThreeD="1"/>
</file>

<file path=xl/ctrlProps/ctrlProp26.xml><?xml version="1.0" encoding="utf-8"?>
<formControlPr xmlns="http://schemas.microsoft.com/office/spreadsheetml/2009/9/main" objectType="CheckBox" checked="Checked" fmlaLink="$O$5" lockText="1" noThreeD="1"/>
</file>

<file path=xl/ctrlProps/ctrlProp27.xml><?xml version="1.0" encoding="utf-8"?>
<formControlPr xmlns="http://schemas.microsoft.com/office/spreadsheetml/2009/9/main" objectType="CheckBox" fmlaLink="$O$6" lockText="1" noThreeD="1"/>
</file>

<file path=xl/ctrlProps/ctrlProp28.xml><?xml version="1.0" encoding="utf-8"?>
<formControlPr xmlns="http://schemas.microsoft.com/office/spreadsheetml/2009/9/main" objectType="CheckBox" fmlaLink="$O$7" lockText="1" noThreeD="1"/>
</file>

<file path=xl/ctrlProps/ctrlProp29.xml><?xml version="1.0" encoding="utf-8"?>
<formControlPr xmlns="http://schemas.microsoft.com/office/spreadsheetml/2009/9/main" objectType="CheckBox" checked="Checked" fmlaLink="$O$8" lockText="1" noThreeD="1"/>
</file>

<file path=xl/ctrlProps/ctrlProp30.xml><?xml version="1.0" encoding="utf-8"?>
<formControlPr xmlns="http://schemas.microsoft.com/office/spreadsheetml/2009/9/main" objectType="CheckBox" checked="Checked" fmlaLink="$O$9" lockText="1" noThreeD="1"/>
</file>

<file path=xl/ctrlProps/ctrlProp31.xml><?xml version="1.0" encoding="utf-8"?>
<formControlPr xmlns="http://schemas.microsoft.com/office/spreadsheetml/2009/9/main" objectType="CheckBox" checked="Checked" fmlaLink="$O$10" lockText="1" noThreeD="1"/>
</file>

<file path=xl/ctrlProps/ctrlProp32.xml><?xml version="1.0" encoding="utf-8"?>
<formControlPr xmlns="http://schemas.microsoft.com/office/spreadsheetml/2009/9/main" objectType="CheckBox" checked="Checked" fmlaLink="$O$11" lockText="1" noThreeD="1"/>
</file>

<file path=xl/ctrlProps/ctrlProp33.xml><?xml version="1.0" encoding="utf-8"?>
<formControlPr xmlns="http://schemas.microsoft.com/office/spreadsheetml/2009/9/main" objectType="CheckBox" checked="Checked" fmlaLink="$O$12" lockText="1" noThreeD="1"/>
</file>

<file path=xl/ctrlProps/ctrlProp34.xml><?xml version="1.0" encoding="utf-8"?>
<formControlPr xmlns="http://schemas.microsoft.com/office/spreadsheetml/2009/9/main" objectType="CheckBox" checked="Checked" fmlaLink="$O$13" lockText="1" noThreeD="1"/>
</file>

<file path=xl/ctrlProps/ctrlProp35.xml><?xml version="1.0" encoding="utf-8"?>
<formControlPr xmlns="http://schemas.microsoft.com/office/spreadsheetml/2009/9/main" objectType="CheckBox" checked="Checked" fmlaLink="$O$14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7" Type="http://schemas.openxmlformats.org/officeDocument/2006/relationships/image" Target="../media/image15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419100</xdr:colOff>
      <xdr:row>93</xdr:row>
      <xdr:rowOff>24493</xdr:rowOff>
    </xdr:from>
    <xdr:to>
      <xdr:col>6</xdr:col>
      <xdr:colOff>178254</xdr:colOff>
      <xdr:row>94</xdr:row>
      <xdr:rowOff>149678</xdr:rowOff>
    </xdr:to>
    <xdr:sp macro="" textlink="">
      <xdr:nvSpPr>
        <xdr:cNvPr id="19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924300" y="9054193"/>
          <a:ext cx="273504" cy="287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61912</xdr:colOff>
      <xdr:row>92</xdr:row>
      <xdr:rowOff>83343</xdr:rowOff>
    </xdr:from>
    <xdr:to>
      <xdr:col>10</xdr:col>
      <xdr:colOff>640556</xdr:colOff>
      <xdr:row>97</xdr:row>
      <xdr:rowOff>17859</xdr:rowOff>
    </xdr:to>
    <xdr:grpSp>
      <xdr:nvGrpSpPr>
        <xdr:cNvPr id="20" name="Group 203"/>
        <xdr:cNvGrpSpPr>
          <a:grpSpLocks/>
        </xdr:cNvGrpSpPr>
      </xdr:nvGrpSpPr>
      <xdr:grpSpPr bwMode="auto">
        <a:xfrm>
          <a:off x="3671887" y="8703468"/>
          <a:ext cx="2007394" cy="753666"/>
          <a:chOff x="107487254" y="105981172"/>
          <a:chExt cx="2016000" cy="755915"/>
        </a:xfrm>
      </xdr:grpSpPr>
      <xdr:sp macro="" textlink="">
        <xdr:nvSpPr>
          <xdr:cNvPr id="21" name="Text Box 204"/>
          <xdr:cNvSpPr txBox="1">
            <a:spLocks noChangeArrowheads="1"/>
          </xdr:cNvSpPr>
        </xdr:nvSpPr>
        <xdr:spPr bwMode="auto">
          <a:xfrm>
            <a:off x="107487254" y="105981172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1" i="0" u="none" strike="noStrike" baseline="0">
                <a:solidFill>
                  <a:srgbClr val="000000"/>
                </a:solidFill>
                <a:latin typeface="Calibri"/>
              </a:rPr>
              <a:t>Légende</a:t>
            </a: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 :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AM  : Arrêt Maladie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AT   : Accident de Travail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BH   : Banque d'heure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CE   : Congès Exceptionnel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CP   : Congès Payer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2" name="Text Box 205"/>
          <xdr:cNvSpPr txBox="1">
            <a:spLocks noChangeArrowheads="1"/>
          </xdr:cNvSpPr>
        </xdr:nvSpPr>
        <xdr:spPr bwMode="auto">
          <a:xfrm>
            <a:off x="107487254" y="106584177"/>
            <a:ext cx="2016000" cy="15291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Tous les temps de travail sont indiqués en centièmes d’heures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3" name="Text Box 206"/>
          <xdr:cNvSpPr txBox="1">
            <a:spLocks noChangeArrowheads="1"/>
          </xdr:cNvSpPr>
        </xdr:nvSpPr>
        <xdr:spPr bwMode="auto">
          <a:xfrm>
            <a:off x="108495254" y="105984231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    : Jour Férié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JFT  : Jour Férié Travaillé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REC : Récupération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RH   : Repos Hebdomadaire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SS    : Sans Solde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X      : Jour Travaillé</a:t>
            </a:r>
          </a:p>
          <a:p>
            <a:pPr algn="l" rtl="0">
              <a:lnSpc>
                <a:spcPts val="600"/>
              </a:lnSpc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93</xdr:row>
          <xdr:rowOff>57150</xdr:rowOff>
        </xdr:from>
        <xdr:to>
          <xdr:col>6</xdr:col>
          <xdr:colOff>104775</xdr:colOff>
          <xdr:row>94</xdr:row>
          <xdr:rowOff>114300</xdr:rowOff>
        </xdr:to>
        <xdr:sp macro="" textlink="">
          <xdr:nvSpPr>
            <xdr:cNvPr id="140301" name="Check Box 13" hidden="1">
              <a:extLst>
                <a:ext uri="{63B3BB69-23CF-44E3-9099-C40C66FF867C}">
                  <a14:compatExt spid="_x0000_s140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419100</xdr:colOff>
      <xdr:row>93</xdr:row>
      <xdr:rowOff>24493</xdr:rowOff>
    </xdr:from>
    <xdr:ext cx="274625" cy="283748"/>
    <xdr:sp macro="" textlink="">
      <xdr:nvSpPr>
        <xdr:cNvPr id="2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96774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419100</xdr:colOff>
          <xdr:row>93</xdr:row>
          <xdr:rowOff>57150</xdr:rowOff>
        </xdr:from>
        <xdr:to>
          <xdr:col>17</xdr:col>
          <xdr:colOff>114300</xdr:colOff>
          <xdr:row>94</xdr:row>
          <xdr:rowOff>114300</xdr:rowOff>
        </xdr:to>
        <xdr:sp macro="" textlink="">
          <xdr:nvSpPr>
            <xdr:cNvPr id="140302" name="Check Box 14" hidden="1">
              <a:extLst>
                <a:ext uri="{63B3BB69-23CF-44E3-9099-C40C66FF867C}">
                  <a14:compatExt spid="_x0000_s140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419100</xdr:colOff>
      <xdr:row>93</xdr:row>
      <xdr:rowOff>24493</xdr:rowOff>
    </xdr:from>
    <xdr:ext cx="274625" cy="283748"/>
    <xdr:sp macro="" textlink="">
      <xdr:nvSpPr>
        <xdr:cNvPr id="2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96774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19</xdr:col>
      <xdr:colOff>61912</xdr:colOff>
      <xdr:row>92</xdr:row>
      <xdr:rowOff>83343</xdr:rowOff>
    </xdr:from>
    <xdr:to>
      <xdr:col>21</xdr:col>
      <xdr:colOff>640556</xdr:colOff>
      <xdr:row>97</xdr:row>
      <xdr:rowOff>17859</xdr:rowOff>
    </xdr:to>
    <xdr:grpSp>
      <xdr:nvGrpSpPr>
        <xdr:cNvPr id="28" name="Group 203"/>
        <xdr:cNvGrpSpPr>
          <a:grpSpLocks/>
        </xdr:cNvGrpSpPr>
      </xdr:nvGrpSpPr>
      <xdr:grpSpPr bwMode="auto">
        <a:xfrm>
          <a:off x="9424987" y="8703468"/>
          <a:ext cx="2007394" cy="753666"/>
          <a:chOff x="107487254" y="105981172"/>
          <a:chExt cx="2016000" cy="755915"/>
        </a:xfrm>
      </xdr:grpSpPr>
      <xdr:sp macro="" textlink="">
        <xdr:nvSpPr>
          <xdr:cNvPr id="29" name="Text Box 204"/>
          <xdr:cNvSpPr txBox="1">
            <a:spLocks noChangeArrowheads="1"/>
          </xdr:cNvSpPr>
        </xdr:nvSpPr>
        <xdr:spPr bwMode="auto">
          <a:xfrm>
            <a:off x="107487254" y="105981172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1" i="0" u="none" strike="noStrike" baseline="0">
                <a:solidFill>
                  <a:srgbClr val="000000"/>
                </a:solidFill>
                <a:latin typeface="Calibri"/>
              </a:rPr>
              <a:t>Légende</a:t>
            </a: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 :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AM  : Arrêt Maladie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AT   : Accident de Travail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BH   : Banque d'heure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CE   : Congès Exceptionnel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CP   : Congès Payer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30" name="Text Box 205"/>
          <xdr:cNvSpPr txBox="1">
            <a:spLocks noChangeArrowheads="1"/>
          </xdr:cNvSpPr>
        </xdr:nvSpPr>
        <xdr:spPr bwMode="auto">
          <a:xfrm>
            <a:off x="107487254" y="106584177"/>
            <a:ext cx="2016000" cy="15291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Tous les temps de travail sont indiqués en centièmes d’heures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31" name="Text Box 206"/>
          <xdr:cNvSpPr txBox="1">
            <a:spLocks noChangeArrowheads="1"/>
          </xdr:cNvSpPr>
        </xdr:nvSpPr>
        <xdr:spPr bwMode="auto">
          <a:xfrm>
            <a:off x="108495254" y="105984231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    : Jour Férié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JFT  : Jour Férié Travaillé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REC : Récupération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RH   : Repos Hebdomadaire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SS    : Sans Solde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X      : Jour Travaillé</a:t>
            </a:r>
          </a:p>
          <a:p>
            <a:pPr algn="l" rtl="0">
              <a:lnSpc>
                <a:spcPts val="600"/>
              </a:lnSpc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</xdr:grpSp>
    <xdr:clientData/>
  </xdr:twoCellAnchor>
  <xdr:oneCellAnchor>
    <xdr:from>
      <xdr:col>22</xdr:col>
      <xdr:colOff>0</xdr:colOff>
      <xdr:row>95</xdr:row>
      <xdr:rowOff>24493</xdr:rowOff>
    </xdr:from>
    <xdr:ext cx="274625" cy="283748"/>
    <xdr:sp macro="" textlink="">
      <xdr:nvSpPr>
        <xdr:cNvPr id="3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387568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95</xdr:row>
      <xdr:rowOff>24493</xdr:rowOff>
    </xdr:from>
    <xdr:ext cx="274625" cy="283748"/>
    <xdr:sp macro="" textlink="">
      <xdr:nvSpPr>
        <xdr:cNvPr id="3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387568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38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11836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3" name="Check Box 15" hidden="1">
              <a:extLst>
                <a:ext uri="{63B3BB69-23CF-44E3-9099-C40C66FF867C}">
                  <a14:compatExt spid="_x0000_s140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11836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69367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4" name="Check Box 16" hidden="1">
              <a:extLst>
                <a:ext uri="{63B3BB69-23CF-44E3-9099-C40C66FF867C}">
                  <a14:compatExt spid="_x0000_s140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69367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5" name="Check Box 17" hidden="1">
              <a:extLst>
                <a:ext uri="{63B3BB69-23CF-44E3-9099-C40C66FF867C}">
                  <a14:compatExt spid="_x0000_s140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4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26898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6" name="Check Box 18" hidden="1">
              <a:extLst>
                <a:ext uri="{63B3BB69-23CF-44E3-9099-C40C66FF867C}">
                  <a14:compatExt spid="_x0000_s140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26898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8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7" name="Check Box 19" hidden="1">
              <a:extLst>
                <a:ext uri="{63B3BB69-23CF-44E3-9099-C40C66FF867C}">
                  <a14:compatExt spid="_x0000_s140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1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8" name="Check Box 20" hidden="1">
              <a:extLst>
                <a:ext uri="{63B3BB69-23CF-44E3-9099-C40C66FF867C}">
                  <a14:compatExt spid="_x0000_s140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4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09" name="Check Box 21" hidden="1">
              <a:extLst>
                <a:ext uri="{63B3BB69-23CF-44E3-9099-C40C66FF867C}">
                  <a14:compatExt spid="_x0000_s140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6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10" name="Check Box 22" hidden="1">
              <a:extLst>
                <a:ext uri="{63B3BB69-23CF-44E3-9099-C40C66FF867C}">
                  <a14:compatExt spid="_x0000_s140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9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11" name="Check Box 23" hidden="1">
              <a:extLst>
                <a:ext uri="{63B3BB69-23CF-44E3-9099-C40C66FF867C}">
                  <a14:compatExt spid="_x0000_s140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40312" name="Check Box 24" hidden="1">
              <a:extLst>
                <a:ext uri="{63B3BB69-23CF-44E3-9099-C40C66FF867C}">
                  <a14:compatExt spid="_x0000_s140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419100</xdr:colOff>
      <xdr:row>93</xdr:row>
      <xdr:rowOff>24493</xdr:rowOff>
    </xdr:from>
    <xdr:to>
      <xdr:col>6</xdr:col>
      <xdr:colOff>178254</xdr:colOff>
      <xdr:row>94</xdr:row>
      <xdr:rowOff>149678</xdr:rowOff>
    </xdr:to>
    <xdr:sp macro="" textlink="">
      <xdr:nvSpPr>
        <xdr:cNvPr id="19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924300" y="9054193"/>
          <a:ext cx="273504" cy="287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61912</xdr:colOff>
      <xdr:row>92</xdr:row>
      <xdr:rowOff>83343</xdr:rowOff>
    </xdr:from>
    <xdr:to>
      <xdr:col>10</xdr:col>
      <xdr:colOff>640556</xdr:colOff>
      <xdr:row>97</xdr:row>
      <xdr:rowOff>17859</xdr:rowOff>
    </xdr:to>
    <xdr:grpSp>
      <xdr:nvGrpSpPr>
        <xdr:cNvPr id="20" name="Group 203"/>
        <xdr:cNvGrpSpPr>
          <a:grpSpLocks/>
        </xdr:cNvGrpSpPr>
      </xdr:nvGrpSpPr>
      <xdr:grpSpPr bwMode="auto">
        <a:xfrm>
          <a:off x="3671887" y="8703468"/>
          <a:ext cx="2007394" cy="753666"/>
          <a:chOff x="107487254" y="105981172"/>
          <a:chExt cx="2016000" cy="755915"/>
        </a:xfrm>
      </xdr:grpSpPr>
      <xdr:sp macro="" textlink="">
        <xdr:nvSpPr>
          <xdr:cNvPr id="21" name="Text Box 204"/>
          <xdr:cNvSpPr txBox="1">
            <a:spLocks noChangeArrowheads="1"/>
          </xdr:cNvSpPr>
        </xdr:nvSpPr>
        <xdr:spPr bwMode="auto">
          <a:xfrm>
            <a:off x="107487254" y="105981172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1" i="0" u="none" strike="noStrike" baseline="0">
                <a:solidFill>
                  <a:srgbClr val="000000"/>
                </a:solidFill>
                <a:latin typeface="Calibri"/>
              </a:rPr>
              <a:t>Légende</a:t>
            </a: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 :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AM  : Arrêt Maladie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AT   : Accident de Travail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BH   : Banque d'heure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CE   : Congès Exceptionnel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CP   : Congès Payer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2" name="Text Box 205"/>
          <xdr:cNvSpPr txBox="1">
            <a:spLocks noChangeArrowheads="1"/>
          </xdr:cNvSpPr>
        </xdr:nvSpPr>
        <xdr:spPr bwMode="auto">
          <a:xfrm>
            <a:off x="107487254" y="106584177"/>
            <a:ext cx="2016000" cy="15291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Tous les temps de travail sont indiqués en centièmes d’heures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3" name="Text Box 206"/>
          <xdr:cNvSpPr txBox="1">
            <a:spLocks noChangeArrowheads="1"/>
          </xdr:cNvSpPr>
        </xdr:nvSpPr>
        <xdr:spPr bwMode="auto">
          <a:xfrm>
            <a:off x="108495254" y="105984231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    : Jour Férié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JFT  : Jour Férié Travaillé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REC : Récupération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RH   : Repos Hebdomadaire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SS    : Sans Solde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X      : Jour Travaillé</a:t>
            </a:r>
          </a:p>
          <a:p>
            <a:pPr algn="l" rtl="0">
              <a:lnSpc>
                <a:spcPts val="600"/>
              </a:lnSpc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93</xdr:row>
          <xdr:rowOff>57150</xdr:rowOff>
        </xdr:from>
        <xdr:to>
          <xdr:col>6</xdr:col>
          <xdr:colOff>104775</xdr:colOff>
          <xdr:row>94</xdr:row>
          <xdr:rowOff>114300</xdr:rowOff>
        </xdr:to>
        <xdr:sp macro="" textlink="">
          <xdr:nvSpPr>
            <xdr:cNvPr id="132109" name="Check Box 13" hidden="1">
              <a:extLst>
                <a:ext uri="{63B3BB69-23CF-44E3-9099-C40C66FF867C}">
                  <a14:compatExt spid="_x0000_s13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419100</xdr:colOff>
      <xdr:row>93</xdr:row>
      <xdr:rowOff>24493</xdr:rowOff>
    </xdr:from>
    <xdr:ext cx="274625" cy="283748"/>
    <xdr:sp macro="" textlink="">
      <xdr:nvSpPr>
        <xdr:cNvPr id="2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96774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419100</xdr:colOff>
          <xdr:row>93</xdr:row>
          <xdr:rowOff>57150</xdr:rowOff>
        </xdr:from>
        <xdr:to>
          <xdr:col>17</xdr:col>
          <xdr:colOff>114300</xdr:colOff>
          <xdr:row>94</xdr:row>
          <xdr:rowOff>114300</xdr:rowOff>
        </xdr:to>
        <xdr:sp macro="" textlink="">
          <xdr:nvSpPr>
            <xdr:cNvPr id="132110" name="Check Box 14" hidden="1">
              <a:extLst>
                <a:ext uri="{63B3BB69-23CF-44E3-9099-C40C66FF867C}">
                  <a14:compatExt spid="_x0000_s13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419100</xdr:colOff>
      <xdr:row>93</xdr:row>
      <xdr:rowOff>24493</xdr:rowOff>
    </xdr:from>
    <xdr:ext cx="274625" cy="283748"/>
    <xdr:sp macro="" textlink="">
      <xdr:nvSpPr>
        <xdr:cNvPr id="2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96774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19</xdr:col>
      <xdr:colOff>61912</xdr:colOff>
      <xdr:row>92</xdr:row>
      <xdr:rowOff>83343</xdr:rowOff>
    </xdr:from>
    <xdr:to>
      <xdr:col>21</xdr:col>
      <xdr:colOff>640556</xdr:colOff>
      <xdr:row>97</xdr:row>
      <xdr:rowOff>17859</xdr:rowOff>
    </xdr:to>
    <xdr:grpSp>
      <xdr:nvGrpSpPr>
        <xdr:cNvPr id="28" name="Group 203"/>
        <xdr:cNvGrpSpPr>
          <a:grpSpLocks/>
        </xdr:cNvGrpSpPr>
      </xdr:nvGrpSpPr>
      <xdr:grpSpPr bwMode="auto">
        <a:xfrm>
          <a:off x="9424987" y="8703468"/>
          <a:ext cx="2007394" cy="753666"/>
          <a:chOff x="107487254" y="105981172"/>
          <a:chExt cx="2016000" cy="755915"/>
        </a:xfrm>
      </xdr:grpSpPr>
      <xdr:sp macro="" textlink="">
        <xdr:nvSpPr>
          <xdr:cNvPr id="29" name="Text Box 204"/>
          <xdr:cNvSpPr txBox="1">
            <a:spLocks noChangeArrowheads="1"/>
          </xdr:cNvSpPr>
        </xdr:nvSpPr>
        <xdr:spPr bwMode="auto">
          <a:xfrm>
            <a:off x="107487254" y="105981172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1" i="0" u="none" strike="noStrike" baseline="0">
                <a:solidFill>
                  <a:srgbClr val="000000"/>
                </a:solidFill>
                <a:latin typeface="Calibri"/>
              </a:rPr>
              <a:t>Légende</a:t>
            </a: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 :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AM  : Arrêt Maladie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AT   : Accident de Travail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BH   : Banque d'heure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CE   : Congès Exceptionnel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CP   : Congès Payer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30" name="Text Box 205"/>
          <xdr:cNvSpPr txBox="1">
            <a:spLocks noChangeArrowheads="1"/>
          </xdr:cNvSpPr>
        </xdr:nvSpPr>
        <xdr:spPr bwMode="auto">
          <a:xfrm>
            <a:off x="107487254" y="106584177"/>
            <a:ext cx="2016000" cy="15291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Tous les temps de travail sont indiqués en centièmes d’heures</a:t>
            </a:r>
          </a:p>
          <a:p>
            <a:pPr algn="l" rtl="0"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31" name="Text Box 206"/>
          <xdr:cNvSpPr txBox="1">
            <a:spLocks noChangeArrowheads="1"/>
          </xdr:cNvSpPr>
        </xdr:nvSpPr>
        <xdr:spPr bwMode="auto">
          <a:xfrm>
            <a:off x="108495254" y="105984231"/>
            <a:ext cx="1008000" cy="648000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  <xdr:txBody>
          <a:bodyPr vertOverflow="clip" wrap="square" lIns="36576" tIns="36576" rIns="36576" bIns="36576" anchor="t" upright="1"/>
          <a:lstStyle/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    : Jour Férié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JFT  : Jour Férié Travaillé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REC : Récupération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RH   : Repos Hebdomadaire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SS    : Sans Solde</a:t>
            </a:r>
          </a:p>
          <a:p>
            <a:pPr algn="l" rtl="0">
              <a:defRPr sz="1000"/>
            </a:pPr>
            <a:r>
              <a:rPr lang="fr-FR" sz="600" b="0" i="0" u="none" strike="noStrike" baseline="0">
                <a:solidFill>
                  <a:srgbClr val="000000"/>
                </a:solidFill>
                <a:latin typeface="Calibri"/>
              </a:rPr>
              <a:t>X      : Jour Travaillé</a:t>
            </a:r>
          </a:p>
          <a:p>
            <a:pPr algn="l" rtl="0">
              <a:lnSpc>
                <a:spcPts val="600"/>
              </a:lnSpc>
              <a:defRPr sz="1000"/>
            </a:pPr>
            <a:endParaRPr lang="fr-FR" sz="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</xdr:grpSp>
    <xdr:clientData/>
  </xdr:twoCellAnchor>
  <xdr:oneCellAnchor>
    <xdr:from>
      <xdr:col>22</xdr:col>
      <xdr:colOff>0</xdr:colOff>
      <xdr:row>95</xdr:row>
      <xdr:rowOff>24493</xdr:rowOff>
    </xdr:from>
    <xdr:ext cx="274625" cy="283748"/>
    <xdr:sp macro="" textlink="">
      <xdr:nvSpPr>
        <xdr:cNvPr id="3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387568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95</xdr:row>
      <xdr:rowOff>24493</xdr:rowOff>
    </xdr:from>
    <xdr:ext cx="274625" cy="283748"/>
    <xdr:sp macro="" textlink="">
      <xdr:nvSpPr>
        <xdr:cNvPr id="3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387568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38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11836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1" name="Check Box 15" hidden="1">
              <a:extLst>
                <a:ext uri="{63B3BB69-23CF-44E3-9099-C40C66FF867C}">
                  <a14:compatExt spid="_x0000_s13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11836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69367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2" name="Check Box 16" hidden="1">
              <a:extLst>
                <a:ext uri="{63B3BB69-23CF-44E3-9099-C40C66FF867C}">
                  <a14:compatExt spid="_x0000_s13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4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269367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3" name="Check Box 17" hidden="1">
              <a:extLst>
                <a:ext uri="{63B3BB69-23CF-44E3-9099-C40C66FF867C}">
                  <a14:compatExt spid="_x0000_s13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4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154305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26898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4" name="Check Box 18" hidden="1">
              <a:extLst>
                <a:ext uri="{63B3BB69-23CF-44E3-9099-C40C66FF867C}">
                  <a14:compatExt spid="_x0000_s13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26898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58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5" name="Check Box 19" hidden="1">
              <a:extLst>
                <a:ext uri="{63B3BB69-23CF-44E3-9099-C40C66FF867C}">
                  <a14:compatExt spid="_x0000_s13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1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6" name="Check Box 20" hidden="1">
              <a:extLst>
                <a:ext uri="{63B3BB69-23CF-44E3-9099-C40C66FF867C}">
                  <a14:compatExt spid="_x0000_s13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4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7" name="Check Box 21" hidden="1">
              <a:extLst>
                <a:ext uri="{63B3BB69-23CF-44E3-9099-C40C66FF867C}">
                  <a14:compatExt spid="_x0000_s13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6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7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8" name="Check Box 22" hidden="1">
              <a:extLst>
                <a:ext uri="{63B3BB69-23CF-44E3-9099-C40C66FF867C}">
                  <a14:compatExt spid="_x0000_s13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69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0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19" name="Check Box 23" hidden="1">
              <a:extLst>
                <a:ext uri="{63B3BB69-23CF-44E3-9099-C40C66FF867C}">
                  <a14:compatExt spid="_x0000_s13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2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3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93</xdr:row>
          <xdr:rowOff>57150</xdr:rowOff>
        </xdr:from>
        <xdr:to>
          <xdr:col>22</xdr:col>
          <xdr:colOff>209550</xdr:colOff>
          <xdr:row>94</xdr:row>
          <xdr:rowOff>114300</xdr:rowOff>
        </xdr:to>
        <xdr:sp macro="" textlink="">
          <xdr:nvSpPr>
            <xdr:cNvPr id="132120" name="Check Box 24" hidden="1">
              <a:extLst>
                <a:ext uri="{63B3BB69-23CF-44E3-9099-C40C66FF867C}">
                  <a14:compatExt spid="_x0000_s13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22</xdr:col>
      <xdr:colOff>0</xdr:colOff>
      <xdr:row>93</xdr:row>
      <xdr:rowOff>24493</xdr:rowOff>
    </xdr:from>
    <xdr:ext cx="274625" cy="283748"/>
    <xdr:sp macro="" textlink="">
      <xdr:nvSpPr>
        <xdr:cNvPr id="75" name="Check Box 168" hidden="1">
          <a:extLst>
            <a:ext uri="{63B3BB69-23CF-44E3-9099-C40C66FF867C}">
              <a14:compatExt xmlns:a14="http://schemas.microsoft.com/office/drawing/2010/main" spid="_x0000_s18600"/>
            </a:ext>
          </a:extLst>
        </xdr:cNvPr>
        <xdr:cNvSpPr/>
      </xdr:nvSpPr>
      <xdr:spPr bwMode="auto">
        <a:xfrm>
          <a:off x="36156900" y="9054193"/>
          <a:ext cx="274625" cy="283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0</xdr:row>
          <xdr:rowOff>47625</xdr:rowOff>
        </xdr:from>
        <xdr:to>
          <xdr:col>13</xdr:col>
          <xdr:colOff>419100</xdr:colOff>
          <xdr:row>0</xdr:row>
          <xdr:rowOff>342900</xdr:rowOff>
        </xdr:to>
        <xdr:sp macro="" textlink="">
          <xdr:nvSpPr>
            <xdr:cNvPr id="4110" name="CommandButton1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47625</xdr:colOff>
          <xdr:row>0</xdr:row>
          <xdr:rowOff>57150</xdr:rowOff>
        </xdr:from>
        <xdr:to>
          <xdr:col>22</xdr:col>
          <xdr:colOff>419100</xdr:colOff>
          <xdr:row>0</xdr:row>
          <xdr:rowOff>342900</xdr:rowOff>
        </xdr:to>
        <xdr:sp macro="" textlink="">
          <xdr:nvSpPr>
            <xdr:cNvPr id="4111" name="CommandButton2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66675</xdr:colOff>
          <xdr:row>0</xdr:row>
          <xdr:rowOff>47625</xdr:rowOff>
        </xdr:from>
        <xdr:to>
          <xdr:col>31</xdr:col>
          <xdr:colOff>419100</xdr:colOff>
          <xdr:row>0</xdr:row>
          <xdr:rowOff>342900</xdr:rowOff>
        </xdr:to>
        <xdr:sp macro="" textlink="">
          <xdr:nvSpPr>
            <xdr:cNvPr id="4112" name="CommandButton3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66675</xdr:colOff>
          <xdr:row>0</xdr:row>
          <xdr:rowOff>47625</xdr:rowOff>
        </xdr:from>
        <xdr:to>
          <xdr:col>40</xdr:col>
          <xdr:colOff>419100</xdr:colOff>
          <xdr:row>0</xdr:row>
          <xdr:rowOff>342900</xdr:rowOff>
        </xdr:to>
        <xdr:sp macro="" textlink="">
          <xdr:nvSpPr>
            <xdr:cNvPr id="4113" name="CommandButton4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66675</xdr:colOff>
          <xdr:row>0</xdr:row>
          <xdr:rowOff>47625</xdr:rowOff>
        </xdr:from>
        <xdr:to>
          <xdr:col>49</xdr:col>
          <xdr:colOff>419100</xdr:colOff>
          <xdr:row>0</xdr:row>
          <xdr:rowOff>342900</xdr:rowOff>
        </xdr:to>
        <xdr:sp macro="" textlink="">
          <xdr:nvSpPr>
            <xdr:cNvPr id="4114" name="CommandButton5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66675</xdr:colOff>
          <xdr:row>0</xdr:row>
          <xdr:rowOff>47625</xdr:rowOff>
        </xdr:from>
        <xdr:to>
          <xdr:col>58</xdr:col>
          <xdr:colOff>419100</xdr:colOff>
          <xdr:row>0</xdr:row>
          <xdr:rowOff>342900</xdr:rowOff>
        </xdr:to>
        <xdr:sp macro="" textlink="">
          <xdr:nvSpPr>
            <xdr:cNvPr id="4115" name="CommandButton6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</xdr:row>
          <xdr:rowOff>276225</xdr:rowOff>
        </xdr:from>
        <xdr:to>
          <xdr:col>4</xdr:col>
          <xdr:colOff>9525</xdr:colOff>
          <xdr:row>4</xdr:row>
          <xdr:rowOff>104775</xdr:rowOff>
        </xdr:to>
        <xdr:sp macro="" textlink="">
          <xdr:nvSpPr>
            <xdr:cNvPr id="138241" name="CommandButton1" hidden="1">
              <a:extLst>
                <a:ext uri="{63B3BB69-23CF-44E3-9099-C40C66FF867C}">
                  <a14:compatExt spid="_x0000_s13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5</xdr:col>
      <xdr:colOff>647700</xdr:colOff>
      <xdr:row>2</xdr:row>
      <xdr:rowOff>238125</xdr:rowOff>
    </xdr:from>
    <xdr:to>
      <xdr:col>8</xdr:col>
      <xdr:colOff>657225</xdr:colOff>
      <xdr:row>6</xdr:row>
      <xdr:rowOff>171450</xdr:rowOff>
    </xdr:to>
    <xdr:sp macro="" textlink="">
      <xdr:nvSpPr>
        <xdr:cNvPr id="3" name="Rectangle à coins arrondis 2"/>
        <xdr:cNvSpPr/>
      </xdr:nvSpPr>
      <xdr:spPr>
        <a:xfrm>
          <a:off x="5257800" y="971550"/>
          <a:ext cx="2295525" cy="9048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Note :</a:t>
          </a:r>
          <a:r>
            <a:rPr lang="fr-FR" sz="1100"/>
            <a:t> Inscrire "1" à côté des noms</a:t>
          </a:r>
          <a:r>
            <a:rPr lang="fr-FR" sz="1100" baseline="0"/>
            <a:t> que vous désirez imprimer et "0" à côté des noms que vous ne désirez pas imprimer.</a:t>
          </a:r>
          <a:endParaRPr lang="fr-FR" sz="1100"/>
        </a:p>
      </xdr:txBody>
    </xdr:sp>
    <xdr:clientData/>
  </xdr:twoCellAnchor>
  <xdr:twoCellAnchor>
    <xdr:from>
      <xdr:col>6</xdr:col>
      <xdr:colOff>266700</xdr:colOff>
      <xdr:row>7</xdr:row>
      <xdr:rowOff>47625</xdr:rowOff>
    </xdr:from>
    <xdr:to>
      <xdr:col>8</xdr:col>
      <xdr:colOff>295275</xdr:colOff>
      <xdr:row>19</xdr:row>
      <xdr:rowOff>171450</xdr:rowOff>
    </xdr:to>
    <xdr:sp macro="" textlink="">
      <xdr:nvSpPr>
        <xdr:cNvPr id="9" name="Rectangle à coins arrondis 8"/>
        <xdr:cNvSpPr/>
      </xdr:nvSpPr>
      <xdr:spPr>
        <a:xfrm>
          <a:off x="5638800" y="2000250"/>
          <a:ext cx="1552575" cy="3095625"/>
        </a:xfrm>
        <a:prstGeom prst="roundRect">
          <a:avLst>
            <a:gd name="adj" fmla="val 68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7</xdr:row>
          <xdr:rowOff>209550</xdr:rowOff>
        </xdr:from>
        <xdr:to>
          <xdr:col>8</xdr:col>
          <xdr:colOff>152400</xdr:colOff>
          <xdr:row>9</xdr:row>
          <xdr:rowOff>76200</xdr:rowOff>
        </xdr:to>
        <xdr:sp macro="" textlink="">
          <xdr:nvSpPr>
            <xdr:cNvPr id="138242" name="CommandButton2" hidden="1">
              <a:extLst>
                <a:ext uri="{63B3BB69-23CF-44E3-9099-C40C66FF867C}">
                  <a14:compatExt spid="_x0000_s13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9</xdr:row>
          <xdr:rowOff>200025</xdr:rowOff>
        </xdr:from>
        <xdr:to>
          <xdr:col>8</xdr:col>
          <xdr:colOff>152400</xdr:colOff>
          <xdr:row>11</xdr:row>
          <xdr:rowOff>66675</xdr:rowOff>
        </xdr:to>
        <xdr:sp macro="" textlink="">
          <xdr:nvSpPr>
            <xdr:cNvPr id="138243" name="CommandButton3" hidden="1">
              <a:extLst>
                <a:ext uri="{63B3BB69-23CF-44E3-9099-C40C66FF867C}">
                  <a14:compatExt spid="_x0000_s13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11</xdr:row>
          <xdr:rowOff>190500</xdr:rowOff>
        </xdr:from>
        <xdr:to>
          <xdr:col>8</xdr:col>
          <xdr:colOff>152400</xdr:colOff>
          <xdr:row>13</xdr:row>
          <xdr:rowOff>57150</xdr:rowOff>
        </xdr:to>
        <xdr:sp macro="" textlink="">
          <xdr:nvSpPr>
            <xdr:cNvPr id="138244" name="CommandButton4" hidden="1">
              <a:extLst>
                <a:ext uri="{63B3BB69-23CF-44E3-9099-C40C66FF867C}">
                  <a14:compatExt spid="_x0000_s138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13</xdr:row>
          <xdr:rowOff>180975</xdr:rowOff>
        </xdr:from>
        <xdr:to>
          <xdr:col>8</xdr:col>
          <xdr:colOff>152400</xdr:colOff>
          <xdr:row>15</xdr:row>
          <xdr:rowOff>47625</xdr:rowOff>
        </xdr:to>
        <xdr:sp macro="" textlink="">
          <xdr:nvSpPr>
            <xdr:cNvPr id="138245" name="CommandButton5" hidden="1">
              <a:extLst>
                <a:ext uri="{63B3BB69-23CF-44E3-9099-C40C66FF867C}">
                  <a14:compatExt spid="_x0000_s138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171450</xdr:rowOff>
        </xdr:from>
        <xdr:to>
          <xdr:col>8</xdr:col>
          <xdr:colOff>152400</xdr:colOff>
          <xdr:row>17</xdr:row>
          <xdr:rowOff>38100</xdr:rowOff>
        </xdr:to>
        <xdr:sp macro="" textlink="">
          <xdr:nvSpPr>
            <xdr:cNvPr id="138246" name="CommandButton6" hidden="1">
              <a:extLst>
                <a:ext uri="{63B3BB69-23CF-44E3-9099-C40C66FF867C}">
                  <a14:compatExt spid="_x0000_s138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17</xdr:row>
          <xdr:rowOff>161925</xdr:rowOff>
        </xdr:from>
        <xdr:to>
          <xdr:col>8</xdr:col>
          <xdr:colOff>152400</xdr:colOff>
          <xdr:row>19</xdr:row>
          <xdr:rowOff>28575</xdr:rowOff>
        </xdr:to>
        <xdr:sp macro="" textlink="">
          <xdr:nvSpPr>
            <xdr:cNvPr id="138247" name="CommandButton7" hidden="1">
              <a:extLst>
                <a:ext uri="{63B3BB69-23CF-44E3-9099-C40C66FF867C}">
                  <a14:compatExt spid="_x0000_s138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</xdr:row>
          <xdr:rowOff>257175</xdr:rowOff>
        </xdr:from>
        <xdr:to>
          <xdr:col>13</xdr:col>
          <xdr:colOff>571500</xdr:colOff>
          <xdr:row>4</xdr:row>
          <xdr:rowOff>9525</xdr:rowOff>
        </xdr:to>
        <xdr:sp macro="" textlink="">
          <xdr:nvSpPr>
            <xdr:cNvPr id="29697" name="Check Box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3</xdr:row>
          <xdr:rowOff>180975</xdr:rowOff>
        </xdr:from>
        <xdr:to>
          <xdr:col>13</xdr:col>
          <xdr:colOff>571500</xdr:colOff>
          <xdr:row>4</xdr:row>
          <xdr:rowOff>190500</xdr:rowOff>
        </xdr:to>
        <xdr:sp macro="" textlink="">
          <xdr:nvSpPr>
            <xdr:cNvPr id="29698" name="Check Box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4</xdr:row>
          <xdr:rowOff>180975</xdr:rowOff>
        </xdr:from>
        <xdr:to>
          <xdr:col>13</xdr:col>
          <xdr:colOff>571500</xdr:colOff>
          <xdr:row>6</xdr:row>
          <xdr:rowOff>0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5</xdr:row>
          <xdr:rowOff>180975</xdr:rowOff>
        </xdr:from>
        <xdr:to>
          <xdr:col>13</xdr:col>
          <xdr:colOff>571500</xdr:colOff>
          <xdr:row>7</xdr:row>
          <xdr:rowOff>9525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6</xdr:row>
          <xdr:rowOff>180975</xdr:rowOff>
        </xdr:from>
        <xdr:to>
          <xdr:col>13</xdr:col>
          <xdr:colOff>571500</xdr:colOff>
          <xdr:row>8</xdr:row>
          <xdr:rowOff>9525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7</xdr:row>
          <xdr:rowOff>180975</xdr:rowOff>
        </xdr:from>
        <xdr:to>
          <xdr:col>13</xdr:col>
          <xdr:colOff>571500</xdr:colOff>
          <xdr:row>9</xdr:row>
          <xdr:rowOff>9525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8</xdr:row>
          <xdr:rowOff>180975</xdr:rowOff>
        </xdr:from>
        <xdr:to>
          <xdr:col>13</xdr:col>
          <xdr:colOff>571500</xdr:colOff>
          <xdr:row>10</xdr:row>
          <xdr:rowOff>19050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9</xdr:row>
          <xdr:rowOff>180975</xdr:rowOff>
        </xdr:from>
        <xdr:to>
          <xdr:col>13</xdr:col>
          <xdr:colOff>571500</xdr:colOff>
          <xdr:row>11</xdr:row>
          <xdr:rowOff>19050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10</xdr:row>
          <xdr:rowOff>180975</xdr:rowOff>
        </xdr:from>
        <xdr:to>
          <xdr:col>13</xdr:col>
          <xdr:colOff>571500</xdr:colOff>
          <xdr:row>12</xdr:row>
          <xdr:rowOff>28575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11</xdr:row>
          <xdr:rowOff>180975</xdr:rowOff>
        </xdr:from>
        <xdr:to>
          <xdr:col>13</xdr:col>
          <xdr:colOff>571500</xdr:colOff>
          <xdr:row>13</xdr:row>
          <xdr:rowOff>9525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1609725</xdr:colOff>
          <xdr:row>12</xdr:row>
          <xdr:rowOff>171450</xdr:rowOff>
        </xdr:from>
        <xdr:to>
          <xdr:col>13</xdr:col>
          <xdr:colOff>600075</xdr:colOff>
          <xdr:row>13</xdr:row>
          <xdr:rowOff>190500</xdr:rowOff>
        </xdr:to>
        <xdr:sp macro="" textlink="">
          <xdr:nvSpPr>
            <xdr:cNvPr id="29707" name="Check Box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On / Off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Agents" displayName="Agents" ref="A2:L4" totalsRowShown="0" headerRowDxfId="1201" dataDxfId="1200" headerRowCellStyle="Normal 2" dataCellStyle="Normal 2">
  <tableColumns count="12">
    <tableColumn id="1" name="Service" dataDxfId="1199"/>
    <tableColumn id="2" name="Poste" dataDxfId="1198"/>
    <tableColumn id="3" name="Agent" dataDxfId="1197" dataCellStyle="Lien hypertexte"/>
    <tableColumn id="4" name="BH N-1" dataDxfId="1196" dataCellStyle="Normal 2"/>
    <tableColumn id="5" name="CP au 1er Janvier" dataDxfId="1195" dataCellStyle="Normal 2"/>
    <tableColumn id="6" name="CP" dataDxfId="1194" dataCellStyle="Normal 2"/>
    <tableColumn id="7" name="Jour ancienneté" dataDxfId="1193" dataCellStyle="Normal 2"/>
    <tableColumn id="8" name="Total" dataDxfId="1192" dataCellStyle="Normal 2">
      <calculatedColumnFormula>SUM(F3:G3)</calculatedColumnFormula>
    </tableColumn>
    <tableColumn id="9" name="Heure Annuelle" dataDxfId="1191" dataCellStyle="Normal 2">
      <calculatedColumnFormula>Config!$N$21-(Récap!G3*7)</calculatedColumnFormula>
    </tableColumn>
    <tableColumn id="10" name="Reste CP au 31 Déc" dataDxfId="1190" dataCellStyle="Normal 2">
      <calculatedColumnFormula>INDIRECT(ADDRESS(91,129,,,$C3))</calculatedColumnFormula>
    </tableColumn>
    <tableColumn id="11" name="Début de contrat" dataDxfId="1189" dataCellStyle="Normal 2"/>
    <tableColumn id="12" name="Fin de contrat" dataDxfId="1188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RecapJanv" displayName="RecapJanv" ref="M2:U4" headerRowDxfId="1187" dataDxfId="1186" headerRowCellStyle="Normal 2" dataCellStyle="Normal 2">
  <tableColumns count="9">
    <tableColumn id="1" name="Heures Travaillées" totalsRowFunction="sum" dataDxfId="1185" totalsRowDxfId="1043" dataCellStyle="Normal 2">
      <calculatedColumnFormula>INDIRECT(ADDRESS(84,7,,,$C3))</calculatedColumnFormula>
    </tableColumn>
    <tableColumn id="4" name="Heures Supp." totalsRowFunction="sum" dataDxfId="1184" totalsRowDxfId="1044" dataCellStyle="Normal 2">
      <calculatedColumnFormula>INDIRECT(ADDRESS(84,13,,,$C3))</calculatedColumnFormula>
    </tableColumn>
    <tableColumn id="8" name="Heures de nuit" totalsRowFunction="sum" dataDxfId="1183" totalsRowDxfId="1045" dataCellStyle="Normal 2">
      <calculatedColumnFormula>INDIRECT(ADDRESS(84,9,,,$C3))</calculatedColumnFormula>
    </tableColumn>
    <tableColumn id="2" name="Banque d'Heure" totalsRowFunction="sum" dataDxfId="1182" totalsRowDxfId="1046" dataCellStyle="Normal 2">
      <calculatedColumnFormula>INDIRECT(ADDRESS(92,13,,,$C3))</calculatedColumnFormula>
    </tableColumn>
    <tableColumn id="3" name="Paniers" totalsRowFunction="sum" dataDxfId="1181" totalsRowDxfId="1047" dataCellStyle="Normal 2">
      <calculatedColumnFormula>INDIRECT(ADDRESS(84,8,,,$C3))</calculatedColumnFormula>
    </tableColumn>
    <tableColumn id="5" name="Arrêt Maladie" totalsRowFunction="sum" dataDxfId="1180" totalsRowDxfId="1048" dataCellStyle="Normal 2">
      <calculatedColumnFormula>INDIRECT(ADDRESS(90,8,,,$C3))</calculatedColumnFormula>
    </tableColumn>
    <tableColumn id="6" name="Accident de Travail" totalsRowFunction="sum" dataDxfId="1179" totalsRowDxfId="1049" dataCellStyle="Normal 2">
      <calculatedColumnFormula>INDIRECT(ADDRESS(91,8,,,$C3))</calculatedColumnFormula>
    </tableColumn>
    <tableColumn id="7" name="Congès Payés du mois" totalsRowFunction="sum" dataDxfId="1178" totalsRowDxfId="1050" dataCellStyle="Normal 2">
      <calculatedColumnFormula>INDIRECT(ADDRESS(87,8,,,$C3))</calculatedColumnFormula>
    </tableColumn>
    <tableColumn id="9" name="Congès Payés restant" totalsRowFunction="sum" dataDxfId="1177" totalsRowDxfId="1051" dataCellStyle="Normal 2">
      <calculatedColumnFormula>INDIRECT(ADDRESS(88,8,,,$C3))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RecapFev" displayName="RecapFev" ref="V2:AD4" headerRowDxfId="1176" dataDxfId="1175" totalsRowDxfId="1174" headerRowCellStyle="Normal 2" dataCellStyle="Normal 2">
  <autoFilter ref="V2:AD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Heures Travaillées" totalsRowFunction="custom" dataDxfId="1173" totalsRowDxfId="1097" dataCellStyle="Normal 2">
      <calculatedColumnFormula>INDIRECT(ADDRESS(84,18,,,$C3))</calculatedColumnFormula>
      <totalsRowFormula>SUBTOTAL(109,RecapJanv[Heures Travaillées])</totalsRowFormula>
    </tableColumn>
    <tableColumn id="4" name="Heures Supp." totalsRowFunction="custom" dataDxfId="1172" totalsRowDxfId="1098" dataCellStyle="Normal 2">
      <calculatedColumnFormula>INDIRECT(ADDRESS(84,24,,,$C3))</calculatedColumnFormula>
      <totalsRowFormula>SUBTOTAL(109,RecapJanv[Heures Supp.])</totalsRowFormula>
    </tableColumn>
    <tableColumn id="8" name="Heures de nuit" totalsRowFunction="custom" dataDxfId="1171" totalsRowDxfId="1099" dataCellStyle="Normal 2">
      <calculatedColumnFormula>INDIRECT(ADDRESS(84,20,,,$C3))</calculatedColumnFormula>
      <totalsRowFormula>SUBTOTAL(109,RecapJanv[Heures de nuit])</totalsRowFormula>
    </tableColumn>
    <tableColumn id="2" name="Banque d'Heure" totalsRowFunction="sum" dataDxfId="1170" totalsRowDxfId="1100" dataCellStyle="Normal 2">
      <calculatedColumnFormula>INDIRECT(ADDRESS(92,24,,,$C3))</calculatedColumnFormula>
    </tableColumn>
    <tableColumn id="3" name="Paniers" totalsRowFunction="custom" dataDxfId="1169" totalsRowDxfId="1101" dataCellStyle="Normal 2">
      <calculatedColumnFormula>INDIRECT(ADDRESS(84,19,,,$C3))</calculatedColumnFormula>
      <totalsRowFormula>SUBTOTAL(109,RecapJanv[Paniers])</totalsRowFormula>
    </tableColumn>
    <tableColumn id="5" name="Arrêt Maladie" totalsRowFunction="sum" dataDxfId="1168" totalsRowDxfId="1102" dataCellStyle="Normal 2">
      <calculatedColumnFormula>INDIRECT(ADDRESS(90,19,,,$C3))</calculatedColumnFormula>
    </tableColumn>
    <tableColumn id="6" name="Accident de Travail" totalsRowFunction="custom" dataDxfId="1167" totalsRowDxfId="1103" dataCellStyle="Normal 2">
      <calculatedColumnFormula>INDIRECT(ADDRESS(91,19,,,$C3))</calculatedColumnFormula>
      <totalsRowFormula>SUBTOTAL(109,RecapJanv[Accident de Travail])</totalsRowFormula>
    </tableColumn>
    <tableColumn id="7" name="Congès Payés" totalsRowFunction="custom" dataDxfId="1166" totalsRowDxfId="1104" dataCellStyle="Normal 2">
      <calculatedColumnFormula>INDIRECT(ADDRESS(87,19,,,$C3))</calculatedColumnFormula>
      <totalsRowFormula>SUBTOTAL(109,RecapJanv[Congès Payés du mois])</totalsRowFormula>
    </tableColumn>
    <tableColumn id="10" name="Congès Payés restant" dataDxfId="1165" totalsRowDxfId="1105" dataCellStyle="Normal 2">
      <calculatedColumnFormula>INDIRECT(ADDRESS(88,19,,,$C3))</calculatedColumnFormula>
    </tableColumn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4" name="RecapMars" displayName="RecapMars" ref="AE2:AM4" headerRowDxfId="1164" dataDxfId="1163" totalsRowDxfId="1162" headerRowCellStyle="Normal 2" dataCellStyle="Normal 2">
  <autoFilter ref="AE2:AM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Heures Travaillées" totalsRowFunction="custom" dataDxfId="1161" totalsRowDxfId="1088" dataCellStyle="Normal 2">
      <calculatedColumnFormula>INDIRECT(ADDRESS(84,29,,,$C3))</calculatedColumnFormula>
      <totalsRowFormula>SUBTOTAL(109,RecapJanv[Heures Travaillées])</totalsRowFormula>
    </tableColumn>
    <tableColumn id="4" name="Heures Supp." totalsRowFunction="custom" dataDxfId="1160" totalsRowDxfId="1089" dataCellStyle="Normal 2">
      <calculatedColumnFormula>INDIRECT(ADDRESS(84,35,,,$C3))</calculatedColumnFormula>
      <totalsRowFormula>SUBTOTAL(109,RecapJanv[Heures Supp.])</totalsRowFormula>
    </tableColumn>
    <tableColumn id="8" name="Heures de nuit" totalsRowFunction="custom" dataDxfId="1159" totalsRowDxfId="1090" dataCellStyle="Normal 2">
      <calculatedColumnFormula>INDIRECT(ADDRESS(84,31,,,$C3))</calculatedColumnFormula>
      <totalsRowFormula>SUBTOTAL(109,RecapJanv[Heures de nuit])</totalsRowFormula>
    </tableColumn>
    <tableColumn id="2" name="Banque d'Heure" totalsRowFunction="sum" dataDxfId="1158" totalsRowDxfId="1091" dataCellStyle="Normal 2">
      <calculatedColumnFormula>INDIRECT(ADDRESS(92,35,,,$C3))</calculatedColumnFormula>
    </tableColumn>
    <tableColumn id="3" name="Paniers" totalsRowFunction="custom" dataDxfId="1157" totalsRowDxfId="1092" dataCellStyle="Normal 2">
      <calculatedColumnFormula>INDIRECT(ADDRESS(84,30,,,$C3))</calculatedColumnFormula>
      <totalsRowFormula>SUBTOTAL(109,RecapJanv[Paniers])</totalsRowFormula>
    </tableColumn>
    <tableColumn id="5" name="Arrêt Maladie" totalsRowFunction="custom" dataDxfId="1156" totalsRowDxfId="1093" dataCellStyle="Normal 2">
      <calculatedColumnFormula>INDIRECT(ADDRESS(90,30,,,$C3))</calculatedColumnFormula>
      <totalsRowFormula>SUBTOTAL(109,RecapJanv[Arrêt Maladie])</totalsRowFormula>
    </tableColumn>
    <tableColumn id="6" name="Accident de Travail" totalsRowFunction="custom" dataDxfId="1155" totalsRowDxfId="1094" dataCellStyle="Normal 2">
      <calculatedColumnFormula>INDIRECT(ADDRESS(91,30,,,$C3))</calculatedColumnFormula>
      <totalsRowFormula>SUBTOTAL(109,RecapJanv[Accident de Travail])</totalsRowFormula>
    </tableColumn>
    <tableColumn id="7" name="Congès Payés" totalsRowFunction="custom" dataDxfId="1154" totalsRowDxfId="1095" dataCellStyle="Normal 2">
      <calculatedColumnFormula>INDIRECT(ADDRESS(87,30,,,$C3))</calculatedColumnFormula>
      <totalsRowFormula>SUBTOTAL(109,RecapJanv[Congès Payés du mois])</totalsRowFormula>
    </tableColumn>
    <tableColumn id="9" name="Congès Payés restant" dataDxfId="1153" totalsRowDxfId="1096" dataCellStyle="Normal 2">
      <calculatedColumnFormula>INDIRECT(ADDRESS(88,30,,,$C3))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5" name="RecapAvril" displayName="RecapAvril" ref="AN2:AV4" headerRowDxfId="1152" dataDxfId="1151" totalsRowDxfId="1150" headerRowCellStyle="Normal 2" dataCellStyle="Normal 2">
  <autoFilter ref="AN2:AV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Heures Travaillées" totalsRowFunction="custom" dataDxfId="1149" totalsRowDxfId="1079" dataCellStyle="Normal 2">
      <calculatedColumnFormula>INDIRECT(ADDRESS(84,40,,,$C3))</calculatedColumnFormula>
      <totalsRowFormula>SUBTOTAL(109,RecapJanv[Heures Travaillées])</totalsRowFormula>
    </tableColumn>
    <tableColumn id="4" name="Heures Supp." totalsRowFunction="custom" dataDxfId="1148" totalsRowDxfId="1080" dataCellStyle="Normal 2">
      <calculatedColumnFormula>INDIRECT(ADDRESS(84,46,,,$C3))</calculatedColumnFormula>
      <totalsRowFormula>SUBTOTAL(109,RecapJanv[Heures Supp.])</totalsRowFormula>
    </tableColumn>
    <tableColumn id="8" name="Heures de nuit" totalsRowFunction="custom" dataDxfId="1147" totalsRowDxfId="1081" dataCellStyle="Normal 2">
      <calculatedColumnFormula>INDIRECT(ADDRESS(84,42,,,$C3))</calculatedColumnFormula>
      <totalsRowFormula>SUBTOTAL(109,RecapJanv[Heures de nuit])</totalsRowFormula>
    </tableColumn>
    <tableColumn id="2" name="Banque d'Heure" totalsRowFunction="sum" dataDxfId="1146" totalsRowDxfId="1082" dataCellStyle="Normal 2">
      <calculatedColumnFormula>INDIRECT(ADDRESS(92,46,,,$C3))</calculatedColumnFormula>
    </tableColumn>
    <tableColumn id="3" name="Paniers" totalsRowFunction="custom" dataDxfId="1145" totalsRowDxfId="1083" dataCellStyle="Normal 2">
      <calculatedColumnFormula>INDIRECT(ADDRESS(84,41,,,$C3))</calculatedColumnFormula>
      <totalsRowFormula>SUBTOTAL(109,RecapJanv[Paniers])</totalsRowFormula>
    </tableColumn>
    <tableColumn id="5" name="Arrêt Maladie" totalsRowFunction="custom" dataDxfId="1144" totalsRowDxfId="1084" dataCellStyle="Normal 2">
      <calculatedColumnFormula>INDIRECT(ADDRESS(90,41,,,$C3))</calculatedColumnFormula>
      <totalsRowFormula>SUBTOTAL(109,RecapJanv[Arrêt Maladie])</totalsRowFormula>
    </tableColumn>
    <tableColumn id="6" name="Accident de Travail" totalsRowFunction="custom" dataDxfId="1143" totalsRowDxfId="1085" dataCellStyle="Normal 2">
      <calculatedColumnFormula>INDIRECT(ADDRESS(91,41,,,$C3))</calculatedColumnFormula>
      <totalsRowFormula>SUBTOTAL(109,RecapJanv[Accident de Travail])</totalsRowFormula>
    </tableColumn>
    <tableColumn id="7" name="Congès Payés" totalsRowFunction="custom" dataDxfId="1142" totalsRowDxfId="1086" dataCellStyle="Normal 2">
      <calculatedColumnFormula>INDIRECT(ADDRESS(87,41,,,$C3))</calculatedColumnFormula>
      <totalsRowFormula>SUBTOTAL(109,RecapJanv[Congès Payés du mois])</totalsRowFormula>
    </tableColumn>
    <tableColumn id="9" name="Congès Payés restant" dataDxfId="1141" totalsRowDxfId="1087" dataCellStyle="Normal 2">
      <calculatedColumnFormula>INDIRECT(ADDRESS(88,41,,,$C3))</calculatedColumnFormula>
    </tableColumn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id="6" name="RecapMai" displayName="RecapMai" ref="AW2:BE4" headerRowDxfId="1140" dataDxfId="1139" totalsRowDxfId="1138" headerRowCellStyle="Normal 2" dataCellStyle="Normal 2">
  <autoFilter ref="AW2:BE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Heures Travaillées" totalsRowFunction="custom" dataDxfId="1137" totalsRowDxfId="1070" dataCellStyle="Normal 2">
      <calculatedColumnFormula>INDIRECT(ADDRESS(84,51,,,$C3))</calculatedColumnFormula>
      <totalsRowFormula>SUBTOTAL(109,RecapJanv[Heures Travaillées])</totalsRowFormula>
    </tableColumn>
    <tableColumn id="4" name="Heures Supp." totalsRowFunction="custom" dataDxfId="1136" totalsRowDxfId="1071" dataCellStyle="Normal 2">
      <calculatedColumnFormula>INDIRECT(ADDRESS(84,57,,,$C3))</calculatedColumnFormula>
      <totalsRowFormula>SUBTOTAL(109,RecapJanv[Heures Supp.])</totalsRowFormula>
    </tableColumn>
    <tableColumn id="8" name="Heures de nuit" totalsRowFunction="custom" dataDxfId="1135" totalsRowDxfId="1072" dataCellStyle="Normal 2">
      <calculatedColumnFormula>INDIRECT(ADDRESS(84,53,,,$C3))</calculatedColumnFormula>
      <totalsRowFormula>SUBTOTAL(109,RecapJanv[Heures de nuit])</totalsRowFormula>
    </tableColumn>
    <tableColumn id="2" name="Banque d'Heure" totalsRowFunction="sum" dataDxfId="1134" totalsRowDxfId="1073" dataCellStyle="Normal 2">
      <calculatedColumnFormula>INDIRECT(ADDRESS(92,57,,,$C3))</calculatedColumnFormula>
    </tableColumn>
    <tableColumn id="3" name="Paniers" totalsRowFunction="custom" dataDxfId="1133" totalsRowDxfId="1074" dataCellStyle="Normal 2">
      <calculatedColumnFormula>INDIRECT(ADDRESS(84,52,,,$C3))</calculatedColumnFormula>
      <totalsRowFormula>SUBTOTAL(109,RecapJanv[Paniers])</totalsRowFormula>
    </tableColumn>
    <tableColumn id="5" name="Arrêt Maladie" totalsRowFunction="custom" dataDxfId="1132" totalsRowDxfId="1075" dataCellStyle="Normal 2">
      <calculatedColumnFormula>INDIRECT(ADDRESS(90,52,,,$C3))</calculatedColumnFormula>
      <totalsRowFormula>SUBTOTAL(109,RecapJanv[Arrêt Maladie])</totalsRowFormula>
    </tableColumn>
    <tableColumn id="6" name="Accident de Travail" totalsRowFunction="custom" dataDxfId="1131" totalsRowDxfId="1076" dataCellStyle="Normal 2">
      <calculatedColumnFormula>INDIRECT(ADDRESS(91,52,,,$C3))</calculatedColumnFormula>
      <totalsRowFormula>SUBTOTAL(109,RecapJanv[Accident de Travail])</totalsRowFormula>
    </tableColumn>
    <tableColumn id="7" name="Congès Payés" totalsRowFunction="custom" dataDxfId="1130" totalsRowDxfId="1077" dataCellStyle="Normal 2">
      <calculatedColumnFormula>INDIRECT(ADDRESS(87,52,,,$C3))</calculatedColumnFormula>
      <totalsRowFormula>SUBTOTAL(109,RecapJanv[Congès Payés du mois])</totalsRowFormula>
    </tableColumn>
    <tableColumn id="9" name="Congès Payés restant" dataDxfId="1129" totalsRowDxfId="1078" dataCellStyle="Normal 2">
      <calculatedColumnFormula>INDIRECT(ADDRESS(88,52,,,$C3))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7" name="RecapJuin" displayName="RecapJuin" ref="BF2:BN4" headerRowDxfId="1128" dataDxfId="1127" totalsRowDxfId="1126" headerRowCellStyle="Normal 2" dataCellStyle="Normal 2">
  <autoFilter ref="BF2:BN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Heures Travaillées" totalsRowFunction="custom" dataDxfId="1125" totalsRowDxfId="1061" dataCellStyle="Normal 2">
      <calculatedColumnFormula>INDIRECT(ADDRESS(84,62,,,$C3))</calculatedColumnFormula>
      <totalsRowFormula>SUBTOTAL(109,RecapJanv[Heures Travaillées])</totalsRowFormula>
    </tableColumn>
    <tableColumn id="4" name="Heures Supp." totalsRowFunction="custom" dataDxfId="1124" totalsRowDxfId="1062" dataCellStyle="Normal 2">
      <calculatedColumnFormula>INDIRECT(ADDRESS(84,68,,,$C3))</calculatedColumnFormula>
      <totalsRowFormula>SUBTOTAL(109,RecapJanv[Heures Supp.])</totalsRowFormula>
    </tableColumn>
    <tableColumn id="8" name="Heures de nuit" totalsRowFunction="custom" dataDxfId="1123" totalsRowDxfId="1063" dataCellStyle="Normal 2">
      <calculatedColumnFormula>INDIRECT(ADDRESS(84,64,,,$C3))</calculatedColumnFormula>
      <totalsRowFormula>SUBTOTAL(109,RecapJanv[Heures de nuit])</totalsRowFormula>
    </tableColumn>
    <tableColumn id="2" name="Banque d'Heure" totalsRowFunction="sum" dataDxfId="1122" totalsRowDxfId="1064" dataCellStyle="Normal 2">
      <calculatedColumnFormula>INDIRECT(ADDRESS(92,68,,,$C3))</calculatedColumnFormula>
    </tableColumn>
    <tableColumn id="3" name="Paniers" totalsRowFunction="custom" dataDxfId="1121" totalsRowDxfId="1065" dataCellStyle="Normal 2">
      <calculatedColumnFormula>INDIRECT(ADDRESS(84,63,,,$C3))</calculatedColumnFormula>
      <totalsRowFormula>SUBTOTAL(109,RecapJanv[Paniers])</totalsRowFormula>
    </tableColumn>
    <tableColumn id="5" name="Arrêt Maladie" totalsRowFunction="custom" dataDxfId="1120" totalsRowDxfId="1066" dataCellStyle="Normal 2">
      <calculatedColumnFormula>INDIRECT(ADDRESS(90,63,,,$C3))</calculatedColumnFormula>
      <totalsRowFormula>SUBTOTAL(109,RecapJanv[Arrêt Maladie])</totalsRowFormula>
    </tableColumn>
    <tableColumn id="6" name="Accident de Travail" totalsRowFunction="custom" dataDxfId="1119" totalsRowDxfId="1067" dataCellStyle="Normal 2">
      <calculatedColumnFormula>INDIRECT(ADDRESS(91,63,,,$C3))</calculatedColumnFormula>
      <totalsRowFormula>SUBTOTAL(109,RecapJanv[Accident de Travail])</totalsRowFormula>
    </tableColumn>
    <tableColumn id="7" name="Congès Payés" totalsRowFunction="custom" dataDxfId="1118" totalsRowDxfId="1068" dataCellStyle="Normal 2">
      <calculatedColumnFormula>INDIRECT(ADDRESS(87,63,,,$C3))</calculatedColumnFormula>
      <totalsRowFormula>SUBTOTAL(109,RecapJanv[Congès Payés du mois])</totalsRowFormula>
    </tableColumn>
    <tableColumn id="9" name="Congès Payés restant" dataDxfId="1117" totalsRowDxfId="1069" dataCellStyle="Normal 2">
      <calculatedColumnFormula>INDIRECT(ADDRESS(88,63,,,$C3))</calculatedColumnFormula>
    </tableColumn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14" name="RecapGeneral" displayName="RecapGeneral" ref="BO2:BW4" headerRowDxfId="1116" dataDxfId="1115" headerRowCellStyle="Normal 2" dataCellStyle="Normal 2">
  <autoFilter ref="BO2:BW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Heures Travaillées" totalsRowFunction="sum" dataDxfId="1114" totalsRowDxfId="1052" dataCellStyle="Normal 2">
      <calculatedColumnFormula>M3+V3+AE3+AN3+AW3+BF3</calculatedColumnFormula>
    </tableColumn>
    <tableColumn id="2" name="A réaliser" dataDxfId="1113" totalsRowDxfId="1053" dataCellStyle="Normal 2">
      <calculatedColumnFormula>BO3-Agents[[#This Row],[Heure Annuelle]]</calculatedColumnFormula>
    </tableColumn>
    <tableColumn id="5" name="Heures Supp." totalsRowFunction="sum" dataDxfId="1112" totalsRowDxfId="1054" dataCellStyle="Normal 2">
      <calculatedColumnFormula>N3+W3+AF3+AO3+AX3+BG3</calculatedColumnFormula>
    </tableColumn>
    <tableColumn id="9" name="Heures de nuit" totalsRowFunction="sum" dataDxfId="1111" totalsRowDxfId="1055" dataCellStyle="Normal 2">
      <calculatedColumnFormula>O3+X3+AG3+AP3+AY3+BH3</calculatedColumnFormula>
    </tableColumn>
    <tableColumn id="3" name="Banque d'Heure" totalsRowFunction="sum" dataDxfId="1110" totalsRowDxfId="1056" dataCellStyle="Normal 2">
      <calculatedColumnFormula>INDIRECT(ADDRESS(92,68,,,$C3))</calculatedColumnFormula>
    </tableColumn>
    <tableColumn id="4" name="Paniers" totalsRowFunction="sum" dataDxfId="1109" totalsRowDxfId="1057" dataCellStyle="Normal 2">
      <calculatedColumnFormula>Q3+Z3+AI3+AR3+BA3+BJ3</calculatedColumnFormula>
    </tableColumn>
    <tableColumn id="6" name="Arrêt Maladie" totalsRowFunction="sum" dataDxfId="1108" totalsRowDxfId="1058" dataCellStyle="Normal 2">
      <calculatedColumnFormula>R3+AA3+AJ3+AS3+BB3+BK3</calculatedColumnFormula>
    </tableColumn>
    <tableColumn id="7" name="Accident de Travail" totalsRowFunction="sum" dataDxfId="1107" totalsRowDxfId="1059" dataCellStyle="Normal 2">
      <calculatedColumnFormula>S3+AB3+AK3+AT3+BC3+BL3</calculatedColumnFormula>
    </tableColumn>
    <tableColumn id="8" name="Reste CP" totalsRowFunction="sum" dataDxfId="1106" totalsRowDxfId="1060" dataCellStyle="Normal 2">
      <calculatedColumnFormula>INDIRECT(ADDRESS(88,129,,,$C3))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omments" Target="../comments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13" Type="http://schemas.openxmlformats.org/officeDocument/2006/relationships/ctrlProp" Target="../ctrlProps/ctrlProp2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5.xml"/><Relationship Id="rId12" Type="http://schemas.openxmlformats.org/officeDocument/2006/relationships/ctrlProp" Target="../ctrlProps/ctrlProp20.xml"/><Relationship Id="rId17" Type="http://schemas.openxmlformats.org/officeDocument/2006/relationships/comments" Target="../comments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4.xml"/><Relationship Id="rId11" Type="http://schemas.openxmlformats.org/officeDocument/2006/relationships/ctrlProp" Target="../ctrlProps/ctrlProp19.xml"/><Relationship Id="rId5" Type="http://schemas.openxmlformats.org/officeDocument/2006/relationships/ctrlProp" Target="../ctrlProps/ctrlProp13.xml"/><Relationship Id="rId15" Type="http://schemas.openxmlformats.org/officeDocument/2006/relationships/ctrlProp" Target="../ctrlProps/ctrlProp23.xml"/><Relationship Id="rId10" Type="http://schemas.openxmlformats.org/officeDocument/2006/relationships/ctrlProp" Target="../ctrlProps/ctrlProp18.xml"/><Relationship Id="rId4" Type="http://schemas.openxmlformats.org/officeDocument/2006/relationships/vmlDrawing" Target="../drawings/vmlDrawing4.vml"/><Relationship Id="rId9" Type="http://schemas.openxmlformats.org/officeDocument/2006/relationships/ctrlProp" Target="../ctrlProps/ctrlProp17.xml"/><Relationship Id="rId14" Type="http://schemas.openxmlformats.org/officeDocument/2006/relationships/ctrlProp" Target="../ctrlProps/ctrlProp2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control" Target="../activeX/activeX5.xml"/><Relationship Id="rId18" Type="http://schemas.openxmlformats.org/officeDocument/2006/relationships/table" Target="../tables/table2.xml"/><Relationship Id="rId3" Type="http://schemas.openxmlformats.org/officeDocument/2006/relationships/vmlDrawing" Target="../drawings/vmlDrawing5.vml"/><Relationship Id="rId21" Type="http://schemas.openxmlformats.org/officeDocument/2006/relationships/table" Target="../tables/table5.xml"/><Relationship Id="rId7" Type="http://schemas.openxmlformats.org/officeDocument/2006/relationships/control" Target="../activeX/activeX2.xml"/><Relationship Id="rId12" Type="http://schemas.openxmlformats.org/officeDocument/2006/relationships/image" Target="../media/image6.emf"/><Relationship Id="rId17" Type="http://schemas.openxmlformats.org/officeDocument/2006/relationships/table" Target="../tables/table1.xml"/><Relationship Id="rId25" Type="http://schemas.openxmlformats.org/officeDocument/2006/relationships/comments" Target="../comments3.xml"/><Relationship Id="rId2" Type="http://schemas.openxmlformats.org/officeDocument/2006/relationships/drawing" Target="../drawings/drawing3.xml"/><Relationship Id="rId16" Type="http://schemas.openxmlformats.org/officeDocument/2006/relationships/image" Target="../media/image8.emf"/><Relationship Id="rId20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image" Target="../media/image3.emf"/><Relationship Id="rId11" Type="http://schemas.openxmlformats.org/officeDocument/2006/relationships/control" Target="../activeX/activeX4.xml"/><Relationship Id="rId24" Type="http://schemas.openxmlformats.org/officeDocument/2006/relationships/table" Target="../tables/table8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table" Target="../tables/table7.xml"/><Relationship Id="rId10" Type="http://schemas.openxmlformats.org/officeDocument/2006/relationships/image" Target="../media/image5.emf"/><Relationship Id="rId19" Type="http://schemas.openxmlformats.org/officeDocument/2006/relationships/table" Target="../tables/table3.xml"/><Relationship Id="rId4" Type="http://schemas.openxmlformats.org/officeDocument/2006/relationships/vmlDrawing" Target="../drawings/vmlDrawing6.vml"/><Relationship Id="rId9" Type="http://schemas.openxmlformats.org/officeDocument/2006/relationships/control" Target="../activeX/activeX3.xml"/><Relationship Id="rId14" Type="http://schemas.openxmlformats.org/officeDocument/2006/relationships/image" Target="../media/image7.emf"/><Relationship Id="rId22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image" Target="../media/image13.emf"/><Relationship Id="rId3" Type="http://schemas.openxmlformats.org/officeDocument/2006/relationships/vmlDrawing" Target="../drawings/vmlDrawing7.vml"/><Relationship Id="rId7" Type="http://schemas.openxmlformats.org/officeDocument/2006/relationships/image" Target="../media/image10.emf"/><Relationship Id="rId12" Type="http://schemas.openxmlformats.org/officeDocument/2006/relationships/control" Target="../activeX/activeX11.xml"/><Relationship Id="rId17" Type="http://schemas.openxmlformats.org/officeDocument/2006/relationships/image" Target="../media/image15.emf"/><Relationship Id="rId2" Type="http://schemas.openxmlformats.org/officeDocument/2006/relationships/drawing" Target="../drawings/drawing4.xml"/><Relationship Id="rId16" Type="http://schemas.openxmlformats.org/officeDocument/2006/relationships/control" Target="../activeX/activeX13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8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5" Type="http://schemas.openxmlformats.org/officeDocument/2006/relationships/image" Target="../media/image14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11.emf"/><Relationship Id="rId14" Type="http://schemas.openxmlformats.org/officeDocument/2006/relationships/control" Target="../activeX/activeX1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.xml"/><Relationship Id="rId13" Type="http://schemas.openxmlformats.org/officeDocument/2006/relationships/ctrlProp" Target="../ctrlProps/ctrlProp3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8.xml"/><Relationship Id="rId12" Type="http://schemas.openxmlformats.org/officeDocument/2006/relationships/ctrlProp" Target="../ctrlProps/ctrlProp3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7.xml"/><Relationship Id="rId11" Type="http://schemas.openxmlformats.org/officeDocument/2006/relationships/ctrlProp" Target="../ctrlProps/ctrlProp32.xml"/><Relationship Id="rId5" Type="http://schemas.openxmlformats.org/officeDocument/2006/relationships/ctrlProp" Target="../ctrlProps/ctrlProp26.xml"/><Relationship Id="rId10" Type="http://schemas.openxmlformats.org/officeDocument/2006/relationships/ctrlProp" Target="../ctrlProps/ctrlProp31.xml"/><Relationship Id="rId4" Type="http://schemas.openxmlformats.org/officeDocument/2006/relationships/ctrlProp" Target="../ctrlProps/ctrlProp25.xml"/><Relationship Id="rId9" Type="http://schemas.openxmlformats.org/officeDocument/2006/relationships/ctrlProp" Target="../ctrlProps/ctrlProp30.xml"/><Relationship Id="rId14" Type="http://schemas.openxmlformats.org/officeDocument/2006/relationships/ctrlProp" Target="../ctrlProps/ctrlProp3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X105"/>
  <sheetViews>
    <sheetView showGridLines="0" zoomScaleNormal="100" zoomScaleSheetLayoutView="85" workbookViewId="0">
      <pane xSplit="1" ySplit="2" topLeftCell="B3" activePane="bottomRight" state="frozenSplit"/>
      <selection activeCell="H55" sqref="H55"/>
      <selection pane="topRight" activeCell="H55" sqref="H55"/>
      <selection pane="bottomLeft" activeCell="H55" sqref="H55"/>
      <selection pane="bottomRight" activeCell="Y37" sqref="Y37"/>
    </sheetView>
  </sheetViews>
  <sheetFormatPr baseColWidth="10" defaultRowHeight="12.75" x14ac:dyDescent="0.2"/>
  <cols>
    <col min="1" max="1" width="3.140625" style="157" customWidth="1"/>
    <col min="2" max="4" width="5.7109375" style="157" customWidth="1"/>
    <col min="5" max="7" width="7.7109375" style="157" customWidth="1"/>
    <col min="8" max="8" width="10.7109375" style="157" customWidth="1"/>
    <col min="9" max="11" width="10.7109375" style="48" customWidth="1"/>
    <col min="12" max="12" width="3.140625" style="48" customWidth="1"/>
    <col min="13" max="15" width="5.7109375" style="48" customWidth="1"/>
    <col min="16" max="18" width="7.7109375" style="48" customWidth="1"/>
    <col min="19" max="22" width="10.7109375" style="48" customWidth="1"/>
    <col min="23" max="16384" width="11.42578125" style="48"/>
  </cols>
  <sheetData>
    <row r="1" spans="1:22" s="128" customFormat="1" ht="26.25" customHeight="1" x14ac:dyDescent="0.2">
      <c r="A1" s="349" t="s">
        <v>174</v>
      </c>
      <c r="B1" s="349"/>
      <c r="C1" s="349"/>
      <c r="D1" s="349"/>
      <c r="E1" s="349"/>
      <c r="F1" s="349"/>
      <c r="G1" s="350">
        <f>G14+5</f>
        <v>42315</v>
      </c>
      <c r="H1" s="350"/>
      <c r="I1" s="350"/>
      <c r="J1" s="81"/>
      <c r="K1" s="81"/>
      <c r="L1" s="351" t="str">
        <f>$A$1</f>
        <v>BBB</v>
      </c>
      <c r="M1" s="351"/>
      <c r="N1" s="351"/>
      <c r="O1" s="351"/>
      <c r="P1" s="351"/>
      <c r="Q1" s="351"/>
      <c r="R1" s="350">
        <f>G1+31</f>
        <v>42346</v>
      </c>
      <c r="S1" s="350"/>
      <c r="T1" s="350"/>
      <c r="U1" s="127"/>
      <c r="V1" s="127"/>
    </row>
    <row r="2" spans="1:22" x14ac:dyDescent="0.2">
      <c r="A2" s="82" t="s">
        <v>0</v>
      </c>
      <c r="B2" s="82" t="s">
        <v>1</v>
      </c>
      <c r="C2" s="82" t="s">
        <v>2</v>
      </c>
      <c r="D2" s="82" t="s">
        <v>3</v>
      </c>
      <c r="E2" s="83" t="s">
        <v>4</v>
      </c>
      <c r="F2" s="83" t="s">
        <v>6</v>
      </c>
      <c r="G2" s="83" t="s">
        <v>5</v>
      </c>
      <c r="H2" s="343" t="s">
        <v>7</v>
      </c>
      <c r="I2" s="344"/>
      <c r="J2" s="344"/>
      <c r="K2" s="345"/>
      <c r="L2" s="129" t="s">
        <v>0</v>
      </c>
      <c r="M2" s="129" t="s">
        <v>1</v>
      </c>
      <c r="N2" s="129" t="s">
        <v>2</v>
      </c>
      <c r="O2" s="129" t="s">
        <v>3</v>
      </c>
      <c r="P2" s="129" t="s">
        <v>4</v>
      </c>
      <c r="Q2" s="129" t="s">
        <v>6</v>
      </c>
      <c r="R2" s="129" t="s">
        <v>5</v>
      </c>
      <c r="S2" s="346" t="s">
        <v>7</v>
      </c>
      <c r="T2" s="347"/>
      <c r="U2" s="347"/>
      <c r="V2" s="348"/>
    </row>
    <row r="3" spans="1:22" x14ac:dyDescent="0.2">
      <c r="A3" s="319">
        <f>_xlfn.ISOWEEKNUM(C9)</f>
        <v>45</v>
      </c>
      <c r="B3" s="84" t="s">
        <v>8</v>
      </c>
      <c r="C3" s="85">
        <f>G14</f>
        <v>42310</v>
      </c>
      <c r="D3" s="86" t="s">
        <v>30</v>
      </c>
      <c r="E3" s="115"/>
      <c r="F3" s="115"/>
      <c r="G3" s="115"/>
      <c r="H3" s="322"/>
      <c r="I3" s="323"/>
      <c r="J3" s="323"/>
      <c r="K3" s="324"/>
      <c r="L3" s="319">
        <f>_xlfn.ISOWEEKNUM(N9)</f>
        <v>49</v>
      </c>
      <c r="M3" s="84" t="s">
        <v>8</v>
      </c>
      <c r="N3" s="85">
        <f>IF(G15=4,C57+1,C73+1)</f>
        <v>42338</v>
      </c>
      <c r="O3" s="86" t="s">
        <v>30</v>
      </c>
      <c r="P3" s="115">
        <v>7</v>
      </c>
      <c r="Q3" s="115"/>
      <c r="R3" s="115"/>
      <c r="S3" s="322"/>
      <c r="T3" s="323"/>
      <c r="U3" s="323"/>
      <c r="V3" s="324"/>
    </row>
    <row r="4" spans="1:22" x14ac:dyDescent="0.2">
      <c r="A4" s="320"/>
      <c r="B4" s="87" t="s">
        <v>9</v>
      </c>
      <c r="C4" s="88">
        <f>C3+1</f>
        <v>42311</v>
      </c>
      <c r="D4" s="89" t="s">
        <v>30</v>
      </c>
      <c r="E4" s="113"/>
      <c r="F4" s="113"/>
      <c r="G4" s="113"/>
      <c r="H4" s="313"/>
      <c r="I4" s="314"/>
      <c r="J4" s="314"/>
      <c r="K4" s="315"/>
      <c r="L4" s="320"/>
      <c r="M4" s="87" t="s">
        <v>9</v>
      </c>
      <c r="N4" s="88">
        <f t="shared" ref="N4:N9" si="0">N3+1</f>
        <v>42339</v>
      </c>
      <c r="O4" s="89" t="s">
        <v>30</v>
      </c>
      <c r="P4" s="113">
        <v>7</v>
      </c>
      <c r="Q4" s="113"/>
      <c r="R4" s="113"/>
      <c r="S4" s="313"/>
      <c r="T4" s="314"/>
      <c r="U4" s="314"/>
      <c r="V4" s="315"/>
    </row>
    <row r="5" spans="1:22" x14ac:dyDescent="0.2">
      <c r="A5" s="320"/>
      <c r="B5" s="87" t="s">
        <v>10</v>
      </c>
      <c r="C5" s="88">
        <f t="shared" ref="C5:C9" si="1">C4+1</f>
        <v>42312</v>
      </c>
      <c r="D5" s="89" t="s">
        <v>30</v>
      </c>
      <c r="E5" s="113"/>
      <c r="F5" s="113"/>
      <c r="G5" s="113"/>
      <c r="H5" s="313"/>
      <c r="I5" s="314"/>
      <c r="J5" s="314"/>
      <c r="K5" s="315"/>
      <c r="L5" s="320"/>
      <c r="M5" s="87" t="s">
        <v>10</v>
      </c>
      <c r="N5" s="88">
        <f t="shared" si="0"/>
        <v>42340</v>
      </c>
      <c r="O5" s="89" t="s">
        <v>30</v>
      </c>
      <c r="P5" s="113">
        <v>7</v>
      </c>
      <c r="Q5" s="113"/>
      <c r="R5" s="113"/>
      <c r="S5" s="313"/>
      <c r="T5" s="314"/>
      <c r="U5" s="314"/>
      <c r="V5" s="315"/>
    </row>
    <row r="6" spans="1:22" x14ac:dyDescent="0.2">
      <c r="A6" s="320"/>
      <c r="B6" s="87" t="s">
        <v>1</v>
      </c>
      <c r="C6" s="88">
        <f t="shared" si="1"/>
        <v>42313</v>
      </c>
      <c r="D6" s="89" t="s">
        <v>30</v>
      </c>
      <c r="E6" s="113"/>
      <c r="F6" s="113"/>
      <c r="G6" s="113"/>
      <c r="H6" s="313"/>
      <c r="I6" s="314"/>
      <c r="J6" s="314"/>
      <c r="K6" s="315"/>
      <c r="L6" s="320"/>
      <c r="M6" s="87" t="s">
        <v>1</v>
      </c>
      <c r="N6" s="88">
        <f t="shared" si="0"/>
        <v>42341</v>
      </c>
      <c r="O6" s="89" t="s">
        <v>30</v>
      </c>
      <c r="P6" s="113">
        <v>7</v>
      </c>
      <c r="Q6" s="113"/>
      <c r="R6" s="113"/>
      <c r="S6" s="313"/>
      <c r="T6" s="314"/>
      <c r="U6" s="314"/>
      <c r="V6" s="315"/>
    </row>
    <row r="7" spans="1:22" x14ac:dyDescent="0.2">
      <c r="A7" s="320"/>
      <c r="B7" s="87" t="s">
        <v>11</v>
      </c>
      <c r="C7" s="88">
        <f t="shared" si="1"/>
        <v>42314</v>
      </c>
      <c r="D7" s="89" t="s">
        <v>24</v>
      </c>
      <c r="E7" s="113"/>
      <c r="F7" s="113"/>
      <c r="G7" s="113"/>
      <c r="H7" s="313"/>
      <c r="I7" s="314"/>
      <c r="J7" s="314"/>
      <c r="K7" s="315"/>
      <c r="L7" s="320"/>
      <c r="M7" s="87" t="s">
        <v>11</v>
      </c>
      <c r="N7" s="88">
        <f t="shared" si="0"/>
        <v>42342</v>
      </c>
      <c r="O7" s="89" t="s">
        <v>30</v>
      </c>
      <c r="P7" s="113">
        <v>7</v>
      </c>
      <c r="Q7" s="113"/>
      <c r="R7" s="113"/>
      <c r="S7" s="313"/>
      <c r="T7" s="314"/>
      <c r="U7" s="314"/>
      <c r="V7" s="315"/>
    </row>
    <row r="8" spans="1:22" x14ac:dyDescent="0.2">
      <c r="A8" s="320"/>
      <c r="B8" s="90" t="s">
        <v>0</v>
      </c>
      <c r="C8" s="91">
        <f t="shared" si="1"/>
        <v>42315</v>
      </c>
      <c r="D8" s="92" t="s">
        <v>30</v>
      </c>
      <c r="E8" s="116"/>
      <c r="F8" s="116"/>
      <c r="G8" s="116"/>
      <c r="H8" s="316"/>
      <c r="I8" s="317"/>
      <c r="J8" s="317"/>
      <c r="K8" s="318"/>
      <c r="L8" s="320"/>
      <c r="M8" s="90" t="s">
        <v>0</v>
      </c>
      <c r="N8" s="91">
        <f t="shared" si="0"/>
        <v>42343</v>
      </c>
      <c r="O8" s="92" t="s">
        <v>30</v>
      </c>
      <c r="P8" s="116"/>
      <c r="Q8" s="116"/>
      <c r="R8" s="116"/>
      <c r="S8" s="316"/>
      <c r="T8" s="317"/>
      <c r="U8" s="317"/>
      <c r="V8" s="318"/>
    </row>
    <row r="9" spans="1:22" x14ac:dyDescent="0.2">
      <c r="A9" s="321"/>
      <c r="B9" s="93" t="s">
        <v>2</v>
      </c>
      <c r="C9" s="94">
        <f t="shared" si="1"/>
        <v>42316</v>
      </c>
      <c r="D9" s="95" t="s">
        <v>30</v>
      </c>
      <c r="E9" s="114"/>
      <c r="F9" s="114"/>
      <c r="G9" s="114"/>
      <c r="H9" s="310"/>
      <c r="I9" s="311"/>
      <c r="J9" s="311"/>
      <c r="K9" s="312"/>
      <c r="L9" s="321"/>
      <c r="M9" s="93" t="s">
        <v>2</v>
      </c>
      <c r="N9" s="94">
        <f t="shared" si="0"/>
        <v>42344</v>
      </c>
      <c r="O9" s="95" t="s">
        <v>30</v>
      </c>
      <c r="P9" s="114"/>
      <c r="Q9" s="114"/>
      <c r="R9" s="114"/>
      <c r="S9" s="310"/>
      <c r="T9" s="311"/>
      <c r="U9" s="311"/>
      <c r="V9" s="312"/>
    </row>
    <row r="10" spans="1:22" x14ac:dyDescent="0.2">
      <c r="A10" s="340" t="s">
        <v>32</v>
      </c>
      <c r="B10" s="341"/>
      <c r="C10" s="341"/>
      <c r="D10" s="342"/>
      <c r="E10" s="96">
        <f>SUM(E3:E9)+G10</f>
        <v>0</v>
      </c>
      <c r="F10" s="97">
        <f>SUM(F3:F9)</f>
        <v>0</v>
      </c>
      <c r="G10" s="98">
        <f>SUM(G3:G9)</f>
        <v>0</v>
      </c>
      <c r="H10" s="185" t="s">
        <v>125</v>
      </c>
      <c r="I10" s="222">
        <f>IF(AND(INDEX(Agents[],MATCH($A$1,Agent,1),11)&lt;=C9,INDEX(Agents[],MATCH($A$1,Agent,1),12)&gt;=C9),(G12+G13)-E18,0)</f>
        <v>0</v>
      </c>
      <c r="J10" s="186" t="s">
        <v>56</v>
      </c>
      <c r="K10" s="222" t="e">
        <f>IF(G10&gt;=E18,0,E18-G10)</f>
        <v>#REF!</v>
      </c>
      <c r="L10" s="307" t="s">
        <v>32</v>
      </c>
      <c r="M10" s="308"/>
      <c r="N10" s="308"/>
      <c r="O10" s="309"/>
      <c r="P10" s="130">
        <f>SUM(P3:P9)+R10</f>
        <v>35</v>
      </c>
      <c r="Q10" s="131">
        <f>SUM(Q3:Q9)</f>
        <v>0</v>
      </c>
      <c r="R10" s="132">
        <f>SUM(R3:R9)</f>
        <v>0</v>
      </c>
      <c r="S10" s="185" t="s">
        <v>125</v>
      </c>
      <c r="T10" s="222">
        <f>IF(AND(INDEX(Agents[],MATCH($A$1,Agent,1),11)&lt;=N9,INDEX(Agents[],MATCH($A$1,Agent,1),12)&gt;=N9),(R12+R13)-P18,0)</f>
        <v>0</v>
      </c>
      <c r="U10" s="186" t="s">
        <v>56</v>
      </c>
      <c r="V10" s="222" t="e">
        <f>IF(R10&gt;=P18,0,P18-R10)</f>
        <v>#REF!</v>
      </c>
    </row>
    <row r="11" spans="1:22" s="138" customFormat="1" ht="13.5" hidden="1" customHeight="1" thickBot="1" x14ac:dyDescent="0.25">
      <c r="A11" s="288" t="s">
        <v>128</v>
      </c>
      <c r="B11" s="289"/>
      <c r="C11" s="289"/>
      <c r="D11" s="290"/>
      <c r="E11" s="133">
        <f>COUNTIF(D3:D9,"CP")</f>
        <v>0</v>
      </c>
      <c r="F11" s="279" t="s">
        <v>129</v>
      </c>
      <c r="G11" s="304"/>
      <c r="H11" s="190">
        <f>IF(D3="CP",E3,0)+IF(D4="CP",E4,0)+IF(D5="CP",E5,0)+IF(D6="CP",E6,0)+IF(D7="CP",E7,0)+IF(D8="CP",E8,0)+IF(D9="CP",E9,0)</f>
        <v>0</v>
      </c>
      <c r="I11" s="101"/>
      <c r="J11" s="101"/>
      <c r="K11" s="102"/>
      <c r="L11" s="288" t="s">
        <v>128</v>
      </c>
      <c r="M11" s="289"/>
      <c r="N11" s="289"/>
      <c r="O11" s="290"/>
      <c r="P11" s="133">
        <f>COUNTIF(O3:O9,"CP")</f>
        <v>0</v>
      </c>
      <c r="Q11" s="279" t="s">
        <v>129</v>
      </c>
      <c r="R11" s="304"/>
      <c r="S11" s="190">
        <f>IF(O3="CP",P3,0)+IF(O4="CP",P4,0)+IF(O5="CP",P5,0)+IF(O6="CP",P6,0)+IF(O7="CP",P7,0)+IF(O8="CP",P8,0)+IF(O9="CP",P9,0)</f>
        <v>0</v>
      </c>
      <c r="T11" s="136"/>
      <c r="U11" s="136"/>
      <c r="V11" s="137"/>
    </row>
    <row r="12" spans="1:22" s="138" customFormat="1" ht="12.75" hidden="1" customHeight="1" x14ac:dyDescent="0.2">
      <c r="A12" s="288" t="s">
        <v>131</v>
      </c>
      <c r="B12" s="289"/>
      <c r="C12" s="289"/>
      <c r="D12" s="290"/>
      <c r="E12" s="133">
        <f>COUNTIF(D3:D9,"AM")</f>
        <v>0</v>
      </c>
      <c r="F12" s="103"/>
      <c r="G12" s="104" t="e">
        <f>IF(AND(E10&gt;#REF!,#REF!&gt;=35),E10-#REF!,0)</f>
        <v>#REF!</v>
      </c>
      <c r="H12" s="336" t="s">
        <v>89</v>
      </c>
      <c r="I12" s="337"/>
      <c r="J12" s="105"/>
      <c r="K12" s="47"/>
      <c r="L12" s="288" t="s">
        <v>131</v>
      </c>
      <c r="M12" s="289"/>
      <c r="N12" s="289"/>
      <c r="O12" s="290"/>
      <c r="P12" s="133">
        <f>COUNTIF(O3:O9,"AM")</f>
        <v>0</v>
      </c>
      <c r="Q12" s="139"/>
      <c r="R12" s="140" t="e">
        <f>IF(AND(P10&gt;#REF!,#REF!&gt;=35),P10-#REF!,0)</f>
        <v>#REF!</v>
      </c>
      <c r="S12" s="300" t="s">
        <v>89</v>
      </c>
      <c r="T12" s="325"/>
      <c r="U12" s="141"/>
      <c r="V12" s="142"/>
    </row>
    <row r="13" spans="1:22" s="138" customFormat="1" ht="12" hidden="1" customHeight="1" thickBot="1" x14ac:dyDescent="0.25">
      <c r="A13" s="288" t="s">
        <v>132</v>
      </c>
      <c r="B13" s="289"/>
      <c r="C13" s="289"/>
      <c r="D13" s="290"/>
      <c r="E13" s="133">
        <f>COUNTIF(D3:D9,"AT")</f>
        <v>0</v>
      </c>
      <c r="F13" s="100"/>
      <c r="G13" s="143" t="e">
        <f>IF(AND(E14&gt;=0,E10+(E17*#REF!)&lt;#REF!),E10+(E17*#REF!)-#REF!,0)</f>
        <v>#REF!</v>
      </c>
      <c r="H13" s="338"/>
      <c r="I13" s="339"/>
      <c r="J13" s="106"/>
      <c r="K13" s="102"/>
      <c r="L13" s="288" t="s">
        <v>132</v>
      </c>
      <c r="M13" s="289"/>
      <c r="N13" s="289"/>
      <c r="O13" s="290"/>
      <c r="P13" s="133">
        <f>COUNTIF(O3:O9,"AT")</f>
        <v>0</v>
      </c>
      <c r="Q13" s="135"/>
      <c r="R13" s="143" t="e">
        <f>IF(AND(P14&gt;=0,P10+(P17*#REF!)&lt;#REF!),P10+(P17*#REF!)-#REF!,0)</f>
        <v>#REF!</v>
      </c>
      <c r="S13" s="302"/>
      <c r="T13" s="326"/>
      <c r="U13" s="136"/>
      <c r="V13" s="137"/>
    </row>
    <row r="14" spans="1:22" s="138" customFormat="1" ht="13.5" hidden="1" customHeight="1" thickBot="1" x14ac:dyDescent="0.25">
      <c r="A14" s="288" t="s">
        <v>133</v>
      </c>
      <c r="B14" s="289"/>
      <c r="C14" s="289"/>
      <c r="D14" s="290"/>
      <c r="E14" s="133">
        <f>COUNTIF(D3:D9,"REC")</f>
        <v>0</v>
      </c>
      <c r="F14" s="100"/>
      <c r="G14" s="107">
        <f>Config!G6</f>
        <v>42310</v>
      </c>
      <c r="H14" s="332" t="s">
        <v>115</v>
      </c>
      <c r="I14" s="333"/>
      <c r="J14" s="101"/>
      <c r="K14" s="108"/>
      <c r="L14" s="288" t="s">
        <v>133</v>
      </c>
      <c r="M14" s="289"/>
      <c r="N14" s="289"/>
      <c r="O14" s="290"/>
      <c r="P14" s="133">
        <f>COUNTIF(O3:O9,"REC")</f>
        <v>0</v>
      </c>
      <c r="Q14" s="135"/>
      <c r="R14" s="109">
        <f>Config!G10</f>
        <v>4</v>
      </c>
      <c r="S14" s="334" t="s">
        <v>101</v>
      </c>
      <c r="T14" s="335"/>
      <c r="U14" s="136"/>
      <c r="V14" s="144"/>
    </row>
    <row r="15" spans="1:22" s="138" customFormat="1" ht="13.5" hidden="1" customHeight="1" thickBot="1" x14ac:dyDescent="0.25">
      <c r="A15" s="279" t="s">
        <v>130</v>
      </c>
      <c r="B15" s="280"/>
      <c r="C15" s="280"/>
      <c r="D15" s="281"/>
      <c r="E15" s="190">
        <f>IF(D3="JF",E3,0)+IF(D4="JF",E4,0)+IF(D5="JF",E5,0)+IF(D6="JF",E6,0)+IF(D7="JF",E7,0)+IF(D8="JF",E8,0)+IF(D9="JF",E9,0)</f>
        <v>0</v>
      </c>
      <c r="F15" s="100"/>
      <c r="G15" s="109">
        <f>Config!G9</f>
        <v>4</v>
      </c>
      <c r="H15" s="330" t="s">
        <v>101</v>
      </c>
      <c r="I15" s="331"/>
      <c r="J15" s="110"/>
      <c r="K15" s="102"/>
      <c r="L15" s="279" t="s">
        <v>130</v>
      </c>
      <c r="M15" s="280"/>
      <c r="N15" s="280"/>
      <c r="O15" s="281"/>
      <c r="P15" s="190">
        <f>IF(O3="JF",P3,0)+IF(O4="JF",P4,0)+IF(O5="JF",P5,0)+IF(O6="JF",P6,0)+IF(O7="JF",P7,0)+IF(O8="JF",P8,0)+IF(O9="JF",P9,0)</f>
        <v>0</v>
      </c>
      <c r="Q15" s="135"/>
      <c r="R15" s="135"/>
      <c r="S15" s="135"/>
      <c r="U15" s="135"/>
      <c r="V15" s="137"/>
    </row>
    <row r="16" spans="1:22" s="138" customFormat="1" ht="12.75" hidden="1" customHeight="1" x14ac:dyDescent="0.2">
      <c r="A16" s="288" t="s">
        <v>134</v>
      </c>
      <c r="B16" s="289"/>
      <c r="C16" s="289"/>
      <c r="D16" s="290"/>
      <c r="E16" s="133">
        <f>COUNTIF(D3:D9,"CE")</f>
        <v>0</v>
      </c>
      <c r="F16" s="100"/>
      <c r="G16" s="126"/>
      <c r="H16" s="112"/>
      <c r="I16" s="47"/>
      <c r="J16" s="101"/>
      <c r="K16" s="102"/>
      <c r="L16" s="288" t="s">
        <v>134</v>
      </c>
      <c r="M16" s="289"/>
      <c r="N16" s="289"/>
      <c r="O16" s="290"/>
      <c r="P16" s="133">
        <f>COUNTIF(O3:O9,"CE")</f>
        <v>0</v>
      </c>
      <c r="Q16" s="135"/>
      <c r="R16" s="135"/>
      <c r="S16" s="135"/>
      <c r="T16" s="136"/>
      <c r="U16" s="136"/>
      <c r="V16" s="137"/>
    </row>
    <row r="17" spans="1:22" s="138" customFormat="1" ht="12.75" hidden="1" customHeight="1" x14ac:dyDescent="0.2">
      <c r="A17" s="297" t="s">
        <v>135</v>
      </c>
      <c r="B17" s="298"/>
      <c r="C17" s="298"/>
      <c r="D17" s="299"/>
      <c r="E17" s="99">
        <f>COUNTIF(D3:D9,"SS")</f>
        <v>0</v>
      </c>
      <c r="F17" s="100"/>
      <c r="G17" s="111"/>
      <c r="H17" s="112"/>
      <c r="I17" s="47"/>
      <c r="J17" s="101"/>
      <c r="K17" s="102"/>
      <c r="L17" s="297" t="s">
        <v>135</v>
      </c>
      <c r="M17" s="298"/>
      <c r="N17" s="298"/>
      <c r="O17" s="299"/>
      <c r="P17" s="99">
        <f>COUNTIF(O3:O9,"SS")</f>
        <v>0</v>
      </c>
      <c r="Q17" s="135"/>
      <c r="R17" s="135"/>
      <c r="S17" s="135"/>
      <c r="T17" s="136"/>
      <c r="U17" s="136"/>
      <c r="V17" s="137"/>
    </row>
    <row r="18" spans="1:22" s="138" customFormat="1" ht="12.75" hidden="1" customHeight="1" x14ac:dyDescent="0.2">
      <c r="A18" s="279" t="s">
        <v>33</v>
      </c>
      <c r="B18" s="280"/>
      <c r="C18" s="280"/>
      <c r="D18" s="281"/>
      <c r="E18" s="191" t="e">
        <f>IF(AND(E10&gt;Config!$G$4,#REF!&gt;=35),E10-Config!$G$4,0)</f>
        <v>#REF!</v>
      </c>
      <c r="F18" s="170"/>
      <c r="G18" s="170"/>
      <c r="H18" s="170"/>
      <c r="I18" s="171"/>
      <c r="J18" s="171"/>
      <c r="K18" s="172"/>
      <c r="L18" s="279" t="s">
        <v>33</v>
      </c>
      <c r="M18" s="280"/>
      <c r="N18" s="280"/>
      <c r="O18" s="281"/>
      <c r="P18" s="191" t="e">
        <f>IF(AND(P10&gt;Config!$G$4,#REF!&gt;=35),P10-Config!$G$4,0)</f>
        <v>#REF!</v>
      </c>
      <c r="Q18" s="135"/>
      <c r="R18" s="135"/>
      <c r="S18" s="135"/>
      <c r="T18" s="136"/>
      <c r="U18" s="136"/>
      <c r="V18" s="137"/>
    </row>
    <row r="19" spans="1:22" x14ac:dyDescent="0.2">
      <c r="A19" s="327">
        <f>_xlfn.ISOWEEKNUM(C25)</f>
        <v>46</v>
      </c>
      <c r="B19" s="86" t="s">
        <v>8</v>
      </c>
      <c r="C19" s="85">
        <f>C9+1</f>
        <v>42317</v>
      </c>
      <c r="D19" s="86" t="s">
        <v>30</v>
      </c>
      <c r="E19" s="115"/>
      <c r="F19" s="115"/>
      <c r="G19" s="115"/>
      <c r="H19" s="322"/>
      <c r="I19" s="323"/>
      <c r="J19" s="323"/>
      <c r="K19" s="324"/>
      <c r="L19" s="319">
        <f>_xlfn.ISOWEEKNUM(N25)</f>
        <v>50</v>
      </c>
      <c r="M19" s="84" t="s">
        <v>8</v>
      </c>
      <c r="N19" s="85">
        <f>N9+1</f>
        <v>42345</v>
      </c>
      <c r="O19" s="86" t="s">
        <v>30</v>
      </c>
      <c r="P19" s="115"/>
      <c r="Q19" s="115"/>
      <c r="R19" s="115"/>
      <c r="S19" s="322"/>
      <c r="T19" s="323"/>
      <c r="U19" s="323"/>
      <c r="V19" s="324"/>
    </row>
    <row r="20" spans="1:22" x14ac:dyDescent="0.2">
      <c r="A20" s="328"/>
      <c r="B20" s="89" t="s">
        <v>9</v>
      </c>
      <c r="C20" s="88">
        <f>C19+1</f>
        <v>42318</v>
      </c>
      <c r="D20" s="89" t="s">
        <v>30</v>
      </c>
      <c r="E20" s="113"/>
      <c r="F20" s="113"/>
      <c r="G20" s="113"/>
      <c r="H20" s="313"/>
      <c r="I20" s="314"/>
      <c r="J20" s="314"/>
      <c r="K20" s="315"/>
      <c r="L20" s="320"/>
      <c r="M20" s="87" t="s">
        <v>9</v>
      </c>
      <c r="N20" s="88">
        <f t="shared" ref="N20:N25" si="2">N19+1</f>
        <v>42346</v>
      </c>
      <c r="O20" s="89" t="s">
        <v>30</v>
      </c>
      <c r="P20" s="113">
        <v>7</v>
      </c>
      <c r="Q20" s="113"/>
      <c r="R20" s="113"/>
      <c r="S20" s="313"/>
      <c r="T20" s="314"/>
      <c r="U20" s="314"/>
      <c r="V20" s="315"/>
    </row>
    <row r="21" spans="1:22" x14ac:dyDescent="0.2">
      <c r="A21" s="328"/>
      <c r="B21" s="89" t="s">
        <v>10</v>
      </c>
      <c r="C21" s="88">
        <f t="shared" ref="C21:C25" si="3">C20+1</f>
        <v>42319</v>
      </c>
      <c r="D21" s="89" t="s">
        <v>30</v>
      </c>
      <c r="E21" s="113"/>
      <c r="F21" s="113"/>
      <c r="G21" s="113"/>
      <c r="H21" s="313"/>
      <c r="I21" s="314"/>
      <c r="J21" s="314"/>
      <c r="K21" s="315"/>
      <c r="L21" s="320"/>
      <c r="M21" s="87" t="s">
        <v>10</v>
      </c>
      <c r="N21" s="88">
        <f t="shared" si="2"/>
        <v>42347</v>
      </c>
      <c r="O21" s="89" t="s">
        <v>30</v>
      </c>
      <c r="P21" s="113">
        <v>7</v>
      </c>
      <c r="Q21" s="113"/>
      <c r="R21" s="113"/>
      <c r="S21" s="313"/>
      <c r="T21" s="314"/>
      <c r="U21" s="314"/>
      <c r="V21" s="315"/>
    </row>
    <row r="22" spans="1:22" x14ac:dyDescent="0.2">
      <c r="A22" s="328"/>
      <c r="B22" s="89" t="s">
        <v>1</v>
      </c>
      <c r="C22" s="88">
        <f t="shared" si="3"/>
        <v>42320</v>
      </c>
      <c r="D22" s="89" t="s">
        <v>30</v>
      </c>
      <c r="E22" s="113"/>
      <c r="F22" s="113"/>
      <c r="G22" s="113"/>
      <c r="H22" s="313"/>
      <c r="I22" s="314"/>
      <c r="J22" s="314"/>
      <c r="K22" s="315"/>
      <c r="L22" s="320"/>
      <c r="M22" s="87" t="s">
        <v>1</v>
      </c>
      <c r="N22" s="88">
        <f t="shared" si="2"/>
        <v>42348</v>
      </c>
      <c r="O22" s="89" t="s">
        <v>30</v>
      </c>
      <c r="P22" s="113">
        <v>7</v>
      </c>
      <c r="Q22" s="113"/>
      <c r="R22" s="113"/>
      <c r="S22" s="313"/>
      <c r="T22" s="314"/>
      <c r="U22" s="314"/>
      <c r="V22" s="315"/>
    </row>
    <row r="23" spans="1:22" x14ac:dyDescent="0.2">
      <c r="A23" s="328"/>
      <c r="B23" s="89" t="s">
        <v>11</v>
      </c>
      <c r="C23" s="88">
        <f t="shared" si="3"/>
        <v>42321</v>
      </c>
      <c r="D23" s="89" t="s">
        <v>120</v>
      </c>
      <c r="E23" s="113"/>
      <c r="F23" s="113"/>
      <c r="G23" s="113"/>
      <c r="H23" s="313"/>
      <c r="I23" s="314"/>
      <c r="J23" s="314"/>
      <c r="K23" s="315"/>
      <c r="L23" s="320"/>
      <c r="M23" s="87" t="s">
        <v>11</v>
      </c>
      <c r="N23" s="88">
        <f t="shared" si="2"/>
        <v>42349</v>
      </c>
      <c r="O23" s="89" t="s">
        <v>30</v>
      </c>
      <c r="P23" s="113">
        <v>7</v>
      </c>
      <c r="Q23" s="113"/>
      <c r="R23" s="113"/>
      <c r="S23" s="313"/>
      <c r="T23" s="314"/>
      <c r="U23" s="314"/>
      <c r="V23" s="315"/>
    </row>
    <row r="24" spans="1:22" x14ac:dyDescent="0.2">
      <c r="A24" s="328"/>
      <c r="B24" s="92" t="s">
        <v>0</v>
      </c>
      <c r="C24" s="91">
        <f t="shared" si="3"/>
        <v>42322</v>
      </c>
      <c r="D24" s="92" t="s">
        <v>30</v>
      </c>
      <c r="E24" s="116"/>
      <c r="F24" s="116"/>
      <c r="G24" s="116"/>
      <c r="H24" s="316"/>
      <c r="I24" s="317"/>
      <c r="J24" s="317"/>
      <c r="K24" s="318"/>
      <c r="L24" s="320"/>
      <c r="M24" s="90" t="s">
        <v>0</v>
      </c>
      <c r="N24" s="91">
        <f t="shared" si="2"/>
        <v>42350</v>
      </c>
      <c r="O24" s="92" t="s">
        <v>30</v>
      </c>
      <c r="P24" s="116">
        <v>7</v>
      </c>
      <c r="Q24" s="116"/>
      <c r="R24" s="116"/>
      <c r="S24" s="316"/>
      <c r="T24" s="317"/>
      <c r="U24" s="317"/>
      <c r="V24" s="318"/>
    </row>
    <row r="25" spans="1:22" x14ac:dyDescent="0.2">
      <c r="A25" s="329"/>
      <c r="B25" s="95" t="s">
        <v>2</v>
      </c>
      <c r="C25" s="94">
        <f t="shared" si="3"/>
        <v>42323</v>
      </c>
      <c r="D25" s="95" t="s">
        <v>30</v>
      </c>
      <c r="E25" s="114"/>
      <c r="F25" s="114"/>
      <c r="G25" s="114"/>
      <c r="H25" s="310"/>
      <c r="I25" s="311"/>
      <c r="J25" s="311"/>
      <c r="K25" s="312"/>
      <c r="L25" s="321"/>
      <c r="M25" s="93" t="s">
        <v>2</v>
      </c>
      <c r="N25" s="94">
        <f t="shared" si="2"/>
        <v>42351</v>
      </c>
      <c r="O25" s="95" t="s">
        <v>30</v>
      </c>
      <c r="P25" s="114"/>
      <c r="Q25" s="114"/>
      <c r="R25" s="114"/>
      <c r="S25" s="310"/>
      <c r="T25" s="311"/>
      <c r="U25" s="311"/>
      <c r="V25" s="312"/>
    </row>
    <row r="26" spans="1:22" x14ac:dyDescent="0.2">
      <c r="A26" s="307" t="s">
        <v>32</v>
      </c>
      <c r="B26" s="308"/>
      <c r="C26" s="308"/>
      <c r="D26" s="309"/>
      <c r="E26" s="130">
        <f>SUM(E19:E25)+G26</f>
        <v>0</v>
      </c>
      <c r="F26" s="131">
        <f>SUM(F19:F25)</f>
        <v>0</v>
      </c>
      <c r="G26" s="132">
        <f>SUM(G19:G25)</f>
        <v>0</v>
      </c>
      <c r="H26" s="185" t="s">
        <v>125</v>
      </c>
      <c r="I26" s="222">
        <f>IF(AND(INDEX(Agents[],MATCH($A$1,Agent,1),11)&lt;=C25,INDEX(Agents[],MATCH($A$1,Agent,1),12)&gt;=C25),(G28+G29)-E34,0)</f>
        <v>0</v>
      </c>
      <c r="J26" s="186" t="s">
        <v>56</v>
      </c>
      <c r="K26" s="222" t="e">
        <f>IF(G26&gt;=E34,0,E34-G26)</f>
        <v>#REF!</v>
      </c>
      <c r="L26" s="307" t="s">
        <v>32</v>
      </c>
      <c r="M26" s="308"/>
      <c r="N26" s="308"/>
      <c r="O26" s="309"/>
      <c r="P26" s="130">
        <f>SUM(P19:P25)+R26</f>
        <v>35</v>
      </c>
      <c r="Q26" s="131">
        <f>SUM(Q19:Q25)</f>
        <v>0</v>
      </c>
      <c r="R26" s="132">
        <f>SUM(R19:R25)</f>
        <v>0</v>
      </c>
      <c r="S26" s="185" t="s">
        <v>125</v>
      </c>
      <c r="T26" s="222">
        <f>IF(AND(INDEX(Agents[],MATCH($A$1,Agent,1),11)&lt;=N25,INDEX(Agents[],MATCH($A$1,Agent,1),12)&gt;=N25),(R28+R29)-P34,0)</f>
        <v>0</v>
      </c>
      <c r="U26" s="186" t="s">
        <v>56</v>
      </c>
      <c r="V26" s="222" t="e">
        <f>IF(R26&gt;=P34,0,P34-R26)</f>
        <v>#REF!</v>
      </c>
    </row>
    <row r="27" spans="1:22" s="138" customFormat="1" ht="13.5" hidden="1" customHeight="1" thickBot="1" x14ac:dyDescent="0.25">
      <c r="A27" s="288" t="s">
        <v>128</v>
      </c>
      <c r="B27" s="289"/>
      <c r="C27" s="289"/>
      <c r="D27" s="290"/>
      <c r="E27" s="133">
        <f>COUNTIF(D19:D25,"CP")</f>
        <v>0</v>
      </c>
      <c r="F27" s="279" t="s">
        <v>129</v>
      </c>
      <c r="G27" s="304"/>
      <c r="H27" s="190">
        <f>IF(D19="CP",E19,0)+IF(D20="CP",E20,0)+IF(D21="CP",E21,0)+IF(D22="CP",E22,0)+IF(D23="CP",E23,0)+IF(D24="CP",E24,0)+IF(D25="CP",E25,0)</f>
        <v>0</v>
      </c>
      <c r="I27" s="136"/>
      <c r="J27" s="136"/>
      <c r="K27" s="137"/>
      <c r="L27" s="288" t="s">
        <v>128</v>
      </c>
      <c r="M27" s="289"/>
      <c r="N27" s="289"/>
      <c r="O27" s="290"/>
      <c r="P27" s="133">
        <f>COUNTIF(O19:O25,"CP")</f>
        <v>0</v>
      </c>
      <c r="Q27" s="279" t="s">
        <v>129</v>
      </c>
      <c r="R27" s="304"/>
      <c r="S27" s="190">
        <f>IF(O19="CP",P19,0)+IF(O20="CP",P20,0)+IF(O21="CP",P21,0)+IF(O22="CP",P22,0)+IF(O23="CP",P23,0)+IF(O24="CP",P24,0)+IF(O25="CP",P25,0)</f>
        <v>0</v>
      </c>
      <c r="T27" s="136"/>
      <c r="U27" s="136"/>
      <c r="V27" s="137"/>
    </row>
    <row r="28" spans="1:22" s="138" customFormat="1" ht="12.75" hidden="1" customHeight="1" x14ac:dyDescent="0.2">
      <c r="A28" s="288" t="s">
        <v>131</v>
      </c>
      <c r="B28" s="289"/>
      <c r="C28" s="289"/>
      <c r="D28" s="290"/>
      <c r="E28" s="133">
        <f>COUNTIF(D19:D25,"AM")</f>
        <v>0</v>
      </c>
      <c r="F28" s="139"/>
      <c r="G28" s="140" t="e">
        <f>IF(AND(E26&gt;#REF!,#REF!&gt;=35),E26-#REF!,0)</f>
        <v>#REF!</v>
      </c>
      <c r="H28" s="300" t="s">
        <v>89</v>
      </c>
      <c r="I28" s="325"/>
      <c r="J28" s="141"/>
      <c r="K28" s="142"/>
      <c r="L28" s="288" t="s">
        <v>131</v>
      </c>
      <c r="M28" s="289"/>
      <c r="N28" s="289"/>
      <c r="O28" s="290"/>
      <c r="P28" s="133">
        <f>COUNTIF(O19:O25,"AM")</f>
        <v>0</v>
      </c>
      <c r="Q28" s="139"/>
      <c r="R28" s="140" t="e">
        <f>IF(AND(P26&gt;#REF!,#REF!&gt;=35),P26-#REF!,0)</f>
        <v>#REF!</v>
      </c>
      <c r="S28" s="300" t="s">
        <v>89</v>
      </c>
      <c r="T28" s="325"/>
      <c r="U28" s="136"/>
      <c r="V28" s="137"/>
    </row>
    <row r="29" spans="1:22" s="138" customFormat="1" ht="13.5" hidden="1" customHeight="1" thickBot="1" x14ac:dyDescent="0.25">
      <c r="A29" s="288" t="s">
        <v>132</v>
      </c>
      <c r="B29" s="289"/>
      <c r="C29" s="289"/>
      <c r="D29" s="290"/>
      <c r="E29" s="133">
        <f>COUNTIF(D19:D25,"AT")</f>
        <v>0</v>
      </c>
      <c r="F29" s="135"/>
      <c r="G29" s="143" t="e">
        <f>IF(AND(E30&gt;=0,E26+(E33*#REF!)&lt;#REF!),E26+(E33*#REF!)-#REF!,0)</f>
        <v>#REF!</v>
      </c>
      <c r="H29" s="302"/>
      <c r="I29" s="326"/>
      <c r="J29" s="136"/>
      <c r="K29" s="137"/>
      <c r="L29" s="288" t="s">
        <v>132</v>
      </c>
      <c r="M29" s="289"/>
      <c r="N29" s="289"/>
      <c r="O29" s="290"/>
      <c r="P29" s="133">
        <f>COUNTIF(O19:O25,"AT")</f>
        <v>0</v>
      </c>
      <c r="Q29" s="135"/>
      <c r="R29" s="143" t="e">
        <f>IF(AND(P30&gt;=0,P26+(P33*#REF!)&lt;#REF!),P26+(P33*#REF!)-#REF!,0)</f>
        <v>#REF!</v>
      </c>
      <c r="S29" s="302"/>
      <c r="T29" s="326"/>
      <c r="U29" s="136"/>
      <c r="V29" s="137"/>
    </row>
    <row r="30" spans="1:22" s="138" customFormat="1" ht="12.75" hidden="1" customHeight="1" x14ac:dyDescent="0.2">
      <c r="A30" s="288" t="s">
        <v>133</v>
      </c>
      <c r="B30" s="289"/>
      <c r="C30" s="289"/>
      <c r="D30" s="290"/>
      <c r="E30" s="133">
        <f>COUNTIF(D19:D25,"REC")</f>
        <v>0</v>
      </c>
      <c r="F30" s="135"/>
      <c r="G30" s="135"/>
      <c r="H30" s="135"/>
      <c r="I30" s="136"/>
      <c r="J30" s="136"/>
      <c r="K30" s="137"/>
      <c r="L30" s="288" t="s">
        <v>133</v>
      </c>
      <c r="M30" s="289"/>
      <c r="N30" s="289"/>
      <c r="O30" s="290"/>
      <c r="P30" s="133">
        <f>COUNTIF(O19:O25,"REC")</f>
        <v>0</v>
      </c>
      <c r="Q30" s="135"/>
      <c r="R30" s="135"/>
      <c r="S30" s="135"/>
      <c r="T30" s="136"/>
      <c r="U30" s="136"/>
      <c r="V30" s="137"/>
    </row>
    <row r="31" spans="1:22" s="138" customFormat="1" ht="12.75" hidden="1" customHeight="1" x14ac:dyDescent="0.2">
      <c r="A31" s="279" t="s">
        <v>130</v>
      </c>
      <c r="B31" s="280"/>
      <c r="C31" s="280"/>
      <c r="D31" s="281"/>
      <c r="E31" s="190">
        <f>IF(D19="JF",E19,0)+IF(D20="JF",E20,0)+IF(D21="JF",E21,0)+IF(D22="JF",E22,0)+IF(D23="JF",E23,0)+IF(D24="JF",E24,0)+IF(D25="JF",E25,0)</f>
        <v>0</v>
      </c>
      <c r="F31" s="135"/>
      <c r="G31" s="135"/>
      <c r="H31" s="135"/>
      <c r="I31" s="136"/>
      <c r="J31" s="136"/>
      <c r="K31" s="137"/>
      <c r="L31" s="279" t="s">
        <v>130</v>
      </c>
      <c r="M31" s="280"/>
      <c r="N31" s="280"/>
      <c r="O31" s="281"/>
      <c r="P31" s="190">
        <f>IF(O19="JF",P19,0)+IF(O20="JF",P20,0)+IF(O21="JF",P21,0)+IF(O22="JF",P22,0)+IF(O23="JF",P23,0)+IF(O24="JF",P24,0)+IF(O25="JF",P25,0)</f>
        <v>0</v>
      </c>
      <c r="Q31" s="135"/>
      <c r="R31" s="135"/>
      <c r="S31" s="135"/>
      <c r="T31" s="136"/>
      <c r="U31" s="136"/>
      <c r="V31" s="137"/>
    </row>
    <row r="32" spans="1:22" s="138" customFormat="1" ht="12.75" hidden="1" customHeight="1" x14ac:dyDescent="0.2">
      <c r="A32" s="288" t="s">
        <v>134</v>
      </c>
      <c r="B32" s="289"/>
      <c r="C32" s="289"/>
      <c r="D32" s="290"/>
      <c r="E32" s="133">
        <f>COUNTIF(D19:D25,"CE")</f>
        <v>0</v>
      </c>
      <c r="F32" s="135"/>
      <c r="G32" s="135"/>
      <c r="H32" s="135"/>
      <c r="I32" s="136"/>
      <c r="J32" s="136"/>
      <c r="K32" s="137"/>
      <c r="L32" s="288" t="s">
        <v>134</v>
      </c>
      <c r="M32" s="289"/>
      <c r="N32" s="289"/>
      <c r="O32" s="290"/>
      <c r="P32" s="133">
        <f>COUNTIF(O19:O25,"CE")</f>
        <v>0</v>
      </c>
      <c r="Q32" s="135"/>
      <c r="R32" s="135"/>
      <c r="S32" s="135"/>
      <c r="T32" s="136"/>
      <c r="U32" s="136"/>
      <c r="V32" s="137"/>
    </row>
    <row r="33" spans="1:22" s="138" customFormat="1" ht="12.75" hidden="1" customHeight="1" x14ac:dyDescent="0.2">
      <c r="A33" s="297" t="s">
        <v>135</v>
      </c>
      <c r="B33" s="298"/>
      <c r="C33" s="298"/>
      <c r="D33" s="299"/>
      <c r="E33" s="99">
        <f>COUNTIF(D19:D25,"SS")</f>
        <v>0</v>
      </c>
      <c r="F33" s="145"/>
      <c r="G33" s="145"/>
      <c r="H33" s="145"/>
      <c r="I33" s="146"/>
      <c r="J33" s="146"/>
      <c r="K33" s="147"/>
      <c r="L33" s="297" t="s">
        <v>135</v>
      </c>
      <c r="M33" s="298"/>
      <c r="N33" s="298"/>
      <c r="O33" s="299"/>
      <c r="P33" s="99">
        <f>COUNTIF(O19:O25,"SS")</f>
        <v>0</v>
      </c>
      <c r="Q33" s="135"/>
      <c r="R33" s="135"/>
      <c r="S33" s="135"/>
      <c r="T33" s="136"/>
      <c r="U33" s="136"/>
      <c r="V33" s="137"/>
    </row>
    <row r="34" spans="1:22" s="138" customFormat="1" ht="12.75" hidden="1" customHeight="1" x14ac:dyDescent="0.2">
      <c r="A34" s="279" t="s">
        <v>33</v>
      </c>
      <c r="B34" s="280"/>
      <c r="C34" s="280"/>
      <c r="D34" s="281"/>
      <c r="E34" s="191" t="e">
        <f>IF(AND(E26&gt;Config!$G$4,#REF!&gt;=35),E26-Config!$G$4,0)</f>
        <v>#REF!</v>
      </c>
      <c r="F34" s="145"/>
      <c r="G34" s="145"/>
      <c r="H34" s="145"/>
      <c r="I34" s="146"/>
      <c r="J34" s="146"/>
      <c r="K34" s="147"/>
      <c r="L34" s="279" t="s">
        <v>33</v>
      </c>
      <c r="M34" s="280"/>
      <c r="N34" s="280"/>
      <c r="O34" s="281"/>
      <c r="P34" s="191" t="e">
        <f>IF(AND(P26&gt;Config!$G$4,#REF!&gt;=35),P26-Config!$G$4,0)</f>
        <v>#REF!</v>
      </c>
      <c r="Q34" s="135"/>
      <c r="R34" s="135"/>
      <c r="S34" s="135"/>
      <c r="T34" s="136"/>
      <c r="U34" s="136"/>
      <c r="V34" s="137"/>
    </row>
    <row r="35" spans="1:22" x14ac:dyDescent="0.2">
      <c r="A35" s="327">
        <f>_xlfn.ISOWEEKNUM(C41)</f>
        <v>47</v>
      </c>
      <c r="B35" s="86" t="s">
        <v>8</v>
      </c>
      <c r="C35" s="85">
        <f>C25+1</f>
        <v>42324</v>
      </c>
      <c r="D35" s="86" t="s">
        <v>30</v>
      </c>
      <c r="E35" s="115"/>
      <c r="F35" s="115"/>
      <c r="G35" s="115"/>
      <c r="H35" s="322"/>
      <c r="I35" s="323"/>
      <c r="J35" s="323"/>
      <c r="K35" s="324"/>
      <c r="L35" s="319">
        <f>_xlfn.ISOWEEKNUM(N41)</f>
        <v>51</v>
      </c>
      <c r="M35" s="84" t="s">
        <v>8</v>
      </c>
      <c r="N35" s="85">
        <f>N25+1</f>
        <v>42352</v>
      </c>
      <c r="O35" s="86" t="s">
        <v>30</v>
      </c>
      <c r="P35" s="115">
        <v>7</v>
      </c>
      <c r="Q35" s="115"/>
      <c r="R35" s="115"/>
      <c r="S35" s="322"/>
      <c r="T35" s="323"/>
      <c r="U35" s="323"/>
      <c r="V35" s="324"/>
    </row>
    <row r="36" spans="1:22" x14ac:dyDescent="0.2">
      <c r="A36" s="328"/>
      <c r="B36" s="89" t="s">
        <v>9</v>
      </c>
      <c r="C36" s="88">
        <f>C35+1</f>
        <v>42325</v>
      </c>
      <c r="D36" s="89" t="s">
        <v>30</v>
      </c>
      <c r="E36" s="113"/>
      <c r="F36" s="113"/>
      <c r="G36" s="113"/>
      <c r="H36" s="313"/>
      <c r="I36" s="314"/>
      <c r="J36" s="314"/>
      <c r="K36" s="315"/>
      <c r="L36" s="320"/>
      <c r="M36" s="87" t="s">
        <v>9</v>
      </c>
      <c r="N36" s="88">
        <f t="shared" ref="N36:N41" si="4">N35+1</f>
        <v>42353</v>
      </c>
      <c r="O36" s="89" t="s">
        <v>30</v>
      </c>
      <c r="P36" s="113">
        <v>7</v>
      </c>
      <c r="Q36" s="113"/>
      <c r="R36" s="113"/>
      <c r="S36" s="313"/>
      <c r="T36" s="314"/>
      <c r="U36" s="314"/>
      <c r="V36" s="315"/>
    </row>
    <row r="37" spans="1:22" x14ac:dyDescent="0.2">
      <c r="A37" s="328"/>
      <c r="B37" s="89" t="s">
        <v>10</v>
      </c>
      <c r="C37" s="88">
        <f>C36+1</f>
        <v>42326</v>
      </c>
      <c r="D37" s="89" t="s">
        <v>30</v>
      </c>
      <c r="E37" s="113"/>
      <c r="F37" s="113"/>
      <c r="G37" s="113"/>
      <c r="H37" s="313"/>
      <c r="I37" s="314"/>
      <c r="J37" s="314"/>
      <c r="K37" s="315"/>
      <c r="L37" s="320"/>
      <c r="M37" s="87" t="s">
        <v>10</v>
      </c>
      <c r="N37" s="88">
        <f t="shared" si="4"/>
        <v>42354</v>
      </c>
      <c r="O37" s="89" t="s">
        <v>30</v>
      </c>
      <c r="P37" s="113">
        <v>7</v>
      </c>
      <c r="Q37" s="113"/>
      <c r="R37" s="113"/>
      <c r="S37" s="313"/>
      <c r="T37" s="314"/>
      <c r="U37" s="314"/>
      <c r="V37" s="315"/>
    </row>
    <row r="38" spans="1:22" x14ac:dyDescent="0.2">
      <c r="A38" s="328"/>
      <c r="B38" s="89" t="s">
        <v>1</v>
      </c>
      <c r="C38" s="88">
        <f t="shared" ref="C38:C41" si="5">C37+1</f>
        <v>42327</v>
      </c>
      <c r="D38" s="89" t="s">
        <v>30</v>
      </c>
      <c r="E38" s="113"/>
      <c r="F38" s="113"/>
      <c r="G38" s="113"/>
      <c r="H38" s="313"/>
      <c r="I38" s="314"/>
      <c r="J38" s="314"/>
      <c r="K38" s="315"/>
      <c r="L38" s="320"/>
      <c r="M38" s="87" t="s">
        <v>1</v>
      </c>
      <c r="N38" s="88">
        <f t="shared" si="4"/>
        <v>42355</v>
      </c>
      <c r="O38" s="89" t="s">
        <v>30</v>
      </c>
      <c r="P38" s="113">
        <v>7</v>
      </c>
      <c r="Q38" s="113"/>
      <c r="R38" s="113"/>
      <c r="S38" s="313"/>
      <c r="T38" s="314"/>
      <c r="U38" s="314"/>
      <c r="V38" s="315"/>
    </row>
    <row r="39" spans="1:22" x14ac:dyDescent="0.2">
      <c r="A39" s="328"/>
      <c r="B39" s="89" t="s">
        <v>11</v>
      </c>
      <c r="C39" s="88">
        <f t="shared" si="5"/>
        <v>42328</v>
      </c>
      <c r="D39" s="89" t="s">
        <v>30</v>
      </c>
      <c r="E39" s="113"/>
      <c r="F39" s="113"/>
      <c r="G39" s="113"/>
      <c r="H39" s="313"/>
      <c r="I39" s="314"/>
      <c r="J39" s="314"/>
      <c r="K39" s="315"/>
      <c r="L39" s="320"/>
      <c r="M39" s="87" t="s">
        <v>11</v>
      </c>
      <c r="N39" s="88">
        <f t="shared" si="4"/>
        <v>42356</v>
      </c>
      <c r="O39" s="89" t="s">
        <v>30</v>
      </c>
      <c r="P39" s="113">
        <v>7</v>
      </c>
      <c r="Q39" s="113"/>
      <c r="R39" s="113"/>
      <c r="S39" s="313"/>
      <c r="T39" s="314"/>
      <c r="U39" s="314"/>
      <c r="V39" s="315"/>
    </row>
    <row r="40" spans="1:22" x14ac:dyDescent="0.2">
      <c r="A40" s="328"/>
      <c r="B40" s="92" t="s">
        <v>0</v>
      </c>
      <c r="C40" s="91">
        <f t="shared" si="5"/>
        <v>42329</v>
      </c>
      <c r="D40" s="92" t="s">
        <v>30</v>
      </c>
      <c r="E40" s="116"/>
      <c r="F40" s="116"/>
      <c r="G40" s="116"/>
      <c r="H40" s="316"/>
      <c r="I40" s="317"/>
      <c r="J40" s="317"/>
      <c r="K40" s="318"/>
      <c r="L40" s="320"/>
      <c r="M40" s="90" t="s">
        <v>0</v>
      </c>
      <c r="N40" s="91">
        <f t="shared" si="4"/>
        <v>42357</v>
      </c>
      <c r="O40" s="92" t="s">
        <v>30</v>
      </c>
      <c r="P40" s="116">
        <v>8</v>
      </c>
      <c r="Q40" s="116"/>
      <c r="R40" s="116"/>
      <c r="S40" s="316"/>
      <c r="T40" s="317"/>
      <c r="U40" s="317"/>
      <c r="V40" s="318"/>
    </row>
    <row r="41" spans="1:22" x14ac:dyDescent="0.2">
      <c r="A41" s="329"/>
      <c r="B41" s="95" t="s">
        <v>2</v>
      </c>
      <c r="C41" s="94">
        <f t="shared" si="5"/>
        <v>42330</v>
      </c>
      <c r="D41" s="95" t="s">
        <v>30</v>
      </c>
      <c r="E41" s="114"/>
      <c r="F41" s="114"/>
      <c r="G41" s="114"/>
      <c r="H41" s="310"/>
      <c r="I41" s="311"/>
      <c r="J41" s="311"/>
      <c r="K41" s="312"/>
      <c r="L41" s="321"/>
      <c r="M41" s="93" t="s">
        <v>2</v>
      </c>
      <c r="N41" s="94">
        <f t="shared" si="4"/>
        <v>42358</v>
      </c>
      <c r="O41" s="95" t="s">
        <v>30</v>
      </c>
      <c r="P41" s="114"/>
      <c r="Q41" s="114"/>
      <c r="R41" s="114"/>
      <c r="S41" s="310"/>
      <c r="T41" s="311"/>
      <c r="U41" s="311"/>
      <c r="V41" s="312"/>
    </row>
    <row r="42" spans="1:22" x14ac:dyDescent="0.2">
      <c r="A42" s="307" t="s">
        <v>32</v>
      </c>
      <c r="B42" s="308"/>
      <c r="C42" s="308"/>
      <c r="D42" s="309"/>
      <c r="E42" s="130">
        <f>SUM(E35:E41)+G42</f>
        <v>0</v>
      </c>
      <c r="F42" s="131">
        <f>SUM(F35:F41)</f>
        <v>0</v>
      </c>
      <c r="G42" s="132">
        <f>SUM(G35:G41)</f>
        <v>0</v>
      </c>
      <c r="H42" s="185" t="s">
        <v>125</v>
      </c>
      <c r="I42" s="222">
        <f>IF(AND(INDEX(Agents[],MATCH($A$1,Agent,1),11)&lt;=C41,INDEX(Agents[],MATCH($A$1,Agent,1),12)&gt;=C41),(G44+G45)-E50,0)</f>
        <v>0</v>
      </c>
      <c r="J42" s="186" t="s">
        <v>56</v>
      </c>
      <c r="K42" s="222" t="e">
        <f>IF(G42&gt;=E50,0,E50-G42)</f>
        <v>#REF!</v>
      </c>
      <c r="L42" s="307" t="s">
        <v>32</v>
      </c>
      <c r="M42" s="308"/>
      <c r="N42" s="308"/>
      <c r="O42" s="309"/>
      <c r="P42" s="130">
        <f>SUM(P35:P41)+R42</f>
        <v>43</v>
      </c>
      <c r="Q42" s="131">
        <f>SUM(Q35:Q41)</f>
        <v>0</v>
      </c>
      <c r="R42" s="132">
        <f>SUM(R35:R41)</f>
        <v>0</v>
      </c>
      <c r="S42" s="185" t="s">
        <v>125</v>
      </c>
      <c r="T42" s="222">
        <f>IF(AND(INDEX(Agents[],MATCH($A$1,Agent,1),11)&lt;=N41,INDEX(Agents[],MATCH($A$1,Agent,1),12)&gt;=N41),(R44+R45)-P50,0)</f>
        <v>0</v>
      </c>
      <c r="U42" s="186" t="s">
        <v>56</v>
      </c>
      <c r="V42" s="222" t="e">
        <f>IF(R42&gt;=P50,0,P50-R42)</f>
        <v>#REF!</v>
      </c>
    </row>
    <row r="43" spans="1:22" s="138" customFormat="1" ht="13.5" hidden="1" customHeight="1" thickBot="1" x14ac:dyDescent="0.25">
      <c r="A43" s="288" t="s">
        <v>128</v>
      </c>
      <c r="B43" s="289"/>
      <c r="C43" s="289"/>
      <c r="D43" s="290"/>
      <c r="E43" s="133">
        <f>COUNTIF(D35:D41,"CP")</f>
        <v>0</v>
      </c>
      <c r="F43" s="279" t="s">
        <v>129</v>
      </c>
      <c r="G43" s="304"/>
      <c r="H43" s="190">
        <f>IF(D35="CP",E35,0)+IF(D36="CP",E36,0)+IF(D37="CP",E37,0)+IF(D38="CP",E38,0)+IF(D39="CP",E39,0)+IF(D40="CP",E40,0)+IF(D41="CP",E41,0)</f>
        <v>0</v>
      </c>
      <c r="I43" s="136"/>
      <c r="J43" s="136"/>
      <c r="K43" s="137"/>
      <c r="L43" s="288" t="s">
        <v>128</v>
      </c>
      <c r="M43" s="289"/>
      <c r="N43" s="289"/>
      <c r="O43" s="290"/>
      <c r="P43" s="133">
        <f>COUNTIF(O35:O41,"CP")</f>
        <v>0</v>
      </c>
      <c r="Q43" s="279" t="s">
        <v>129</v>
      </c>
      <c r="R43" s="304"/>
      <c r="S43" s="190">
        <f>IF(O35="CP",P35,0)+IF(O36="CP",P36,0)+IF(O37="CP",P37,0)+IF(O38="CP",P38,0)+IF(O39="CP",P39,0)+IF(O40="CP",P40,0)+IF(O41="CP",P41,0)</f>
        <v>0</v>
      </c>
      <c r="T43" s="136"/>
      <c r="U43" s="136"/>
      <c r="V43" s="137"/>
    </row>
    <row r="44" spans="1:22" s="138" customFormat="1" ht="12.75" hidden="1" customHeight="1" x14ac:dyDescent="0.2">
      <c r="A44" s="288" t="s">
        <v>131</v>
      </c>
      <c r="B44" s="289"/>
      <c r="C44" s="289"/>
      <c r="D44" s="290"/>
      <c r="E44" s="133">
        <f>COUNTIF(D35:D41,"AM")</f>
        <v>0</v>
      </c>
      <c r="F44" s="139"/>
      <c r="G44" s="140" t="e">
        <f>IF(AND(E42&gt;#REF!,#REF!&gt;=35),E42-#REF!,0)</f>
        <v>#REF!</v>
      </c>
      <c r="H44" s="300" t="s">
        <v>89</v>
      </c>
      <c r="I44" s="325"/>
      <c r="J44" s="141"/>
      <c r="K44" s="142"/>
      <c r="L44" s="288" t="s">
        <v>131</v>
      </c>
      <c r="M44" s="289"/>
      <c r="N44" s="289"/>
      <c r="O44" s="290"/>
      <c r="P44" s="133">
        <f>COUNTIF(O35:O41,"AM")</f>
        <v>0</v>
      </c>
      <c r="Q44" s="139"/>
      <c r="R44" s="140" t="e">
        <f>IF(AND(P42&gt;#REF!,#REF!&gt;=35),P42-#REF!,0)</f>
        <v>#REF!</v>
      </c>
      <c r="S44" s="300" t="s">
        <v>89</v>
      </c>
      <c r="T44" s="325"/>
      <c r="U44" s="136"/>
      <c r="V44" s="137"/>
    </row>
    <row r="45" spans="1:22" s="138" customFormat="1" ht="13.5" hidden="1" customHeight="1" thickBot="1" x14ac:dyDescent="0.25">
      <c r="A45" s="288" t="s">
        <v>132</v>
      </c>
      <c r="B45" s="289"/>
      <c r="C45" s="289"/>
      <c r="D45" s="290"/>
      <c r="E45" s="133">
        <f>COUNTIF(D35:D41,"AT")</f>
        <v>0</v>
      </c>
      <c r="F45" s="135"/>
      <c r="G45" s="143" t="e">
        <f>IF(AND(E46&gt;=0,E42+(E49*#REF!)&lt;#REF!),E42+(E49*#REF!)-#REF!,0)</f>
        <v>#REF!</v>
      </c>
      <c r="H45" s="302"/>
      <c r="I45" s="326"/>
      <c r="J45" s="136"/>
      <c r="K45" s="137"/>
      <c r="L45" s="288" t="s">
        <v>132</v>
      </c>
      <c r="M45" s="289"/>
      <c r="N45" s="289"/>
      <c r="O45" s="290"/>
      <c r="P45" s="133">
        <f>COUNTIF(O35:O41,"AT")</f>
        <v>0</v>
      </c>
      <c r="Q45" s="135"/>
      <c r="R45" s="143" t="e">
        <f>IF(AND(P46&gt;=0,P42+(P49*#REF!)&lt;#REF!),P42+(P49*#REF!)-#REF!,0)</f>
        <v>#REF!</v>
      </c>
      <c r="S45" s="302"/>
      <c r="T45" s="326"/>
      <c r="U45" s="136"/>
      <c r="V45" s="137"/>
    </row>
    <row r="46" spans="1:22" s="138" customFormat="1" ht="12.75" hidden="1" customHeight="1" x14ac:dyDescent="0.2">
      <c r="A46" s="288" t="s">
        <v>133</v>
      </c>
      <c r="B46" s="289"/>
      <c r="C46" s="289"/>
      <c r="D46" s="290"/>
      <c r="E46" s="133">
        <f>COUNTIF(D35:D41,"REC")</f>
        <v>0</v>
      </c>
      <c r="F46" s="135"/>
      <c r="G46" s="135"/>
      <c r="H46" s="135"/>
      <c r="I46" s="136"/>
      <c r="J46" s="136"/>
      <c r="K46" s="137"/>
      <c r="L46" s="288" t="s">
        <v>133</v>
      </c>
      <c r="M46" s="289"/>
      <c r="N46" s="289"/>
      <c r="O46" s="290"/>
      <c r="P46" s="133">
        <f>COUNTIF(O35:O41,"REC")</f>
        <v>0</v>
      </c>
      <c r="Q46" s="135"/>
      <c r="R46" s="135"/>
      <c r="S46" s="135"/>
      <c r="T46" s="136"/>
      <c r="U46" s="136"/>
      <c r="V46" s="137"/>
    </row>
    <row r="47" spans="1:22" s="138" customFormat="1" ht="12.75" hidden="1" customHeight="1" x14ac:dyDescent="0.2">
      <c r="A47" s="279" t="s">
        <v>130</v>
      </c>
      <c r="B47" s="280"/>
      <c r="C47" s="280"/>
      <c r="D47" s="281"/>
      <c r="E47" s="190">
        <f>IF(D35="JF",E35,0)+IF(D36="JF",E36,0)+IF(D37="JF",E37,0)+IF(D38="JF",E38,0)+IF(D39="JF",E39,0)+IF(D40="JF",E40,0)+IF(D41="JF",E41,0)</f>
        <v>0</v>
      </c>
      <c r="F47" s="135"/>
      <c r="G47" s="135"/>
      <c r="H47" s="135"/>
      <c r="I47" s="136"/>
      <c r="J47" s="136"/>
      <c r="K47" s="137"/>
      <c r="L47" s="279" t="s">
        <v>130</v>
      </c>
      <c r="M47" s="280"/>
      <c r="N47" s="280"/>
      <c r="O47" s="281"/>
      <c r="P47" s="190">
        <f>IF(O35="JF",P35,0)+IF(O36="JF",P36,0)+IF(O37="JF",P37,0)+IF(O38="JF",P38,0)+IF(O39="JF",P39,0)+IF(O40="JF",P40,0)+IF(O41="JF",P41,0)</f>
        <v>0</v>
      </c>
      <c r="Q47" s="135"/>
      <c r="R47" s="135"/>
      <c r="S47" s="135"/>
      <c r="T47" s="136"/>
      <c r="U47" s="136"/>
      <c r="V47" s="137"/>
    </row>
    <row r="48" spans="1:22" s="138" customFormat="1" ht="12.75" hidden="1" customHeight="1" x14ac:dyDescent="0.2">
      <c r="A48" s="288" t="s">
        <v>134</v>
      </c>
      <c r="B48" s="289"/>
      <c r="C48" s="289"/>
      <c r="D48" s="290"/>
      <c r="E48" s="133">
        <f>COUNTIF(D35:D41,"CE")</f>
        <v>0</v>
      </c>
      <c r="F48" s="145"/>
      <c r="G48" s="145"/>
      <c r="H48" s="145"/>
      <c r="I48" s="146"/>
      <c r="J48" s="146"/>
      <c r="K48" s="147"/>
      <c r="L48" s="288" t="s">
        <v>134</v>
      </c>
      <c r="M48" s="289"/>
      <c r="N48" s="289"/>
      <c r="O48" s="290"/>
      <c r="P48" s="133">
        <f>COUNTIF(O35:O41,"CE")</f>
        <v>0</v>
      </c>
      <c r="Q48" s="135"/>
      <c r="R48" s="135"/>
      <c r="S48" s="135"/>
      <c r="T48" s="136"/>
      <c r="U48" s="136"/>
      <c r="V48" s="137"/>
    </row>
    <row r="49" spans="1:22" s="138" customFormat="1" ht="12.75" hidden="1" customHeight="1" x14ac:dyDescent="0.2">
      <c r="A49" s="297" t="s">
        <v>135</v>
      </c>
      <c r="B49" s="298"/>
      <c r="C49" s="298"/>
      <c r="D49" s="299"/>
      <c r="E49" s="99">
        <f>COUNTIF(D35:D41,"SS")</f>
        <v>0</v>
      </c>
      <c r="F49" s="145"/>
      <c r="G49" s="145"/>
      <c r="H49" s="145"/>
      <c r="I49" s="146"/>
      <c r="J49" s="146"/>
      <c r="K49" s="147"/>
      <c r="L49" s="297" t="s">
        <v>135</v>
      </c>
      <c r="M49" s="298"/>
      <c r="N49" s="298"/>
      <c r="O49" s="299"/>
      <c r="P49" s="99">
        <f>COUNTIF(O35:O41,"SS")</f>
        <v>0</v>
      </c>
      <c r="Q49" s="135"/>
      <c r="R49" s="135"/>
      <c r="S49" s="135"/>
      <c r="T49" s="136"/>
      <c r="U49" s="136"/>
      <c r="V49" s="137"/>
    </row>
    <row r="50" spans="1:22" s="138" customFormat="1" ht="12.75" hidden="1" customHeight="1" x14ac:dyDescent="0.2">
      <c r="A50" s="279" t="s">
        <v>33</v>
      </c>
      <c r="B50" s="280"/>
      <c r="C50" s="280"/>
      <c r="D50" s="281"/>
      <c r="E50" s="191" t="e">
        <f>IF(AND(E42&gt;Config!$G$4,#REF!&gt;=35),E42-Config!$G$4,0)</f>
        <v>#REF!</v>
      </c>
      <c r="F50" s="145"/>
      <c r="G50" s="145"/>
      <c r="H50" s="145"/>
      <c r="I50" s="146"/>
      <c r="J50" s="146"/>
      <c r="K50" s="147"/>
      <c r="L50" s="279" t="s">
        <v>33</v>
      </c>
      <c r="M50" s="280"/>
      <c r="N50" s="280"/>
      <c r="O50" s="281"/>
      <c r="P50" s="191" t="e">
        <f>IF(AND(P42&gt;Config!$G$4,#REF!&gt;=35),P42-Config!$G$4,0)</f>
        <v>#REF!</v>
      </c>
      <c r="Q50" s="135"/>
      <c r="R50" s="135"/>
      <c r="S50" s="135"/>
      <c r="T50" s="136"/>
      <c r="U50" s="136"/>
      <c r="V50" s="137"/>
    </row>
    <row r="51" spans="1:22" x14ac:dyDescent="0.2">
      <c r="A51" s="327">
        <f>_xlfn.ISOWEEKNUM(C57)</f>
        <v>48</v>
      </c>
      <c r="B51" s="86" t="s">
        <v>8</v>
      </c>
      <c r="C51" s="85">
        <f>C41+1</f>
        <v>42331</v>
      </c>
      <c r="D51" s="86" t="s">
        <v>30</v>
      </c>
      <c r="E51" s="115"/>
      <c r="F51" s="115"/>
      <c r="G51" s="115"/>
      <c r="H51" s="322"/>
      <c r="I51" s="323"/>
      <c r="J51" s="323"/>
      <c r="K51" s="324"/>
      <c r="L51" s="319">
        <f>_xlfn.ISOWEEKNUM(N57)</f>
        <v>52</v>
      </c>
      <c r="M51" s="84" t="s">
        <v>8</v>
      </c>
      <c r="N51" s="85">
        <f>N41+1</f>
        <v>42359</v>
      </c>
      <c r="O51" s="86" t="s">
        <v>30</v>
      </c>
      <c r="P51" s="115">
        <v>7</v>
      </c>
      <c r="Q51" s="115"/>
      <c r="R51" s="115"/>
      <c r="S51" s="322"/>
      <c r="T51" s="323"/>
      <c r="U51" s="323"/>
      <c r="V51" s="324"/>
    </row>
    <row r="52" spans="1:22" x14ac:dyDescent="0.2">
      <c r="A52" s="328"/>
      <c r="B52" s="89" t="s">
        <v>9</v>
      </c>
      <c r="C52" s="88">
        <f>C51+1</f>
        <v>42332</v>
      </c>
      <c r="D52" s="89" t="s">
        <v>30</v>
      </c>
      <c r="E52" s="113"/>
      <c r="F52" s="113"/>
      <c r="G52" s="113"/>
      <c r="H52" s="313"/>
      <c r="I52" s="314"/>
      <c r="J52" s="314"/>
      <c r="K52" s="315"/>
      <c r="L52" s="320"/>
      <c r="M52" s="87" t="s">
        <v>9</v>
      </c>
      <c r="N52" s="88">
        <f t="shared" ref="N52:N57" si="6">N51+1</f>
        <v>42360</v>
      </c>
      <c r="O52" s="89" t="s">
        <v>30</v>
      </c>
      <c r="P52" s="113">
        <v>7</v>
      </c>
      <c r="Q52" s="113"/>
      <c r="R52" s="113"/>
      <c r="S52" s="313"/>
      <c r="T52" s="314"/>
      <c r="U52" s="314"/>
      <c r="V52" s="315"/>
    </row>
    <row r="53" spans="1:22" x14ac:dyDescent="0.2">
      <c r="A53" s="328"/>
      <c r="B53" s="89" t="s">
        <v>10</v>
      </c>
      <c r="C53" s="88">
        <f t="shared" ref="C53:C57" si="7">C52+1</f>
        <v>42333</v>
      </c>
      <c r="D53" s="89" t="s">
        <v>30</v>
      </c>
      <c r="E53" s="113"/>
      <c r="F53" s="113"/>
      <c r="G53" s="113"/>
      <c r="H53" s="313"/>
      <c r="I53" s="314"/>
      <c r="J53" s="314"/>
      <c r="K53" s="315"/>
      <c r="L53" s="320"/>
      <c r="M53" s="87" t="s">
        <v>10</v>
      </c>
      <c r="N53" s="88">
        <f t="shared" si="6"/>
        <v>42361</v>
      </c>
      <c r="O53" s="89" t="s">
        <v>30</v>
      </c>
      <c r="P53" s="113">
        <v>7</v>
      </c>
      <c r="Q53" s="113"/>
      <c r="R53" s="113"/>
      <c r="S53" s="313"/>
      <c r="T53" s="314"/>
      <c r="U53" s="314"/>
      <c r="V53" s="315"/>
    </row>
    <row r="54" spans="1:22" x14ac:dyDescent="0.2">
      <c r="A54" s="328"/>
      <c r="B54" s="89" t="s">
        <v>1</v>
      </c>
      <c r="C54" s="88">
        <f t="shared" si="7"/>
        <v>42334</v>
      </c>
      <c r="D54" s="89" t="s">
        <v>30</v>
      </c>
      <c r="E54" s="113"/>
      <c r="F54" s="113"/>
      <c r="G54" s="113"/>
      <c r="H54" s="313"/>
      <c r="I54" s="314"/>
      <c r="J54" s="314"/>
      <c r="K54" s="315"/>
      <c r="L54" s="320"/>
      <c r="M54" s="87" t="s">
        <v>1</v>
      </c>
      <c r="N54" s="88">
        <f t="shared" si="6"/>
        <v>42362</v>
      </c>
      <c r="O54" s="89" t="s">
        <v>30</v>
      </c>
      <c r="P54" s="113">
        <v>7</v>
      </c>
      <c r="Q54" s="113"/>
      <c r="R54" s="113"/>
      <c r="S54" s="313"/>
      <c r="T54" s="314"/>
      <c r="U54" s="314"/>
      <c r="V54" s="315"/>
    </row>
    <row r="55" spans="1:22" x14ac:dyDescent="0.2">
      <c r="A55" s="328"/>
      <c r="B55" s="89" t="s">
        <v>11</v>
      </c>
      <c r="C55" s="88">
        <f t="shared" si="7"/>
        <v>42335</v>
      </c>
      <c r="D55" s="89" t="s">
        <v>30</v>
      </c>
      <c r="E55" s="113"/>
      <c r="F55" s="113"/>
      <c r="G55" s="113"/>
      <c r="H55" s="313"/>
      <c r="I55" s="314"/>
      <c r="J55" s="314"/>
      <c r="K55" s="315"/>
      <c r="L55" s="320"/>
      <c r="M55" s="87" t="s">
        <v>11</v>
      </c>
      <c r="N55" s="88">
        <f t="shared" si="6"/>
        <v>42363</v>
      </c>
      <c r="O55" s="89" t="s">
        <v>30</v>
      </c>
      <c r="P55" s="113">
        <v>8</v>
      </c>
      <c r="Q55" s="113"/>
      <c r="R55" s="113"/>
      <c r="S55" s="313"/>
      <c r="T55" s="314"/>
      <c r="U55" s="314"/>
      <c r="V55" s="315"/>
    </row>
    <row r="56" spans="1:22" x14ac:dyDescent="0.2">
      <c r="A56" s="328"/>
      <c r="B56" s="92" t="s">
        <v>0</v>
      </c>
      <c r="C56" s="91">
        <f t="shared" si="7"/>
        <v>42336</v>
      </c>
      <c r="D56" s="92" t="s">
        <v>30</v>
      </c>
      <c r="E56" s="116"/>
      <c r="F56" s="116"/>
      <c r="G56" s="116"/>
      <c r="H56" s="316"/>
      <c r="I56" s="317"/>
      <c r="J56" s="317"/>
      <c r="K56" s="318"/>
      <c r="L56" s="320"/>
      <c r="M56" s="90" t="s">
        <v>0</v>
      </c>
      <c r="N56" s="91">
        <f t="shared" si="6"/>
        <v>42364</v>
      </c>
      <c r="O56" s="92" t="s">
        <v>30</v>
      </c>
      <c r="P56" s="116"/>
      <c r="Q56" s="116"/>
      <c r="R56" s="116"/>
      <c r="S56" s="316"/>
      <c r="T56" s="317"/>
      <c r="U56" s="317"/>
      <c r="V56" s="318"/>
    </row>
    <row r="57" spans="1:22" x14ac:dyDescent="0.2">
      <c r="A57" s="329"/>
      <c r="B57" s="95" t="s">
        <v>2</v>
      </c>
      <c r="C57" s="94">
        <f t="shared" si="7"/>
        <v>42337</v>
      </c>
      <c r="D57" s="95" t="s">
        <v>30</v>
      </c>
      <c r="E57" s="114"/>
      <c r="F57" s="114"/>
      <c r="G57" s="114"/>
      <c r="H57" s="310"/>
      <c r="I57" s="311"/>
      <c r="J57" s="311"/>
      <c r="K57" s="312"/>
      <c r="L57" s="321"/>
      <c r="M57" s="93" t="s">
        <v>2</v>
      </c>
      <c r="N57" s="94">
        <f t="shared" si="6"/>
        <v>42365</v>
      </c>
      <c r="O57" s="95" t="s">
        <v>30</v>
      </c>
      <c r="P57" s="114"/>
      <c r="Q57" s="114"/>
      <c r="R57" s="114"/>
      <c r="S57" s="310"/>
      <c r="T57" s="311"/>
      <c r="U57" s="311"/>
      <c r="V57" s="312"/>
    </row>
    <row r="58" spans="1:22" x14ac:dyDescent="0.2">
      <c r="A58" s="307" t="s">
        <v>32</v>
      </c>
      <c r="B58" s="308"/>
      <c r="C58" s="308"/>
      <c r="D58" s="309"/>
      <c r="E58" s="130">
        <f>SUM(E51:E57)+G58</f>
        <v>0</v>
      </c>
      <c r="F58" s="131">
        <f>SUM(F51:F57)</f>
        <v>0</v>
      </c>
      <c r="G58" s="132">
        <f>SUM(G51:G57)</f>
        <v>0</v>
      </c>
      <c r="H58" s="185" t="s">
        <v>125</v>
      </c>
      <c r="I58" s="222">
        <f>IF(AND(INDEX(Agents[],MATCH($A$1,Agent,1),11)&lt;=C57,INDEX(Agents[],MATCH($A$1,Agent,1),12)&gt;=C57),(G60+G61)-E66,0)</f>
        <v>0</v>
      </c>
      <c r="J58" s="186" t="s">
        <v>56</v>
      </c>
      <c r="K58" s="222" t="e">
        <f>IF(G58&gt;=E66,0,E66-G58)</f>
        <v>#REF!</v>
      </c>
      <c r="L58" s="307" t="s">
        <v>32</v>
      </c>
      <c r="M58" s="308"/>
      <c r="N58" s="308"/>
      <c r="O58" s="309"/>
      <c r="P58" s="130">
        <f>SUM(P51:P57)+R58</f>
        <v>36</v>
      </c>
      <c r="Q58" s="131">
        <f>SUM(Q51:Q57)</f>
        <v>0</v>
      </c>
      <c r="R58" s="132">
        <f>SUM(R51:R57)</f>
        <v>0</v>
      </c>
      <c r="S58" s="185" t="s">
        <v>125</v>
      </c>
      <c r="T58" s="222">
        <f>IF(AND(INDEX(Agents[],MATCH($A$1,Agent,1),11)&lt;=N57,INDEX(Agents[],MATCH($A$1,Agent,1),12)&gt;=N57),(R60+R61)-P66,0)</f>
        <v>0</v>
      </c>
      <c r="U58" s="186" t="s">
        <v>56</v>
      </c>
      <c r="V58" s="222" t="e">
        <f>IF(R58&gt;=P66,0,P66-R58)</f>
        <v>#REF!</v>
      </c>
    </row>
    <row r="59" spans="1:22" s="138" customFormat="1" ht="13.5" hidden="1" customHeight="1" thickBot="1" x14ac:dyDescent="0.25">
      <c r="A59" s="288" t="s">
        <v>128</v>
      </c>
      <c r="B59" s="289"/>
      <c r="C59" s="289"/>
      <c r="D59" s="290"/>
      <c r="E59" s="133">
        <f>COUNTIF(D51:D57,"CP")</f>
        <v>0</v>
      </c>
      <c r="F59" s="279" t="s">
        <v>129</v>
      </c>
      <c r="G59" s="304"/>
      <c r="H59" s="190">
        <f>IF(D51="CP",E51,0)+IF(D52="CP",E52,0)+IF(D53="CP",E53,0)+IF(D54="CP",E54,0)+IF(D55="CP",E55,0)+IF(D56="CP",E56,0)+IF(D57="CP",E57,0)</f>
        <v>0</v>
      </c>
      <c r="I59" s="136"/>
      <c r="J59" s="136"/>
      <c r="K59" s="137"/>
      <c r="L59" s="288" t="s">
        <v>128</v>
      </c>
      <c r="M59" s="289"/>
      <c r="N59" s="289"/>
      <c r="O59" s="290"/>
      <c r="P59" s="133">
        <f>COUNTIF(O51:O57,"CP")</f>
        <v>0</v>
      </c>
      <c r="Q59" s="279" t="s">
        <v>129</v>
      </c>
      <c r="R59" s="304"/>
      <c r="S59" s="190">
        <f>IF(O51="CP",P51,0)+IF(O52="CP",P52,0)+IF(O53="CP",P53,0)+IF(O54="CP",P54,0)+IF(O55="CP",P55,0)+IF(O56="CP",P56,0)+IF(O57="CP",P57,0)</f>
        <v>0</v>
      </c>
      <c r="T59" s="136"/>
      <c r="U59" s="136"/>
      <c r="V59" s="137"/>
    </row>
    <row r="60" spans="1:22" s="138" customFormat="1" ht="12.75" hidden="1" customHeight="1" x14ac:dyDescent="0.2">
      <c r="A60" s="288" t="s">
        <v>131</v>
      </c>
      <c r="B60" s="289"/>
      <c r="C60" s="289"/>
      <c r="D60" s="290"/>
      <c r="E60" s="133">
        <f>COUNTIF(D51:D57,"AM")</f>
        <v>0</v>
      </c>
      <c r="F60" s="134"/>
      <c r="G60" s="140" t="e">
        <f>IF(AND(E58&gt;#REF!,#REF!&gt;=35),E58-#REF!,0)</f>
        <v>#REF!</v>
      </c>
      <c r="H60" s="300" t="s">
        <v>89</v>
      </c>
      <c r="I60" s="325"/>
      <c r="J60" s="141"/>
      <c r="K60" s="142"/>
      <c r="L60" s="288" t="s">
        <v>131</v>
      </c>
      <c r="M60" s="289"/>
      <c r="N60" s="289"/>
      <c r="O60" s="290"/>
      <c r="P60" s="133">
        <f>COUNTIF(O51:O57,"AM")</f>
        <v>0</v>
      </c>
      <c r="Q60" s="139"/>
      <c r="R60" s="140" t="e">
        <f>IF(AND(P58&gt;#REF!,#REF!&gt;=35),P58-#REF!,0)</f>
        <v>#REF!</v>
      </c>
      <c r="S60" s="300" t="s">
        <v>89</v>
      </c>
      <c r="T60" s="325"/>
      <c r="U60" s="136"/>
      <c r="V60" s="137"/>
    </row>
    <row r="61" spans="1:22" s="138" customFormat="1" ht="13.5" hidden="1" customHeight="1" thickBot="1" x14ac:dyDescent="0.25">
      <c r="A61" s="288" t="s">
        <v>132</v>
      </c>
      <c r="B61" s="289"/>
      <c r="C61" s="289"/>
      <c r="D61" s="290"/>
      <c r="E61" s="133">
        <f>COUNTIF(D51:D57,"AT")</f>
        <v>0</v>
      </c>
      <c r="F61" s="134"/>
      <c r="G61" s="143" t="e">
        <f>IF(AND(E62&gt;=0,E58+(E65*#REF!)&lt;#REF!),E58+(E65*#REF!)-#REF!,0)</f>
        <v>#REF!</v>
      </c>
      <c r="H61" s="302"/>
      <c r="I61" s="326"/>
      <c r="J61" s="136"/>
      <c r="K61" s="137"/>
      <c r="L61" s="288" t="s">
        <v>132</v>
      </c>
      <c r="M61" s="289"/>
      <c r="N61" s="289"/>
      <c r="O61" s="290"/>
      <c r="P61" s="133">
        <f>COUNTIF(O51:O57,"AT")</f>
        <v>0</v>
      </c>
      <c r="Q61" s="135"/>
      <c r="R61" s="143" t="e">
        <f>IF(AND(P62&gt;=0,P58+(P65*#REF!)&lt;#REF!),P58+(P65*#REF!)-#REF!,0)</f>
        <v>#REF!</v>
      </c>
      <c r="S61" s="302"/>
      <c r="T61" s="326"/>
      <c r="U61" s="136"/>
      <c r="V61" s="137"/>
    </row>
    <row r="62" spans="1:22" s="138" customFormat="1" ht="12.75" hidden="1" customHeight="1" x14ac:dyDescent="0.2">
      <c r="A62" s="288" t="s">
        <v>133</v>
      </c>
      <c r="B62" s="289"/>
      <c r="C62" s="289"/>
      <c r="D62" s="290"/>
      <c r="E62" s="133">
        <f>COUNTIF(D51:D57,"REC")</f>
        <v>0</v>
      </c>
      <c r="F62" s="134"/>
      <c r="G62" s="135"/>
      <c r="H62" s="135"/>
      <c r="I62" s="136"/>
      <c r="J62" s="136"/>
      <c r="K62" s="137"/>
      <c r="L62" s="288" t="s">
        <v>133</v>
      </c>
      <c r="M62" s="289"/>
      <c r="N62" s="289"/>
      <c r="O62" s="290"/>
      <c r="P62" s="133">
        <f>COUNTIF(O51:O57,"REC")</f>
        <v>0</v>
      </c>
      <c r="Q62" s="135"/>
      <c r="R62" s="135"/>
      <c r="S62" s="135"/>
      <c r="T62" s="136"/>
      <c r="U62" s="136"/>
      <c r="V62" s="137"/>
    </row>
    <row r="63" spans="1:22" s="138" customFormat="1" ht="12.75" hidden="1" customHeight="1" x14ac:dyDescent="0.2">
      <c r="A63" s="279" t="s">
        <v>130</v>
      </c>
      <c r="B63" s="280"/>
      <c r="C63" s="280"/>
      <c r="D63" s="281"/>
      <c r="E63" s="190">
        <f>IF(D51="JF",E51,0)+IF(D52="JF",E52,0)+IF(D53="JF",E53,0)+IF(D54="JF",E54,0)+IF(D55="JF",E55,0)+IF(D56="JF",E56,0)+IF(D57="JF",E57,0)</f>
        <v>0</v>
      </c>
      <c r="F63" s="134"/>
      <c r="K63" s="137"/>
      <c r="L63" s="279" t="s">
        <v>130</v>
      </c>
      <c r="M63" s="280"/>
      <c r="N63" s="280"/>
      <c r="O63" s="281"/>
      <c r="P63" s="190">
        <f>IF(O51="JF",P51,0)+IF(O52="JF",P52,0)+IF(O53="JF",P53,0)+IF(O54="JF",P54,0)+IF(O55="JF",P55,0)+IF(O56="JF",P56,0)+IF(O57="JF",P57,0)</f>
        <v>0</v>
      </c>
      <c r="Q63" s="135"/>
      <c r="R63" s="135"/>
      <c r="S63" s="135"/>
      <c r="T63" s="136"/>
      <c r="U63" s="136"/>
      <c r="V63" s="137"/>
    </row>
    <row r="64" spans="1:22" s="138" customFormat="1" ht="12.75" hidden="1" customHeight="1" x14ac:dyDescent="0.2">
      <c r="A64" s="288" t="s">
        <v>134</v>
      </c>
      <c r="B64" s="289"/>
      <c r="C64" s="289"/>
      <c r="D64" s="290"/>
      <c r="E64" s="133">
        <f>COUNTIF(D51:D57,"CE")</f>
        <v>0</v>
      </c>
      <c r="F64" s="134"/>
      <c r="K64" s="137"/>
      <c r="L64" s="288" t="s">
        <v>134</v>
      </c>
      <c r="M64" s="289"/>
      <c r="N64" s="289"/>
      <c r="O64" s="290"/>
      <c r="P64" s="133">
        <f>COUNTIF(O51:O57,"CE")</f>
        <v>0</v>
      </c>
      <c r="Q64" s="135"/>
      <c r="R64" s="135"/>
      <c r="S64" s="135"/>
      <c r="T64" s="136"/>
      <c r="U64" s="136"/>
      <c r="V64" s="137"/>
    </row>
    <row r="65" spans="1:22" s="138" customFormat="1" ht="12.75" hidden="1" customHeight="1" x14ac:dyDescent="0.2">
      <c r="A65" s="297" t="s">
        <v>135</v>
      </c>
      <c r="B65" s="298"/>
      <c r="C65" s="298"/>
      <c r="D65" s="299"/>
      <c r="E65" s="99">
        <f>COUNTIF(D51:D57,"SS")</f>
        <v>0</v>
      </c>
      <c r="F65" s="134"/>
      <c r="G65" s="135"/>
      <c r="H65" s="135"/>
      <c r="I65" s="136"/>
      <c r="J65" s="136"/>
      <c r="K65" s="137"/>
      <c r="L65" s="297" t="s">
        <v>135</v>
      </c>
      <c r="M65" s="298"/>
      <c r="N65" s="298"/>
      <c r="O65" s="299"/>
      <c r="P65" s="99">
        <f>COUNTIF(O51:O57,"SS")</f>
        <v>0</v>
      </c>
      <c r="Q65" s="135"/>
      <c r="R65" s="135"/>
      <c r="S65" s="135"/>
      <c r="T65" s="136"/>
      <c r="U65" s="136"/>
      <c r="V65" s="137"/>
    </row>
    <row r="66" spans="1:22" s="138" customFormat="1" ht="12.75" hidden="1" customHeight="1" x14ac:dyDescent="0.2">
      <c r="A66" s="279" t="s">
        <v>33</v>
      </c>
      <c r="B66" s="280"/>
      <c r="C66" s="280"/>
      <c r="D66" s="281"/>
      <c r="E66" s="191" t="e">
        <f>IF(AND(E58&gt;Config!$G$4,#REF!&gt;=35),E58-Config!$G$4,0)</f>
        <v>#REF!</v>
      </c>
      <c r="F66" s="135"/>
      <c r="G66" s="135"/>
      <c r="H66" s="135"/>
      <c r="I66" s="136"/>
      <c r="J66" s="136"/>
      <c r="K66" s="137"/>
      <c r="L66" s="279" t="s">
        <v>33</v>
      </c>
      <c r="M66" s="280"/>
      <c r="N66" s="280"/>
      <c r="O66" s="281"/>
      <c r="P66" s="191" t="e">
        <f>IF(AND(P58&gt;Config!$G$4,#REF!&gt;=35),P58-Config!$G$4,0)</f>
        <v>#REF!</v>
      </c>
      <c r="Q66" s="135"/>
      <c r="R66" s="135"/>
      <c r="S66" s="135"/>
      <c r="T66" s="136"/>
      <c r="U66" s="136"/>
      <c r="V66" s="137"/>
    </row>
    <row r="67" spans="1:22" x14ac:dyDescent="0.2">
      <c r="A67" s="319" t="str">
        <f>IF(G15=5,_xlfn.ISOWEEKNUM(C73)," ")</f>
        <v xml:space="preserve"> </v>
      </c>
      <c r="B67" s="84" t="str">
        <f>IF(G15=5,"L"," ")</f>
        <v xml:space="preserve"> </v>
      </c>
      <c r="C67" s="85" t="str">
        <f>IF(G15=5,C57+1," ")</f>
        <v xml:space="preserve"> </v>
      </c>
      <c r="D67" s="86"/>
      <c r="E67" s="115"/>
      <c r="F67" s="115"/>
      <c r="G67" s="115"/>
      <c r="H67" s="322"/>
      <c r="I67" s="323"/>
      <c r="J67" s="323"/>
      <c r="K67" s="324"/>
      <c r="L67" s="319" t="str">
        <f>IF(R14=5,_xlfn.ISOWEEKNUM(N73)," ")</f>
        <v xml:space="preserve"> </v>
      </c>
      <c r="M67" s="84" t="str">
        <f>IF(R14=5,"L"," ")</f>
        <v xml:space="preserve"> </v>
      </c>
      <c r="N67" s="85" t="str">
        <f>IF(R14=5,N57+1," ")</f>
        <v xml:space="preserve"> </v>
      </c>
      <c r="O67" s="86"/>
      <c r="P67" s="115"/>
      <c r="Q67" s="115"/>
      <c r="R67" s="115"/>
      <c r="S67" s="322"/>
      <c r="T67" s="323"/>
      <c r="U67" s="323"/>
      <c r="V67" s="324"/>
    </row>
    <row r="68" spans="1:22" x14ac:dyDescent="0.2">
      <c r="A68" s="320"/>
      <c r="B68" s="87" t="str">
        <f>IF(G15=5,"M"," ")</f>
        <v xml:space="preserve"> </v>
      </c>
      <c r="C68" s="88" t="str">
        <f>IF(G15=5,C67+1," ")</f>
        <v xml:space="preserve"> </v>
      </c>
      <c r="D68" s="89"/>
      <c r="E68" s="113"/>
      <c r="F68" s="113"/>
      <c r="G68" s="113"/>
      <c r="H68" s="313"/>
      <c r="I68" s="314"/>
      <c r="J68" s="314"/>
      <c r="K68" s="315"/>
      <c r="L68" s="320"/>
      <c r="M68" s="87" t="str">
        <f>IF(R14=5,"M"," ")</f>
        <v xml:space="preserve"> </v>
      </c>
      <c r="N68" s="88" t="str">
        <f>IF(R14=5,N67+1," ")</f>
        <v xml:space="preserve"> </v>
      </c>
      <c r="O68" s="89"/>
      <c r="P68" s="113"/>
      <c r="Q68" s="113"/>
      <c r="R68" s="113"/>
      <c r="S68" s="313"/>
      <c r="T68" s="314"/>
      <c r="U68" s="314"/>
      <c r="V68" s="315"/>
    </row>
    <row r="69" spans="1:22" x14ac:dyDescent="0.2">
      <c r="A69" s="320"/>
      <c r="B69" s="87" t="str">
        <f>IF(G15=5,"Me"," ")</f>
        <v xml:space="preserve"> </v>
      </c>
      <c r="C69" s="88" t="str">
        <f>IF(G15=5,C68+1," ")</f>
        <v xml:space="preserve"> </v>
      </c>
      <c r="D69" s="89"/>
      <c r="E69" s="113"/>
      <c r="F69" s="113"/>
      <c r="G69" s="113"/>
      <c r="H69" s="313"/>
      <c r="I69" s="314"/>
      <c r="J69" s="314"/>
      <c r="K69" s="315"/>
      <c r="L69" s="320"/>
      <c r="M69" s="87" t="str">
        <f>IF(R14=5,"Me"," ")</f>
        <v xml:space="preserve"> </v>
      </c>
      <c r="N69" s="88" t="str">
        <f>IF(R14=5,N68+1," ")</f>
        <v xml:space="preserve"> </v>
      </c>
      <c r="O69" s="89"/>
      <c r="P69" s="113"/>
      <c r="Q69" s="113"/>
      <c r="R69" s="113"/>
      <c r="S69" s="313"/>
      <c r="T69" s="314"/>
      <c r="U69" s="314"/>
      <c r="V69" s="315"/>
    </row>
    <row r="70" spans="1:22" x14ac:dyDescent="0.2">
      <c r="A70" s="320"/>
      <c r="B70" s="87" t="str">
        <f>IF(G15=5,"J"," ")</f>
        <v xml:space="preserve"> </v>
      </c>
      <c r="C70" s="88" t="str">
        <f>IF(G15=5,C69+1," ")</f>
        <v xml:space="preserve"> </v>
      </c>
      <c r="D70" s="89"/>
      <c r="E70" s="113"/>
      <c r="F70" s="113"/>
      <c r="G70" s="113"/>
      <c r="H70" s="313"/>
      <c r="I70" s="314"/>
      <c r="J70" s="314"/>
      <c r="K70" s="315"/>
      <c r="L70" s="320"/>
      <c r="M70" s="87" t="str">
        <f>IF(R14=5,"J"," ")</f>
        <v xml:space="preserve"> </v>
      </c>
      <c r="N70" s="88" t="str">
        <f>IF(R14=5,N69+1," ")</f>
        <v xml:space="preserve"> </v>
      </c>
      <c r="O70" s="89"/>
      <c r="P70" s="113"/>
      <c r="Q70" s="113"/>
      <c r="R70" s="113"/>
      <c r="S70" s="313"/>
      <c r="T70" s="314"/>
      <c r="U70" s="314"/>
      <c r="V70" s="315"/>
    </row>
    <row r="71" spans="1:22" x14ac:dyDescent="0.2">
      <c r="A71" s="320"/>
      <c r="B71" s="87" t="str">
        <f>IF(G15=5,"V"," ")</f>
        <v xml:space="preserve"> </v>
      </c>
      <c r="C71" s="88" t="str">
        <f>IF(G15=5,C70+1," ")</f>
        <v xml:space="preserve"> </v>
      </c>
      <c r="D71" s="89"/>
      <c r="E71" s="113"/>
      <c r="F71" s="113"/>
      <c r="G71" s="113"/>
      <c r="H71" s="313"/>
      <c r="I71" s="314"/>
      <c r="J71" s="314"/>
      <c r="K71" s="315"/>
      <c r="L71" s="320"/>
      <c r="M71" s="87" t="str">
        <f>IF(R14=5,"V"," ")</f>
        <v xml:space="preserve"> </v>
      </c>
      <c r="N71" s="88" t="str">
        <f>IF(R14=5,N70+1," ")</f>
        <v xml:space="preserve"> </v>
      </c>
      <c r="O71" s="89"/>
      <c r="P71" s="113"/>
      <c r="Q71" s="113"/>
      <c r="R71" s="113"/>
      <c r="S71" s="313"/>
      <c r="T71" s="314"/>
      <c r="U71" s="314"/>
      <c r="V71" s="315"/>
    </row>
    <row r="72" spans="1:22" x14ac:dyDescent="0.2">
      <c r="A72" s="320"/>
      <c r="B72" s="90" t="str">
        <f>IF(G15=5,"S"," ")</f>
        <v xml:space="preserve"> </v>
      </c>
      <c r="C72" s="91" t="str">
        <f>IF(G15=5,C71+1," ")</f>
        <v xml:space="preserve"> </v>
      </c>
      <c r="D72" s="92"/>
      <c r="E72" s="116"/>
      <c r="F72" s="116"/>
      <c r="G72" s="116"/>
      <c r="H72" s="316"/>
      <c r="I72" s="317"/>
      <c r="J72" s="317"/>
      <c r="K72" s="318"/>
      <c r="L72" s="320"/>
      <c r="M72" s="90" t="str">
        <f>IF(R14=5,"S"," ")</f>
        <v xml:space="preserve"> </v>
      </c>
      <c r="N72" s="91" t="str">
        <f>IF(R14=5,N71+1," ")</f>
        <v xml:space="preserve"> </v>
      </c>
      <c r="O72" s="92"/>
      <c r="P72" s="116"/>
      <c r="Q72" s="116"/>
      <c r="R72" s="116"/>
      <c r="S72" s="316"/>
      <c r="T72" s="317"/>
      <c r="U72" s="317"/>
      <c r="V72" s="318"/>
    </row>
    <row r="73" spans="1:22" x14ac:dyDescent="0.2">
      <c r="A73" s="321"/>
      <c r="B73" s="93" t="str">
        <f>IF(G15=5,"D"," ")</f>
        <v xml:space="preserve"> </v>
      </c>
      <c r="C73" s="94" t="str">
        <f>IF(G15=5,C72+1," ")</f>
        <v xml:space="preserve"> </v>
      </c>
      <c r="D73" s="95"/>
      <c r="E73" s="114"/>
      <c r="F73" s="114"/>
      <c r="G73" s="114"/>
      <c r="H73" s="310"/>
      <c r="I73" s="311"/>
      <c r="J73" s="311"/>
      <c r="K73" s="312"/>
      <c r="L73" s="321"/>
      <c r="M73" s="93" t="str">
        <f>IF(R14=5,"D"," ")</f>
        <v xml:space="preserve"> </v>
      </c>
      <c r="N73" s="94" t="str">
        <f>IF(R14=5,N72+1," ")</f>
        <v xml:space="preserve"> </v>
      </c>
      <c r="O73" s="95"/>
      <c r="P73" s="114"/>
      <c r="Q73" s="114"/>
      <c r="R73" s="114"/>
      <c r="S73" s="310"/>
      <c r="T73" s="311"/>
      <c r="U73" s="311"/>
      <c r="V73" s="312"/>
    </row>
    <row r="74" spans="1:22" x14ac:dyDescent="0.2">
      <c r="A74" s="307" t="s">
        <v>32</v>
      </c>
      <c r="B74" s="308"/>
      <c r="C74" s="308"/>
      <c r="D74" s="309"/>
      <c r="E74" s="130">
        <f>SUM(E67:E73)+G74</f>
        <v>0</v>
      </c>
      <c r="F74" s="131">
        <f>SUM(F67:F73)</f>
        <v>0</v>
      </c>
      <c r="G74" s="132">
        <f>SUM(G67:G73)</f>
        <v>0</v>
      </c>
      <c r="H74" s="185" t="s">
        <v>125</v>
      </c>
      <c r="I74" s="222">
        <f>IF(AND(INDEX(Agents[],MATCH($A$1,Agent,1),11)&lt;=C73,INDEX(Agents[],MATCH($A$1,Agent,1),12)&gt;=C73),(G76+G77)-E82,0)</f>
        <v>0</v>
      </c>
      <c r="J74" s="186" t="s">
        <v>56</v>
      </c>
      <c r="K74" s="222" t="e">
        <f>IF(G74&gt;=E82,0,E82-G74)</f>
        <v>#REF!</v>
      </c>
      <c r="L74" s="307" t="s">
        <v>32</v>
      </c>
      <c r="M74" s="308"/>
      <c r="N74" s="308"/>
      <c r="O74" s="309"/>
      <c r="P74" s="130">
        <f>SUM(P67:P73)+R74</f>
        <v>0</v>
      </c>
      <c r="Q74" s="131">
        <f>SUM(Q67:Q73)</f>
        <v>0</v>
      </c>
      <c r="R74" s="131">
        <f>SUM(R67:R73)</f>
        <v>0</v>
      </c>
      <c r="S74" s="185" t="s">
        <v>125</v>
      </c>
      <c r="T74" s="222">
        <f>IF(AND(INDEX(Agents[],MATCH($A$1,Agent,1),11)&lt;=N73,INDEX(Agents[],MATCH($A$1,Agent,1),12)&gt;=N73),(R76+R77)-P82,0)</f>
        <v>0</v>
      </c>
      <c r="U74" s="186" t="s">
        <v>56</v>
      </c>
      <c r="V74" s="222" t="e">
        <f>IF(R74&gt;=P82,0,P82-R74)</f>
        <v>#REF!</v>
      </c>
    </row>
    <row r="75" spans="1:22" s="138" customFormat="1" ht="13.5" hidden="1" customHeight="1" thickBot="1" x14ac:dyDescent="0.25">
      <c r="A75" s="288" t="s">
        <v>128</v>
      </c>
      <c r="B75" s="289"/>
      <c r="C75" s="289"/>
      <c r="D75" s="290"/>
      <c r="E75" s="133">
        <f>COUNTIF(D67:D73,"CP")</f>
        <v>0</v>
      </c>
      <c r="F75" s="279" t="s">
        <v>129</v>
      </c>
      <c r="G75" s="304"/>
      <c r="H75" s="190">
        <f>IF(D67="CP",E67,0)+IF(D68="CP",E68,0)+IF(D69="CP",E69,0)+IF(D70="CP",E70,0)+IF(D71="CP",E71,0)+IF(D72="CP",E72,0)+IF(D73="CP",E73,0)</f>
        <v>0</v>
      </c>
      <c r="I75" s="136"/>
      <c r="J75" s="305" t="s">
        <v>59</v>
      </c>
      <c r="K75" s="306"/>
      <c r="L75" s="288" t="s">
        <v>128</v>
      </c>
      <c r="M75" s="289"/>
      <c r="N75" s="289"/>
      <c r="O75" s="290"/>
      <c r="P75" s="133">
        <f>COUNTIF(O67:O73,"CP")</f>
        <v>0</v>
      </c>
      <c r="Q75" s="279" t="s">
        <v>129</v>
      </c>
      <c r="R75" s="304"/>
      <c r="S75" s="190">
        <f>IF(O67="CP",P67,0)+IF(O68="CP",P68,0)+IF(O69="CP",P69,0)+IF(O70="CP",P70,0)+IF(O71="CP",P71,0)+IF(O72="CP",P72,0)+IF(O73="CP",P73,0)</f>
        <v>0</v>
      </c>
      <c r="T75" s="136"/>
      <c r="U75" s="305" t="s">
        <v>59</v>
      </c>
      <c r="V75" s="306"/>
    </row>
    <row r="76" spans="1:22" s="138" customFormat="1" ht="12.75" hidden="1" customHeight="1" x14ac:dyDescent="0.2">
      <c r="A76" s="288" t="s">
        <v>131</v>
      </c>
      <c r="B76" s="289"/>
      <c r="C76" s="289"/>
      <c r="D76" s="290"/>
      <c r="E76" s="133">
        <f>COUNTIF(D67:D73,"AM")</f>
        <v>0</v>
      </c>
      <c r="F76" s="134"/>
      <c r="G76" s="140" t="e">
        <f>IF(AND(E74&gt;#REF!,#REF!&gt;=35),E74-#REF!,0)</f>
        <v>#REF!</v>
      </c>
      <c r="H76" s="300" t="s">
        <v>89</v>
      </c>
      <c r="I76" s="301"/>
      <c r="J76" s="148" t="s">
        <v>73</v>
      </c>
      <c r="K76" s="174">
        <f>INDEX(Agents[],MATCH(A1,Agent,1),9)</f>
        <v>1600</v>
      </c>
      <c r="L76" s="288" t="s">
        <v>131</v>
      </c>
      <c r="M76" s="289"/>
      <c r="N76" s="289"/>
      <c r="O76" s="290"/>
      <c r="P76" s="133">
        <f>COUNTIF(O67:O73,"AM")</f>
        <v>0</v>
      </c>
      <c r="Q76" s="134"/>
      <c r="R76" s="140" t="e">
        <f>IF(AND(P74&gt;#REF!,#REF!&gt;=35),P74-#REF!,0)</f>
        <v>#REF!</v>
      </c>
      <c r="S76" s="300" t="s">
        <v>89</v>
      </c>
      <c r="T76" s="301"/>
      <c r="U76" s="148" t="s">
        <v>72</v>
      </c>
      <c r="V76" s="149" t="e">
        <f>K76*#REF!</f>
        <v>#REF!</v>
      </c>
    </row>
    <row r="77" spans="1:22" s="138" customFormat="1" ht="13.5" hidden="1" customHeight="1" thickBot="1" x14ac:dyDescent="0.25">
      <c r="A77" s="288" t="s">
        <v>132</v>
      </c>
      <c r="B77" s="289"/>
      <c r="C77" s="289"/>
      <c r="D77" s="290"/>
      <c r="E77" s="133">
        <f>COUNTIF(D67:D73,"AT")</f>
        <v>0</v>
      </c>
      <c r="F77" s="135"/>
      <c r="G77" s="143" t="e">
        <f>IF(AND(E78&gt;=0,E74+(E81*#REF!)&lt;#REF!),E74+(E81*#REF!)-#REF!,0)</f>
        <v>#REF!</v>
      </c>
      <c r="H77" s="302"/>
      <c r="I77" s="303"/>
      <c r="J77" s="148" t="s">
        <v>72</v>
      </c>
      <c r="K77" s="150" t="e">
        <f>K76*#REF!</f>
        <v>#REF!</v>
      </c>
      <c r="L77" s="288" t="s">
        <v>132</v>
      </c>
      <c r="M77" s="289"/>
      <c r="N77" s="289"/>
      <c r="O77" s="290"/>
      <c r="P77" s="133">
        <f>COUNTIF(O67:O73,"AT")</f>
        <v>0</v>
      </c>
      <c r="Q77" s="135"/>
      <c r="R77" s="143" t="e">
        <f>IF(AND(P78&gt;=0,P74+(P81*#REF!)&lt;#REF!),P74+(P81*#REF!)-#REF!,0)</f>
        <v>#REF!</v>
      </c>
      <c r="S77" s="302"/>
      <c r="T77" s="303"/>
      <c r="U77" s="151" t="s">
        <v>60</v>
      </c>
      <c r="V77" s="152" t="e">
        <f>V76/12</f>
        <v>#REF!</v>
      </c>
    </row>
    <row r="78" spans="1:22" s="138" customFormat="1" ht="12.75" hidden="1" customHeight="1" x14ac:dyDescent="0.2">
      <c r="A78" s="288" t="s">
        <v>133</v>
      </c>
      <c r="B78" s="289"/>
      <c r="C78" s="289"/>
      <c r="D78" s="290"/>
      <c r="E78" s="133">
        <f>COUNTIF(D67:D73,"REC")</f>
        <v>0</v>
      </c>
      <c r="J78" s="148" t="s">
        <v>60</v>
      </c>
      <c r="K78" s="149" t="e">
        <f>K77/12</f>
        <v>#REF!</v>
      </c>
      <c r="L78" s="288" t="s">
        <v>133</v>
      </c>
      <c r="M78" s="289"/>
      <c r="N78" s="289"/>
      <c r="O78" s="290"/>
      <c r="P78" s="133">
        <f>COUNTIF(O67:O73,"REC")</f>
        <v>0</v>
      </c>
      <c r="Q78" s="135"/>
      <c r="R78" s="135"/>
      <c r="S78" s="135"/>
      <c r="T78" s="136"/>
      <c r="U78" s="136"/>
      <c r="V78" s="153"/>
    </row>
    <row r="79" spans="1:22" s="138" customFormat="1" ht="13.5" hidden="1" customHeight="1" thickBot="1" x14ac:dyDescent="0.25">
      <c r="A79" s="279" t="s">
        <v>130</v>
      </c>
      <c r="B79" s="280"/>
      <c r="C79" s="280"/>
      <c r="D79" s="281"/>
      <c r="E79" s="190">
        <f>IF(D67="JF",E67,0)+IF(D68="JF",E68,0)+IF(D69="JF",E69,0)+IF(D70="JF",E70,0)+IF(D71="JF",E71,0)+IF(D72="JF",E72,0)+IF(D73="JF",E73,0)</f>
        <v>0</v>
      </c>
      <c r="J79" s="151" t="s">
        <v>58</v>
      </c>
      <c r="K79" s="152" t="e">
        <f>(K78+V77+#REF!+#REF!+#REF!+#REF!+#REF!+#REF!+#REF!+#REF!+#REF!+#REF!)-(#REF!*7)</f>
        <v>#REF!</v>
      </c>
      <c r="L79" s="279" t="s">
        <v>130</v>
      </c>
      <c r="M79" s="280"/>
      <c r="N79" s="280"/>
      <c r="O79" s="281"/>
      <c r="P79" s="190">
        <f>IF(O67="JF",P67,0)+IF(O68="JF",P68,0)+IF(O69="JF",P69,0)+IF(O70="JF",P70,0)+IF(O71="JF",P71,0)+IF(O72="JF",P72,0)+IF(O73="JF",P73,0)</f>
        <v>0</v>
      </c>
      <c r="Q79" s="135"/>
      <c r="R79" s="135"/>
      <c r="S79" s="135"/>
      <c r="T79" s="136"/>
      <c r="U79" s="136"/>
      <c r="V79" s="137"/>
    </row>
    <row r="80" spans="1:22" s="138" customFormat="1" ht="12.75" hidden="1" customHeight="1" x14ac:dyDescent="0.2">
      <c r="A80" s="288" t="s">
        <v>134</v>
      </c>
      <c r="B80" s="289"/>
      <c r="C80" s="289"/>
      <c r="D80" s="290"/>
      <c r="E80" s="133">
        <f>COUNTIF(D67:D73,"CE")</f>
        <v>0</v>
      </c>
      <c r="F80" s="291" t="b">
        <v>0</v>
      </c>
      <c r="G80" s="293" t="s">
        <v>124</v>
      </c>
      <c r="H80" s="293"/>
      <c r="I80" s="294"/>
      <c r="J80" s="136"/>
      <c r="K80" s="137"/>
      <c r="L80" s="288" t="s">
        <v>134</v>
      </c>
      <c r="M80" s="289"/>
      <c r="N80" s="289"/>
      <c r="O80" s="290"/>
      <c r="P80" s="133">
        <f>COUNTIF(O67:O73,"CE")</f>
        <v>0</v>
      </c>
      <c r="Q80" s="291" t="b">
        <v>0</v>
      </c>
      <c r="R80" s="293" t="s">
        <v>124</v>
      </c>
      <c r="S80" s="293"/>
      <c r="T80" s="294"/>
      <c r="U80" s="136"/>
      <c r="V80" s="137"/>
    </row>
    <row r="81" spans="1:24" s="138" customFormat="1" ht="13.5" hidden="1" customHeight="1" thickBot="1" x14ac:dyDescent="0.25">
      <c r="A81" s="297" t="s">
        <v>135</v>
      </c>
      <c r="B81" s="298"/>
      <c r="C81" s="298"/>
      <c r="D81" s="299"/>
      <c r="E81" s="99">
        <f>COUNTIF(D67:D73,"SS")</f>
        <v>0</v>
      </c>
      <c r="F81" s="292"/>
      <c r="G81" s="295"/>
      <c r="H81" s="295"/>
      <c r="I81" s="296"/>
      <c r="J81" s="136"/>
      <c r="K81" s="137"/>
      <c r="L81" s="297" t="s">
        <v>135</v>
      </c>
      <c r="M81" s="298"/>
      <c r="N81" s="298"/>
      <c r="O81" s="299"/>
      <c r="P81" s="99">
        <f>COUNTIF(O67:O73,"SS")</f>
        <v>0</v>
      </c>
      <c r="Q81" s="292"/>
      <c r="R81" s="295"/>
      <c r="S81" s="295"/>
      <c r="T81" s="296"/>
      <c r="U81" s="136"/>
      <c r="V81" s="137"/>
    </row>
    <row r="82" spans="1:24" s="138" customFormat="1" ht="12.75" hidden="1" customHeight="1" x14ac:dyDescent="0.2">
      <c r="A82" s="279" t="s">
        <v>33</v>
      </c>
      <c r="B82" s="280"/>
      <c r="C82" s="280"/>
      <c r="D82" s="281"/>
      <c r="E82" s="191" t="e">
        <f>IF(AND(E74&gt;Config!$G$4,#REF!&gt;=35),E74-Config!$G$4,0)</f>
        <v>#REF!</v>
      </c>
      <c r="F82" s="282" t="s">
        <v>46</v>
      </c>
      <c r="G82" s="283"/>
      <c r="H82" s="284"/>
      <c r="I82" s="188" t="e">
        <f>SUM(G76:G77)</f>
        <v>#REF!</v>
      </c>
      <c r="J82" s="136"/>
      <c r="K82" s="137"/>
      <c r="L82" s="279" t="s">
        <v>33</v>
      </c>
      <c r="M82" s="280"/>
      <c r="N82" s="280"/>
      <c r="O82" s="281"/>
      <c r="P82" s="191" t="e">
        <f>IF(AND(P74&gt;Config!$G$4,#REF!&gt;=35),P74-Config!$G$4,0)</f>
        <v>#REF!</v>
      </c>
      <c r="Q82" s="285" t="s">
        <v>46</v>
      </c>
      <c r="R82" s="286"/>
      <c r="S82" s="287"/>
      <c r="T82" s="154" t="e">
        <f>SUM(R76:R77)</f>
        <v>#REF!</v>
      </c>
      <c r="U82" s="136"/>
      <c r="V82" s="137"/>
    </row>
    <row r="83" spans="1:24" x14ac:dyDescent="0.2">
      <c r="A83" s="276" t="s">
        <v>34</v>
      </c>
      <c r="B83" s="277"/>
      <c r="C83" s="277"/>
      <c r="D83" s="278"/>
      <c r="E83" s="155">
        <f>E74+E58+E42+E26+E10</f>
        <v>0</v>
      </c>
      <c r="F83" s="155">
        <f>F74+F58+F42+F26+F10</f>
        <v>0</v>
      </c>
      <c r="G83" s="156">
        <f>G74+G58+G42+G26+G10</f>
        <v>0</v>
      </c>
      <c r="H83" s="192" t="s">
        <v>125</v>
      </c>
      <c r="I83" s="221">
        <f>I74+I58+I42+I26+I10</f>
        <v>0</v>
      </c>
      <c r="J83" s="193" t="s">
        <v>56</v>
      </c>
      <c r="K83" s="221" t="e">
        <f>K74+K58+K42+K26+K10</f>
        <v>#REF!</v>
      </c>
      <c r="L83" s="276" t="s">
        <v>34</v>
      </c>
      <c r="M83" s="277"/>
      <c r="N83" s="277"/>
      <c r="O83" s="278"/>
      <c r="P83" s="155">
        <f>P74+P58+P42+P26+P10</f>
        <v>149</v>
      </c>
      <c r="Q83" s="155">
        <f>Q74+Q58+Q42+Q26+Q10</f>
        <v>0</v>
      </c>
      <c r="R83" s="155">
        <f>R74+R58+R42+R26+R10</f>
        <v>0</v>
      </c>
      <c r="S83" s="192" t="s">
        <v>125</v>
      </c>
      <c r="T83" s="221">
        <f>T74+T58+T42+T26+T10</f>
        <v>0</v>
      </c>
      <c r="U83" s="193" t="s">
        <v>56</v>
      </c>
      <c r="V83" s="221" t="e">
        <f>V74+V58+V42+V26+V10</f>
        <v>#REF!</v>
      </c>
      <c r="X83" s="128"/>
    </row>
    <row r="84" spans="1:24" x14ac:dyDescent="0.2">
      <c r="A84" s="218"/>
      <c r="B84" s="218"/>
      <c r="C84" s="218"/>
      <c r="D84" s="218"/>
      <c r="I84" s="158"/>
    </row>
    <row r="85" spans="1:24" ht="12.75" customHeight="1" x14ac:dyDescent="0.2">
      <c r="A85" s="219" t="s">
        <v>140</v>
      </c>
      <c r="B85" s="220"/>
      <c r="C85" s="220"/>
      <c r="D85" s="220"/>
      <c r="E85" s="220"/>
      <c r="F85" s="271">
        <f>INDEX(Agents[],MATCH(A1,Agent,1),5)</f>
        <v>0</v>
      </c>
      <c r="G85" s="272"/>
      <c r="I85" s="273" t="s">
        <v>45</v>
      </c>
      <c r="J85" s="274"/>
      <c r="K85" s="275"/>
      <c r="L85" s="220" t="s">
        <v>55</v>
      </c>
      <c r="M85" s="220"/>
      <c r="N85" s="220"/>
      <c r="O85" s="220"/>
      <c r="P85" s="220"/>
      <c r="Q85" s="271">
        <f>INDEX(Agents[],MATCH(L1,Agent,1),5)</f>
        <v>0</v>
      </c>
      <c r="R85" s="272"/>
      <c r="S85" s="157"/>
      <c r="T85" s="273" t="s">
        <v>45</v>
      </c>
      <c r="U85" s="274"/>
      <c r="V85" s="275"/>
    </row>
    <row r="86" spans="1:24" ht="12.75" customHeight="1" thickBot="1" x14ac:dyDescent="0.25">
      <c r="A86" s="253" t="s">
        <v>36</v>
      </c>
      <c r="B86" s="254"/>
      <c r="C86" s="254"/>
      <c r="D86" s="254"/>
      <c r="E86" s="254"/>
      <c r="F86" s="269">
        <f>E75+E59+E43+E27+E11</f>
        <v>0</v>
      </c>
      <c r="G86" s="270"/>
      <c r="I86" s="161"/>
      <c r="J86" s="159"/>
      <c r="K86" s="162"/>
      <c r="L86" s="254" t="s">
        <v>36</v>
      </c>
      <c r="M86" s="254"/>
      <c r="N86" s="254"/>
      <c r="O86" s="254"/>
      <c r="P86" s="254"/>
      <c r="Q86" s="269">
        <f>P75+P59+P43+P27+P11</f>
        <v>0</v>
      </c>
      <c r="R86" s="270"/>
      <c r="S86" s="157"/>
      <c r="T86" s="161"/>
      <c r="U86" s="159"/>
      <c r="V86" s="162"/>
    </row>
    <row r="87" spans="1:24" ht="13.5" thickTop="1" x14ac:dyDescent="0.2">
      <c r="A87" s="261" t="s">
        <v>37</v>
      </c>
      <c r="B87" s="262"/>
      <c r="C87" s="262"/>
      <c r="D87" s="262"/>
      <c r="E87" s="262"/>
      <c r="F87" s="267">
        <f>F85-F86</f>
        <v>0</v>
      </c>
      <c r="G87" s="268"/>
      <c r="H87" s="218"/>
      <c r="I87" s="253" t="s">
        <v>139</v>
      </c>
      <c r="J87" s="254"/>
      <c r="K87" s="173"/>
      <c r="L87" s="262" t="s">
        <v>37</v>
      </c>
      <c r="M87" s="262"/>
      <c r="N87" s="262"/>
      <c r="O87" s="262"/>
      <c r="P87" s="262"/>
      <c r="Q87" s="267">
        <f>Q85-Q86</f>
        <v>0</v>
      </c>
      <c r="R87" s="268"/>
      <c r="S87" s="218"/>
      <c r="T87" s="253" t="s">
        <v>54</v>
      </c>
      <c r="U87" s="254"/>
      <c r="V87" s="173">
        <f>K91</f>
        <v>0</v>
      </c>
    </row>
    <row r="88" spans="1:24" x14ac:dyDescent="0.2">
      <c r="I88" s="253" t="s">
        <v>47</v>
      </c>
      <c r="J88" s="254"/>
      <c r="K88" s="163">
        <f>I83</f>
        <v>0</v>
      </c>
      <c r="S88" s="157"/>
      <c r="T88" s="253" t="s">
        <v>47</v>
      </c>
      <c r="U88" s="254"/>
      <c r="V88" s="163">
        <f>T83</f>
        <v>0</v>
      </c>
    </row>
    <row r="89" spans="1:24" x14ac:dyDescent="0.2">
      <c r="A89" s="265" t="s">
        <v>15</v>
      </c>
      <c r="B89" s="266"/>
      <c r="C89" s="266"/>
      <c r="D89" s="266"/>
      <c r="E89" s="266"/>
      <c r="F89" s="249">
        <f>E76+E60+E44+E28+E12</f>
        <v>0</v>
      </c>
      <c r="G89" s="250"/>
      <c r="H89" s="218"/>
      <c r="I89" s="253" t="s">
        <v>49</v>
      </c>
      <c r="J89" s="254"/>
      <c r="K89" s="169"/>
      <c r="L89" s="265" t="s">
        <v>15</v>
      </c>
      <c r="M89" s="266"/>
      <c r="N89" s="266"/>
      <c r="O89" s="266"/>
      <c r="P89" s="266"/>
      <c r="Q89" s="249">
        <f>P76+P60+P44+P28+P12</f>
        <v>0</v>
      </c>
      <c r="R89" s="250"/>
      <c r="S89" s="218"/>
      <c r="T89" s="253" t="s">
        <v>49</v>
      </c>
      <c r="U89" s="254"/>
      <c r="V89" s="169"/>
    </row>
    <row r="90" spans="1:24" ht="13.5" thickBot="1" x14ac:dyDescent="0.25">
      <c r="A90" s="261" t="s">
        <v>17</v>
      </c>
      <c r="B90" s="262"/>
      <c r="C90" s="262"/>
      <c r="D90" s="262"/>
      <c r="E90" s="262"/>
      <c r="F90" s="263">
        <f>E77+E61+E45+E29+E13</f>
        <v>0</v>
      </c>
      <c r="G90" s="264"/>
      <c r="I90" s="161"/>
      <c r="J90" s="159"/>
      <c r="K90" s="163"/>
      <c r="L90" s="261" t="s">
        <v>17</v>
      </c>
      <c r="M90" s="262"/>
      <c r="N90" s="262"/>
      <c r="O90" s="262"/>
      <c r="P90" s="262"/>
      <c r="Q90" s="263">
        <f>P77+P61+P45+P29+P13</f>
        <v>0</v>
      </c>
      <c r="R90" s="264"/>
      <c r="S90" s="157"/>
      <c r="T90" s="161"/>
      <c r="U90" s="159"/>
      <c r="V90" s="163"/>
    </row>
    <row r="91" spans="1:24" ht="13.5" thickTop="1" x14ac:dyDescent="0.2">
      <c r="I91" s="253" t="s">
        <v>48</v>
      </c>
      <c r="J91" s="254"/>
      <c r="K91" s="164">
        <f>(K87+K88+F92)-K89</f>
        <v>0</v>
      </c>
      <c r="S91" s="157"/>
      <c r="T91" s="253" t="s">
        <v>48</v>
      </c>
      <c r="U91" s="254"/>
      <c r="V91" s="164">
        <f>(V87+V88+Q92)-V89</f>
        <v>0</v>
      </c>
    </row>
    <row r="92" spans="1:24" ht="12.75" customHeight="1" x14ac:dyDescent="0.2">
      <c r="A92" s="245" t="s">
        <v>137</v>
      </c>
      <c r="B92" s="246"/>
      <c r="C92" s="246"/>
      <c r="D92" s="246"/>
      <c r="E92" s="246"/>
      <c r="F92" s="249">
        <f>IF(F80=FALSE,G83*20%,0)</f>
        <v>0</v>
      </c>
      <c r="G92" s="250"/>
      <c r="I92" s="165"/>
      <c r="J92" s="166"/>
      <c r="K92" s="167" t="e">
        <f>IF(I83+K83+K87&gt;30,K87+K88,I83+K83)</f>
        <v>#REF!</v>
      </c>
      <c r="L92" s="245" t="s">
        <v>137</v>
      </c>
      <c r="M92" s="246"/>
      <c r="N92" s="246"/>
      <c r="O92" s="246"/>
      <c r="P92" s="246"/>
      <c r="Q92" s="249">
        <f>IF(Q80=FALSE,R83*20%,0)</f>
        <v>0</v>
      </c>
      <c r="R92" s="250"/>
      <c r="S92" s="157"/>
      <c r="T92" s="165"/>
      <c r="U92" s="166"/>
      <c r="V92" s="167" t="e">
        <f>IF(T83+V83+V87&gt;30,V87+V88,T83+V83)</f>
        <v>#REF!</v>
      </c>
    </row>
    <row r="93" spans="1:24" x14ac:dyDescent="0.2">
      <c r="A93" s="247"/>
      <c r="B93" s="248"/>
      <c r="C93" s="248"/>
      <c r="D93" s="248"/>
      <c r="E93" s="248"/>
      <c r="F93" s="251"/>
      <c r="G93" s="252"/>
      <c r="H93" s="218"/>
      <c r="I93" s="159"/>
      <c r="J93" s="159"/>
      <c r="K93" s="159"/>
      <c r="L93" s="247"/>
      <c r="M93" s="248"/>
      <c r="N93" s="248"/>
      <c r="O93" s="248"/>
      <c r="P93" s="248"/>
      <c r="Q93" s="251"/>
      <c r="R93" s="252"/>
      <c r="S93" s="218"/>
      <c r="T93" s="159"/>
      <c r="U93" s="159"/>
      <c r="V93" s="159"/>
      <c r="W93" s="159"/>
    </row>
    <row r="94" spans="1:24" ht="12.75" customHeight="1" x14ac:dyDescent="0.2">
      <c r="A94" s="247" t="s">
        <v>138</v>
      </c>
      <c r="B94" s="248"/>
      <c r="C94" s="248"/>
      <c r="D94" s="248"/>
      <c r="E94" s="248"/>
      <c r="F94" s="257"/>
      <c r="G94" s="258"/>
      <c r="I94" s="159"/>
      <c r="J94" s="159"/>
      <c r="K94" s="159"/>
      <c r="L94" s="247" t="s">
        <v>138</v>
      </c>
      <c r="M94" s="248"/>
      <c r="N94" s="248"/>
      <c r="O94" s="248"/>
      <c r="P94" s="248"/>
      <c r="Q94" s="257"/>
      <c r="R94" s="258"/>
      <c r="S94" s="157"/>
      <c r="T94" s="159"/>
      <c r="U94" s="159"/>
      <c r="V94" s="159"/>
    </row>
    <row r="95" spans="1:24" x14ac:dyDescent="0.2">
      <c r="A95" s="255"/>
      <c r="B95" s="256"/>
      <c r="C95" s="256"/>
      <c r="D95" s="256"/>
      <c r="E95" s="256"/>
      <c r="F95" s="259"/>
      <c r="G95" s="260"/>
      <c r="H95" s="189"/>
      <c r="I95" s="159"/>
      <c r="J95"/>
      <c r="K95" s="159"/>
      <c r="L95" s="255"/>
      <c r="M95" s="256"/>
      <c r="N95" s="256"/>
      <c r="O95" s="256"/>
      <c r="P95" s="256"/>
      <c r="Q95" s="259"/>
      <c r="R95" s="260"/>
      <c r="S95" s="189"/>
      <c r="T95" s="159"/>
      <c r="U95"/>
      <c r="V95" s="159"/>
    </row>
    <row r="96" spans="1:24" ht="13.5" customHeight="1" x14ac:dyDescent="0.2">
      <c r="H96" s="189"/>
      <c r="I96" s="159"/>
      <c r="J96" s="159"/>
      <c r="K96" s="159"/>
      <c r="S96" s="189"/>
      <c r="T96" s="159"/>
      <c r="U96" s="159"/>
      <c r="V96" s="159"/>
    </row>
    <row r="97" spans="1:22" x14ac:dyDescent="0.2">
      <c r="H97" s="218"/>
      <c r="I97" s="159"/>
      <c r="J97" s="159"/>
      <c r="K97" s="159"/>
      <c r="S97" s="218"/>
      <c r="T97" s="159"/>
      <c r="U97" s="159"/>
      <c r="V97" s="159"/>
    </row>
    <row r="98" spans="1:22" x14ac:dyDescent="0.2">
      <c r="J98" s="159"/>
      <c r="K98" s="159"/>
      <c r="L98" s="218"/>
      <c r="M98" s="157"/>
      <c r="N98" s="157"/>
      <c r="O98" s="157"/>
      <c r="P98" s="157"/>
      <c r="Q98" s="157"/>
      <c r="R98" s="157"/>
      <c r="S98" s="157"/>
    </row>
    <row r="99" spans="1:22" x14ac:dyDescent="0.2">
      <c r="A99" s="158"/>
      <c r="B99" s="158"/>
      <c r="C99" s="158"/>
      <c r="D99" s="158"/>
      <c r="E99" s="158"/>
      <c r="L99" s="158"/>
      <c r="M99" s="158"/>
      <c r="N99" s="158"/>
      <c r="O99" s="158"/>
      <c r="P99" s="158"/>
      <c r="Q99" s="157"/>
      <c r="R99" s="157"/>
      <c r="S99" s="157"/>
    </row>
    <row r="101" spans="1:22" x14ac:dyDescent="0.2">
      <c r="A101" s="239" t="s">
        <v>57</v>
      </c>
      <c r="B101" s="240"/>
      <c r="C101" s="240"/>
      <c r="D101" s="240"/>
      <c r="E101" s="175" t="e">
        <f>K79</f>
        <v>#REF!</v>
      </c>
      <c r="F101" s="241" t="e">
        <f>E101-F104</f>
        <v>#REF!</v>
      </c>
      <c r="G101" s="242"/>
      <c r="L101" s="234" t="s">
        <v>57</v>
      </c>
      <c r="M101" s="235"/>
      <c r="N101" s="235"/>
      <c r="O101" s="235"/>
      <c r="P101" s="160" t="e">
        <f>K79</f>
        <v>#REF!</v>
      </c>
      <c r="Q101" s="243" t="e">
        <f>P101-Q104</f>
        <v>#REF!</v>
      </c>
      <c r="R101" s="244"/>
    </row>
    <row r="102" spans="1:22" x14ac:dyDescent="0.2">
      <c r="Q102" s="168"/>
    </row>
    <row r="103" spans="1:22" x14ac:dyDescent="0.2">
      <c r="A103" s="48"/>
      <c r="B103" s="48"/>
      <c r="C103" s="48"/>
      <c r="D103" s="48"/>
      <c r="E103" s="48"/>
      <c r="F103" s="48"/>
      <c r="G103" s="48"/>
      <c r="Q103" s="168"/>
    </row>
    <row r="104" spans="1:22" x14ac:dyDescent="0.2">
      <c r="A104" s="230" t="s">
        <v>35</v>
      </c>
      <c r="B104" s="231"/>
      <c r="C104" s="231"/>
      <c r="D104" s="231"/>
      <c r="E104" s="231"/>
      <c r="F104" s="232">
        <f>E83-(H11+E15+H27+E31+H43+E47+H59+E63+H75+E79)</f>
        <v>0</v>
      </c>
      <c r="G104" s="233"/>
      <c r="L104" s="234" t="s">
        <v>35</v>
      </c>
      <c r="M104" s="235"/>
      <c r="N104" s="235"/>
      <c r="O104" s="235"/>
      <c r="P104" s="236"/>
      <c r="Q104" s="237">
        <f>F104+P83-(S11+P15+S27+P31+S43+P47+S59+P63+S75+P79)</f>
        <v>149</v>
      </c>
      <c r="R104" s="238"/>
    </row>
    <row r="105" spans="1:22" x14ac:dyDescent="0.2">
      <c r="A105" s="48"/>
      <c r="B105" s="48"/>
      <c r="C105" s="48"/>
      <c r="D105" s="48"/>
      <c r="E105" s="48"/>
      <c r="F105" s="48"/>
      <c r="G105" s="48"/>
    </row>
  </sheetData>
  <sheetProtection selectLockedCells="1"/>
  <mergeCells count="253">
    <mergeCell ref="H2:K2"/>
    <mergeCell ref="S2:V2"/>
    <mergeCell ref="H7:K7"/>
    <mergeCell ref="S7:V7"/>
    <mergeCell ref="H6:K6"/>
    <mergeCell ref="A1:F1"/>
    <mergeCell ref="G1:I1"/>
    <mergeCell ref="L1:Q1"/>
    <mergeCell ref="R1:T1"/>
    <mergeCell ref="S9:V9"/>
    <mergeCell ref="A3:A9"/>
    <mergeCell ref="H4:K4"/>
    <mergeCell ref="S4:V4"/>
    <mergeCell ref="H5:K5"/>
    <mergeCell ref="S5:V5"/>
    <mergeCell ref="S6:V6"/>
    <mergeCell ref="S3:V3"/>
    <mergeCell ref="H8:K8"/>
    <mergeCell ref="S8:V8"/>
    <mergeCell ref="L3:L9"/>
    <mergeCell ref="A11:D11"/>
    <mergeCell ref="F11:G11"/>
    <mergeCell ref="L11:O11"/>
    <mergeCell ref="Q11:R11"/>
    <mergeCell ref="H3:K3"/>
    <mergeCell ref="A10:D10"/>
    <mergeCell ref="L10:O10"/>
    <mergeCell ref="H9:K9"/>
    <mergeCell ref="A15:D15"/>
    <mergeCell ref="H15:I15"/>
    <mergeCell ref="L15:O15"/>
    <mergeCell ref="A14:D14"/>
    <mergeCell ref="H14:I14"/>
    <mergeCell ref="L14:O14"/>
    <mergeCell ref="S14:T14"/>
    <mergeCell ref="A12:D12"/>
    <mergeCell ref="H12:I13"/>
    <mergeCell ref="L12:O12"/>
    <mergeCell ref="S12:T13"/>
    <mergeCell ref="A13:D13"/>
    <mergeCell ref="L13:O13"/>
    <mergeCell ref="A18:D18"/>
    <mergeCell ref="L18:O18"/>
    <mergeCell ref="H23:K23"/>
    <mergeCell ref="S23:V23"/>
    <mergeCell ref="H22:K22"/>
    <mergeCell ref="S22:V22"/>
    <mergeCell ref="A17:D17"/>
    <mergeCell ref="L17:O17"/>
    <mergeCell ref="A16:D16"/>
    <mergeCell ref="L16:O16"/>
    <mergeCell ref="S25:V25"/>
    <mergeCell ref="A19:A25"/>
    <mergeCell ref="H20:K20"/>
    <mergeCell ref="S20:V20"/>
    <mergeCell ref="H21:K21"/>
    <mergeCell ref="S21:V21"/>
    <mergeCell ref="S19:V19"/>
    <mergeCell ref="H24:K24"/>
    <mergeCell ref="S24:V24"/>
    <mergeCell ref="L19:L25"/>
    <mergeCell ref="A27:D27"/>
    <mergeCell ref="F27:G27"/>
    <mergeCell ref="L27:O27"/>
    <mergeCell ref="Q27:R27"/>
    <mergeCell ref="H19:K19"/>
    <mergeCell ref="A26:D26"/>
    <mergeCell ref="L26:O26"/>
    <mergeCell ref="H25:K25"/>
    <mergeCell ref="A31:D31"/>
    <mergeCell ref="L31:O31"/>
    <mergeCell ref="A30:D30"/>
    <mergeCell ref="L30:O30"/>
    <mergeCell ref="A28:D28"/>
    <mergeCell ref="H28:I29"/>
    <mergeCell ref="L28:O28"/>
    <mergeCell ref="S28:T29"/>
    <mergeCell ref="A29:D29"/>
    <mergeCell ref="L29:O29"/>
    <mergeCell ref="A34:D34"/>
    <mergeCell ref="L34:O34"/>
    <mergeCell ref="H39:K39"/>
    <mergeCell ref="S39:V39"/>
    <mergeCell ref="H38:K38"/>
    <mergeCell ref="S38:V38"/>
    <mergeCell ref="A33:D33"/>
    <mergeCell ref="L33:O33"/>
    <mergeCell ref="A32:D32"/>
    <mergeCell ref="L32:O32"/>
    <mergeCell ref="S41:V41"/>
    <mergeCell ref="A35:A41"/>
    <mergeCell ref="H36:K36"/>
    <mergeCell ref="S36:V36"/>
    <mergeCell ref="H37:K37"/>
    <mergeCell ref="S37:V37"/>
    <mergeCell ref="S35:V35"/>
    <mergeCell ref="H40:K40"/>
    <mergeCell ref="S40:V40"/>
    <mergeCell ref="L35:L41"/>
    <mergeCell ref="A43:D43"/>
    <mergeCell ref="F43:G43"/>
    <mergeCell ref="L43:O43"/>
    <mergeCell ref="Q43:R43"/>
    <mergeCell ref="H35:K35"/>
    <mergeCell ref="A42:D42"/>
    <mergeCell ref="L42:O42"/>
    <mergeCell ref="H41:K41"/>
    <mergeCell ref="A47:D47"/>
    <mergeCell ref="L47:O47"/>
    <mergeCell ref="A46:D46"/>
    <mergeCell ref="L46:O46"/>
    <mergeCell ref="A44:D44"/>
    <mergeCell ref="H44:I45"/>
    <mergeCell ref="L44:O44"/>
    <mergeCell ref="S44:T45"/>
    <mergeCell ref="A45:D45"/>
    <mergeCell ref="L45:O45"/>
    <mergeCell ref="A50:D50"/>
    <mergeCell ref="L50:O50"/>
    <mergeCell ref="H55:K55"/>
    <mergeCell ref="S55:V55"/>
    <mergeCell ref="H54:K54"/>
    <mergeCell ref="S54:V54"/>
    <mergeCell ref="A49:D49"/>
    <mergeCell ref="L49:O49"/>
    <mergeCell ref="A48:D48"/>
    <mergeCell ref="L48:O48"/>
    <mergeCell ref="A60:D60"/>
    <mergeCell ref="H60:I61"/>
    <mergeCell ref="L60:O60"/>
    <mergeCell ref="S60:T61"/>
    <mergeCell ref="A61:D61"/>
    <mergeCell ref="L61:O61"/>
    <mergeCell ref="L51:L57"/>
    <mergeCell ref="A59:D59"/>
    <mergeCell ref="F59:G59"/>
    <mergeCell ref="L59:O59"/>
    <mergeCell ref="Q59:R59"/>
    <mergeCell ref="H51:K51"/>
    <mergeCell ref="A58:D58"/>
    <mergeCell ref="L58:O58"/>
    <mergeCell ref="H57:K57"/>
    <mergeCell ref="S57:V57"/>
    <mergeCell ref="A51:A57"/>
    <mergeCell ref="H52:K52"/>
    <mergeCell ref="S52:V52"/>
    <mergeCell ref="H53:K53"/>
    <mergeCell ref="S53:V53"/>
    <mergeCell ref="S51:V51"/>
    <mergeCell ref="H56:K56"/>
    <mergeCell ref="S56:V56"/>
    <mergeCell ref="A66:D66"/>
    <mergeCell ref="L66:O66"/>
    <mergeCell ref="A65:D65"/>
    <mergeCell ref="L65:O65"/>
    <mergeCell ref="A64:D64"/>
    <mergeCell ref="L64:O64"/>
    <mergeCell ref="A63:D63"/>
    <mergeCell ref="L63:O63"/>
    <mergeCell ref="A62:D62"/>
    <mergeCell ref="L62:O62"/>
    <mergeCell ref="H70:K70"/>
    <mergeCell ref="S70:V70"/>
    <mergeCell ref="H72:K72"/>
    <mergeCell ref="S72:V72"/>
    <mergeCell ref="A67:A73"/>
    <mergeCell ref="H67:K67"/>
    <mergeCell ref="L67:L73"/>
    <mergeCell ref="S67:V67"/>
    <mergeCell ref="H68:K68"/>
    <mergeCell ref="S68:V68"/>
    <mergeCell ref="H69:K69"/>
    <mergeCell ref="S69:V69"/>
    <mergeCell ref="H71:K71"/>
    <mergeCell ref="S71:V71"/>
    <mergeCell ref="A75:D75"/>
    <mergeCell ref="F75:G75"/>
    <mergeCell ref="J75:K75"/>
    <mergeCell ref="L75:O75"/>
    <mergeCell ref="Q75:R75"/>
    <mergeCell ref="U75:V75"/>
    <mergeCell ref="A74:D74"/>
    <mergeCell ref="L74:O74"/>
    <mergeCell ref="H73:K73"/>
    <mergeCell ref="S73:V73"/>
    <mergeCell ref="A79:D79"/>
    <mergeCell ref="L79:O79"/>
    <mergeCell ref="A78:D78"/>
    <mergeCell ref="L78:O78"/>
    <mergeCell ref="A76:D76"/>
    <mergeCell ref="H76:I77"/>
    <mergeCell ref="L76:O76"/>
    <mergeCell ref="S76:T77"/>
    <mergeCell ref="A77:D77"/>
    <mergeCell ref="L77:O77"/>
    <mergeCell ref="A82:D82"/>
    <mergeCell ref="F82:H82"/>
    <mergeCell ref="L82:O82"/>
    <mergeCell ref="Q82:S82"/>
    <mergeCell ref="A80:D80"/>
    <mergeCell ref="F80:F81"/>
    <mergeCell ref="G80:I81"/>
    <mergeCell ref="L80:O80"/>
    <mergeCell ref="Q80:Q81"/>
    <mergeCell ref="R80:T81"/>
    <mergeCell ref="A81:D81"/>
    <mergeCell ref="L81:O81"/>
    <mergeCell ref="A86:E86"/>
    <mergeCell ref="F86:G86"/>
    <mergeCell ref="L86:P86"/>
    <mergeCell ref="Q86:R86"/>
    <mergeCell ref="F85:G85"/>
    <mergeCell ref="I85:K85"/>
    <mergeCell ref="Q85:R85"/>
    <mergeCell ref="T85:V85"/>
    <mergeCell ref="A83:D83"/>
    <mergeCell ref="L83:O83"/>
    <mergeCell ref="A89:E89"/>
    <mergeCell ref="F89:G89"/>
    <mergeCell ref="I89:J89"/>
    <mergeCell ref="L89:P89"/>
    <mergeCell ref="Q89:R89"/>
    <mergeCell ref="T89:U89"/>
    <mergeCell ref="I88:J88"/>
    <mergeCell ref="T88:U88"/>
    <mergeCell ref="A87:E87"/>
    <mergeCell ref="F87:G87"/>
    <mergeCell ref="I87:J87"/>
    <mergeCell ref="L87:P87"/>
    <mergeCell ref="Q87:R87"/>
    <mergeCell ref="T87:U87"/>
    <mergeCell ref="I91:J91"/>
    <mergeCell ref="T91:U91"/>
    <mergeCell ref="A94:E95"/>
    <mergeCell ref="F94:G95"/>
    <mergeCell ref="L94:P95"/>
    <mergeCell ref="Q94:R95"/>
    <mergeCell ref="A90:E90"/>
    <mergeCell ref="F90:G90"/>
    <mergeCell ref="L90:P90"/>
    <mergeCell ref="Q90:R90"/>
    <mergeCell ref="A104:E104"/>
    <mergeCell ref="F104:G104"/>
    <mergeCell ref="L104:P104"/>
    <mergeCell ref="Q104:R104"/>
    <mergeCell ref="A101:D101"/>
    <mergeCell ref="F101:G101"/>
    <mergeCell ref="L101:O101"/>
    <mergeCell ref="Q101:R101"/>
    <mergeCell ref="A92:E93"/>
    <mergeCell ref="F92:G93"/>
    <mergeCell ref="L92:P93"/>
    <mergeCell ref="Q92:R93"/>
  </mergeCells>
  <conditionalFormatting sqref="E26">
    <cfRule type="cellIs" dxfId="1042" priority="1575" operator="greaterThan">
      <formula>#REF!</formula>
    </cfRule>
    <cfRule type="cellIs" dxfId="1041" priority="1576" operator="lessThan">
      <formula>#REF!</formula>
    </cfRule>
    <cfRule type="cellIs" dxfId="1040" priority="1577" operator="equal">
      <formula>#REF!</formula>
    </cfRule>
  </conditionalFormatting>
  <conditionalFormatting sqref="E42">
    <cfRule type="cellIs" dxfId="1039" priority="1572" operator="greaterThan">
      <formula>#REF!</formula>
    </cfRule>
    <cfRule type="cellIs" dxfId="1038" priority="1573" operator="lessThan">
      <formula>#REF!</formula>
    </cfRule>
    <cfRule type="cellIs" dxfId="1037" priority="1574" operator="equal">
      <formula>#REF!</formula>
    </cfRule>
  </conditionalFormatting>
  <conditionalFormatting sqref="E58">
    <cfRule type="cellIs" dxfId="1036" priority="1569" operator="greaterThan">
      <formula>#REF!</formula>
    </cfRule>
    <cfRule type="cellIs" dxfId="1035" priority="1570" operator="lessThan">
      <formula>#REF!</formula>
    </cfRule>
    <cfRule type="cellIs" dxfId="1034" priority="1571" operator="equal">
      <formula>#REF!</formula>
    </cfRule>
  </conditionalFormatting>
  <conditionalFormatting sqref="E74">
    <cfRule type="cellIs" dxfId="1033" priority="1566" operator="greaterThan">
      <formula>#REF!</formula>
    </cfRule>
    <cfRule type="cellIs" dxfId="1032" priority="1567" operator="lessThan">
      <formula>#REF!</formula>
    </cfRule>
    <cfRule type="cellIs" dxfId="1031" priority="1568" operator="equal">
      <formula>#REF!</formula>
    </cfRule>
  </conditionalFormatting>
  <conditionalFormatting sqref="P10">
    <cfRule type="cellIs" dxfId="1030" priority="1563" operator="greaterThan">
      <formula>#REF!</formula>
    </cfRule>
    <cfRule type="cellIs" dxfId="1029" priority="1564" operator="lessThan">
      <formula>#REF!</formula>
    </cfRule>
    <cfRule type="cellIs" dxfId="1028" priority="1565" operator="equal">
      <formula>#REF!</formula>
    </cfRule>
  </conditionalFormatting>
  <conditionalFormatting sqref="P26">
    <cfRule type="cellIs" dxfId="1027" priority="1560" operator="greaterThan">
      <formula>#REF!</formula>
    </cfRule>
    <cfRule type="cellIs" dxfId="1026" priority="1561" operator="lessThan">
      <formula>#REF!</formula>
    </cfRule>
    <cfRule type="cellIs" dxfId="1025" priority="1562" operator="equal">
      <formula>#REF!</formula>
    </cfRule>
  </conditionalFormatting>
  <conditionalFormatting sqref="P42">
    <cfRule type="cellIs" dxfId="1024" priority="1557" operator="greaterThan">
      <formula>#REF!</formula>
    </cfRule>
    <cfRule type="cellIs" dxfId="1023" priority="1558" operator="lessThan">
      <formula>#REF!</formula>
    </cfRule>
    <cfRule type="cellIs" dxfId="1022" priority="1559" operator="equal">
      <formula>#REF!</formula>
    </cfRule>
  </conditionalFormatting>
  <conditionalFormatting sqref="P58">
    <cfRule type="cellIs" dxfId="1021" priority="1554" operator="greaterThan">
      <formula>#REF!</formula>
    </cfRule>
    <cfRule type="cellIs" dxfId="1020" priority="1555" operator="lessThan">
      <formula>#REF!</formula>
    </cfRule>
    <cfRule type="cellIs" dxfId="1019" priority="1556" operator="equal">
      <formula>#REF!</formula>
    </cfRule>
  </conditionalFormatting>
  <conditionalFormatting sqref="P74">
    <cfRule type="cellIs" dxfId="1018" priority="1551" operator="greaterThan">
      <formula>#REF!</formula>
    </cfRule>
    <cfRule type="cellIs" dxfId="1017" priority="1552" operator="lessThan">
      <formula>#REF!</formula>
    </cfRule>
    <cfRule type="cellIs" dxfId="1016" priority="1553" operator="equal">
      <formula>#REF!</formula>
    </cfRule>
  </conditionalFormatting>
  <conditionalFormatting sqref="B3:H3">
    <cfRule type="expression" dxfId="1015" priority="1487">
      <formula>COUNTIF(JFerie,$C3)=1</formula>
    </cfRule>
  </conditionalFormatting>
  <conditionalFormatting sqref="D3">
    <cfRule type="cellIs" dxfId="1014" priority="216" operator="equal">
      <formula>"SS"</formula>
    </cfRule>
    <cfRule type="cellIs" dxfId="1013" priority="1482" operator="equal">
      <formula>"REC"</formula>
    </cfRule>
    <cfRule type="cellIs" dxfId="1012" priority="1483" operator="equal">
      <formula>"CE"</formula>
    </cfRule>
    <cfRule type="cellIs" dxfId="1011" priority="1484" operator="equal">
      <formula>"AT"</formula>
    </cfRule>
    <cfRule type="cellIs" dxfId="1010" priority="1485" operator="equal">
      <formula>"AM"</formula>
    </cfRule>
    <cfRule type="cellIs" dxfId="1009" priority="1486" operator="equal">
      <formula>"CP"</formula>
    </cfRule>
  </conditionalFormatting>
  <conditionalFormatting sqref="B4:H4">
    <cfRule type="expression" dxfId="1008" priority="1481">
      <formula>COUNTIF(JFerie,$C4)=1</formula>
    </cfRule>
  </conditionalFormatting>
  <conditionalFormatting sqref="D4">
    <cfRule type="cellIs" dxfId="1007" priority="215" operator="equal">
      <formula>"SS"</formula>
    </cfRule>
    <cfRule type="cellIs" dxfId="1006" priority="1476" operator="equal">
      <formula>"REC"</formula>
    </cfRule>
    <cfRule type="cellIs" dxfId="1005" priority="1477" operator="equal">
      <formula>"CE"</formula>
    </cfRule>
    <cfRule type="cellIs" dxfId="1004" priority="1478" operator="equal">
      <formula>"AT"</formula>
    </cfRule>
    <cfRule type="cellIs" dxfId="1003" priority="1479" operator="equal">
      <formula>"AM"</formula>
    </cfRule>
    <cfRule type="cellIs" dxfId="1002" priority="1480" operator="equal">
      <formula>"CP"</formula>
    </cfRule>
  </conditionalFormatting>
  <conditionalFormatting sqref="B5:H5">
    <cfRule type="expression" dxfId="1001" priority="1475">
      <formula>COUNTIF(JFerie,$C5)=1</formula>
    </cfRule>
  </conditionalFormatting>
  <conditionalFormatting sqref="D5">
    <cfRule type="cellIs" dxfId="1000" priority="214" operator="equal">
      <formula>"SS"</formula>
    </cfRule>
    <cfRule type="cellIs" dxfId="999" priority="1470" operator="equal">
      <formula>"REC"</formula>
    </cfRule>
    <cfRule type="cellIs" dxfId="998" priority="1471" operator="equal">
      <formula>"CE"</formula>
    </cfRule>
    <cfRule type="cellIs" dxfId="997" priority="1472" operator="equal">
      <formula>"AT"</formula>
    </cfRule>
    <cfRule type="cellIs" dxfId="996" priority="1473" operator="equal">
      <formula>"AM"</formula>
    </cfRule>
    <cfRule type="cellIs" dxfId="995" priority="1474" operator="equal">
      <formula>"CP"</formula>
    </cfRule>
  </conditionalFormatting>
  <conditionalFormatting sqref="B6:H6">
    <cfRule type="expression" dxfId="994" priority="1469">
      <formula>COUNTIF(JFerie,$C6)=1</formula>
    </cfRule>
  </conditionalFormatting>
  <conditionalFormatting sqref="D6">
    <cfRule type="cellIs" dxfId="993" priority="213" operator="equal">
      <formula>"SS"</formula>
    </cfRule>
    <cfRule type="cellIs" dxfId="992" priority="1464" operator="equal">
      <formula>"REC"</formula>
    </cfRule>
    <cfRule type="cellIs" dxfId="991" priority="1465" operator="equal">
      <formula>"CE"</formula>
    </cfRule>
    <cfRule type="cellIs" dxfId="990" priority="1466" operator="equal">
      <formula>"AT"</formula>
    </cfRule>
    <cfRule type="cellIs" dxfId="989" priority="1467" operator="equal">
      <formula>"AM"</formula>
    </cfRule>
    <cfRule type="cellIs" dxfId="988" priority="1468" operator="equal">
      <formula>"CP"</formula>
    </cfRule>
  </conditionalFormatting>
  <conditionalFormatting sqref="B7:H7">
    <cfRule type="expression" dxfId="987" priority="1463">
      <formula>COUNTIF(JFerie,$C7)=1</formula>
    </cfRule>
  </conditionalFormatting>
  <conditionalFormatting sqref="D7">
    <cfRule type="cellIs" dxfId="986" priority="212" operator="equal">
      <formula>"SS"</formula>
    </cfRule>
    <cfRule type="cellIs" dxfId="985" priority="1458" operator="equal">
      <formula>"REC"</formula>
    </cfRule>
    <cfRule type="cellIs" dxfId="984" priority="1459" operator="equal">
      <formula>"CE"</formula>
    </cfRule>
    <cfRule type="cellIs" dxfId="983" priority="1460" operator="equal">
      <formula>"AT"</formula>
    </cfRule>
    <cfRule type="cellIs" dxfId="982" priority="1461" operator="equal">
      <formula>"AM"</formula>
    </cfRule>
    <cfRule type="cellIs" dxfId="981" priority="1462" operator="equal">
      <formula>"CP"</formula>
    </cfRule>
  </conditionalFormatting>
  <conditionalFormatting sqref="B8:H8">
    <cfRule type="expression" dxfId="980" priority="1457">
      <formula>COUNTIF(JFerie,$C8)=1</formula>
    </cfRule>
  </conditionalFormatting>
  <conditionalFormatting sqref="D8">
    <cfRule type="cellIs" dxfId="979" priority="211" operator="equal">
      <formula>"SS"</formula>
    </cfRule>
    <cfRule type="cellIs" dxfId="978" priority="1452" operator="equal">
      <formula>"REC"</formula>
    </cfRule>
    <cfRule type="cellIs" dxfId="977" priority="1453" operator="equal">
      <formula>"CE"</formula>
    </cfRule>
    <cfRule type="cellIs" dxfId="976" priority="1454" operator="equal">
      <formula>"AT"</formula>
    </cfRule>
    <cfRule type="cellIs" dxfId="975" priority="1455" operator="equal">
      <formula>"AM"</formula>
    </cfRule>
    <cfRule type="cellIs" dxfId="974" priority="1456" operator="equal">
      <formula>"CP"</formula>
    </cfRule>
  </conditionalFormatting>
  <conditionalFormatting sqref="B9:H9">
    <cfRule type="expression" dxfId="973" priority="1451">
      <formula>COUNTIF(JFerie,$C9)=1</formula>
    </cfRule>
  </conditionalFormatting>
  <conditionalFormatting sqref="D9">
    <cfRule type="cellIs" dxfId="972" priority="210" operator="equal">
      <formula>"SS"</formula>
    </cfRule>
    <cfRule type="cellIs" dxfId="971" priority="1446" operator="equal">
      <formula>"REC"</formula>
    </cfRule>
    <cfRule type="cellIs" dxfId="970" priority="1447" operator="equal">
      <formula>"CE"</formula>
    </cfRule>
    <cfRule type="cellIs" dxfId="969" priority="1448" operator="equal">
      <formula>"AT"</formula>
    </cfRule>
    <cfRule type="cellIs" dxfId="968" priority="1449" operator="equal">
      <formula>"AM"</formula>
    </cfRule>
    <cfRule type="cellIs" dxfId="967" priority="1450" operator="equal">
      <formula>"CP"</formula>
    </cfRule>
  </conditionalFormatting>
  <conditionalFormatting sqref="E10">
    <cfRule type="cellIs" dxfId="966" priority="1488" operator="greaterThan">
      <formula>#REF!</formula>
    </cfRule>
    <cfRule type="cellIs" dxfId="965" priority="1489" operator="lessThan">
      <formula>#REF!</formula>
    </cfRule>
    <cfRule type="cellIs" dxfId="964" priority="1490" operator="equal">
      <formula>#REF!</formula>
    </cfRule>
  </conditionalFormatting>
  <conditionalFormatting sqref="B19:H19">
    <cfRule type="expression" dxfId="963" priority="1445">
      <formula>COUNTIF(JFerie,$C19)=1</formula>
    </cfRule>
  </conditionalFormatting>
  <conditionalFormatting sqref="D19">
    <cfRule type="cellIs" dxfId="962" priority="201" operator="equal">
      <formula>"SS"</formula>
    </cfRule>
    <cfRule type="cellIs" dxfId="961" priority="1440" operator="equal">
      <formula>"REC"</formula>
    </cfRule>
    <cfRule type="cellIs" dxfId="960" priority="1441" operator="equal">
      <formula>"CE"</formula>
    </cfRule>
    <cfRule type="cellIs" dxfId="959" priority="1442" operator="equal">
      <formula>"AT"</formula>
    </cfRule>
    <cfRule type="cellIs" dxfId="958" priority="1443" operator="equal">
      <formula>"AM"</formula>
    </cfRule>
    <cfRule type="cellIs" dxfId="957" priority="1444" operator="equal">
      <formula>"CP"</formula>
    </cfRule>
  </conditionalFormatting>
  <conditionalFormatting sqref="B20:H20">
    <cfRule type="expression" dxfId="956" priority="1439">
      <formula>COUNTIF(JFerie,$C20)=1</formula>
    </cfRule>
  </conditionalFormatting>
  <conditionalFormatting sqref="D20">
    <cfRule type="cellIs" dxfId="955" priority="1434" operator="equal">
      <formula>"REC"</formula>
    </cfRule>
    <cfRule type="cellIs" dxfId="954" priority="1435" operator="equal">
      <formula>"CE"</formula>
    </cfRule>
    <cfRule type="cellIs" dxfId="953" priority="1436" operator="equal">
      <formula>"AT"</formula>
    </cfRule>
    <cfRule type="cellIs" dxfId="952" priority="1437" operator="equal">
      <formula>"AM"</formula>
    </cfRule>
    <cfRule type="cellIs" dxfId="951" priority="1438" operator="equal">
      <formula>"CP"</formula>
    </cfRule>
  </conditionalFormatting>
  <conditionalFormatting sqref="B21:H21">
    <cfRule type="expression" dxfId="950" priority="1433">
      <formula>COUNTIF(JFerie,$C21)=1</formula>
    </cfRule>
  </conditionalFormatting>
  <conditionalFormatting sqref="D21">
    <cfRule type="cellIs" dxfId="949" priority="1428" operator="equal">
      <formula>"REC"</formula>
    </cfRule>
    <cfRule type="cellIs" dxfId="948" priority="1429" operator="equal">
      <formula>"CE"</formula>
    </cfRule>
    <cfRule type="cellIs" dxfId="947" priority="1430" operator="equal">
      <formula>"AT"</formula>
    </cfRule>
    <cfRule type="cellIs" dxfId="946" priority="1431" operator="equal">
      <formula>"AM"</formula>
    </cfRule>
    <cfRule type="cellIs" dxfId="945" priority="1432" operator="equal">
      <formula>"CP"</formula>
    </cfRule>
  </conditionalFormatting>
  <conditionalFormatting sqref="B22:H22">
    <cfRule type="expression" dxfId="944" priority="1427">
      <formula>COUNTIF(JFerie,$C22)=1</formula>
    </cfRule>
  </conditionalFormatting>
  <conditionalFormatting sqref="D22">
    <cfRule type="cellIs" dxfId="943" priority="1422" operator="equal">
      <formula>"REC"</formula>
    </cfRule>
    <cfRule type="cellIs" dxfId="942" priority="1423" operator="equal">
      <formula>"CE"</formula>
    </cfRule>
    <cfRule type="cellIs" dxfId="941" priority="1424" operator="equal">
      <formula>"AT"</formula>
    </cfRule>
    <cfRule type="cellIs" dxfId="940" priority="1425" operator="equal">
      <formula>"AM"</formula>
    </cfRule>
    <cfRule type="cellIs" dxfId="939" priority="1426" operator="equal">
      <formula>"CP"</formula>
    </cfRule>
  </conditionalFormatting>
  <conditionalFormatting sqref="B23:H23">
    <cfRule type="expression" dxfId="938" priority="1421">
      <formula>COUNTIF(JFerie,$C23)=1</formula>
    </cfRule>
  </conditionalFormatting>
  <conditionalFormatting sqref="D23">
    <cfRule type="cellIs" dxfId="937" priority="1416" operator="equal">
      <formula>"REC"</formula>
    </cfRule>
    <cfRule type="cellIs" dxfId="936" priority="1417" operator="equal">
      <formula>"CE"</formula>
    </cfRule>
    <cfRule type="cellIs" dxfId="935" priority="1418" operator="equal">
      <formula>"AT"</formula>
    </cfRule>
    <cfRule type="cellIs" dxfId="934" priority="1419" operator="equal">
      <formula>"AM"</formula>
    </cfRule>
    <cfRule type="cellIs" dxfId="933" priority="1420" operator="equal">
      <formula>"CP"</formula>
    </cfRule>
  </conditionalFormatting>
  <conditionalFormatting sqref="B24:H24">
    <cfRule type="expression" dxfId="932" priority="1415">
      <formula>COUNTIF(JFerie,$C24)=1</formula>
    </cfRule>
  </conditionalFormatting>
  <conditionalFormatting sqref="D24">
    <cfRule type="cellIs" dxfId="931" priority="1410" operator="equal">
      <formula>"REC"</formula>
    </cfRule>
    <cfRule type="cellIs" dxfId="930" priority="1411" operator="equal">
      <formula>"CE"</formula>
    </cfRule>
    <cfRule type="cellIs" dxfId="929" priority="1412" operator="equal">
      <formula>"AT"</formula>
    </cfRule>
    <cfRule type="cellIs" dxfId="928" priority="1413" operator="equal">
      <formula>"AM"</formula>
    </cfRule>
    <cfRule type="cellIs" dxfId="927" priority="1414" operator="equal">
      <formula>"CP"</formula>
    </cfRule>
  </conditionalFormatting>
  <conditionalFormatting sqref="B25:H25">
    <cfRule type="expression" dxfId="926" priority="1409">
      <formula>COUNTIF(JFerie,$C25)=1</formula>
    </cfRule>
  </conditionalFormatting>
  <conditionalFormatting sqref="D25">
    <cfRule type="cellIs" dxfId="925" priority="1404" operator="equal">
      <formula>"REC"</formula>
    </cfRule>
    <cfRule type="cellIs" dxfId="924" priority="1405" operator="equal">
      <formula>"CE"</formula>
    </cfRule>
    <cfRule type="cellIs" dxfId="923" priority="1406" operator="equal">
      <formula>"AT"</formula>
    </cfRule>
    <cfRule type="cellIs" dxfId="922" priority="1407" operator="equal">
      <formula>"AM"</formula>
    </cfRule>
    <cfRule type="cellIs" dxfId="921" priority="1408" operator="equal">
      <formula>"CP"</formula>
    </cfRule>
  </conditionalFormatting>
  <conditionalFormatting sqref="B35:H35">
    <cfRule type="expression" dxfId="920" priority="1403">
      <formula>COUNTIF(JFerie,$C35)=1</formula>
    </cfRule>
  </conditionalFormatting>
  <conditionalFormatting sqref="D35">
    <cfRule type="cellIs" dxfId="919" priority="1398" operator="equal">
      <formula>"REC"</formula>
    </cfRule>
    <cfRule type="cellIs" dxfId="918" priority="1399" operator="equal">
      <formula>"CE"</formula>
    </cfRule>
    <cfRule type="cellIs" dxfId="917" priority="1400" operator="equal">
      <formula>"AT"</formula>
    </cfRule>
    <cfRule type="cellIs" dxfId="916" priority="1401" operator="equal">
      <formula>"AM"</formula>
    </cfRule>
    <cfRule type="cellIs" dxfId="915" priority="1402" operator="equal">
      <formula>"CP"</formula>
    </cfRule>
  </conditionalFormatting>
  <conditionalFormatting sqref="B36:H36">
    <cfRule type="expression" dxfId="914" priority="1397">
      <formula>COUNTIF(JFerie,$C36)=1</formula>
    </cfRule>
  </conditionalFormatting>
  <conditionalFormatting sqref="D36">
    <cfRule type="cellIs" dxfId="913" priority="1392" operator="equal">
      <formula>"REC"</formula>
    </cfRule>
    <cfRule type="cellIs" dxfId="912" priority="1393" operator="equal">
      <formula>"CE"</formula>
    </cfRule>
    <cfRule type="cellIs" dxfId="911" priority="1394" operator="equal">
      <formula>"AT"</formula>
    </cfRule>
    <cfRule type="cellIs" dxfId="910" priority="1395" operator="equal">
      <formula>"AM"</formula>
    </cfRule>
    <cfRule type="cellIs" dxfId="909" priority="1396" operator="equal">
      <formula>"CP"</formula>
    </cfRule>
  </conditionalFormatting>
  <conditionalFormatting sqref="B37:H37">
    <cfRule type="expression" dxfId="908" priority="1391">
      <formula>COUNTIF(JFerie,$C37)=1</formula>
    </cfRule>
  </conditionalFormatting>
  <conditionalFormatting sqref="D37">
    <cfRule type="cellIs" dxfId="907" priority="1386" operator="equal">
      <formula>"REC"</formula>
    </cfRule>
    <cfRule type="cellIs" dxfId="906" priority="1387" operator="equal">
      <formula>"CE"</formula>
    </cfRule>
    <cfRule type="cellIs" dxfId="905" priority="1388" operator="equal">
      <formula>"AT"</formula>
    </cfRule>
    <cfRule type="cellIs" dxfId="904" priority="1389" operator="equal">
      <formula>"AM"</formula>
    </cfRule>
    <cfRule type="cellIs" dxfId="903" priority="1390" operator="equal">
      <formula>"CP"</formula>
    </cfRule>
  </conditionalFormatting>
  <conditionalFormatting sqref="B38:H38">
    <cfRule type="expression" dxfId="902" priority="1385">
      <formula>COUNTIF(JFerie,$C38)=1</formula>
    </cfRule>
  </conditionalFormatting>
  <conditionalFormatting sqref="D38">
    <cfRule type="cellIs" dxfId="901" priority="1380" operator="equal">
      <formula>"REC"</formula>
    </cfRule>
    <cfRule type="cellIs" dxfId="900" priority="1381" operator="equal">
      <formula>"CE"</formula>
    </cfRule>
    <cfRule type="cellIs" dxfId="899" priority="1382" operator="equal">
      <formula>"AT"</formula>
    </cfRule>
    <cfRule type="cellIs" dxfId="898" priority="1383" operator="equal">
      <formula>"AM"</formula>
    </cfRule>
    <cfRule type="cellIs" dxfId="897" priority="1384" operator="equal">
      <formula>"CP"</formula>
    </cfRule>
  </conditionalFormatting>
  <conditionalFormatting sqref="B39:H39">
    <cfRule type="expression" dxfId="896" priority="1379">
      <formula>COUNTIF(JFerie,$C39)=1</formula>
    </cfRule>
  </conditionalFormatting>
  <conditionalFormatting sqref="D39">
    <cfRule type="cellIs" dxfId="895" priority="1374" operator="equal">
      <formula>"REC"</formula>
    </cfRule>
    <cfRule type="cellIs" dxfId="894" priority="1375" operator="equal">
      <formula>"CE"</formula>
    </cfRule>
    <cfRule type="cellIs" dxfId="893" priority="1376" operator="equal">
      <formula>"AT"</formula>
    </cfRule>
    <cfRule type="cellIs" dxfId="892" priority="1377" operator="equal">
      <formula>"AM"</formula>
    </cfRule>
    <cfRule type="cellIs" dxfId="891" priority="1378" operator="equal">
      <formula>"CP"</formula>
    </cfRule>
  </conditionalFormatting>
  <conditionalFormatting sqref="B40:H40">
    <cfRule type="expression" dxfId="890" priority="1373">
      <formula>COUNTIF(JFerie,$C40)=1</formula>
    </cfRule>
  </conditionalFormatting>
  <conditionalFormatting sqref="D40">
    <cfRule type="cellIs" dxfId="889" priority="1368" operator="equal">
      <formula>"REC"</formula>
    </cfRule>
    <cfRule type="cellIs" dxfId="888" priority="1369" operator="equal">
      <formula>"CE"</formula>
    </cfRule>
    <cfRule type="cellIs" dxfId="887" priority="1370" operator="equal">
      <formula>"AT"</formula>
    </cfRule>
    <cfRule type="cellIs" dxfId="886" priority="1371" operator="equal">
      <formula>"AM"</formula>
    </cfRule>
    <cfRule type="cellIs" dxfId="885" priority="1372" operator="equal">
      <formula>"CP"</formula>
    </cfRule>
  </conditionalFormatting>
  <conditionalFormatting sqref="B41:H41">
    <cfRule type="expression" dxfId="884" priority="1367">
      <formula>COUNTIF(JFerie,$C41)=1</formula>
    </cfRule>
  </conditionalFormatting>
  <conditionalFormatting sqref="D41">
    <cfRule type="cellIs" dxfId="883" priority="1362" operator="equal">
      <formula>"REC"</formula>
    </cfRule>
    <cfRule type="cellIs" dxfId="882" priority="1363" operator="equal">
      <formula>"CE"</formula>
    </cfRule>
    <cfRule type="cellIs" dxfId="881" priority="1364" operator="equal">
      <formula>"AT"</formula>
    </cfRule>
    <cfRule type="cellIs" dxfId="880" priority="1365" operator="equal">
      <formula>"AM"</formula>
    </cfRule>
    <cfRule type="cellIs" dxfId="879" priority="1366" operator="equal">
      <formula>"CP"</formula>
    </cfRule>
  </conditionalFormatting>
  <conditionalFormatting sqref="B51:H51">
    <cfRule type="expression" dxfId="878" priority="1361">
      <formula>COUNTIF(JFerie,$C51)=1</formula>
    </cfRule>
  </conditionalFormatting>
  <conditionalFormatting sqref="D51">
    <cfRule type="cellIs" dxfId="877" priority="1356" operator="equal">
      <formula>"REC"</formula>
    </cfRule>
    <cfRule type="cellIs" dxfId="876" priority="1357" operator="equal">
      <formula>"CE"</formula>
    </cfRule>
    <cfRule type="cellIs" dxfId="875" priority="1358" operator="equal">
      <formula>"AT"</formula>
    </cfRule>
    <cfRule type="cellIs" dxfId="874" priority="1359" operator="equal">
      <formula>"AM"</formula>
    </cfRule>
    <cfRule type="cellIs" dxfId="873" priority="1360" operator="equal">
      <formula>"CP"</formula>
    </cfRule>
  </conditionalFormatting>
  <conditionalFormatting sqref="B52:H52">
    <cfRule type="expression" dxfId="872" priority="1355">
      <formula>COUNTIF(JFerie,$C52)=1</formula>
    </cfRule>
  </conditionalFormatting>
  <conditionalFormatting sqref="D52">
    <cfRule type="cellIs" dxfId="871" priority="1350" operator="equal">
      <formula>"REC"</formula>
    </cfRule>
    <cfRule type="cellIs" dxfId="870" priority="1351" operator="equal">
      <formula>"CE"</formula>
    </cfRule>
    <cfRule type="cellIs" dxfId="869" priority="1352" operator="equal">
      <formula>"AT"</formula>
    </cfRule>
    <cfRule type="cellIs" dxfId="868" priority="1353" operator="equal">
      <formula>"AM"</formula>
    </cfRule>
    <cfRule type="cellIs" dxfId="867" priority="1354" operator="equal">
      <formula>"CP"</formula>
    </cfRule>
  </conditionalFormatting>
  <conditionalFormatting sqref="B53:H53">
    <cfRule type="expression" dxfId="866" priority="1349">
      <formula>COUNTIF(JFerie,$C53)=1</formula>
    </cfRule>
  </conditionalFormatting>
  <conditionalFormatting sqref="D53">
    <cfRule type="cellIs" dxfId="865" priority="1344" operator="equal">
      <formula>"REC"</formula>
    </cfRule>
    <cfRule type="cellIs" dxfId="864" priority="1345" operator="equal">
      <formula>"CE"</formula>
    </cfRule>
    <cfRule type="cellIs" dxfId="863" priority="1346" operator="equal">
      <formula>"AT"</formula>
    </cfRule>
    <cfRule type="cellIs" dxfId="862" priority="1347" operator="equal">
      <formula>"AM"</formula>
    </cfRule>
    <cfRule type="cellIs" dxfId="861" priority="1348" operator="equal">
      <formula>"CP"</formula>
    </cfRule>
  </conditionalFormatting>
  <conditionalFormatting sqref="B54:H54">
    <cfRule type="expression" dxfId="860" priority="1343">
      <formula>COUNTIF(JFerie,$C54)=1</formula>
    </cfRule>
  </conditionalFormatting>
  <conditionalFormatting sqref="D54">
    <cfRule type="cellIs" dxfId="859" priority="1338" operator="equal">
      <formula>"REC"</formula>
    </cfRule>
    <cfRule type="cellIs" dxfId="858" priority="1339" operator="equal">
      <formula>"CE"</formula>
    </cfRule>
    <cfRule type="cellIs" dxfId="857" priority="1340" operator="equal">
      <formula>"AT"</formula>
    </cfRule>
    <cfRule type="cellIs" dxfId="856" priority="1341" operator="equal">
      <formula>"AM"</formula>
    </cfRule>
    <cfRule type="cellIs" dxfId="855" priority="1342" operator="equal">
      <formula>"CP"</formula>
    </cfRule>
  </conditionalFormatting>
  <conditionalFormatting sqref="B55:H55">
    <cfRule type="expression" dxfId="854" priority="1337">
      <formula>COUNTIF(JFerie,$C55)=1</formula>
    </cfRule>
  </conditionalFormatting>
  <conditionalFormatting sqref="D55">
    <cfRule type="cellIs" dxfId="853" priority="1332" operator="equal">
      <formula>"REC"</formula>
    </cfRule>
    <cfRule type="cellIs" dxfId="852" priority="1333" operator="equal">
      <formula>"CE"</formula>
    </cfRule>
    <cfRule type="cellIs" dxfId="851" priority="1334" operator="equal">
      <formula>"AT"</formula>
    </cfRule>
    <cfRule type="cellIs" dxfId="850" priority="1335" operator="equal">
      <formula>"AM"</formula>
    </cfRule>
    <cfRule type="cellIs" dxfId="849" priority="1336" operator="equal">
      <formula>"CP"</formula>
    </cfRule>
  </conditionalFormatting>
  <conditionalFormatting sqref="B56:H56">
    <cfRule type="expression" dxfId="848" priority="1331">
      <formula>COUNTIF(JFerie,$C56)=1</formula>
    </cfRule>
  </conditionalFormatting>
  <conditionalFormatting sqref="D56">
    <cfRule type="cellIs" dxfId="847" priority="1326" operator="equal">
      <formula>"REC"</formula>
    </cfRule>
    <cfRule type="cellIs" dxfId="846" priority="1327" operator="equal">
      <formula>"CE"</formula>
    </cfRule>
    <cfRule type="cellIs" dxfId="845" priority="1328" operator="equal">
      <formula>"AT"</formula>
    </cfRule>
    <cfRule type="cellIs" dxfId="844" priority="1329" operator="equal">
      <formula>"AM"</formula>
    </cfRule>
    <cfRule type="cellIs" dxfId="843" priority="1330" operator="equal">
      <formula>"CP"</formula>
    </cfRule>
  </conditionalFormatting>
  <conditionalFormatting sqref="B57:H57">
    <cfRule type="expression" dxfId="842" priority="1325">
      <formula>COUNTIF(JFerie,$C57)=1</formula>
    </cfRule>
  </conditionalFormatting>
  <conditionalFormatting sqref="D57">
    <cfRule type="cellIs" dxfId="841" priority="1320" operator="equal">
      <formula>"REC"</formula>
    </cfRule>
    <cfRule type="cellIs" dxfId="840" priority="1321" operator="equal">
      <formula>"CE"</formula>
    </cfRule>
    <cfRule type="cellIs" dxfId="839" priority="1322" operator="equal">
      <formula>"AT"</formula>
    </cfRule>
    <cfRule type="cellIs" dxfId="838" priority="1323" operator="equal">
      <formula>"AM"</formula>
    </cfRule>
    <cfRule type="cellIs" dxfId="837" priority="1324" operator="equal">
      <formula>"CP"</formula>
    </cfRule>
  </conditionalFormatting>
  <conditionalFormatting sqref="B67:H67">
    <cfRule type="expression" dxfId="836" priority="1319">
      <formula>COUNTIF(JFerie,$C67)=1</formula>
    </cfRule>
  </conditionalFormatting>
  <conditionalFormatting sqref="D67">
    <cfRule type="cellIs" dxfId="835" priority="1314" operator="equal">
      <formula>"REC"</formula>
    </cfRule>
    <cfRule type="cellIs" dxfId="834" priority="1315" operator="equal">
      <formula>"CE"</formula>
    </cfRule>
    <cfRule type="cellIs" dxfId="833" priority="1316" operator="equal">
      <formula>"AT"</formula>
    </cfRule>
    <cfRule type="cellIs" dxfId="832" priority="1317" operator="equal">
      <formula>"AM"</formula>
    </cfRule>
    <cfRule type="cellIs" dxfId="831" priority="1318" operator="equal">
      <formula>"CP"</formula>
    </cfRule>
  </conditionalFormatting>
  <conditionalFormatting sqref="B68:H68">
    <cfRule type="expression" dxfId="830" priority="1313">
      <formula>COUNTIF(JFerie,$C68)=1</formula>
    </cfRule>
  </conditionalFormatting>
  <conditionalFormatting sqref="D68">
    <cfRule type="cellIs" dxfId="829" priority="1308" operator="equal">
      <formula>"REC"</formula>
    </cfRule>
    <cfRule type="cellIs" dxfId="828" priority="1309" operator="equal">
      <formula>"CE"</formula>
    </cfRule>
    <cfRule type="cellIs" dxfId="827" priority="1310" operator="equal">
      <formula>"AT"</formula>
    </cfRule>
    <cfRule type="cellIs" dxfId="826" priority="1311" operator="equal">
      <formula>"AM"</formula>
    </cfRule>
    <cfRule type="cellIs" dxfId="825" priority="1312" operator="equal">
      <formula>"CP"</formula>
    </cfRule>
  </conditionalFormatting>
  <conditionalFormatting sqref="B69:H69">
    <cfRule type="expression" dxfId="824" priority="1307">
      <formula>COUNTIF(JFerie,$C69)=1</formula>
    </cfRule>
  </conditionalFormatting>
  <conditionalFormatting sqref="D69">
    <cfRule type="cellIs" dxfId="823" priority="1302" operator="equal">
      <formula>"REC"</formula>
    </cfRule>
    <cfRule type="cellIs" dxfId="822" priority="1303" operator="equal">
      <formula>"CE"</formula>
    </cfRule>
    <cfRule type="cellIs" dxfId="821" priority="1304" operator="equal">
      <formula>"AT"</formula>
    </cfRule>
    <cfRule type="cellIs" dxfId="820" priority="1305" operator="equal">
      <formula>"AM"</formula>
    </cfRule>
    <cfRule type="cellIs" dxfId="819" priority="1306" operator="equal">
      <formula>"CP"</formula>
    </cfRule>
  </conditionalFormatting>
  <conditionalFormatting sqref="B70:H70">
    <cfRule type="expression" dxfId="818" priority="1301">
      <formula>COUNTIF(JFerie,$C70)=1</formula>
    </cfRule>
  </conditionalFormatting>
  <conditionalFormatting sqref="D70">
    <cfRule type="cellIs" dxfId="817" priority="1296" operator="equal">
      <formula>"REC"</formula>
    </cfRule>
    <cfRule type="cellIs" dxfId="816" priority="1297" operator="equal">
      <formula>"CE"</formula>
    </cfRule>
    <cfRule type="cellIs" dxfId="815" priority="1298" operator="equal">
      <formula>"AT"</formula>
    </cfRule>
    <cfRule type="cellIs" dxfId="814" priority="1299" operator="equal">
      <formula>"AM"</formula>
    </cfRule>
    <cfRule type="cellIs" dxfId="813" priority="1300" operator="equal">
      <formula>"CP"</formula>
    </cfRule>
  </conditionalFormatting>
  <conditionalFormatting sqref="B71:H71">
    <cfRule type="expression" dxfId="812" priority="1295">
      <formula>COUNTIF(JFerie,$C71)=1</formula>
    </cfRule>
  </conditionalFormatting>
  <conditionalFormatting sqref="D71">
    <cfRule type="cellIs" dxfId="811" priority="1290" operator="equal">
      <formula>"REC"</formula>
    </cfRule>
    <cfRule type="cellIs" dxfId="810" priority="1291" operator="equal">
      <formula>"CE"</formula>
    </cfRule>
    <cfRule type="cellIs" dxfId="809" priority="1292" operator="equal">
      <formula>"AT"</formula>
    </cfRule>
    <cfRule type="cellIs" dxfId="808" priority="1293" operator="equal">
      <formula>"AM"</formula>
    </cfRule>
    <cfRule type="cellIs" dxfId="807" priority="1294" operator="equal">
      <formula>"CP"</formula>
    </cfRule>
  </conditionalFormatting>
  <conditionalFormatting sqref="B72:H72">
    <cfRule type="expression" dxfId="806" priority="1289">
      <formula>COUNTIF(JFerie,$C72)=1</formula>
    </cfRule>
  </conditionalFormatting>
  <conditionalFormatting sqref="D72">
    <cfRule type="cellIs" dxfId="805" priority="1284" operator="equal">
      <formula>"REC"</formula>
    </cfRule>
    <cfRule type="cellIs" dxfId="804" priority="1285" operator="equal">
      <formula>"CE"</formula>
    </cfRule>
    <cfRule type="cellIs" dxfId="803" priority="1286" operator="equal">
      <formula>"AT"</formula>
    </cfRule>
    <cfRule type="cellIs" dxfId="802" priority="1287" operator="equal">
      <formula>"AM"</formula>
    </cfRule>
    <cfRule type="cellIs" dxfId="801" priority="1288" operator="equal">
      <formula>"CP"</formula>
    </cfRule>
  </conditionalFormatting>
  <conditionalFormatting sqref="B73:H73">
    <cfRule type="expression" dxfId="800" priority="1283">
      <formula>COUNTIF(JFerie,$C73)=1</formula>
    </cfRule>
  </conditionalFormatting>
  <conditionalFormatting sqref="D73">
    <cfRule type="cellIs" dxfId="799" priority="1278" operator="equal">
      <formula>"REC"</formula>
    </cfRule>
    <cfRule type="cellIs" dxfId="798" priority="1279" operator="equal">
      <formula>"CE"</formula>
    </cfRule>
    <cfRule type="cellIs" dxfId="797" priority="1280" operator="equal">
      <formula>"AT"</formula>
    </cfRule>
    <cfRule type="cellIs" dxfId="796" priority="1281" operator="equal">
      <formula>"AM"</formula>
    </cfRule>
    <cfRule type="cellIs" dxfId="795" priority="1282" operator="equal">
      <formula>"CP"</formula>
    </cfRule>
  </conditionalFormatting>
  <conditionalFormatting sqref="M3:S3">
    <cfRule type="expression" dxfId="794" priority="1277">
      <formula>COUNTIF(JFerie,$N3)=1</formula>
    </cfRule>
  </conditionalFormatting>
  <conditionalFormatting sqref="O3">
    <cfRule type="cellIs" dxfId="793" priority="209" operator="equal">
      <formula>"SS"</formula>
    </cfRule>
    <cfRule type="cellIs" dxfId="792" priority="1272" operator="equal">
      <formula>"REC"</formula>
    </cfRule>
    <cfRule type="cellIs" dxfId="791" priority="1273" operator="equal">
      <formula>"CE"</formula>
    </cfRule>
    <cfRule type="cellIs" dxfId="790" priority="1274" operator="equal">
      <formula>"AT"</formula>
    </cfRule>
    <cfRule type="cellIs" dxfId="789" priority="1275" operator="equal">
      <formula>"AM"</formula>
    </cfRule>
    <cfRule type="cellIs" dxfId="788" priority="1276" operator="equal">
      <formula>"CP"</formula>
    </cfRule>
  </conditionalFormatting>
  <conditionalFormatting sqref="M4:S4">
    <cfRule type="expression" dxfId="787" priority="1271">
      <formula>COUNTIF(JFerie,$N4)=1</formula>
    </cfRule>
  </conditionalFormatting>
  <conditionalFormatting sqref="O4">
    <cfRule type="cellIs" dxfId="786" priority="208" operator="equal">
      <formula>"SS"</formula>
    </cfRule>
    <cfRule type="cellIs" dxfId="785" priority="1266" operator="equal">
      <formula>"REC"</formula>
    </cfRule>
    <cfRule type="cellIs" dxfId="784" priority="1267" operator="equal">
      <formula>"CE"</formula>
    </cfRule>
    <cfRule type="cellIs" dxfId="783" priority="1268" operator="equal">
      <formula>"AT"</formula>
    </cfRule>
    <cfRule type="cellIs" dxfId="782" priority="1269" operator="equal">
      <formula>"AM"</formula>
    </cfRule>
    <cfRule type="cellIs" dxfId="781" priority="1270" operator="equal">
      <formula>"CP"</formula>
    </cfRule>
  </conditionalFormatting>
  <conditionalFormatting sqref="M5:S5">
    <cfRule type="expression" dxfId="780" priority="1265">
      <formula>COUNTIF(JFerie,$N5)=1</formula>
    </cfRule>
  </conditionalFormatting>
  <conditionalFormatting sqref="O5">
    <cfRule type="cellIs" dxfId="779" priority="207" operator="equal">
      <formula>"SS"</formula>
    </cfRule>
    <cfRule type="cellIs" dxfId="778" priority="1260" operator="equal">
      <formula>"REC"</formula>
    </cfRule>
    <cfRule type="cellIs" dxfId="777" priority="1261" operator="equal">
      <formula>"CE"</formula>
    </cfRule>
    <cfRule type="cellIs" dxfId="776" priority="1262" operator="equal">
      <formula>"AT"</formula>
    </cfRule>
    <cfRule type="cellIs" dxfId="775" priority="1263" operator="equal">
      <formula>"AM"</formula>
    </cfRule>
    <cfRule type="cellIs" dxfId="774" priority="1264" operator="equal">
      <formula>"CP"</formula>
    </cfRule>
  </conditionalFormatting>
  <conditionalFormatting sqref="M6:S6">
    <cfRule type="expression" dxfId="773" priority="1259">
      <formula>COUNTIF(JFerie,$N6)=1</formula>
    </cfRule>
  </conditionalFormatting>
  <conditionalFormatting sqref="O6">
    <cfRule type="cellIs" dxfId="772" priority="1254" operator="equal">
      <formula>"REC"</formula>
    </cfRule>
    <cfRule type="cellIs" dxfId="771" priority="1255" operator="equal">
      <formula>"CE"</formula>
    </cfRule>
    <cfRule type="cellIs" dxfId="770" priority="1256" operator="equal">
      <formula>"AT"</formula>
    </cfRule>
    <cfRule type="cellIs" dxfId="769" priority="1257" operator="equal">
      <formula>"AM"</formula>
    </cfRule>
    <cfRule type="cellIs" dxfId="768" priority="1258" operator="equal">
      <formula>"CP"</formula>
    </cfRule>
  </conditionalFormatting>
  <conditionalFormatting sqref="M7:S7">
    <cfRule type="expression" dxfId="767" priority="1253">
      <formula>COUNTIF(JFerie,$N7)=1</formula>
    </cfRule>
  </conditionalFormatting>
  <conditionalFormatting sqref="O7">
    <cfRule type="cellIs" dxfId="766" priority="1248" operator="equal">
      <formula>"REC"</formula>
    </cfRule>
    <cfRule type="cellIs" dxfId="765" priority="1249" operator="equal">
      <formula>"CE"</formula>
    </cfRule>
    <cfRule type="cellIs" dxfId="764" priority="1250" operator="equal">
      <formula>"AT"</formula>
    </cfRule>
    <cfRule type="cellIs" dxfId="763" priority="1251" operator="equal">
      <formula>"AM"</formula>
    </cfRule>
    <cfRule type="cellIs" dxfId="762" priority="1252" operator="equal">
      <formula>"CP"</formula>
    </cfRule>
  </conditionalFormatting>
  <conditionalFormatting sqref="M8:S8">
    <cfRule type="expression" dxfId="761" priority="1247">
      <formula>COUNTIF(JFerie,$N8)=1</formula>
    </cfRule>
  </conditionalFormatting>
  <conditionalFormatting sqref="O8">
    <cfRule type="cellIs" dxfId="760" priority="1242" operator="equal">
      <formula>"REC"</formula>
    </cfRule>
    <cfRule type="cellIs" dxfId="759" priority="1243" operator="equal">
      <formula>"CE"</formula>
    </cfRule>
    <cfRule type="cellIs" dxfId="758" priority="1244" operator="equal">
      <formula>"AT"</formula>
    </cfRule>
    <cfRule type="cellIs" dxfId="757" priority="1245" operator="equal">
      <formula>"AM"</formula>
    </cfRule>
    <cfRule type="cellIs" dxfId="756" priority="1246" operator="equal">
      <formula>"CP"</formula>
    </cfRule>
  </conditionalFormatting>
  <conditionalFormatting sqref="M9:S9">
    <cfRule type="expression" dxfId="755" priority="1241">
      <formula>COUNTIF(JFerie,$N9)=1</formula>
    </cfRule>
  </conditionalFormatting>
  <conditionalFormatting sqref="O9">
    <cfRule type="cellIs" dxfId="754" priority="1236" operator="equal">
      <formula>"REC"</formula>
    </cfRule>
    <cfRule type="cellIs" dxfId="753" priority="1237" operator="equal">
      <formula>"CE"</formula>
    </cfRule>
    <cfRule type="cellIs" dxfId="752" priority="1238" operator="equal">
      <formula>"AT"</formula>
    </cfRule>
    <cfRule type="cellIs" dxfId="751" priority="1239" operator="equal">
      <formula>"AM"</formula>
    </cfRule>
    <cfRule type="cellIs" dxfId="750" priority="1240" operator="equal">
      <formula>"CP"</formula>
    </cfRule>
  </conditionalFormatting>
  <conditionalFormatting sqref="M19:S19">
    <cfRule type="expression" dxfId="749" priority="1235">
      <formula>COUNTIF(JFerie,$N19)=1</formula>
    </cfRule>
  </conditionalFormatting>
  <conditionalFormatting sqref="O19">
    <cfRule type="cellIs" dxfId="748" priority="1230" operator="equal">
      <formula>"REC"</formula>
    </cfRule>
    <cfRule type="cellIs" dxfId="747" priority="1231" operator="equal">
      <formula>"CE"</formula>
    </cfRule>
    <cfRule type="cellIs" dxfId="746" priority="1232" operator="equal">
      <formula>"AT"</formula>
    </cfRule>
    <cfRule type="cellIs" dxfId="745" priority="1233" operator="equal">
      <formula>"AM"</formula>
    </cfRule>
    <cfRule type="cellIs" dxfId="744" priority="1234" operator="equal">
      <formula>"CP"</formula>
    </cfRule>
  </conditionalFormatting>
  <conditionalFormatting sqref="M20:S20">
    <cfRule type="expression" dxfId="743" priority="1229">
      <formula>COUNTIF(JFerie,$N20)=1</formula>
    </cfRule>
  </conditionalFormatting>
  <conditionalFormatting sqref="O20">
    <cfRule type="cellIs" dxfId="742" priority="1224" operator="equal">
      <formula>"REC"</formula>
    </cfRule>
    <cfRule type="cellIs" dxfId="741" priority="1225" operator="equal">
      <formula>"CE"</formula>
    </cfRule>
    <cfRule type="cellIs" dxfId="740" priority="1226" operator="equal">
      <formula>"AT"</formula>
    </cfRule>
    <cfRule type="cellIs" dxfId="739" priority="1227" operator="equal">
      <formula>"AM"</formula>
    </cfRule>
    <cfRule type="cellIs" dxfId="738" priority="1228" operator="equal">
      <formula>"CP"</formula>
    </cfRule>
  </conditionalFormatting>
  <conditionalFormatting sqref="M21:S21">
    <cfRule type="expression" dxfId="737" priority="1223">
      <formula>COUNTIF(JFerie,$N21)=1</formula>
    </cfRule>
  </conditionalFormatting>
  <conditionalFormatting sqref="O21">
    <cfRule type="cellIs" dxfId="736" priority="1218" operator="equal">
      <formula>"REC"</formula>
    </cfRule>
    <cfRule type="cellIs" dxfId="735" priority="1219" operator="equal">
      <formula>"CE"</formula>
    </cfRule>
    <cfRule type="cellIs" dxfId="734" priority="1220" operator="equal">
      <formula>"AT"</formula>
    </cfRule>
    <cfRule type="cellIs" dxfId="733" priority="1221" operator="equal">
      <formula>"AM"</formula>
    </cfRule>
    <cfRule type="cellIs" dxfId="732" priority="1222" operator="equal">
      <formula>"CP"</formula>
    </cfRule>
  </conditionalFormatting>
  <conditionalFormatting sqref="M22:S22">
    <cfRule type="expression" dxfId="731" priority="1217">
      <formula>COUNTIF(JFerie,$N22)=1</formula>
    </cfRule>
  </conditionalFormatting>
  <conditionalFormatting sqref="O22">
    <cfRule type="cellIs" dxfId="730" priority="1212" operator="equal">
      <formula>"REC"</formula>
    </cfRule>
    <cfRule type="cellIs" dxfId="729" priority="1213" operator="equal">
      <formula>"CE"</formula>
    </cfRule>
    <cfRule type="cellIs" dxfId="728" priority="1214" operator="equal">
      <formula>"AT"</formula>
    </cfRule>
    <cfRule type="cellIs" dxfId="727" priority="1215" operator="equal">
      <formula>"AM"</formula>
    </cfRule>
    <cfRule type="cellIs" dxfId="726" priority="1216" operator="equal">
      <formula>"CP"</formula>
    </cfRule>
  </conditionalFormatting>
  <conditionalFormatting sqref="M23:S23">
    <cfRule type="expression" dxfId="725" priority="1211">
      <formula>COUNTIF(JFerie,$N23)=1</formula>
    </cfRule>
  </conditionalFormatting>
  <conditionalFormatting sqref="O23">
    <cfRule type="cellIs" dxfId="724" priority="1206" operator="equal">
      <formula>"REC"</formula>
    </cfRule>
    <cfRule type="cellIs" dxfId="723" priority="1207" operator="equal">
      <formula>"CE"</formula>
    </cfRule>
    <cfRule type="cellIs" dxfId="722" priority="1208" operator="equal">
      <formula>"AT"</formula>
    </cfRule>
    <cfRule type="cellIs" dxfId="721" priority="1209" operator="equal">
      <formula>"AM"</formula>
    </cfRule>
    <cfRule type="cellIs" dxfId="720" priority="1210" operator="equal">
      <formula>"CP"</formula>
    </cfRule>
  </conditionalFormatting>
  <conditionalFormatting sqref="M24:S24">
    <cfRule type="expression" dxfId="719" priority="1205">
      <formula>COUNTIF(JFerie,$N24)=1</formula>
    </cfRule>
  </conditionalFormatting>
  <conditionalFormatting sqref="O24">
    <cfRule type="cellIs" dxfId="718" priority="1200" operator="equal">
      <formula>"REC"</formula>
    </cfRule>
    <cfRule type="cellIs" dxfId="717" priority="1201" operator="equal">
      <formula>"CE"</formula>
    </cfRule>
    <cfRule type="cellIs" dxfId="716" priority="1202" operator="equal">
      <formula>"AT"</formula>
    </cfRule>
    <cfRule type="cellIs" dxfId="715" priority="1203" operator="equal">
      <formula>"AM"</formula>
    </cfRule>
    <cfRule type="cellIs" dxfId="714" priority="1204" operator="equal">
      <formula>"CP"</formula>
    </cfRule>
  </conditionalFormatting>
  <conditionalFormatting sqref="M25:S25">
    <cfRule type="expression" dxfId="713" priority="1199">
      <formula>COUNTIF(JFerie,$N25)=1</formula>
    </cfRule>
  </conditionalFormatting>
  <conditionalFormatting sqref="O25">
    <cfRule type="cellIs" dxfId="712" priority="1194" operator="equal">
      <formula>"REC"</formula>
    </cfRule>
    <cfRule type="cellIs" dxfId="711" priority="1195" operator="equal">
      <formula>"CE"</formula>
    </cfRule>
    <cfRule type="cellIs" dxfId="710" priority="1196" operator="equal">
      <formula>"AT"</formula>
    </cfRule>
    <cfRule type="cellIs" dxfId="709" priority="1197" operator="equal">
      <formula>"AM"</formula>
    </cfRule>
    <cfRule type="cellIs" dxfId="708" priority="1198" operator="equal">
      <formula>"CP"</formula>
    </cfRule>
  </conditionalFormatting>
  <conditionalFormatting sqref="M35:S35">
    <cfRule type="expression" dxfId="707" priority="1193">
      <formula>COUNTIF(JFerie,$N35)=1</formula>
    </cfRule>
  </conditionalFormatting>
  <conditionalFormatting sqref="O35">
    <cfRule type="cellIs" dxfId="706" priority="1188" operator="equal">
      <formula>"REC"</formula>
    </cfRule>
    <cfRule type="cellIs" dxfId="705" priority="1189" operator="equal">
      <formula>"CE"</formula>
    </cfRule>
    <cfRule type="cellIs" dxfId="704" priority="1190" operator="equal">
      <formula>"AT"</formula>
    </cfRule>
    <cfRule type="cellIs" dxfId="703" priority="1191" operator="equal">
      <formula>"AM"</formula>
    </cfRule>
    <cfRule type="cellIs" dxfId="702" priority="1192" operator="equal">
      <formula>"CP"</formula>
    </cfRule>
  </conditionalFormatting>
  <conditionalFormatting sqref="M36:S36">
    <cfRule type="expression" dxfId="701" priority="1187">
      <formula>COUNTIF(JFerie,$N36)=1</formula>
    </cfRule>
  </conditionalFormatting>
  <conditionalFormatting sqref="O36">
    <cfRule type="cellIs" dxfId="700" priority="1182" operator="equal">
      <formula>"REC"</formula>
    </cfRule>
    <cfRule type="cellIs" dxfId="699" priority="1183" operator="equal">
      <formula>"CE"</formula>
    </cfRule>
    <cfRule type="cellIs" dxfId="698" priority="1184" operator="equal">
      <formula>"AT"</formula>
    </cfRule>
    <cfRule type="cellIs" dxfId="697" priority="1185" operator="equal">
      <formula>"AM"</formula>
    </cfRule>
    <cfRule type="cellIs" dxfId="696" priority="1186" operator="equal">
      <formula>"CP"</formula>
    </cfRule>
  </conditionalFormatting>
  <conditionalFormatting sqref="M37:S37">
    <cfRule type="expression" dxfId="695" priority="1181">
      <formula>COUNTIF(JFerie,$N37)=1</formula>
    </cfRule>
  </conditionalFormatting>
  <conditionalFormatting sqref="O37">
    <cfRule type="cellIs" dxfId="694" priority="1176" operator="equal">
      <formula>"REC"</formula>
    </cfRule>
    <cfRule type="cellIs" dxfId="693" priority="1177" operator="equal">
      <formula>"CE"</formula>
    </cfRule>
    <cfRule type="cellIs" dxfId="692" priority="1178" operator="equal">
      <formula>"AT"</formula>
    </cfRule>
    <cfRule type="cellIs" dxfId="691" priority="1179" operator="equal">
      <formula>"AM"</formula>
    </cfRule>
    <cfRule type="cellIs" dxfId="690" priority="1180" operator="equal">
      <formula>"CP"</formula>
    </cfRule>
  </conditionalFormatting>
  <conditionalFormatting sqref="M38:S38">
    <cfRule type="expression" dxfId="689" priority="1175">
      <formula>COUNTIF(JFerie,$N38)=1</formula>
    </cfRule>
  </conditionalFormatting>
  <conditionalFormatting sqref="O38">
    <cfRule type="cellIs" dxfId="688" priority="1170" operator="equal">
      <formula>"REC"</formula>
    </cfRule>
    <cfRule type="cellIs" dxfId="687" priority="1171" operator="equal">
      <formula>"CE"</formula>
    </cfRule>
    <cfRule type="cellIs" dxfId="686" priority="1172" operator="equal">
      <formula>"AT"</formula>
    </cfRule>
    <cfRule type="cellIs" dxfId="685" priority="1173" operator="equal">
      <formula>"AM"</formula>
    </cfRule>
    <cfRule type="cellIs" dxfId="684" priority="1174" operator="equal">
      <formula>"CP"</formula>
    </cfRule>
  </conditionalFormatting>
  <conditionalFormatting sqref="M39:S39">
    <cfRule type="expression" dxfId="683" priority="1169">
      <formula>COUNTIF(JFerie,$N39)=1</formula>
    </cfRule>
  </conditionalFormatting>
  <conditionalFormatting sqref="O39">
    <cfRule type="cellIs" dxfId="682" priority="1164" operator="equal">
      <formula>"REC"</formula>
    </cfRule>
    <cfRule type="cellIs" dxfId="681" priority="1165" operator="equal">
      <formula>"CE"</formula>
    </cfRule>
    <cfRule type="cellIs" dxfId="680" priority="1166" operator="equal">
      <formula>"AT"</formula>
    </cfRule>
    <cfRule type="cellIs" dxfId="679" priority="1167" operator="equal">
      <formula>"AM"</formula>
    </cfRule>
    <cfRule type="cellIs" dxfId="678" priority="1168" operator="equal">
      <formula>"CP"</formula>
    </cfRule>
  </conditionalFormatting>
  <conditionalFormatting sqref="M40:S40">
    <cfRule type="expression" dxfId="677" priority="1163">
      <formula>COUNTIF(JFerie,$N40)=1</formula>
    </cfRule>
  </conditionalFormatting>
  <conditionalFormatting sqref="O40">
    <cfRule type="cellIs" dxfId="676" priority="1158" operator="equal">
      <formula>"REC"</formula>
    </cfRule>
    <cfRule type="cellIs" dxfId="675" priority="1159" operator="equal">
      <formula>"CE"</formula>
    </cfRule>
    <cfRule type="cellIs" dxfId="674" priority="1160" operator="equal">
      <formula>"AT"</formula>
    </cfRule>
    <cfRule type="cellIs" dxfId="673" priority="1161" operator="equal">
      <formula>"AM"</formula>
    </cfRule>
    <cfRule type="cellIs" dxfId="672" priority="1162" operator="equal">
      <formula>"CP"</formula>
    </cfRule>
  </conditionalFormatting>
  <conditionalFormatting sqref="M41:S41">
    <cfRule type="expression" dxfId="671" priority="1157">
      <formula>COUNTIF(JFerie,$N41)=1</formula>
    </cfRule>
  </conditionalFormatting>
  <conditionalFormatting sqref="O41">
    <cfRule type="cellIs" dxfId="670" priority="1152" operator="equal">
      <formula>"REC"</formula>
    </cfRule>
    <cfRule type="cellIs" dxfId="669" priority="1153" operator="equal">
      <formula>"CE"</formula>
    </cfRule>
    <cfRule type="cellIs" dxfId="668" priority="1154" operator="equal">
      <formula>"AT"</formula>
    </cfRule>
    <cfRule type="cellIs" dxfId="667" priority="1155" operator="equal">
      <formula>"AM"</formula>
    </cfRule>
    <cfRule type="cellIs" dxfId="666" priority="1156" operator="equal">
      <formula>"CP"</formula>
    </cfRule>
  </conditionalFormatting>
  <conditionalFormatting sqref="M51:S51">
    <cfRule type="expression" dxfId="665" priority="1151">
      <formula>COUNTIF(JFerie,$N51)=1</formula>
    </cfRule>
  </conditionalFormatting>
  <conditionalFormatting sqref="O51">
    <cfRule type="cellIs" dxfId="664" priority="1146" operator="equal">
      <formula>"REC"</formula>
    </cfRule>
    <cfRule type="cellIs" dxfId="663" priority="1147" operator="equal">
      <formula>"CE"</formula>
    </cfRule>
    <cfRule type="cellIs" dxfId="662" priority="1148" operator="equal">
      <formula>"AT"</formula>
    </cfRule>
    <cfRule type="cellIs" dxfId="661" priority="1149" operator="equal">
      <formula>"AM"</formula>
    </cfRule>
    <cfRule type="cellIs" dxfId="660" priority="1150" operator="equal">
      <formula>"CP"</formula>
    </cfRule>
  </conditionalFormatting>
  <conditionalFormatting sqref="M52:S52">
    <cfRule type="expression" dxfId="659" priority="1145">
      <formula>COUNTIF(JFerie,$N52)=1</formula>
    </cfRule>
  </conditionalFormatting>
  <conditionalFormatting sqref="O52">
    <cfRule type="cellIs" dxfId="658" priority="1140" operator="equal">
      <formula>"REC"</formula>
    </cfRule>
    <cfRule type="cellIs" dxfId="657" priority="1141" operator="equal">
      <formula>"CE"</formula>
    </cfRule>
    <cfRule type="cellIs" dxfId="656" priority="1142" operator="equal">
      <formula>"AT"</formula>
    </cfRule>
    <cfRule type="cellIs" dxfId="655" priority="1143" operator="equal">
      <formula>"AM"</formula>
    </cfRule>
    <cfRule type="cellIs" dxfId="654" priority="1144" operator="equal">
      <formula>"CP"</formula>
    </cfRule>
  </conditionalFormatting>
  <conditionalFormatting sqref="M53:S53">
    <cfRule type="expression" dxfId="653" priority="1139">
      <formula>COUNTIF(JFerie,$N53)=1</formula>
    </cfRule>
  </conditionalFormatting>
  <conditionalFormatting sqref="O53">
    <cfRule type="cellIs" dxfId="652" priority="1134" operator="equal">
      <formula>"REC"</formula>
    </cfRule>
    <cfRule type="cellIs" dxfId="651" priority="1135" operator="equal">
      <formula>"CE"</formula>
    </cfRule>
    <cfRule type="cellIs" dxfId="650" priority="1136" operator="equal">
      <formula>"AT"</formula>
    </cfRule>
    <cfRule type="cellIs" dxfId="649" priority="1137" operator="equal">
      <formula>"AM"</formula>
    </cfRule>
    <cfRule type="cellIs" dxfId="648" priority="1138" operator="equal">
      <formula>"CP"</formula>
    </cfRule>
  </conditionalFormatting>
  <conditionalFormatting sqref="M54:S54">
    <cfRule type="expression" dxfId="647" priority="1133">
      <formula>COUNTIF(JFerie,$N54)=1</formula>
    </cfRule>
  </conditionalFormatting>
  <conditionalFormatting sqref="O54">
    <cfRule type="cellIs" dxfId="646" priority="1128" operator="equal">
      <formula>"REC"</formula>
    </cfRule>
    <cfRule type="cellIs" dxfId="645" priority="1129" operator="equal">
      <formula>"CE"</formula>
    </cfRule>
    <cfRule type="cellIs" dxfId="644" priority="1130" operator="equal">
      <formula>"AT"</formula>
    </cfRule>
    <cfRule type="cellIs" dxfId="643" priority="1131" operator="equal">
      <formula>"AM"</formula>
    </cfRule>
    <cfRule type="cellIs" dxfId="642" priority="1132" operator="equal">
      <formula>"CP"</formula>
    </cfRule>
  </conditionalFormatting>
  <conditionalFormatting sqref="M55:S55">
    <cfRule type="expression" dxfId="641" priority="1127">
      <formula>COUNTIF(JFerie,$N55)=1</formula>
    </cfRule>
  </conditionalFormatting>
  <conditionalFormatting sqref="O55">
    <cfRule type="cellIs" dxfId="640" priority="1122" operator="equal">
      <formula>"REC"</formula>
    </cfRule>
    <cfRule type="cellIs" dxfId="639" priority="1123" operator="equal">
      <formula>"CE"</formula>
    </cfRule>
    <cfRule type="cellIs" dxfId="638" priority="1124" operator="equal">
      <formula>"AT"</formula>
    </cfRule>
    <cfRule type="cellIs" dxfId="637" priority="1125" operator="equal">
      <formula>"AM"</formula>
    </cfRule>
    <cfRule type="cellIs" dxfId="636" priority="1126" operator="equal">
      <formula>"CP"</formula>
    </cfRule>
  </conditionalFormatting>
  <conditionalFormatting sqref="M56:S56">
    <cfRule type="expression" dxfId="635" priority="1121">
      <formula>COUNTIF(JFerie,$N56)=1</formula>
    </cfRule>
  </conditionalFormatting>
  <conditionalFormatting sqref="O56">
    <cfRule type="cellIs" dxfId="634" priority="1116" operator="equal">
      <formula>"REC"</formula>
    </cfRule>
    <cfRule type="cellIs" dxfId="633" priority="1117" operator="equal">
      <formula>"CE"</formula>
    </cfRule>
    <cfRule type="cellIs" dxfId="632" priority="1118" operator="equal">
      <formula>"AT"</formula>
    </cfRule>
    <cfRule type="cellIs" dxfId="631" priority="1119" operator="equal">
      <formula>"AM"</formula>
    </cfRule>
    <cfRule type="cellIs" dxfId="630" priority="1120" operator="equal">
      <formula>"CP"</formula>
    </cfRule>
  </conditionalFormatting>
  <conditionalFormatting sqref="M57:S57">
    <cfRule type="expression" dxfId="629" priority="1115">
      <formula>COUNTIF(JFerie,$N57)=1</formula>
    </cfRule>
  </conditionalFormatting>
  <conditionalFormatting sqref="O57">
    <cfRule type="cellIs" dxfId="628" priority="1110" operator="equal">
      <formula>"REC"</formula>
    </cfRule>
    <cfRule type="cellIs" dxfId="627" priority="1111" operator="equal">
      <formula>"CE"</formula>
    </cfRule>
    <cfRule type="cellIs" dxfId="626" priority="1112" operator="equal">
      <formula>"AT"</formula>
    </cfRule>
    <cfRule type="cellIs" dxfId="625" priority="1113" operator="equal">
      <formula>"AM"</formula>
    </cfRule>
    <cfRule type="cellIs" dxfId="624" priority="1114" operator="equal">
      <formula>"CP"</formula>
    </cfRule>
  </conditionalFormatting>
  <conditionalFormatting sqref="M67:S67">
    <cfRule type="expression" dxfId="623" priority="1109">
      <formula>COUNTIF(JFerie,$N67)=1</formula>
    </cfRule>
  </conditionalFormatting>
  <conditionalFormatting sqref="O67">
    <cfRule type="cellIs" dxfId="622" priority="1104" operator="equal">
      <formula>"REC"</formula>
    </cfRule>
    <cfRule type="cellIs" dxfId="621" priority="1105" operator="equal">
      <formula>"CE"</formula>
    </cfRule>
    <cfRule type="cellIs" dxfId="620" priority="1106" operator="equal">
      <formula>"AT"</formula>
    </cfRule>
    <cfRule type="cellIs" dxfId="619" priority="1107" operator="equal">
      <formula>"AM"</formula>
    </cfRule>
    <cfRule type="cellIs" dxfId="618" priority="1108" operator="equal">
      <formula>"CP"</formula>
    </cfRule>
  </conditionalFormatting>
  <conditionalFormatting sqref="M68:S68">
    <cfRule type="expression" dxfId="617" priority="1103">
      <formula>COUNTIF(JFerie,$N68)=1</formula>
    </cfRule>
  </conditionalFormatting>
  <conditionalFormatting sqref="O68">
    <cfRule type="cellIs" dxfId="616" priority="1098" operator="equal">
      <formula>"REC"</formula>
    </cfRule>
    <cfRule type="cellIs" dxfId="615" priority="1099" operator="equal">
      <formula>"CE"</formula>
    </cfRule>
    <cfRule type="cellIs" dxfId="614" priority="1100" operator="equal">
      <formula>"AT"</formula>
    </cfRule>
    <cfRule type="cellIs" dxfId="613" priority="1101" operator="equal">
      <formula>"AM"</formula>
    </cfRule>
    <cfRule type="cellIs" dxfId="612" priority="1102" operator="equal">
      <formula>"CP"</formula>
    </cfRule>
  </conditionalFormatting>
  <conditionalFormatting sqref="M69:S69">
    <cfRule type="expression" dxfId="611" priority="1097">
      <formula>COUNTIF(JFerie,$N69)=1</formula>
    </cfRule>
  </conditionalFormatting>
  <conditionalFormatting sqref="O69">
    <cfRule type="cellIs" dxfId="610" priority="1092" operator="equal">
      <formula>"REC"</formula>
    </cfRule>
    <cfRule type="cellIs" dxfId="609" priority="1093" operator="equal">
      <formula>"CE"</formula>
    </cfRule>
    <cfRule type="cellIs" dxfId="608" priority="1094" operator="equal">
      <formula>"AT"</formula>
    </cfRule>
    <cfRule type="cellIs" dxfId="607" priority="1095" operator="equal">
      <formula>"AM"</formula>
    </cfRule>
    <cfRule type="cellIs" dxfId="606" priority="1096" operator="equal">
      <formula>"CP"</formula>
    </cfRule>
  </conditionalFormatting>
  <conditionalFormatting sqref="M70:S70">
    <cfRule type="expression" dxfId="605" priority="1091">
      <formula>COUNTIF(JFerie,$N70)=1</formula>
    </cfRule>
  </conditionalFormatting>
  <conditionalFormatting sqref="O70">
    <cfRule type="cellIs" dxfId="604" priority="1086" operator="equal">
      <formula>"REC"</formula>
    </cfRule>
    <cfRule type="cellIs" dxfId="603" priority="1087" operator="equal">
      <formula>"CE"</formula>
    </cfRule>
    <cfRule type="cellIs" dxfId="602" priority="1088" operator="equal">
      <formula>"AT"</formula>
    </cfRule>
    <cfRule type="cellIs" dxfId="601" priority="1089" operator="equal">
      <formula>"AM"</formula>
    </cfRule>
    <cfRule type="cellIs" dxfId="600" priority="1090" operator="equal">
      <formula>"CP"</formula>
    </cfRule>
  </conditionalFormatting>
  <conditionalFormatting sqref="M71:S71">
    <cfRule type="expression" dxfId="599" priority="1085">
      <formula>COUNTIF(JFerie,$N71)=1</formula>
    </cfRule>
  </conditionalFormatting>
  <conditionalFormatting sqref="O71">
    <cfRule type="cellIs" dxfId="598" priority="1080" operator="equal">
      <formula>"REC"</formula>
    </cfRule>
    <cfRule type="cellIs" dxfId="597" priority="1081" operator="equal">
      <formula>"CE"</formula>
    </cfRule>
    <cfRule type="cellIs" dxfId="596" priority="1082" operator="equal">
      <formula>"AT"</formula>
    </cfRule>
    <cfRule type="cellIs" dxfId="595" priority="1083" operator="equal">
      <formula>"AM"</formula>
    </cfRule>
    <cfRule type="cellIs" dxfId="594" priority="1084" operator="equal">
      <formula>"CP"</formula>
    </cfRule>
  </conditionalFormatting>
  <conditionalFormatting sqref="M72:S72">
    <cfRule type="expression" dxfId="593" priority="1079">
      <formula>COUNTIF(JFerie,$N72)=1</formula>
    </cfRule>
  </conditionalFormatting>
  <conditionalFormatting sqref="O72">
    <cfRule type="cellIs" dxfId="592" priority="1074" operator="equal">
      <formula>"REC"</formula>
    </cfRule>
    <cfRule type="cellIs" dxfId="591" priority="1075" operator="equal">
      <formula>"CE"</formula>
    </cfRule>
    <cfRule type="cellIs" dxfId="590" priority="1076" operator="equal">
      <formula>"AT"</formula>
    </cfRule>
    <cfRule type="cellIs" dxfId="589" priority="1077" operator="equal">
      <formula>"AM"</formula>
    </cfRule>
    <cfRule type="cellIs" dxfId="588" priority="1078" operator="equal">
      <formula>"CP"</formula>
    </cfRule>
  </conditionalFormatting>
  <conditionalFormatting sqref="M73:S73">
    <cfRule type="expression" dxfId="587" priority="1073">
      <formula>COUNTIF(JFerie,$N73)=1</formula>
    </cfRule>
  </conditionalFormatting>
  <conditionalFormatting sqref="O73">
    <cfRule type="cellIs" dxfId="586" priority="1068" operator="equal">
      <formula>"REC"</formula>
    </cfRule>
    <cfRule type="cellIs" dxfId="585" priority="1069" operator="equal">
      <formula>"CE"</formula>
    </cfRule>
    <cfRule type="cellIs" dxfId="584" priority="1070" operator="equal">
      <formula>"AT"</formula>
    </cfRule>
    <cfRule type="cellIs" dxfId="583" priority="1071" operator="equal">
      <formula>"AM"</formula>
    </cfRule>
    <cfRule type="cellIs" dxfId="582" priority="1072" operator="equal">
      <formula>"CP"</formula>
    </cfRule>
  </conditionalFormatting>
  <conditionalFormatting sqref="O5">
    <cfRule type="cellIs" dxfId="581" priority="206" operator="equal">
      <formula>"SS"</formula>
    </cfRule>
  </conditionalFormatting>
  <conditionalFormatting sqref="O6">
    <cfRule type="cellIs" dxfId="580" priority="205" operator="equal">
      <formula>"SS"</formula>
    </cfRule>
  </conditionalFormatting>
  <conditionalFormatting sqref="O7">
    <cfRule type="cellIs" dxfId="579" priority="204" operator="equal">
      <formula>"SS"</formula>
    </cfRule>
  </conditionalFormatting>
  <conditionalFormatting sqref="O8">
    <cfRule type="cellIs" dxfId="578" priority="203" operator="equal">
      <formula>"SS"</formula>
    </cfRule>
  </conditionalFormatting>
  <conditionalFormatting sqref="O9">
    <cfRule type="cellIs" dxfId="577" priority="202" operator="equal">
      <formula>"SS"</formula>
    </cfRule>
  </conditionalFormatting>
  <conditionalFormatting sqref="D20">
    <cfRule type="cellIs" dxfId="576" priority="200" operator="equal">
      <formula>"SS"</formula>
    </cfRule>
  </conditionalFormatting>
  <conditionalFormatting sqref="D21">
    <cfRule type="cellIs" dxfId="575" priority="199" operator="equal">
      <formula>"SS"</formula>
    </cfRule>
  </conditionalFormatting>
  <conditionalFormatting sqref="D22">
    <cfRule type="cellIs" dxfId="574" priority="198" operator="equal">
      <formula>"SS"</formula>
    </cfRule>
  </conditionalFormatting>
  <conditionalFormatting sqref="D23">
    <cfRule type="cellIs" dxfId="573" priority="197" operator="equal">
      <formula>"SS"</formula>
    </cfRule>
  </conditionalFormatting>
  <conditionalFormatting sqref="D24">
    <cfRule type="cellIs" dxfId="572" priority="196" operator="equal">
      <formula>"SS"</formula>
    </cfRule>
  </conditionalFormatting>
  <conditionalFormatting sqref="D25">
    <cfRule type="cellIs" dxfId="571" priority="195" operator="equal">
      <formula>"SS"</formula>
    </cfRule>
  </conditionalFormatting>
  <conditionalFormatting sqref="D35">
    <cfRule type="cellIs" dxfId="570" priority="194" operator="equal">
      <formula>"SS"</formula>
    </cfRule>
  </conditionalFormatting>
  <conditionalFormatting sqref="D36">
    <cfRule type="cellIs" dxfId="569" priority="193" operator="equal">
      <formula>"SS"</formula>
    </cfRule>
  </conditionalFormatting>
  <conditionalFormatting sqref="D37">
    <cfRule type="cellIs" dxfId="568" priority="192" operator="equal">
      <formula>"SS"</formula>
    </cfRule>
  </conditionalFormatting>
  <conditionalFormatting sqref="D38">
    <cfRule type="cellIs" dxfId="567" priority="191" operator="equal">
      <formula>"SS"</formula>
    </cfRule>
  </conditionalFormatting>
  <conditionalFormatting sqref="D39">
    <cfRule type="cellIs" dxfId="566" priority="190" operator="equal">
      <formula>"SS"</formula>
    </cfRule>
  </conditionalFormatting>
  <conditionalFormatting sqref="D40">
    <cfRule type="cellIs" dxfId="565" priority="189" operator="equal">
      <formula>"SS"</formula>
    </cfRule>
  </conditionalFormatting>
  <conditionalFormatting sqref="D41">
    <cfRule type="cellIs" dxfId="564" priority="188" operator="equal">
      <formula>"SS"</formula>
    </cfRule>
  </conditionalFormatting>
  <conditionalFormatting sqref="D51">
    <cfRule type="cellIs" dxfId="563" priority="187" operator="equal">
      <formula>"SS"</formula>
    </cfRule>
  </conditionalFormatting>
  <conditionalFormatting sqref="D52">
    <cfRule type="cellIs" dxfId="562" priority="186" operator="equal">
      <formula>"SS"</formula>
    </cfRule>
  </conditionalFormatting>
  <conditionalFormatting sqref="D53">
    <cfRule type="cellIs" dxfId="561" priority="185" operator="equal">
      <formula>"SS"</formula>
    </cfRule>
  </conditionalFormatting>
  <conditionalFormatting sqref="D54">
    <cfRule type="cellIs" dxfId="560" priority="184" operator="equal">
      <formula>"SS"</formula>
    </cfRule>
  </conditionalFormatting>
  <conditionalFormatting sqref="D55">
    <cfRule type="cellIs" dxfId="559" priority="183" operator="equal">
      <formula>"SS"</formula>
    </cfRule>
  </conditionalFormatting>
  <conditionalFormatting sqref="D56">
    <cfRule type="cellIs" dxfId="558" priority="182" operator="equal">
      <formula>"SS"</formula>
    </cfRule>
  </conditionalFormatting>
  <conditionalFormatting sqref="D57">
    <cfRule type="cellIs" dxfId="557" priority="181" operator="equal">
      <formula>"SS"</formula>
    </cfRule>
  </conditionalFormatting>
  <conditionalFormatting sqref="D67">
    <cfRule type="cellIs" dxfId="556" priority="180" operator="equal">
      <formula>"SS"</formula>
    </cfRule>
  </conditionalFormatting>
  <conditionalFormatting sqref="D68">
    <cfRule type="cellIs" dxfId="555" priority="179" operator="equal">
      <formula>"SS"</formula>
    </cfRule>
  </conditionalFormatting>
  <conditionalFormatting sqref="D69">
    <cfRule type="cellIs" dxfId="554" priority="178" operator="equal">
      <formula>"SS"</formula>
    </cfRule>
  </conditionalFormatting>
  <conditionalFormatting sqref="D70">
    <cfRule type="cellIs" dxfId="553" priority="177" operator="equal">
      <formula>"SS"</formula>
    </cfRule>
  </conditionalFormatting>
  <conditionalFormatting sqref="D71">
    <cfRule type="cellIs" dxfId="552" priority="176" operator="equal">
      <formula>"SS"</formula>
    </cfRule>
  </conditionalFormatting>
  <conditionalFormatting sqref="D72">
    <cfRule type="cellIs" dxfId="551" priority="175" operator="equal">
      <formula>"SS"</formula>
    </cfRule>
  </conditionalFormatting>
  <conditionalFormatting sqref="D73">
    <cfRule type="cellIs" dxfId="550" priority="174" operator="equal">
      <formula>"SS"</formula>
    </cfRule>
  </conditionalFormatting>
  <conditionalFormatting sqref="O19">
    <cfRule type="cellIs" dxfId="549" priority="173" operator="equal">
      <formula>"SS"</formula>
    </cfRule>
  </conditionalFormatting>
  <conditionalFormatting sqref="O20">
    <cfRule type="cellIs" dxfId="548" priority="172" operator="equal">
      <formula>"SS"</formula>
    </cfRule>
  </conditionalFormatting>
  <conditionalFormatting sqref="O21">
    <cfRule type="cellIs" dxfId="547" priority="171" operator="equal">
      <formula>"SS"</formula>
    </cfRule>
  </conditionalFormatting>
  <conditionalFormatting sqref="O22">
    <cfRule type="cellIs" dxfId="546" priority="170" operator="equal">
      <formula>"SS"</formula>
    </cfRule>
  </conditionalFormatting>
  <conditionalFormatting sqref="O23">
    <cfRule type="cellIs" dxfId="545" priority="169" operator="equal">
      <formula>"SS"</formula>
    </cfRule>
  </conditionalFormatting>
  <conditionalFormatting sqref="O24">
    <cfRule type="cellIs" dxfId="544" priority="168" operator="equal">
      <formula>"SS"</formula>
    </cfRule>
  </conditionalFormatting>
  <conditionalFormatting sqref="O25">
    <cfRule type="cellIs" dxfId="543" priority="167" operator="equal">
      <formula>"SS"</formula>
    </cfRule>
  </conditionalFormatting>
  <conditionalFormatting sqref="O35">
    <cfRule type="cellIs" dxfId="542" priority="166" operator="equal">
      <formula>"SS"</formula>
    </cfRule>
  </conditionalFormatting>
  <conditionalFormatting sqref="O36">
    <cfRule type="cellIs" dxfId="541" priority="165" operator="equal">
      <formula>"SS"</formula>
    </cfRule>
  </conditionalFormatting>
  <conditionalFormatting sqref="O37">
    <cfRule type="cellIs" dxfId="540" priority="164" operator="equal">
      <formula>"SS"</formula>
    </cfRule>
  </conditionalFormatting>
  <conditionalFormatting sqref="O38">
    <cfRule type="cellIs" dxfId="539" priority="163" operator="equal">
      <formula>"SS"</formula>
    </cfRule>
  </conditionalFormatting>
  <conditionalFormatting sqref="O39">
    <cfRule type="cellIs" dxfId="538" priority="162" operator="equal">
      <formula>"SS"</formula>
    </cfRule>
  </conditionalFormatting>
  <conditionalFormatting sqref="O40">
    <cfRule type="cellIs" dxfId="537" priority="161" operator="equal">
      <formula>"SS"</formula>
    </cfRule>
  </conditionalFormatting>
  <conditionalFormatting sqref="O41">
    <cfRule type="cellIs" dxfId="536" priority="160" operator="equal">
      <formula>"SS"</formula>
    </cfRule>
  </conditionalFormatting>
  <conditionalFormatting sqref="O51">
    <cfRule type="cellIs" dxfId="535" priority="159" operator="equal">
      <formula>"SS"</formula>
    </cfRule>
  </conditionalFormatting>
  <conditionalFormatting sqref="O52">
    <cfRule type="cellIs" dxfId="534" priority="158" operator="equal">
      <formula>"SS"</formula>
    </cfRule>
  </conditionalFormatting>
  <conditionalFormatting sqref="O53">
    <cfRule type="cellIs" dxfId="533" priority="157" operator="equal">
      <formula>"SS"</formula>
    </cfRule>
  </conditionalFormatting>
  <conditionalFormatting sqref="O54">
    <cfRule type="cellIs" dxfId="532" priority="156" operator="equal">
      <formula>"SS"</formula>
    </cfRule>
  </conditionalFormatting>
  <conditionalFormatting sqref="O55">
    <cfRule type="cellIs" dxfId="531" priority="155" operator="equal">
      <formula>"SS"</formula>
    </cfRule>
  </conditionalFormatting>
  <conditionalFormatting sqref="O56">
    <cfRule type="cellIs" dxfId="530" priority="154" operator="equal">
      <formula>"SS"</formula>
    </cfRule>
  </conditionalFormatting>
  <conditionalFormatting sqref="O57">
    <cfRule type="cellIs" dxfId="529" priority="153" operator="equal">
      <formula>"SS"</formula>
    </cfRule>
  </conditionalFormatting>
  <conditionalFormatting sqref="O67">
    <cfRule type="cellIs" dxfId="528" priority="152" operator="equal">
      <formula>"SS"</formula>
    </cfRule>
  </conditionalFormatting>
  <conditionalFormatting sqref="O68">
    <cfRule type="cellIs" dxfId="527" priority="151" operator="equal">
      <formula>"SS"</formula>
    </cfRule>
  </conditionalFormatting>
  <conditionalFormatting sqref="O69">
    <cfRule type="cellIs" dxfId="526" priority="150" operator="equal">
      <formula>"SS"</formula>
    </cfRule>
  </conditionalFormatting>
  <conditionalFormatting sqref="O70">
    <cfRule type="cellIs" dxfId="525" priority="149" operator="equal">
      <formula>"SS"</formula>
    </cfRule>
  </conditionalFormatting>
  <conditionalFormatting sqref="O71">
    <cfRule type="cellIs" dxfId="524" priority="148" operator="equal">
      <formula>"SS"</formula>
    </cfRule>
  </conditionalFormatting>
  <conditionalFormatting sqref="O72">
    <cfRule type="cellIs" dxfId="523" priority="147" operator="equal">
      <formula>"SS"</formula>
    </cfRule>
  </conditionalFormatting>
  <conditionalFormatting sqref="O73">
    <cfRule type="cellIs" dxfId="522" priority="146" operator="equal">
      <formula>"SS"</formula>
    </cfRule>
  </conditionalFormatting>
  <dataValidations count="5">
    <dataValidation type="whole" allowBlank="1" showInputMessage="1" showErrorMessage="1" errorTitle="Attention !" error="- Donnée non valide -_x000a_Le nombre de panier journalier doit être 0 ou 1" sqref="F67:F73 Q67:Q73 F3:F9 Q3:Q9 F19:F25 Q19:Q25 F35:F41 Q35:Q41 F51:F57 Q51:Q57">
      <formula1>0</formula1>
      <formula2>1</formula2>
    </dataValidation>
    <dataValidation type="decimal" allowBlank="1" showInputMessage="1" showErrorMessage="1" errorTitle="Attention !" error="- Donnée non valide -_x000a_L'amplitude horaire journalière des heures de nuit doit être comprise en 0 et 9_x000a_" sqref="G67:G73 R67:R73 G3:G9 R3:R9 G19:G25 R19:R25 G35:G41 R35:R41 G51:G57 R51:R57">
      <formula1>0</formula1>
      <formula2>9</formula2>
    </dataValidation>
    <dataValidation type="list" allowBlank="1" showInputMessage="1" showErrorMessage="1" sqref="A1">
      <formula1>Agent</formula1>
    </dataValidation>
    <dataValidation type="list" allowBlank="1" showInputMessage="1" showErrorMessage="1" sqref="D3:D9 D19:D25 D35:D41 D51:D57 D67:D73 O3:O9 O19:O25 O35:O41 O51:O57 O67:O73">
      <formula1>TypeJour</formula1>
    </dataValidation>
    <dataValidation type="decimal" allowBlank="1" showInputMessage="1" showErrorMessage="1" errorTitle="Attention !" error="- Donnée non valide -_x000a_L'amplitude horaire journalière doit être comprise en 0 et 20" sqref="E3:E9 E19:E25 E35:E41 E51:E57 E67:E73 P3:P9 P19:P25 P35:P41 P51:P57 P67:P73">
      <formula1>0</formula1>
      <formula2>20</formula2>
    </dataValidation>
  </dataValidations>
  <printOptions horizontalCentered="1"/>
  <pageMargins left="0.70866141732283472" right="0.70866141732283472" top="1.3385826771653544" bottom="0.35433070866141736" header="0.51181102362204722" footer="0.31496062992125984"/>
  <pageSetup paperSize="9" scale="95" orientation="portrait" blackAndWhite="1" r:id="rId1"/>
  <headerFooter>
    <oddHeader>&amp;L
Maire de Montclar
Régie des Remontées Mécaniques
&amp;C&amp;"Arial,Gras"&amp;14Gestion des heures&amp;R&amp;G</oddHeader>
    <oddFooter>&amp;L&amp;9Cette fiche vous est remise en accompagnement de votre fiche de paie.
Sans observation dans les huit jours, le pointage des heures sera validé.&amp;R&amp;9Le &amp;D &amp;T</oddFooter>
  </headerFooter>
  <colBreaks count="1" manualBreakCount="1">
    <brk id="11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301" r:id="rId5" name="Check Box 13">
              <controlPr defaultSize="0" autoFill="0" autoLine="0" autoPict="0" altText="">
                <anchor moveWithCells="1">
                  <from>
                    <xdr:col>5</xdr:col>
                    <xdr:colOff>409575</xdr:colOff>
                    <xdr:row>93</xdr:row>
                    <xdr:rowOff>57150</xdr:rowOff>
                  </from>
                  <to>
                    <xdr:col>6</xdr:col>
                    <xdr:colOff>104775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2" r:id="rId6" name="Check Box 14">
              <controlPr defaultSize="0" autoFill="0" autoLine="0" autoPict="0" altText="">
                <anchor moveWithCells="1">
                  <from>
                    <xdr:col>16</xdr:col>
                    <xdr:colOff>419100</xdr:colOff>
                    <xdr:row>93</xdr:row>
                    <xdr:rowOff>57150</xdr:rowOff>
                  </from>
                  <to>
                    <xdr:col>17</xdr:col>
                    <xdr:colOff>114300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3" r:id="rId7" name="Check Box 15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4" r:id="rId8" name="Check Box 16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5" r:id="rId9" name="Check Box 17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6" r:id="rId10" name="Check Box 18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7" r:id="rId11" name="Check Box 19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8" r:id="rId12" name="Check Box 20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09" r:id="rId13" name="Check Box 21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10" r:id="rId14" name="Check Box 22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11" r:id="rId15" name="Check Box 23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12" r:id="rId16" name="Check Box 24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105"/>
  <sheetViews>
    <sheetView showGridLines="0" zoomScaleNormal="100" zoomScaleSheetLayoutView="85" workbookViewId="0">
      <pane xSplit="1" ySplit="2" topLeftCell="B3" activePane="bottomRight" state="frozenSplit"/>
      <selection activeCell="A20" sqref="A20"/>
      <selection pane="topRight" activeCell="A20" sqref="A20"/>
      <selection pane="bottomLeft" activeCell="A20" sqref="A20"/>
      <selection pane="bottomRight" activeCell="Y52" sqref="Y52"/>
    </sheetView>
  </sheetViews>
  <sheetFormatPr baseColWidth="10" defaultRowHeight="12.75" x14ac:dyDescent="0.2"/>
  <cols>
    <col min="1" max="1" width="3.140625" style="157" customWidth="1"/>
    <col min="2" max="4" width="5.7109375" style="157" customWidth="1"/>
    <col min="5" max="7" width="7.7109375" style="157" customWidth="1"/>
    <col min="8" max="8" width="10.7109375" style="157" customWidth="1"/>
    <col min="9" max="11" width="10.7109375" style="48" customWidth="1"/>
    <col min="12" max="12" width="3.140625" style="48" customWidth="1"/>
    <col min="13" max="15" width="5.7109375" style="48" customWidth="1"/>
    <col min="16" max="18" width="7.7109375" style="48" customWidth="1"/>
    <col min="19" max="22" width="10.7109375" style="48" customWidth="1"/>
    <col min="23" max="16384" width="11.42578125" style="48"/>
  </cols>
  <sheetData>
    <row r="1" spans="1:22" s="128" customFormat="1" ht="26.25" customHeight="1" x14ac:dyDescent="0.2">
      <c r="A1" s="349" t="s">
        <v>173</v>
      </c>
      <c r="B1" s="349"/>
      <c r="C1" s="349"/>
      <c r="D1" s="349"/>
      <c r="E1" s="349"/>
      <c r="F1" s="349"/>
      <c r="G1" s="350">
        <f>G14+5</f>
        <v>42315</v>
      </c>
      <c r="H1" s="350"/>
      <c r="I1" s="350"/>
      <c r="J1" s="81"/>
      <c r="K1" s="81"/>
      <c r="L1" s="351" t="str">
        <f>$A$1</f>
        <v>AAA</v>
      </c>
      <c r="M1" s="351"/>
      <c r="N1" s="351"/>
      <c r="O1" s="351"/>
      <c r="P1" s="351"/>
      <c r="Q1" s="351"/>
      <c r="R1" s="350">
        <f>G1+31</f>
        <v>42346</v>
      </c>
      <c r="S1" s="350"/>
      <c r="T1" s="350"/>
      <c r="U1" s="127"/>
      <c r="V1" s="127"/>
    </row>
    <row r="2" spans="1:22" x14ac:dyDescent="0.2">
      <c r="A2" s="82" t="s">
        <v>0</v>
      </c>
      <c r="B2" s="82" t="s">
        <v>1</v>
      </c>
      <c r="C2" s="82" t="s">
        <v>2</v>
      </c>
      <c r="D2" s="82" t="s">
        <v>3</v>
      </c>
      <c r="E2" s="83" t="s">
        <v>4</v>
      </c>
      <c r="F2" s="83" t="s">
        <v>6</v>
      </c>
      <c r="G2" s="83" t="s">
        <v>5</v>
      </c>
      <c r="H2" s="343" t="s">
        <v>7</v>
      </c>
      <c r="I2" s="344"/>
      <c r="J2" s="344"/>
      <c r="K2" s="345"/>
      <c r="L2" s="129" t="s">
        <v>0</v>
      </c>
      <c r="M2" s="129" t="s">
        <v>1</v>
      </c>
      <c r="N2" s="129" t="s">
        <v>2</v>
      </c>
      <c r="O2" s="129" t="s">
        <v>3</v>
      </c>
      <c r="P2" s="129" t="s">
        <v>4</v>
      </c>
      <c r="Q2" s="129" t="s">
        <v>6</v>
      </c>
      <c r="R2" s="129" t="s">
        <v>5</v>
      </c>
      <c r="S2" s="346" t="s">
        <v>7</v>
      </c>
      <c r="T2" s="347"/>
      <c r="U2" s="347"/>
      <c r="V2" s="348"/>
    </row>
    <row r="3" spans="1:22" x14ac:dyDescent="0.2">
      <c r="A3" s="319">
        <f>_xlfn.ISOWEEKNUM(C9)</f>
        <v>45</v>
      </c>
      <c r="B3" s="84" t="s">
        <v>8</v>
      </c>
      <c r="C3" s="85">
        <f>G14</f>
        <v>42310</v>
      </c>
      <c r="D3" s="86" t="s">
        <v>30</v>
      </c>
      <c r="E3" s="115"/>
      <c r="F3" s="115"/>
      <c r="G3" s="115"/>
      <c r="H3" s="322"/>
      <c r="I3" s="323"/>
      <c r="J3" s="323"/>
      <c r="K3" s="324"/>
      <c r="L3" s="319">
        <f>_xlfn.ISOWEEKNUM(N9)</f>
        <v>49</v>
      </c>
      <c r="M3" s="84" t="s">
        <v>8</v>
      </c>
      <c r="N3" s="85">
        <f>IF(G15=4,C57+1,C73+1)</f>
        <v>42338</v>
      </c>
      <c r="O3" s="86" t="s">
        <v>30</v>
      </c>
      <c r="P3" s="115">
        <v>7</v>
      </c>
      <c r="Q3" s="115"/>
      <c r="R3" s="115"/>
      <c r="S3" s="322"/>
      <c r="T3" s="323"/>
      <c r="U3" s="323"/>
      <c r="V3" s="324"/>
    </row>
    <row r="4" spans="1:22" x14ac:dyDescent="0.2">
      <c r="A4" s="320"/>
      <c r="B4" s="87" t="s">
        <v>9</v>
      </c>
      <c r="C4" s="88">
        <f>C3+1</f>
        <v>42311</v>
      </c>
      <c r="D4" s="89" t="s">
        <v>30</v>
      </c>
      <c r="E4" s="113"/>
      <c r="F4" s="113"/>
      <c r="G4" s="113"/>
      <c r="H4" s="313"/>
      <c r="I4" s="314"/>
      <c r="J4" s="314"/>
      <c r="K4" s="315"/>
      <c r="L4" s="320"/>
      <c r="M4" s="87" t="s">
        <v>9</v>
      </c>
      <c r="N4" s="88">
        <f t="shared" ref="N4:N9" si="0">N3+1</f>
        <v>42339</v>
      </c>
      <c r="O4" s="89" t="s">
        <v>30</v>
      </c>
      <c r="P4" s="113">
        <v>7</v>
      </c>
      <c r="Q4" s="113"/>
      <c r="R4" s="113"/>
      <c r="S4" s="313"/>
      <c r="T4" s="314"/>
      <c r="U4" s="314"/>
      <c r="V4" s="315"/>
    </row>
    <row r="5" spans="1:22" x14ac:dyDescent="0.2">
      <c r="A5" s="320"/>
      <c r="B5" s="87" t="s">
        <v>10</v>
      </c>
      <c r="C5" s="88">
        <f t="shared" ref="C5:C9" si="1">C4+1</f>
        <v>42312</v>
      </c>
      <c r="D5" s="89" t="s">
        <v>30</v>
      </c>
      <c r="E5" s="113"/>
      <c r="F5" s="113"/>
      <c r="G5" s="113"/>
      <c r="H5" s="313"/>
      <c r="I5" s="314"/>
      <c r="J5" s="314"/>
      <c r="K5" s="315"/>
      <c r="L5" s="320"/>
      <c r="M5" s="87" t="s">
        <v>10</v>
      </c>
      <c r="N5" s="88">
        <f t="shared" si="0"/>
        <v>42340</v>
      </c>
      <c r="O5" s="89" t="s">
        <v>30</v>
      </c>
      <c r="P5" s="113">
        <v>7</v>
      </c>
      <c r="Q5" s="113"/>
      <c r="R5" s="113"/>
      <c r="S5" s="313"/>
      <c r="T5" s="314"/>
      <c r="U5" s="314"/>
      <c r="V5" s="315"/>
    </row>
    <row r="6" spans="1:22" x14ac:dyDescent="0.2">
      <c r="A6" s="320"/>
      <c r="B6" s="87" t="s">
        <v>1</v>
      </c>
      <c r="C6" s="88">
        <f t="shared" si="1"/>
        <v>42313</v>
      </c>
      <c r="D6" s="89" t="s">
        <v>30</v>
      </c>
      <c r="E6" s="113"/>
      <c r="F6" s="113"/>
      <c r="G6" s="113"/>
      <c r="H6" s="313"/>
      <c r="I6" s="314"/>
      <c r="J6" s="314"/>
      <c r="K6" s="315"/>
      <c r="L6" s="320"/>
      <c r="M6" s="87" t="s">
        <v>1</v>
      </c>
      <c r="N6" s="88">
        <f t="shared" si="0"/>
        <v>42341</v>
      </c>
      <c r="O6" s="89" t="s">
        <v>30</v>
      </c>
      <c r="P6" s="113">
        <v>7</v>
      </c>
      <c r="Q6" s="113"/>
      <c r="R6" s="113"/>
      <c r="S6" s="313"/>
      <c r="T6" s="314"/>
      <c r="U6" s="314"/>
      <c r="V6" s="315"/>
    </row>
    <row r="7" spans="1:22" x14ac:dyDescent="0.2">
      <c r="A7" s="320"/>
      <c r="B7" s="87" t="s">
        <v>11</v>
      </c>
      <c r="C7" s="88">
        <f t="shared" si="1"/>
        <v>42314</v>
      </c>
      <c r="D7" s="89" t="s">
        <v>24</v>
      </c>
      <c r="E7" s="113"/>
      <c r="F7" s="113"/>
      <c r="G7" s="113"/>
      <c r="H7" s="313"/>
      <c r="I7" s="314"/>
      <c r="J7" s="314"/>
      <c r="K7" s="315"/>
      <c r="L7" s="320"/>
      <c r="M7" s="87" t="s">
        <v>11</v>
      </c>
      <c r="N7" s="88">
        <f t="shared" si="0"/>
        <v>42342</v>
      </c>
      <c r="O7" s="89" t="s">
        <v>30</v>
      </c>
      <c r="P7" s="113">
        <v>7</v>
      </c>
      <c r="Q7" s="113"/>
      <c r="R7" s="113"/>
      <c r="S7" s="313"/>
      <c r="T7" s="314"/>
      <c r="U7" s="314"/>
      <c r="V7" s="315"/>
    </row>
    <row r="8" spans="1:22" x14ac:dyDescent="0.2">
      <c r="A8" s="320"/>
      <c r="B8" s="90" t="s">
        <v>0</v>
      </c>
      <c r="C8" s="91">
        <f t="shared" si="1"/>
        <v>42315</v>
      </c>
      <c r="D8" s="92" t="s">
        <v>30</v>
      </c>
      <c r="E8" s="116"/>
      <c r="F8" s="116"/>
      <c r="G8" s="116"/>
      <c r="H8" s="316"/>
      <c r="I8" s="317"/>
      <c r="J8" s="317"/>
      <c r="K8" s="318"/>
      <c r="L8" s="320"/>
      <c r="M8" s="90" t="s">
        <v>0</v>
      </c>
      <c r="N8" s="91">
        <f t="shared" si="0"/>
        <v>42343</v>
      </c>
      <c r="O8" s="92" t="s">
        <v>30</v>
      </c>
      <c r="P8" s="116"/>
      <c r="Q8" s="116"/>
      <c r="R8" s="116"/>
      <c r="S8" s="316"/>
      <c r="T8" s="317"/>
      <c r="U8" s="317"/>
      <c r="V8" s="318"/>
    </row>
    <row r="9" spans="1:22" x14ac:dyDescent="0.2">
      <c r="A9" s="321"/>
      <c r="B9" s="93" t="s">
        <v>2</v>
      </c>
      <c r="C9" s="94">
        <f t="shared" si="1"/>
        <v>42316</v>
      </c>
      <c r="D9" s="95" t="s">
        <v>30</v>
      </c>
      <c r="E9" s="114"/>
      <c r="F9" s="114"/>
      <c r="G9" s="114"/>
      <c r="H9" s="310"/>
      <c r="I9" s="311"/>
      <c r="J9" s="311"/>
      <c r="K9" s="312"/>
      <c r="L9" s="321"/>
      <c r="M9" s="93" t="s">
        <v>2</v>
      </c>
      <c r="N9" s="94">
        <f t="shared" si="0"/>
        <v>42344</v>
      </c>
      <c r="O9" s="95" t="s">
        <v>30</v>
      </c>
      <c r="P9" s="114"/>
      <c r="Q9" s="114"/>
      <c r="R9" s="114"/>
      <c r="S9" s="310"/>
      <c r="T9" s="311"/>
      <c r="U9" s="311"/>
      <c r="V9" s="312"/>
    </row>
    <row r="10" spans="1:22" x14ac:dyDescent="0.2">
      <c r="A10" s="340" t="s">
        <v>32</v>
      </c>
      <c r="B10" s="341"/>
      <c r="C10" s="341"/>
      <c r="D10" s="342"/>
      <c r="E10" s="96">
        <f>SUM(E3:E9)+G10</f>
        <v>0</v>
      </c>
      <c r="F10" s="97">
        <f>SUM(F3:F9)</f>
        <v>0</v>
      </c>
      <c r="G10" s="98">
        <f>SUM(G3:G9)</f>
        <v>0</v>
      </c>
      <c r="H10" s="185" t="s">
        <v>125</v>
      </c>
      <c r="I10" s="210">
        <f>IF(AND(INDEX(Agents[],MATCH($A$1,Agent,1),11)&lt;=C9,INDEX(Agents[],MATCH($A$1,Agent,1),12)&gt;=C9),(G12+G13)-E18,0)</f>
        <v>0</v>
      </c>
      <c r="J10" s="186" t="s">
        <v>56</v>
      </c>
      <c r="K10" s="210" t="e">
        <f>IF(G10&gt;=E18,0,E18-G10)</f>
        <v>#REF!</v>
      </c>
      <c r="L10" s="307" t="s">
        <v>32</v>
      </c>
      <c r="M10" s="308"/>
      <c r="N10" s="308"/>
      <c r="O10" s="309"/>
      <c r="P10" s="130">
        <f>SUM(P3:P9)+R10</f>
        <v>35</v>
      </c>
      <c r="Q10" s="131">
        <f>SUM(Q3:Q9)</f>
        <v>0</v>
      </c>
      <c r="R10" s="132">
        <f>SUM(R3:R9)</f>
        <v>0</v>
      </c>
      <c r="S10" s="185" t="s">
        <v>125</v>
      </c>
      <c r="T10" s="210">
        <f>IF(AND(INDEX(Agents[],MATCH($A$1,Agent,1),11)&lt;=N9,INDEX(Agents[],MATCH($A$1,Agent,1),12)&gt;=N9),(R12+R13)-P18,0)</f>
        <v>0</v>
      </c>
      <c r="U10" s="186" t="s">
        <v>56</v>
      </c>
      <c r="V10" s="210" t="e">
        <f>IF(R10&gt;=P18,0,P18-R10)</f>
        <v>#REF!</v>
      </c>
    </row>
    <row r="11" spans="1:22" s="138" customFormat="1" ht="13.5" hidden="1" customHeight="1" thickBot="1" x14ac:dyDescent="0.25">
      <c r="A11" s="288" t="s">
        <v>128</v>
      </c>
      <c r="B11" s="289"/>
      <c r="C11" s="289"/>
      <c r="D11" s="290"/>
      <c r="E11" s="133">
        <f>COUNTIF(D3:D9,"CP")</f>
        <v>0</v>
      </c>
      <c r="F11" s="279" t="s">
        <v>129</v>
      </c>
      <c r="G11" s="304"/>
      <c r="H11" s="190">
        <f>IF(D3="CP",E3,0)+IF(D4="CP",E4,0)+IF(D5="CP",E5,0)+IF(D6="CP",E6,0)+IF(D7="CP",E7,0)+IF(D8="CP",E8,0)+IF(D9="CP",E9,0)</f>
        <v>0</v>
      </c>
      <c r="I11" s="101"/>
      <c r="J11" s="101"/>
      <c r="K11" s="102"/>
      <c r="L11" s="288" t="s">
        <v>128</v>
      </c>
      <c r="M11" s="289"/>
      <c r="N11" s="289"/>
      <c r="O11" s="290"/>
      <c r="P11" s="133">
        <f>COUNTIF(O3:O9,"CP")</f>
        <v>0</v>
      </c>
      <c r="Q11" s="279" t="s">
        <v>129</v>
      </c>
      <c r="R11" s="304"/>
      <c r="S11" s="190">
        <f>IF(O3="CP",P3,0)+IF(O4="CP",P4,0)+IF(O5="CP",P5,0)+IF(O6="CP",P6,0)+IF(O7="CP",P7,0)+IF(O8="CP",P8,0)+IF(O9="CP",P9,0)</f>
        <v>0</v>
      </c>
      <c r="T11" s="136"/>
      <c r="U11" s="136"/>
      <c r="V11" s="137"/>
    </row>
    <row r="12" spans="1:22" s="138" customFormat="1" ht="12.75" hidden="1" customHeight="1" x14ac:dyDescent="0.2">
      <c r="A12" s="288" t="s">
        <v>131</v>
      </c>
      <c r="B12" s="289"/>
      <c r="C12" s="289"/>
      <c r="D12" s="290"/>
      <c r="E12" s="133">
        <f>COUNTIF(D3:D9,"AM")</f>
        <v>0</v>
      </c>
      <c r="F12" s="103"/>
      <c r="G12" s="104" t="e">
        <f>IF(AND(E10&gt;#REF!,#REF!&gt;=35),E10-#REF!,0)</f>
        <v>#REF!</v>
      </c>
      <c r="H12" s="336" t="s">
        <v>89</v>
      </c>
      <c r="I12" s="337"/>
      <c r="J12" s="105"/>
      <c r="K12" s="47"/>
      <c r="L12" s="288" t="s">
        <v>131</v>
      </c>
      <c r="M12" s="289"/>
      <c r="N12" s="289"/>
      <c r="O12" s="290"/>
      <c r="P12" s="133">
        <f>COUNTIF(O3:O9,"AM")</f>
        <v>0</v>
      </c>
      <c r="Q12" s="139"/>
      <c r="R12" s="140" t="e">
        <f>IF(AND(P10&gt;#REF!,#REF!&gt;=35),P10-#REF!,0)</f>
        <v>#REF!</v>
      </c>
      <c r="S12" s="300" t="s">
        <v>89</v>
      </c>
      <c r="T12" s="325"/>
      <c r="U12" s="141"/>
      <c r="V12" s="142"/>
    </row>
    <row r="13" spans="1:22" s="138" customFormat="1" ht="12" hidden="1" customHeight="1" thickBot="1" x14ac:dyDescent="0.25">
      <c r="A13" s="288" t="s">
        <v>132</v>
      </c>
      <c r="B13" s="289"/>
      <c r="C13" s="289"/>
      <c r="D13" s="290"/>
      <c r="E13" s="133">
        <f>COUNTIF(D3:D9,"AT")</f>
        <v>0</v>
      </c>
      <c r="F13" s="100"/>
      <c r="G13" s="143" t="e">
        <f>IF(AND(E14&gt;=0,E10+(E17*#REF!)&lt;#REF!),E10+(E17*#REF!)-#REF!,0)</f>
        <v>#REF!</v>
      </c>
      <c r="H13" s="338"/>
      <c r="I13" s="339"/>
      <c r="J13" s="106"/>
      <c r="K13" s="102"/>
      <c r="L13" s="288" t="s">
        <v>132</v>
      </c>
      <c r="M13" s="289"/>
      <c r="N13" s="289"/>
      <c r="O13" s="290"/>
      <c r="P13" s="133">
        <f>COUNTIF(O3:O9,"AT")</f>
        <v>0</v>
      </c>
      <c r="Q13" s="135"/>
      <c r="R13" s="143" t="e">
        <f>IF(AND(P14&gt;=0,P10+(P17*#REF!)&lt;#REF!),P10+(P17*#REF!)-#REF!,0)</f>
        <v>#REF!</v>
      </c>
      <c r="S13" s="302"/>
      <c r="T13" s="326"/>
      <c r="U13" s="136"/>
      <c r="V13" s="137"/>
    </row>
    <row r="14" spans="1:22" s="138" customFormat="1" ht="13.5" hidden="1" customHeight="1" thickBot="1" x14ac:dyDescent="0.25">
      <c r="A14" s="288" t="s">
        <v>133</v>
      </c>
      <c r="B14" s="289"/>
      <c r="C14" s="289"/>
      <c r="D14" s="290"/>
      <c r="E14" s="133">
        <f>COUNTIF(D3:D9,"REC")</f>
        <v>0</v>
      </c>
      <c r="F14" s="100"/>
      <c r="G14" s="107">
        <f>Config!G6</f>
        <v>42310</v>
      </c>
      <c r="H14" s="332" t="s">
        <v>115</v>
      </c>
      <c r="I14" s="333"/>
      <c r="J14" s="101"/>
      <c r="K14" s="108"/>
      <c r="L14" s="288" t="s">
        <v>133</v>
      </c>
      <c r="M14" s="289"/>
      <c r="N14" s="289"/>
      <c r="O14" s="290"/>
      <c r="P14" s="133">
        <f>COUNTIF(O3:O9,"REC")</f>
        <v>0</v>
      </c>
      <c r="Q14" s="135"/>
      <c r="R14" s="109">
        <f>Config!G10</f>
        <v>4</v>
      </c>
      <c r="S14" s="334" t="s">
        <v>101</v>
      </c>
      <c r="T14" s="335"/>
      <c r="U14" s="136"/>
      <c r="V14" s="144"/>
    </row>
    <row r="15" spans="1:22" s="138" customFormat="1" ht="13.5" hidden="1" customHeight="1" thickBot="1" x14ac:dyDescent="0.25">
      <c r="A15" s="279" t="s">
        <v>130</v>
      </c>
      <c r="B15" s="280"/>
      <c r="C15" s="280"/>
      <c r="D15" s="281"/>
      <c r="E15" s="190">
        <f>IF(D3="JF",E3,0)+IF(D4="JF",E4,0)+IF(D5="JF",E5,0)+IF(D6="JF",E6,0)+IF(D7="JF",E7,0)+IF(D8="JF",E8,0)+IF(D9="JF",E9,0)</f>
        <v>0</v>
      </c>
      <c r="F15" s="100"/>
      <c r="G15" s="109">
        <f>Config!G9</f>
        <v>4</v>
      </c>
      <c r="H15" s="330" t="s">
        <v>101</v>
      </c>
      <c r="I15" s="331"/>
      <c r="J15" s="110"/>
      <c r="K15" s="102"/>
      <c r="L15" s="279" t="s">
        <v>130</v>
      </c>
      <c r="M15" s="280"/>
      <c r="N15" s="280"/>
      <c r="O15" s="281"/>
      <c r="P15" s="190">
        <f>IF(O3="JF",P3,0)+IF(O4="JF",P4,0)+IF(O5="JF",P5,0)+IF(O6="JF",P6,0)+IF(O7="JF",P7,0)+IF(O8="JF",P8,0)+IF(O9="JF",P9,0)</f>
        <v>0</v>
      </c>
      <c r="Q15" s="135"/>
      <c r="R15" s="135"/>
      <c r="S15" s="135"/>
      <c r="U15" s="135"/>
      <c r="V15" s="137"/>
    </row>
    <row r="16" spans="1:22" s="138" customFormat="1" ht="12.75" hidden="1" customHeight="1" x14ac:dyDescent="0.2">
      <c r="A16" s="288" t="s">
        <v>134</v>
      </c>
      <c r="B16" s="289"/>
      <c r="C16" s="289"/>
      <c r="D16" s="290"/>
      <c r="E16" s="133">
        <f>COUNTIF(D3:D9,"CE")</f>
        <v>0</v>
      </c>
      <c r="F16" s="100"/>
      <c r="G16" s="126"/>
      <c r="H16" s="112"/>
      <c r="I16" s="47"/>
      <c r="J16" s="101"/>
      <c r="K16" s="102"/>
      <c r="L16" s="288" t="s">
        <v>134</v>
      </c>
      <c r="M16" s="289"/>
      <c r="N16" s="289"/>
      <c r="O16" s="290"/>
      <c r="P16" s="133">
        <f>COUNTIF(O3:O9,"CE")</f>
        <v>0</v>
      </c>
      <c r="Q16" s="135"/>
      <c r="R16" s="135"/>
      <c r="S16" s="135"/>
      <c r="T16" s="136"/>
      <c r="U16" s="136"/>
      <c r="V16" s="137"/>
    </row>
    <row r="17" spans="1:22" s="138" customFormat="1" ht="12.75" hidden="1" customHeight="1" x14ac:dyDescent="0.2">
      <c r="A17" s="297" t="s">
        <v>135</v>
      </c>
      <c r="B17" s="298"/>
      <c r="C17" s="298"/>
      <c r="D17" s="299"/>
      <c r="E17" s="99">
        <f>COUNTIF(D3:D9,"SS")</f>
        <v>0</v>
      </c>
      <c r="F17" s="100"/>
      <c r="G17" s="111"/>
      <c r="H17" s="112"/>
      <c r="I17" s="47"/>
      <c r="J17" s="101"/>
      <c r="K17" s="102"/>
      <c r="L17" s="297" t="s">
        <v>135</v>
      </c>
      <c r="M17" s="298"/>
      <c r="N17" s="298"/>
      <c r="O17" s="299"/>
      <c r="P17" s="99">
        <f>COUNTIF(O3:O9,"SS")</f>
        <v>0</v>
      </c>
      <c r="Q17" s="135"/>
      <c r="R17" s="135"/>
      <c r="S17" s="135"/>
      <c r="T17" s="136"/>
      <c r="U17" s="136"/>
      <c r="V17" s="137"/>
    </row>
    <row r="18" spans="1:22" s="138" customFormat="1" ht="12.75" hidden="1" customHeight="1" x14ac:dyDescent="0.2">
      <c r="A18" s="279" t="s">
        <v>33</v>
      </c>
      <c r="B18" s="280"/>
      <c r="C18" s="280"/>
      <c r="D18" s="281"/>
      <c r="E18" s="191" t="e">
        <f>IF(AND(E10&gt;Config!$G$4,#REF!&gt;=35),E10-Config!$G$4,0)</f>
        <v>#REF!</v>
      </c>
      <c r="F18" s="170"/>
      <c r="G18" s="170"/>
      <c r="H18" s="170"/>
      <c r="I18" s="171"/>
      <c r="J18" s="171"/>
      <c r="K18" s="172"/>
      <c r="L18" s="279" t="s">
        <v>33</v>
      </c>
      <c r="M18" s="280"/>
      <c r="N18" s="280"/>
      <c r="O18" s="281"/>
      <c r="P18" s="191" t="e">
        <f>IF(AND(P10&gt;Config!$G$4,#REF!&gt;=35),P10-Config!$G$4,0)</f>
        <v>#REF!</v>
      </c>
      <c r="Q18" s="135"/>
      <c r="R18" s="135"/>
      <c r="S18" s="135"/>
      <c r="T18" s="136"/>
      <c r="U18" s="136"/>
      <c r="V18" s="137"/>
    </row>
    <row r="19" spans="1:22" x14ac:dyDescent="0.2">
      <c r="A19" s="327">
        <f>_xlfn.ISOWEEKNUM(C25)</f>
        <v>46</v>
      </c>
      <c r="B19" s="86" t="s">
        <v>8</v>
      </c>
      <c r="C19" s="85">
        <f>C9+1</f>
        <v>42317</v>
      </c>
      <c r="D19" s="86" t="s">
        <v>30</v>
      </c>
      <c r="E19" s="115"/>
      <c r="F19" s="115"/>
      <c r="G19" s="115"/>
      <c r="H19" s="322"/>
      <c r="I19" s="323"/>
      <c r="J19" s="323"/>
      <c r="K19" s="324"/>
      <c r="L19" s="319">
        <f>_xlfn.ISOWEEKNUM(N25)</f>
        <v>50</v>
      </c>
      <c r="M19" s="84" t="s">
        <v>8</v>
      </c>
      <c r="N19" s="85">
        <f>N9+1</f>
        <v>42345</v>
      </c>
      <c r="O19" s="86" t="s">
        <v>30</v>
      </c>
      <c r="P19" s="115"/>
      <c r="Q19" s="115"/>
      <c r="R19" s="115"/>
      <c r="S19" s="322"/>
      <c r="T19" s="323"/>
      <c r="U19" s="323"/>
      <c r="V19" s="324"/>
    </row>
    <row r="20" spans="1:22" x14ac:dyDescent="0.2">
      <c r="A20" s="328"/>
      <c r="B20" s="89" t="s">
        <v>9</v>
      </c>
      <c r="C20" s="88">
        <f>C19+1</f>
        <v>42318</v>
      </c>
      <c r="D20" s="89" t="s">
        <v>30</v>
      </c>
      <c r="E20" s="113"/>
      <c r="F20" s="113"/>
      <c r="G20" s="113"/>
      <c r="H20" s="313"/>
      <c r="I20" s="314"/>
      <c r="J20" s="314"/>
      <c r="K20" s="315"/>
      <c r="L20" s="320"/>
      <c r="M20" s="87" t="s">
        <v>9</v>
      </c>
      <c r="N20" s="88">
        <f t="shared" ref="N20:N25" si="2">N19+1</f>
        <v>42346</v>
      </c>
      <c r="O20" s="89" t="s">
        <v>30</v>
      </c>
      <c r="P20" s="113">
        <v>7</v>
      </c>
      <c r="Q20" s="113"/>
      <c r="R20" s="113"/>
      <c r="S20" s="313"/>
      <c r="T20" s="314"/>
      <c r="U20" s="314"/>
      <c r="V20" s="315"/>
    </row>
    <row r="21" spans="1:22" x14ac:dyDescent="0.2">
      <c r="A21" s="328"/>
      <c r="B21" s="89" t="s">
        <v>10</v>
      </c>
      <c r="C21" s="88">
        <f t="shared" ref="C21:C25" si="3">C20+1</f>
        <v>42319</v>
      </c>
      <c r="D21" s="89" t="s">
        <v>30</v>
      </c>
      <c r="E21" s="113"/>
      <c r="F21" s="113"/>
      <c r="G21" s="113"/>
      <c r="H21" s="313"/>
      <c r="I21" s="314"/>
      <c r="J21" s="314"/>
      <c r="K21" s="315"/>
      <c r="L21" s="320"/>
      <c r="M21" s="87" t="s">
        <v>10</v>
      </c>
      <c r="N21" s="88">
        <f t="shared" si="2"/>
        <v>42347</v>
      </c>
      <c r="O21" s="89" t="s">
        <v>30</v>
      </c>
      <c r="P21" s="113">
        <v>7</v>
      </c>
      <c r="Q21" s="113"/>
      <c r="R21" s="113"/>
      <c r="S21" s="313"/>
      <c r="T21" s="314"/>
      <c r="U21" s="314"/>
      <c r="V21" s="315"/>
    </row>
    <row r="22" spans="1:22" x14ac:dyDescent="0.2">
      <c r="A22" s="328"/>
      <c r="B22" s="89" t="s">
        <v>1</v>
      </c>
      <c r="C22" s="88">
        <f t="shared" si="3"/>
        <v>42320</v>
      </c>
      <c r="D22" s="89" t="s">
        <v>30</v>
      </c>
      <c r="E22" s="113"/>
      <c r="F22" s="113"/>
      <c r="G22" s="113"/>
      <c r="H22" s="313"/>
      <c r="I22" s="314"/>
      <c r="J22" s="314"/>
      <c r="K22" s="315"/>
      <c r="L22" s="320"/>
      <c r="M22" s="87" t="s">
        <v>1</v>
      </c>
      <c r="N22" s="88">
        <f t="shared" si="2"/>
        <v>42348</v>
      </c>
      <c r="O22" s="89" t="s">
        <v>30</v>
      </c>
      <c r="P22" s="113">
        <v>7</v>
      </c>
      <c r="Q22" s="113"/>
      <c r="R22" s="113"/>
      <c r="S22" s="313"/>
      <c r="T22" s="314"/>
      <c r="U22" s="314"/>
      <c r="V22" s="315"/>
    </row>
    <row r="23" spans="1:22" x14ac:dyDescent="0.2">
      <c r="A23" s="328"/>
      <c r="B23" s="89" t="s">
        <v>11</v>
      </c>
      <c r="C23" s="88">
        <f t="shared" si="3"/>
        <v>42321</v>
      </c>
      <c r="D23" s="89" t="s">
        <v>120</v>
      </c>
      <c r="E23" s="113"/>
      <c r="F23" s="113"/>
      <c r="G23" s="113"/>
      <c r="H23" s="313"/>
      <c r="I23" s="314"/>
      <c r="J23" s="314"/>
      <c r="K23" s="315"/>
      <c r="L23" s="320"/>
      <c r="M23" s="87" t="s">
        <v>11</v>
      </c>
      <c r="N23" s="88">
        <f t="shared" si="2"/>
        <v>42349</v>
      </c>
      <c r="O23" s="89" t="s">
        <v>30</v>
      </c>
      <c r="P23" s="113">
        <v>7</v>
      </c>
      <c r="Q23" s="113"/>
      <c r="R23" s="113"/>
      <c r="S23" s="313"/>
      <c r="T23" s="314"/>
      <c r="U23" s="314"/>
      <c r="V23" s="315"/>
    </row>
    <row r="24" spans="1:22" x14ac:dyDescent="0.2">
      <c r="A24" s="328"/>
      <c r="B24" s="92" t="s">
        <v>0</v>
      </c>
      <c r="C24" s="91">
        <f t="shared" si="3"/>
        <v>42322</v>
      </c>
      <c r="D24" s="92" t="s">
        <v>30</v>
      </c>
      <c r="E24" s="116"/>
      <c r="F24" s="116"/>
      <c r="G24" s="116"/>
      <c r="H24" s="316"/>
      <c r="I24" s="317"/>
      <c r="J24" s="317"/>
      <c r="K24" s="318"/>
      <c r="L24" s="320"/>
      <c r="M24" s="90" t="s">
        <v>0</v>
      </c>
      <c r="N24" s="91">
        <f t="shared" si="2"/>
        <v>42350</v>
      </c>
      <c r="O24" s="92" t="s">
        <v>30</v>
      </c>
      <c r="P24" s="116">
        <v>7</v>
      </c>
      <c r="Q24" s="116"/>
      <c r="R24" s="116"/>
      <c r="S24" s="316"/>
      <c r="T24" s="317"/>
      <c r="U24" s="317"/>
      <c r="V24" s="318"/>
    </row>
    <row r="25" spans="1:22" x14ac:dyDescent="0.2">
      <c r="A25" s="329"/>
      <c r="B25" s="95" t="s">
        <v>2</v>
      </c>
      <c r="C25" s="94">
        <f t="shared" si="3"/>
        <v>42323</v>
      </c>
      <c r="D25" s="95" t="s">
        <v>30</v>
      </c>
      <c r="E25" s="114"/>
      <c r="F25" s="114"/>
      <c r="G25" s="114"/>
      <c r="H25" s="310"/>
      <c r="I25" s="311"/>
      <c r="J25" s="311"/>
      <c r="K25" s="312"/>
      <c r="L25" s="321"/>
      <c r="M25" s="93" t="s">
        <v>2</v>
      </c>
      <c r="N25" s="94">
        <f t="shared" si="2"/>
        <v>42351</v>
      </c>
      <c r="O25" s="95" t="s">
        <v>30</v>
      </c>
      <c r="P25" s="114"/>
      <c r="Q25" s="114"/>
      <c r="R25" s="114"/>
      <c r="S25" s="310"/>
      <c r="T25" s="311"/>
      <c r="U25" s="311"/>
      <c r="V25" s="312"/>
    </row>
    <row r="26" spans="1:22" x14ac:dyDescent="0.2">
      <c r="A26" s="307" t="s">
        <v>32</v>
      </c>
      <c r="B26" s="308"/>
      <c r="C26" s="308"/>
      <c r="D26" s="309"/>
      <c r="E26" s="130">
        <f>SUM(E19:E25)+G26</f>
        <v>0</v>
      </c>
      <c r="F26" s="131">
        <f>SUM(F19:F25)</f>
        <v>0</v>
      </c>
      <c r="G26" s="132">
        <f>SUM(G19:G25)</f>
        <v>0</v>
      </c>
      <c r="H26" s="185" t="s">
        <v>125</v>
      </c>
      <c r="I26" s="210">
        <f>IF(AND(INDEX(Agents[],MATCH($A$1,Agent,1),11)&lt;=C25,INDEX(Agents[],MATCH($A$1,Agent,1),12)&gt;=C25),(G28+G29)-E34,0)</f>
        <v>0</v>
      </c>
      <c r="J26" s="186" t="s">
        <v>56</v>
      </c>
      <c r="K26" s="210" t="e">
        <f>IF(G26&gt;=E34,0,E34-G26)</f>
        <v>#REF!</v>
      </c>
      <c r="L26" s="307" t="s">
        <v>32</v>
      </c>
      <c r="M26" s="308"/>
      <c r="N26" s="308"/>
      <c r="O26" s="309"/>
      <c r="P26" s="130">
        <f>SUM(P19:P25)+R26</f>
        <v>35</v>
      </c>
      <c r="Q26" s="131">
        <f>SUM(Q19:Q25)</f>
        <v>0</v>
      </c>
      <c r="R26" s="132">
        <f>SUM(R19:R25)</f>
        <v>0</v>
      </c>
      <c r="S26" s="185" t="s">
        <v>125</v>
      </c>
      <c r="T26" s="210">
        <f>IF(AND(INDEX(Agents[],MATCH($A$1,Agent,1),11)&lt;=N25,INDEX(Agents[],MATCH($A$1,Agent,1),12)&gt;=N25),(R28+R29)-P34,0)</f>
        <v>0</v>
      </c>
      <c r="U26" s="186" t="s">
        <v>56</v>
      </c>
      <c r="V26" s="210" t="e">
        <f>IF(R26&gt;=P34,0,P34-R26)</f>
        <v>#REF!</v>
      </c>
    </row>
    <row r="27" spans="1:22" s="138" customFormat="1" ht="13.5" hidden="1" customHeight="1" thickBot="1" x14ac:dyDescent="0.25">
      <c r="A27" s="288" t="s">
        <v>128</v>
      </c>
      <c r="B27" s="289"/>
      <c r="C27" s="289"/>
      <c r="D27" s="290"/>
      <c r="E27" s="133">
        <f>COUNTIF(D19:D25,"CP")</f>
        <v>0</v>
      </c>
      <c r="F27" s="279" t="s">
        <v>129</v>
      </c>
      <c r="G27" s="304"/>
      <c r="H27" s="190">
        <f>IF(D19="CP",E19,0)+IF(D20="CP",E20,0)+IF(D21="CP",E21,0)+IF(D22="CP",E22,0)+IF(D23="CP",E23,0)+IF(D24="CP",E24,0)+IF(D25="CP",E25,0)</f>
        <v>0</v>
      </c>
      <c r="I27" s="136"/>
      <c r="J27" s="136"/>
      <c r="K27" s="137"/>
      <c r="L27" s="288" t="s">
        <v>128</v>
      </c>
      <c r="M27" s="289"/>
      <c r="N27" s="289"/>
      <c r="O27" s="290"/>
      <c r="P27" s="133">
        <f>COUNTIF(O19:O25,"CP")</f>
        <v>0</v>
      </c>
      <c r="Q27" s="279" t="s">
        <v>129</v>
      </c>
      <c r="R27" s="304"/>
      <c r="S27" s="190">
        <f>IF(O19="CP",P19,0)+IF(O20="CP",P20,0)+IF(O21="CP",P21,0)+IF(O22="CP",P22,0)+IF(O23="CP",P23,0)+IF(O24="CP",P24,0)+IF(O25="CP",P25,0)</f>
        <v>0</v>
      </c>
      <c r="T27" s="136"/>
      <c r="U27" s="136"/>
      <c r="V27" s="137"/>
    </row>
    <row r="28" spans="1:22" s="138" customFormat="1" ht="12.75" hidden="1" customHeight="1" x14ac:dyDescent="0.2">
      <c r="A28" s="288" t="s">
        <v>131</v>
      </c>
      <c r="B28" s="289"/>
      <c r="C28" s="289"/>
      <c r="D28" s="290"/>
      <c r="E28" s="133">
        <f>COUNTIF(D19:D25,"AM")</f>
        <v>0</v>
      </c>
      <c r="F28" s="139"/>
      <c r="G28" s="140" t="e">
        <f>IF(AND(E26&gt;#REF!,#REF!&gt;=35),E26-#REF!,0)</f>
        <v>#REF!</v>
      </c>
      <c r="H28" s="300" t="s">
        <v>89</v>
      </c>
      <c r="I28" s="325"/>
      <c r="J28" s="141"/>
      <c r="K28" s="142"/>
      <c r="L28" s="288" t="s">
        <v>131</v>
      </c>
      <c r="M28" s="289"/>
      <c r="N28" s="289"/>
      <c r="O28" s="290"/>
      <c r="P28" s="133">
        <f>COUNTIF(O19:O25,"AM")</f>
        <v>0</v>
      </c>
      <c r="Q28" s="139"/>
      <c r="R28" s="140" t="e">
        <f>IF(AND(P26&gt;#REF!,#REF!&gt;=35),P26-#REF!,0)</f>
        <v>#REF!</v>
      </c>
      <c r="S28" s="300" t="s">
        <v>89</v>
      </c>
      <c r="T28" s="325"/>
      <c r="U28" s="136"/>
      <c r="V28" s="137"/>
    </row>
    <row r="29" spans="1:22" s="138" customFormat="1" ht="13.5" hidden="1" customHeight="1" thickBot="1" x14ac:dyDescent="0.25">
      <c r="A29" s="288" t="s">
        <v>132</v>
      </c>
      <c r="B29" s="289"/>
      <c r="C29" s="289"/>
      <c r="D29" s="290"/>
      <c r="E29" s="133">
        <f>COUNTIF(D19:D25,"AT")</f>
        <v>0</v>
      </c>
      <c r="F29" s="135"/>
      <c r="G29" s="143" t="e">
        <f>IF(AND(E30&gt;=0,E26+(E33*#REF!)&lt;#REF!),E26+(E33*#REF!)-#REF!,0)</f>
        <v>#REF!</v>
      </c>
      <c r="H29" s="302"/>
      <c r="I29" s="326"/>
      <c r="J29" s="136"/>
      <c r="K29" s="137"/>
      <c r="L29" s="288" t="s">
        <v>132</v>
      </c>
      <c r="M29" s="289"/>
      <c r="N29" s="289"/>
      <c r="O29" s="290"/>
      <c r="P29" s="133">
        <f>COUNTIF(O19:O25,"AT")</f>
        <v>0</v>
      </c>
      <c r="Q29" s="135"/>
      <c r="R29" s="143" t="e">
        <f>IF(AND(P30&gt;=0,P26+(P33*#REF!)&lt;#REF!),P26+(P33*#REF!)-#REF!,0)</f>
        <v>#REF!</v>
      </c>
      <c r="S29" s="302"/>
      <c r="T29" s="326"/>
      <c r="U29" s="136"/>
      <c r="V29" s="137"/>
    </row>
    <row r="30" spans="1:22" s="138" customFormat="1" ht="12.75" hidden="1" customHeight="1" x14ac:dyDescent="0.2">
      <c r="A30" s="288" t="s">
        <v>133</v>
      </c>
      <c r="B30" s="289"/>
      <c r="C30" s="289"/>
      <c r="D30" s="290"/>
      <c r="E30" s="133">
        <f>COUNTIF(D19:D25,"REC")</f>
        <v>0</v>
      </c>
      <c r="F30" s="135"/>
      <c r="G30" s="135"/>
      <c r="H30" s="135"/>
      <c r="I30" s="136"/>
      <c r="J30" s="136"/>
      <c r="K30" s="137"/>
      <c r="L30" s="288" t="s">
        <v>133</v>
      </c>
      <c r="M30" s="289"/>
      <c r="N30" s="289"/>
      <c r="O30" s="290"/>
      <c r="P30" s="133">
        <f>COUNTIF(O19:O25,"REC")</f>
        <v>0</v>
      </c>
      <c r="Q30" s="135"/>
      <c r="R30" s="135"/>
      <c r="S30" s="135"/>
      <c r="T30" s="136"/>
      <c r="U30" s="136"/>
      <c r="V30" s="137"/>
    </row>
    <row r="31" spans="1:22" s="138" customFormat="1" ht="12.75" hidden="1" customHeight="1" x14ac:dyDescent="0.2">
      <c r="A31" s="279" t="s">
        <v>130</v>
      </c>
      <c r="B31" s="280"/>
      <c r="C31" s="280"/>
      <c r="D31" s="281"/>
      <c r="E31" s="190">
        <f>IF(D19="JF",E19,0)+IF(D20="JF",E20,0)+IF(D21="JF",E21,0)+IF(D22="JF",E22,0)+IF(D23="JF",E23,0)+IF(D24="JF",E24,0)+IF(D25="JF",E25,0)</f>
        <v>0</v>
      </c>
      <c r="F31" s="135"/>
      <c r="G31" s="135"/>
      <c r="H31" s="135"/>
      <c r="I31" s="136"/>
      <c r="J31" s="136"/>
      <c r="K31" s="137"/>
      <c r="L31" s="279" t="s">
        <v>130</v>
      </c>
      <c r="M31" s="280"/>
      <c r="N31" s="280"/>
      <c r="O31" s="281"/>
      <c r="P31" s="190">
        <f>IF(O19="JF",P19,0)+IF(O20="JF",P20,0)+IF(O21="JF",P21,0)+IF(O22="JF",P22,0)+IF(O23="JF",P23,0)+IF(O24="JF",P24,0)+IF(O25="JF",P25,0)</f>
        <v>0</v>
      </c>
      <c r="Q31" s="135"/>
      <c r="R31" s="135"/>
      <c r="S31" s="135"/>
      <c r="T31" s="136"/>
      <c r="U31" s="136"/>
      <c r="V31" s="137"/>
    </row>
    <row r="32" spans="1:22" s="138" customFormat="1" ht="12.75" hidden="1" customHeight="1" x14ac:dyDescent="0.2">
      <c r="A32" s="288" t="s">
        <v>134</v>
      </c>
      <c r="B32" s="289"/>
      <c r="C32" s="289"/>
      <c r="D32" s="290"/>
      <c r="E32" s="133">
        <f>COUNTIF(D19:D25,"CE")</f>
        <v>0</v>
      </c>
      <c r="F32" s="135"/>
      <c r="G32" s="135"/>
      <c r="H32" s="135"/>
      <c r="I32" s="136"/>
      <c r="J32" s="136"/>
      <c r="K32" s="137"/>
      <c r="L32" s="288" t="s">
        <v>134</v>
      </c>
      <c r="M32" s="289"/>
      <c r="N32" s="289"/>
      <c r="O32" s="290"/>
      <c r="P32" s="133">
        <f>COUNTIF(O19:O25,"CE")</f>
        <v>0</v>
      </c>
      <c r="Q32" s="135"/>
      <c r="R32" s="135"/>
      <c r="S32" s="135"/>
      <c r="T32" s="136"/>
      <c r="U32" s="136"/>
      <c r="V32" s="137"/>
    </row>
    <row r="33" spans="1:22" s="138" customFormat="1" ht="12.75" hidden="1" customHeight="1" x14ac:dyDescent="0.2">
      <c r="A33" s="297" t="s">
        <v>135</v>
      </c>
      <c r="B33" s="298"/>
      <c r="C33" s="298"/>
      <c r="D33" s="299"/>
      <c r="E33" s="99">
        <f>COUNTIF(D19:D25,"SS")</f>
        <v>0</v>
      </c>
      <c r="F33" s="145"/>
      <c r="G33" s="145"/>
      <c r="H33" s="145"/>
      <c r="I33" s="146"/>
      <c r="J33" s="146"/>
      <c r="K33" s="147"/>
      <c r="L33" s="297" t="s">
        <v>135</v>
      </c>
      <c r="M33" s="298"/>
      <c r="N33" s="298"/>
      <c r="O33" s="299"/>
      <c r="P33" s="99">
        <f>COUNTIF(O19:O25,"SS")</f>
        <v>0</v>
      </c>
      <c r="Q33" s="135"/>
      <c r="R33" s="135"/>
      <c r="S33" s="135"/>
      <c r="T33" s="136"/>
      <c r="U33" s="136"/>
      <c r="V33" s="137"/>
    </row>
    <row r="34" spans="1:22" s="138" customFormat="1" ht="12.75" hidden="1" customHeight="1" x14ac:dyDescent="0.2">
      <c r="A34" s="279" t="s">
        <v>33</v>
      </c>
      <c r="B34" s="280"/>
      <c r="C34" s="280"/>
      <c r="D34" s="281"/>
      <c r="E34" s="191" t="e">
        <f>IF(AND(E26&gt;Config!$G$4,#REF!&gt;=35),E26-Config!$G$4,0)</f>
        <v>#REF!</v>
      </c>
      <c r="F34" s="145"/>
      <c r="G34" s="145"/>
      <c r="H34" s="145"/>
      <c r="I34" s="146"/>
      <c r="J34" s="146"/>
      <c r="K34" s="147"/>
      <c r="L34" s="279" t="s">
        <v>33</v>
      </c>
      <c r="M34" s="280"/>
      <c r="N34" s="280"/>
      <c r="O34" s="281"/>
      <c r="P34" s="191" t="e">
        <f>IF(AND(P26&gt;Config!$G$4,#REF!&gt;=35),P26-Config!$G$4,0)</f>
        <v>#REF!</v>
      </c>
      <c r="Q34" s="135"/>
      <c r="R34" s="135"/>
      <c r="S34" s="135"/>
      <c r="T34" s="136"/>
      <c r="U34" s="136"/>
      <c r="V34" s="137"/>
    </row>
    <row r="35" spans="1:22" x14ac:dyDescent="0.2">
      <c r="A35" s="327">
        <f>_xlfn.ISOWEEKNUM(C41)</f>
        <v>47</v>
      </c>
      <c r="B35" s="86" t="s">
        <v>8</v>
      </c>
      <c r="C35" s="85">
        <f>C25+1</f>
        <v>42324</v>
      </c>
      <c r="D35" s="86" t="s">
        <v>30</v>
      </c>
      <c r="E35" s="115"/>
      <c r="F35" s="115"/>
      <c r="G35" s="115"/>
      <c r="H35" s="322"/>
      <c r="I35" s="323"/>
      <c r="J35" s="323"/>
      <c r="K35" s="324"/>
      <c r="L35" s="319">
        <f>_xlfn.ISOWEEKNUM(N41)</f>
        <v>51</v>
      </c>
      <c r="M35" s="84" t="s">
        <v>8</v>
      </c>
      <c r="N35" s="85">
        <f>N25+1</f>
        <v>42352</v>
      </c>
      <c r="O35" s="86" t="s">
        <v>30</v>
      </c>
      <c r="P35" s="115">
        <v>7</v>
      </c>
      <c r="Q35" s="115"/>
      <c r="R35" s="115"/>
      <c r="S35" s="322"/>
      <c r="T35" s="323"/>
      <c r="U35" s="323"/>
      <c r="V35" s="324"/>
    </row>
    <row r="36" spans="1:22" x14ac:dyDescent="0.2">
      <c r="A36" s="328"/>
      <c r="B36" s="89" t="s">
        <v>9</v>
      </c>
      <c r="C36" s="88">
        <f>C35+1</f>
        <v>42325</v>
      </c>
      <c r="D36" s="89" t="s">
        <v>30</v>
      </c>
      <c r="E36" s="113"/>
      <c r="F36" s="113"/>
      <c r="G36" s="113"/>
      <c r="H36" s="313"/>
      <c r="I36" s="314"/>
      <c r="J36" s="314"/>
      <c r="K36" s="315"/>
      <c r="L36" s="320"/>
      <c r="M36" s="87" t="s">
        <v>9</v>
      </c>
      <c r="N36" s="88">
        <f t="shared" ref="N36:N41" si="4">N35+1</f>
        <v>42353</v>
      </c>
      <c r="O36" s="89" t="s">
        <v>30</v>
      </c>
      <c r="P36" s="113">
        <v>7</v>
      </c>
      <c r="Q36" s="113"/>
      <c r="R36" s="113"/>
      <c r="S36" s="313"/>
      <c r="T36" s="314"/>
      <c r="U36" s="314"/>
      <c r="V36" s="315"/>
    </row>
    <row r="37" spans="1:22" x14ac:dyDescent="0.2">
      <c r="A37" s="328"/>
      <c r="B37" s="89" t="s">
        <v>10</v>
      </c>
      <c r="C37" s="88">
        <f>C36+1</f>
        <v>42326</v>
      </c>
      <c r="D37" s="89" t="s">
        <v>30</v>
      </c>
      <c r="E37" s="113"/>
      <c r="F37" s="113"/>
      <c r="G37" s="113"/>
      <c r="H37" s="313"/>
      <c r="I37" s="314"/>
      <c r="J37" s="314"/>
      <c r="K37" s="315"/>
      <c r="L37" s="320"/>
      <c r="M37" s="87" t="s">
        <v>10</v>
      </c>
      <c r="N37" s="88">
        <f t="shared" si="4"/>
        <v>42354</v>
      </c>
      <c r="O37" s="89" t="s">
        <v>30</v>
      </c>
      <c r="P37" s="113">
        <v>7</v>
      </c>
      <c r="Q37" s="113"/>
      <c r="R37" s="113"/>
      <c r="S37" s="313"/>
      <c r="T37" s="314"/>
      <c r="U37" s="314"/>
      <c r="V37" s="315"/>
    </row>
    <row r="38" spans="1:22" x14ac:dyDescent="0.2">
      <c r="A38" s="328"/>
      <c r="B38" s="89" t="s">
        <v>1</v>
      </c>
      <c r="C38" s="88">
        <f t="shared" ref="C38:C41" si="5">C37+1</f>
        <v>42327</v>
      </c>
      <c r="D38" s="89" t="s">
        <v>30</v>
      </c>
      <c r="E38" s="113"/>
      <c r="F38" s="113"/>
      <c r="G38" s="113"/>
      <c r="H38" s="313"/>
      <c r="I38" s="314"/>
      <c r="J38" s="314"/>
      <c r="K38" s="315"/>
      <c r="L38" s="320"/>
      <c r="M38" s="87" t="s">
        <v>1</v>
      </c>
      <c r="N38" s="88">
        <f t="shared" si="4"/>
        <v>42355</v>
      </c>
      <c r="O38" s="89" t="s">
        <v>30</v>
      </c>
      <c r="P38" s="113">
        <v>7</v>
      </c>
      <c r="Q38" s="113"/>
      <c r="R38" s="113"/>
      <c r="S38" s="313"/>
      <c r="T38" s="314"/>
      <c r="U38" s="314"/>
      <c r="V38" s="315"/>
    </row>
    <row r="39" spans="1:22" x14ac:dyDescent="0.2">
      <c r="A39" s="328"/>
      <c r="B39" s="89" t="s">
        <v>11</v>
      </c>
      <c r="C39" s="88">
        <f t="shared" si="5"/>
        <v>42328</v>
      </c>
      <c r="D39" s="89" t="s">
        <v>30</v>
      </c>
      <c r="E39" s="113"/>
      <c r="F39" s="113"/>
      <c r="G39" s="113"/>
      <c r="H39" s="313"/>
      <c r="I39" s="314"/>
      <c r="J39" s="314"/>
      <c r="K39" s="315"/>
      <c r="L39" s="320"/>
      <c r="M39" s="87" t="s">
        <v>11</v>
      </c>
      <c r="N39" s="88">
        <f t="shared" si="4"/>
        <v>42356</v>
      </c>
      <c r="O39" s="89" t="s">
        <v>30</v>
      </c>
      <c r="P39" s="113">
        <v>7</v>
      </c>
      <c r="Q39" s="113"/>
      <c r="R39" s="113"/>
      <c r="S39" s="313"/>
      <c r="T39" s="314"/>
      <c r="U39" s="314"/>
      <c r="V39" s="315"/>
    </row>
    <row r="40" spans="1:22" x14ac:dyDescent="0.2">
      <c r="A40" s="328"/>
      <c r="B40" s="92" t="s">
        <v>0</v>
      </c>
      <c r="C40" s="91">
        <f t="shared" si="5"/>
        <v>42329</v>
      </c>
      <c r="D40" s="92" t="s">
        <v>30</v>
      </c>
      <c r="E40" s="116"/>
      <c r="F40" s="116"/>
      <c r="G40" s="116"/>
      <c r="H40" s="316"/>
      <c r="I40" s="317"/>
      <c r="J40" s="317"/>
      <c r="K40" s="318"/>
      <c r="L40" s="320"/>
      <c r="M40" s="90" t="s">
        <v>0</v>
      </c>
      <c r="N40" s="91">
        <f t="shared" si="4"/>
        <v>42357</v>
      </c>
      <c r="O40" s="92" t="s">
        <v>30</v>
      </c>
      <c r="P40" s="116">
        <v>8</v>
      </c>
      <c r="Q40" s="116"/>
      <c r="R40" s="116"/>
      <c r="S40" s="316"/>
      <c r="T40" s="317"/>
      <c r="U40" s="317"/>
      <c r="V40" s="318"/>
    </row>
    <row r="41" spans="1:22" x14ac:dyDescent="0.2">
      <c r="A41" s="329"/>
      <c r="B41" s="95" t="s">
        <v>2</v>
      </c>
      <c r="C41" s="94">
        <f t="shared" si="5"/>
        <v>42330</v>
      </c>
      <c r="D41" s="95" t="s">
        <v>30</v>
      </c>
      <c r="E41" s="114"/>
      <c r="F41" s="114"/>
      <c r="G41" s="114"/>
      <c r="H41" s="310"/>
      <c r="I41" s="311"/>
      <c r="J41" s="311"/>
      <c r="K41" s="312"/>
      <c r="L41" s="321"/>
      <c r="M41" s="93" t="s">
        <v>2</v>
      </c>
      <c r="N41" s="94">
        <f t="shared" si="4"/>
        <v>42358</v>
      </c>
      <c r="O41" s="95" t="s">
        <v>30</v>
      </c>
      <c r="P41" s="114"/>
      <c r="Q41" s="114"/>
      <c r="R41" s="114"/>
      <c r="S41" s="310"/>
      <c r="T41" s="311"/>
      <c r="U41" s="311"/>
      <c r="V41" s="312"/>
    </row>
    <row r="42" spans="1:22" x14ac:dyDescent="0.2">
      <c r="A42" s="307" t="s">
        <v>32</v>
      </c>
      <c r="B42" s="308"/>
      <c r="C42" s="308"/>
      <c r="D42" s="309"/>
      <c r="E42" s="130">
        <f>SUM(E35:E41)+G42</f>
        <v>0</v>
      </c>
      <c r="F42" s="131">
        <f>SUM(F35:F41)</f>
        <v>0</v>
      </c>
      <c r="G42" s="132">
        <f>SUM(G35:G41)</f>
        <v>0</v>
      </c>
      <c r="H42" s="185" t="s">
        <v>125</v>
      </c>
      <c r="I42" s="210">
        <f>IF(AND(INDEX(Agents[],MATCH($A$1,Agent,1),11)&lt;=C41,INDEX(Agents[],MATCH($A$1,Agent,1),12)&gt;=C41),(G44+G45)-E50,0)</f>
        <v>0</v>
      </c>
      <c r="J42" s="186" t="s">
        <v>56</v>
      </c>
      <c r="K42" s="210" t="e">
        <f>IF(G42&gt;=E50,0,E50-G42)</f>
        <v>#REF!</v>
      </c>
      <c r="L42" s="307" t="s">
        <v>32</v>
      </c>
      <c r="M42" s="308"/>
      <c r="N42" s="308"/>
      <c r="O42" s="309"/>
      <c r="P42" s="130">
        <f>SUM(P35:P41)+R42</f>
        <v>43</v>
      </c>
      <c r="Q42" s="131">
        <f>SUM(Q35:Q41)</f>
        <v>0</v>
      </c>
      <c r="R42" s="132">
        <f>SUM(R35:R41)</f>
        <v>0</v>
      </c>
      <c r="S42" s="185" t="s">
        <v>125</v>
      </c>
      <c r="T42" s="210">
        <f>IF(AND(INDEX(Agents[],MATCH($A$1,Agent,1),11)&lt;=N41,INDEX(Agents[],MATCH($A$1,Agent,1),12)&gt;=N41),(R44+R45)-P50,0)</f>
        <v>0</v>
      </c>
      <c r="U42" s="186" t="s">
        <v>56</v>
      </c>
      <c r="V42" s="210" t="e">
        <f>IF(R42&gt;=P50,0,P50-R42)</f>
        <v>#REF!</v>
      </c>
    </row>
    <row r="43" spans="1:22" s="138" customFormat="1" ht="13.5" hidden="1" customHeight="1" thickBot="1" x14ac:dyDescent="0.25">
      <c r="A43" s="288" t="s">
        <v>128</v>
      </c>
      <c r="B43" s="289"/>
      <c r="C43" s="289"/>
      <c r="D43" s="290"/>
      <c r="E43" s="133">
        <f>COUNTIF(D35:D41,"CP")</f>
        <v>0</v>
      </c>
      <c r="F43" s="279" t="s">
        <v>129</v>
      </c>
      <c r="G43" s="304"/>
      <c r="H43" s="190">
        <f>IF(D35="CP",E35,0)+IF(D36="CP",E36,0)+IF(D37="CP",E37,0)+IF(D38="CP",E38,0)+IF(D39="CP",E39,0)+IF(D40="CP",E40,0)+IF(D41="CP",E41,0)</f>
        <v>0</v>
      </c>
      <c r="I43" s="136"/>
      <c r="J43" s="136"/>
      <c r="K43" s="137"/>
      <c r="L43" s="288" t="s">
        <v>128</v>
      </c>
      <c r="M43" s="289"/>
      <c r="N43" s="289"/>
      <c r="O43" s="290"/>
      <c r="P43" s="133">
        <f>COUNTIF(O35:O41,"CP")</f>
        <v>0</v>
      </c>
      <c r="Q43" s="279" t="s">
        <v>129</v>
      </c>
      <c r="R43" s="304"/>
      <c r="S43" s="190">
        <f>IF(O35="CP",P35,0)+IF(O36="CP",P36,0)+IF(O37="CP",P37,0)+IF(O38="CP",P38,0)+IF(O39="CP",P39,0)+IF(O40="CP",P40,0)+IF(O41="CP",P41,0)</f>
        <v>0</v>
      </c>
      <c r="T43" s="136"/>
      <c r="U43" s="136"/>
      <c r="V43" s="137"/>
    </row>
    <row r="44" spans="1:22" s="138" customFormat="1" ht="12.75" hidden="1" customHeight="1" x14ac:dyDescent="0.2">
      <c r="A44" s="288" t="s">
        <v>131</v>
      </c>
      <c r="B44" s="289"/>
      <c r="C44" s="289"/>
      <c r="D44" s="290"/>
      <c r="E44" s="133">
        <f>COUNTIF(D35:D41,"AM")</f>
        <v>0</v>
      </c>
      <c r="F44" s="139"/>
      <c r="G44" s="140" t="e">
        <f>IF(AND(E42&gt;#REF!,#REF!&gt;=35),E42-#REF!,0)</f>
        <v>#REF!</v>
      </c>
      <c r="H44" s="300" t="s">
        <v>89</v>
      </c>
      <c r="I44" s="325"/>
      <c r="J44" s="141"/>
      <c r="K44" s="142"/>
      <c r="L44" s="288" t="s">
        <v>131</v>
      </c>
      <c r="M44" s="289"/>
      <c r="N44" s="289"/>
      <c r="O44" s="290"/>
      <c r="P44" s="133">
        <f>COUNTIF(O35:O41,"AM")</f>
        <v>0</v>
      </c>
      <c r="Q44" s="139"/>
      <c r="R44" s="140" t="e">
        <f>IF(AND(P42&gt;#REF!,#REF!&gt;=35),P42-#REF!,0)</f>
        <v>#REF!</v>
      </c>
      <c r="S44" s="300" t="s">
        <v>89</v>
      </c>
      <c r="T44" s="325"/>
      <c r="U44" s="136"/>
      <c r="V44" s="137"/>
    </row>
    <row r="45" spans="1:22" s="138" customFormat="1" ht="13.5" hidden="1" customHeight="1" thickBot="1" x14ac:dyDescent="0.25">
      <c r="A45" s="288" t="s">
        <v>132</v>
      </c>
      <c r="B45" s="289"/>
      <c r="C45" s="289"/>
      <c r="D45" s="290"/>
      <c r="E45" s="133">
        <f>COUNTIF(D35:D41,"AT")</f>
        <v>0</v>
      </c>
      <c r="F45" s="135"/>
      <c r="G45" s="143" t="e">
        <f>IF(AND(E46&gt;=0,E42+(E49*#REF!)&lt;#REF!),E42+(E49*#REF!)-#REF!,0)</f>
        <v>#REF!</v>
      </c>
      <c r="H45" s="302"/>
      <c r="I45" s="326"/>
      <c r="J45" s="136"/>
      <c r="K45" s="137"/>
      <c r="L45" s="288" t="s">
        <v>132</v>
      </c>
      <c r="M45" s="289"/>
      <c r="N45" s="289"/>
      <c r="O45" s="290"/>
      <c r="P45" s="133">
        <f>COUNTIF(O35:O41,"AT")</f>
        <v>0</v>
      </c>
      <c r="Q45" s="135"/>
      <c r="R45" s="143" t="e">
        <f>IF(AND(P46&gt;=0,P42+(P49*#REF!)&lt;#REF!),P42+(P49*#REF!)-#REF!,0)</f>
        <v>#REF!</v>
      </c>
      <c r="S45" s="302"/>
      <c r="T45" s="326"/>
      <c r="U45" s="136"/>
      <c r="V45" s="137"/>
    </row>
    <row r="46" spans="1:22" s="138" customFormat="1" ht="12.75" hidden="1" customHeight="1" x14ac:dyDescent="0.2">
      <c r="A46" s="288" t="s">
        <v>133</v>
      </c>
      <c r="B46" s="289"/>
      <c r="C46" s="289"/>
      <c r="D46" s="290"/>
      <c r="E46" s="133">
        <f>COUNTIF(D35:D41,"REC")</f>
        <v>0</v>
      </c>
      <c r="F46" s="135"/>
      <c r="G46" s="135"/>
      <c r="H46" s="135"/>
      <c r="I46" s="136"/>
      <c r="J46" s="136"/>
      <c r="K46" s="137"/>
      <c r="L46" s="288" t="s">
        <v>133</v>
      </c>
      <c r="M46" s="289"/>
      <c r="N46" s="289"/>
      <c r="O46" s="290"/>
      <c r="P46" s="133">
        <f>COUNTIF(O35:O41,"REC")</f>
        <v>0</v>
      </c>
      <c r="Q46" s="135"/>
      <c r="R46" s="135"/>
      <c r="S46" s="135"/>
      <c r="T46" s="136"/>
      <c r="U46" s="136"/>
      <c r="V46" s="137"/>
    </row>
    <row r="47" spans="1:22" s="138" customFormat="1" ht="12.75" hidden="1" customHeight="1" x14ac:dyDescent="0.2">
      <c r="A47" s="279" t="s">
        <v>130</v>
      </c>
      <c r="B47" s="280"/>
      <c r="C47" s="280"/>
      <c r="D47" s="281"/>
      <c r="E47" s="190">
        <f>IF(D35="JF",E35,0)+IF(D36="JF",E36,0)+IF(D37="JF",E37,0)+IF(D38="JF",E38,0)+IF(D39="JF",E39,0)+IF(D40="JF",E40,0)+IF(D41="JF",E41,0)</f>
        <v>0</v>
      </c>
      <c r="F47" s="135"/>
      <c r="G47" s="135"/>
      <c r="H47" s="135"/>
      <c r="I47" s="136"/>
      <c r="J47" s="136"/>
      <c r="K47" s="137"/>
      <c r="L47" s="279" t="s">
        <v>130</v>
      </c>
      <c r="M47" s="280"/>
      <c r="N47" s="280"/>
      <c r="O47" s="281"/>
      <c r="P47" s="190">
        <f>IF(O35="JF",P35,0)+IF(O36="JF",P36,0)+IF(O37="JF",P37,0)+IF(O38="JF",P38,0)+IF(O39="JF",P39,0)+IF(O40="JF",P40,0)+IF(O41="JF",P41,0)</f>
        <v>0</v>
      </c>
      <c r="Q47" s="135"/>
      <c r="R47" s="135"/>
      <c r="S47" s="135"/>
      <c r="T47" s="136"/>
      <c r="U47" s="136"/>
      <c r="V47" s="137"/>
    </row>
    <row r="48" spans="1:22" s="138" customFormat="1" ht="12.75" hidden="1" customHeight="1" x14ac:dyDescent="0.2">
      <c r="A48" s="288" t="s">
        <v>134</v>
      </c>
      <c r="B48" s="289"/>
      <c r="C48" s="289"/>
      <c r="D48" s="290"/>
      <c r="E48" s="133">
        <f>COUNTIF(D35:D41,"CE")</f>
        <v>0</v>
      </c>
      <c r="F48" s="145"/>
      <c r="G48" s="145"/>
      <c r="H48" s="145"/>
      <c r="I48" s="146"/>
      <c r="J48" s="146"/>
      <c r="K48" s="147"/>
      <c r="L48" s="288" t="s">
        <v>134</v>
      </c>
      <c r="M48" s="289"/>
      <c r="N48" s="289"/>
      <c r="O48" s="290"/>
      <c r="P48" s="133">
        <f>COUNTIF(O35:O41,"CE")</f>
        <v>0</v>
      </c>
      <c r="Q48" s="135"/>
      <c r="R48" s="135"/>
      <c r="S48" s="135"/>
      <c r="T48" s="136"/>
      <c r="U48" s="136"/>
      <c r="V48" s="137"/>
    </row>
    <row r="49" spans="1:22" s="138" customFormat="1" ht="12.75" hidden="1" customHeight="1" x14ac:dyDescent="0.2">
      <c r="A49" s="297" t="s">
        <v>135</v>
      </c>
      <c r="B49" s="298"/>
      <c r="C49" s="298"/>
      <c r="D49" s="299"/>
      <c r="E49" s="99">
        <f>COUNTIF(D35:D41,"SS")</f>
        <v>0</v>
      </c>
      <c r="F49" s="145"/>
      <c r="G49" s="145"/>
      <c r="H49" s="145"/>
      <c r="I49" s="146"/>
      <c r="J49" s="146"/>
      <c r="K49" s="147"/>
      <c r="L49" s="297" t="s">
        <v>135</v>
      </c>
      <c r="M49" s="298"/>
      <c r="N49" s="298"/>
      <c r="O49" s="299"/>
      <c r="P49" s="99">
        <f>COUNTIF(O35:O41,"SS")</f>
        <v>0</v>
      </c>
      <c r="Q49" s="135"/>
      <c r="R49" s="135"/>
      <c r="S49" s="135"/>
      <c r="T49" s="136"/>
      <c r="U49" s="136"/>
      <c r="V49" s="137"/>
    </row>
    <row r="50" spans="1:22" s="138" customFormat="1" ht="12.75" hidden="1" customHeight="1" x14ac:dyDescent="0.2">
      <c r="A50" s="279" t="s">
        <v>33</v>
      </c>
      <c r="B50" s="280"/>
      <c r="C50" s="280"/>
      <c r="D50" s="281"/>
      <c r="E50" s="191" t="e">
        <f>IF(AND(E42&gt;Config!$G$4,#REF!&gt;=35),E42-Config!$G$4,0)</f>
        <v>#REF!</v>
      </c>
      <c r="F50" s="145"/>
      <c r="G50" s="145"/>
      <c r="H50" s="145"/>
      <c r="I50" s="146"/>
      <c r="J50" s="146"/>
      <c r="K50" s="147"/>
      <c r="L50" s="279" t="s">
        <v>33</v>
      </c>
      <c r="M50" s="280"/>
      <c r="N50" s="280"/>
      <c r="O50" s="281"/>
      <c r="P50" s="191" t="e">
        <f>IF(AND(P42&gt;Config!$G$4,#REF!&gt;=35),P42-Config!$G$4,0)</f>
        <v>#REF!</v>
      </c>
      <c r="Q50" s="135"/>
      <c r="R50" s="135"/>
      <c r="S50" s="135"/>
      <c r="T50" s="136"/>
      <c r="U50" s="136"/>
      <c r="V50" s="137"/>
    </row>
    <row r="51" spans="1:22" x14ac:dyDescent="0.2">
      <c r="A51" s="327">
        <f>_xlfn.ISOWEEKNUM(C57)</f>
        <v>48</v>
      </c>
      <c r="B51" s="86" t="s">
        <v>8</v>
      </c>
      <c r="C51" s="85">
        <f>C41+1</f>
        <v>42331</v>
      </c>
      <c r="D51" s="86" t="s">
        <v>30</v>
      </c>
      <c r="E51" s="115"/>
      <c r="F51" s="115"/>
      <c r="G51" s="115"/>
      <c r="H51" s="322"/>
      <c r="I51" s="323"/>
      <c r="J51" s="323"/>
      <c r="K51" s="324"/>
      <c r="L51" s="319">
        <f>_xlfn.ISOWEEKNUM(N57)</f>
        <v>52</v>
      </c>
      <c r="M51" s="84" t="s">
        <v>8</v>
      </c>
      <c r="N51" s="85">
        <f>N41+1</f>
        <v>42359</v>
      </c>
      <c r="O51" s="86" t="s">
        <v>30</v>
      </c>
      <c r="P51" s="115">
        <v>7</v>
      </c>
      <c r="Q51" s="115"/>
      <c r="R51" s="115"/>
      <c r="S51" s="322"/>
      <c r="T51" s="323"/>
      <c r="U51" s="323"/>
      <c r="V51" s="324"/>
    </row>
    <row r="52" spans="1:22" x14ac:dyDescent="0.2">
      <c r="A52" s="328"/>
      <c r="B52" s="89" t="s">
        <v>9</v>
      </c>
      <c r="C52" s="88">
        <f>C51+1</f>
        <v>42332</v>
      </c>
      <c r="D52" s="89" t="s">
        <v>30</v>
      </c>
      <c r="E52" s="113"/>
      <c r="F52" s="113"/>
      <c r="G52" s="113"/>
      <c r="H52" s="313"/>
      <c r="I52" s="314"/>
      <c r="J52" s="314"/>
      <c r="K52" s="315"/>
      <c r="L52" s="320"/>
      <c r="M52" s="87" t="s">
        <v>9</v>
      </c>
      <c r="N52" s="88">
        <f t="shared" ref="N52:N57" si="6">N51+1</f>
        <v>42360</v>
      </c>
      <c r="O52" s="89" t="s">
        <v>30</v>
      </c>
      <c r="P52" s="113">
        <v>7</v>
      </c>
      <c r="Q52" s="113"/>
      <c r="R52" s="113"/>
      <c r="S52" s="313"/>
      <c r="T52" s="314"/>
      <c r="U52" s="314"/>
      <c r="V52" s="315"/>
    </row>
    <row r="53" spans="1:22" x14ac:dyDescent="0.2">
      <c r="A53" s="328"/>
      <c r="B53" s="89" t="s">
        <v>10</v>
      </c>
      <c r="C53" s="88">
        <f t="shared" ref="C53:C57" si="7">C52+1</f>
        <v>42333</v>
      </c>
      <c r="D53" s="89" t="s">
        <v>30</v>
      </c>
      <c r="E53" s="113"/>
      <c r="F53" s="113"/>
      <c r="G53" s="113"/>
      <c r="H53" s="313"/>
      <c r="I53" s="314"/>
      <c r="J53" s="314"/>
      <c r="K53" s="315"/>
      <c r="L53" s="320"/>
      <c r="M53" s="87" t="s">
        <v>10</v>
      </c>
      <c r="N53" s="88">
        <f t="shared" si="6"/>
        <v>42361</v>
      </c>
      <c r="O53" s="89" t="s">
        <v>30</v>
      </c>
      <c r="P53" s="113">
        <v>7</v>
      </c>
      <c r="Q53" s="113"/>
      <c r="R53" s="113"/>
      <c r="S53" s="313"/>
      <c r="T53" s="314"/>
      <c r="U53" s="314"/>
      <c r="V53" s="315"/>
    </row>
    <row r="54" spans="1:22" x14ac:dyDescent="0.2">
      <c r="A54" s="328"/>
      <c r="B54" s="89" t="s">
        <v>1</v>
      </c>
      <c r="C54" s="88">
        <f t="shared" si="7"/>
        <v>42334</v>
      </c>
      <c r="D54" s="89" t="s">
        <v>30</v>
      </c>
      <c r="E54" s="113"/>
      <c r="F54" s="113"/>
      <c r="G54" s="113"/>
      <c r="H54" s="313"/>
      <c r="I54" s="314"/>
      <c r="J54" s="314"/>
      <c r="K54" s="315"/>
      <c r="L54" s="320"/>
      <c r="M54" s="87" t="s">
        <v>1</v>
      </c>
      <c r="N54" s="88">
        <f t="shared" si="6"/>
        <v>42362</v>
      </c>
      <c r="O54" s="89" t="s">
        <v>30</v>
      </c>
      <c r="P54" s="113">
        <v>7</v>
      </c>
      <c r="Q54" s="113"/>
      <c r="R54" s="113"/>
      <c r="S54" s="313"/>
      <c r="T54" s="314"/>
      <c r="U54" s="314"/>
      <c r="V54" s="315"/>
    </row>
    <row r="55" spans="1:22" x14ac:dyDescent="0.2">
      <c r="A55" s="328"/>
      <c r="B55" s="89" t="s">
        <v>11</v>
      </c>
      <c r="C55" s="88">
        <f t="shared" si="7"/>
        <v>42335</v>
      </c>
      <c r="D55" s="89" t="s">
        <v>30</v>
      </c>
      <c r="E55" s="113"/>
      <c r="F55" s="113"/>
      <c r="G55" s="113"/>
      <c r="H55" s="313"/>
      <c r="I55" s="314"/>
      <c r="J55" s="314"/>
      <c r="K55" s="315"/>
      <c r="L55" s="320"/>
      <c r="M55" s="87" t="s">
        <v>11</v>
      </c>
      <c r="N55" s="88">
        <f t="shared" si="6"/>
        <v>42363</v>
      </c>
      <c r="O55" s="89" t="s">
        <v>30</v>
      </c>
      <c r="P55" s="113">
        <v>8</v>
      </c>
      <c r="Q55" s="113"/>
      <c r="R55" s="113"/>
      <c r="S55" s="313"/>
      <c r="T55" s="314"/>
      <c r="U55" s="314"/>
      <c r="V55" s="315"/>
    </row>
    <row r="56" spans="1:22" x14ac:dyDescent="0.2">
      <c r="A56" s="328"/>
      <c r="B56" s="92" t="s">
        <v>0</v>
      </c>
      <c r="C56" s="91">
        <f t="shared" si="7"/>
        <v>42336</v>
      </c>
      <c r="D56" s="92" t="s">
        <v>30</v>
      </c>
      <c r="E56" s="116"/>
      <c r="F56" s="116"/>
      <c r="G56" s="116"/>
      <c r="H56" s="316"/>
      <c r="I56" s="317"/>
      <c r="J56" s="317"/>
      <c r="K56" s="318"/>
      <c r="L56" s="320"/>
      <c r="M56" s="90" t="s">
        <v>0</v>
      </c>
      <c r="N56" s="91">
        <f t="shared" si="6"/>
        <v>42364</v>
      </c>
      <c r="O56" s="92" t="s">
        <v>30</v>
      </c>
      <c r="P56" s="116"/>
      <c r="Q56" s="116"/>
      <c r="R56" s="116"/>
      <c r="S56" s="316"/>
      <c r="T56" s="317"/>
      <c r="U56" s="317"/>
      <c r="V56" s="318"/>
    </row>
    <row r="57" spans="1:22" x14ac:dyDescent="0.2">
      <c r="A57" s="329"/>
      <c r="B57" s="95" t="s">
        <v>2</v>
      </c>
      <c r="C57" s="94">
        <f t="shared" si="7"/>
        <v>42337</v>
      </c>
      <c r="D57" s="95" t="s">
        <v>30</v>
      </c>
      <c r="E57" s="114"/>
      <c r="F57" s="114"/>
      <c r="G57" s="114"/>
      <c r="H57" s="310"/>
      <c r="I57" s="311"/>
      <c r="J57" s="311"/>
      <c r="K57" s="312"/>
      <c r="L57" s="321"/>
      <c r="M57" s="93" t="s">
        <v>2</v>
      </c>
      <c r="N57" s="94">
        <f t="shared" si="6"/>
        <v>42365</v>
      </c>
      <c r="O57" s="95" t="s">
        <v>30</v>
      </c>
      <c r="P57" s="114"/>
      <c r="Q57" s="114"/>
      <c r="R57" s="114"/>
      <c r="S57" s="310"/>
      <c r="T57" s="311"/>
      <c r="U57" s="311"/>
      <c r="V57" s="312"/>
    </row>
    <row r="58" spans="1:22" x14ac:dyDescent="0.2">
      <c r="A58" s="307" t="s">
        <v>32</v>
      </c>
      <c r="B58" s="308"/>
      <c r="C58" s="308"/>
      <c r="D58" s="309"/>
      <c r="E58" s="130">
        <f>SUM(E51:E57)+G58</f>
        <v>0</v>
      </c>
      <c r="F58" s="131">
        <f>SUM(F51:F57)</f>
        <v>0</v>
      </c>
      <c r="G58" s="132">
        <f>SUM(G51:G57)</f>
        <v>0</v>
      </c>
      <c r="H58" s="185" t="s">
        <v>125</v>
      </c>
      <c r="I58" s="210">
        <f>IF(AND(INDEX(Agents[],MATCH($A$1,Agent,1),11)&lt;=C57,INDEX(Agents[],MATCH($A$1,Agent,1),12)&gt;=C57),(G60+G61)-E66,0)</f>
        <v>0</v>
      </c>
      <c r="J58" s="186" t="s">
        <v>56</v>
      </c>
      <c r="K58" s="210" t="e">
        <f>IF(G58&gt;=E66,0,E66-G58)</f>
        <v>#REF!</v>
      </c>
      <c r="L58" s="307" t="s">
        <v>32</v>
      </c>
      <c r="M58" s="308"/>
      <c r="N58" s="308"/>
      <c r="O58" s="309"/>
      <c r="P58" s="130">
        <f>SUM(P51:P57)+R58</f>
        <v>36</v>
      </c>
      <c r="Q58" s="131">
        <f>SUM(Q51:Q57)</f>
        <v>0</v>
      </c>
      <c r="R58" s="132">
        <f>SUM(R51:R57)</f>
        <v>0</v>
      </c>
      <c r="S58" s="185" t="s">
        <v>125</v>
      </c>
      <c r="T58" s="210">
        <f>IF(AND(INDEX(Agents[],MATCH($A$1,Agent,1),11)&lt;=N57,INDEX(Agents[],MATCH($A$1,Agent,1),12)&gt;=N57),(R60+R61)-P66,0)</f>
        <v>0</v>
      </c>
      <c r="U58" s="186" t="s">
        <v>56</v>
      </c>
      <c r="V58" s="210" t="e">
        <f>IF(R58&gt;=P66,0,P66-R58)</f>
        <v>#REF!</v>
      </c>
    </row>
    <row r="59" spans="1:22" s="138" customFormat="1" ht="13.5" hidden="1" customHeight="1" thickBot="1" x14ac:dyDescent="0.25">
      <c r="A59" s="288" t="s">
        <v>128</v>
      </c>
      <c r="B59" s="289"/>
      <c r="C59" s="289"/>
      <c r="D59" s="290"/>
      <c r="E59" s="133">
        <f>COUNTIF(D51:D57,"CP")</f>
        <v>0</v>
      </c>
      <c r="F59" s="279" t="s">
        <v>129</v>
      </c>
      <c r="G59" s="304"/>
      <c r="H59" s="190">
        <f>IF(D51="CP",E51,0)+IF(D52="CP",E52,0)+IF(D53="CP",E53,0)+IF(D54="CP",E54,0)+IF(D55="CP",E55,0)+IF(D56="CP",E56,0)+IF(D57="CP",E57,0)</f>
        <v>0</v>
      </c>
      <c r="I59" s="136"/>
      <c r="J59" s="136"/>
      <c r="K59" s="137"/>
      <c r="L59" s="288" t="s">
        <v>128</v>
      </c>
      <c r="M59" s="289"/>
      <c r="N59" s="289"/>
      <c r="O59" s="290"/>
      <c r="P59" s="133">
        <f>COUNTIF(O51:O57,"CP")</f>
        <v>0</v>
      </c>
      <c r="Q59" s="279" t="s">
        <v>129</v>
      </c>
      <c r="R59" s="304"/>
      <c r="S59" s="190">
        <f>IF(O51="CP",P51,0)+IF(O52="CP",P52,0)+IF(O53="CP",P53,0)+IF(O54="CP",P54,0)+IF(O55="CP",P55,0)+IF(O56="CP",P56,0)+IF(O57="CP",P57,0)</f>
        <v>0</v>
      </c>
      <c r="T59" s="136"/>
      <c r="U59" s="136"/>
      <c r="V59" s="137"/>
    </row>
    <row r="60" spans="1:22" s="138" customFormat="1" ht="12.75" hidden="1" customHeight="1" x14ac:dyDescent="0.2">
      <c r="A60" s="288" t="s">
        <v>131</v>
      </c>
      <c r="B60" s="289"/>
      <c r="C60" s="289"/>
      <c r="D60" s="290"/>
      <c r="E60" s="133">
        <f>COUNTIF(D51:D57,"AM")</f>
        <v>0</v>
      </c>
      <c r="F60" s="134"/>
      <c r="G60" s="140" t="e">
        <f>IF(AND(E58&gt;#REF!,#REF!&gt;=35),E58-#REF!,0)</f>
        <v>#REF!</v>
      </c>
      <c r="H60" s="300" t="s">
        <v>89</v>
      </c>
      <c r="I60" s="325"/>
      <c r="J60" s="141"/>
      <c r="K60" s="142"/>
      <c r="L60" s="288" t="s">
        <v>131</v>
      </c>
      <c r="M60" s="289"/>
      <c r="N60" s="289"/>
      <c r="O60" s="290"/>
      <c r="P60" s="133">
        <f>COUNTIF(O51:O57,"AM")</f>
        <v>0</v>
      </c>
      <c r="Q60" s="139"/>
      <c r="R60" s="140" t="e">
        <f>IF(AND(P58&gt;#REF!,#REF!&gt;=35),P58-#REF!,0)</f>
        <v>#REF!</v>
      </c>
      <c r="S60" s="300" t="s">
        <v>89</v>
      </c>
      <c r="T60" s="325"/>
      <c r="U60" s="136"/>
      <c r="V60" s="137"/>
    </row>
    <row r="61" spans="1:22" s="138" customFormat="1" ht="13.5" hidden="1" customHeight="1" thickBot="1" x14ac:dyDescent="0.25">
      <c r="A61" s="288" t="s">
        <v>132</v>
      </c>
      <c r="B61" s="289"/>
      <c r="C61" s="289"/>
      <c r="D61" s="290"/>
      <c r="E61" s="133">
        <f>COUNTIF(D51:D57,"AT")</f>
        <v>0</v>
      </c>
      <c r="F61" s="134"/>
      <c r="G61" s="143" t="e">
        <f>IF(AND(E62&gt;=0,E58+(E65*#REF!)&lt;#REF!),E58+(E65*#REF!)-#REF!,0)</f>
        <v>#REF!</v>
      </c>
      <c r="H61" s="302"/>
      <c r="I61" s="326"/>
      <c r="J61" s="136"/>
      <c r="K61" s="137"/>
      <c r="L61" s="288" t="s">
        <v>132</v>
      </c>
      <c r="M61" s="289"/>
      <c r="N61" s="289"/>
      <c r="O61" s="290"/>
      <c r="P61" s="133">
        <f>COUNTIF(O51:O57,"AT")</f>
        <v>0</v>
      </c>
      <c r="Q61" s="135"/>
      <c r="R61" s="143" t="e">
        <f>IF(AND(P62&gt;=0,P58+(P65*#REF!)&lt;#REF!),P58+(P65*#REF!)-#REF!,0)</f>
        <v>#REF!</v>
      </c>
      <c r="S61" s="302"/>
      <c r="T61" s="326"/>
      <c r="U61" s="136"/>
      <c r="V61" s="137"/>
    </row>
    <row r="62" spans="1:22" s="138" customFormat="1" ht="12.75" hidden="1" customHeight="1" x14ac:dyDescent="0.2">
      <c r="A62" s="288" t="s">
        <v>133</v>
      </c>
      <c r="B62" s="289"/>
      <c r="C62" s="289"/>
      <c r="D62" s="290"/>
      <c r="E62" s="133">
        <f>COUNTIF(D51:D57,"REC")</f>
        <v>0</v>
      </c>
      <c r="F62" s="134"/>
      <c r="G62" s="135"/>
      <c r="H62" s="135"/>
      <c r="I62" s="136"/>
      <c r="J62" s="136"/>
      <c r="K62" s="137"/>
      <c r="L62" s="288" t="s">
        <v>133</v>
      </c>
      <c r="M62" s="289"/>
      <c r="N62" s="289"/>
      <c r="O62" s="290"/>
      <c r="P62" s="133">
        <f>COUNTIF(O51:O57,"REC")</f>
        <v>0</v>
      </c>
      <c r="Q62" s="135"/>
      <c r="R62" s="135"/>
      <c r="S62" s="135"/>
      <c r="T62" s="136"/>
      <c r="U62" s="136"/>
      <c r="V62" s="137"/>
    </row>
    <row r="63" spans="1:22" s="138" customFormat="1" ht="12.75" hidden="1" customHeight="1" x14ac:dyDescent="0.2">
      <c r="A63" s="279" t="s">
        <v>130</v>
      </c>
      <c r="B63" s="280"/>
      <c r="C63" s="280"/>
      <c r="D63" s="281"/>
      <c r="E63" s="190">
        <f>IF(D51="JF",E51,0)+IF(D52="JF",E52,0)+IF(D53="JF",E53,0)+IF(D54="JF",E54,0)+IF(D55="JF",E55,0)+IF(D56="JF",E56,0)+IF(D57="JF",E57,0)</f>
        <v>0</v>
      </c>
      <c r="F63" s="134"/>
      <c r="K63" s="137"/>
      <c r="L63" s="279" t="s">
        <v>130</v>
      </c>
      <c r="M63" s="280"/>
      <c r="N63" s="280"/>
      <c r="O63" s="281"/>
      <c r="P63" s="190">
        <f>IF(O51="JF",P51,0)+IF(O52="JF",P52,0)+IF(O53="JF",P53,0)+IF(O54="JF",P54,0)+IF(O55="JF",P55,0)+IF(O56="JF",P56,0)+IF(O57="JF",P57,0)</f>
        <v>0</v>
      </c>
      <c r="Q63" s="135"/>
      <c r="R63" s="135"/>
      <c r="S63" s="135"/>
      <c r="T63" s="136"/>
      <c r="U63" s="136"/>
      <c r="V63" s="137"/>
    </row>
    <row r="64" spans="1:22" s="138" customFormat="1" ht="12.75" hidden="1" customHeight="1" x14ac:dyDescent="0.2">
      <c r="A64" s="288" t="s">
        <v>134</v>
      </c>
      <c r="B64" s="289"/>
      <c r="C64" s="289"/>
      <c r="D64" s="290"/>
      <c r="E64" s="133">
        <f>COUNTIF(D51:D57,"CE")</f>
        <v>0</v>
      </c>
      <c r="F64" s="134"/>
      <c r="K64" s="137"/>
      <c r="L64" s="288" t="s">
        <v>134</v>
      </c>
      <c r="M64" s="289"/>
      <c r="N64" s="289"/>
      <c r="O64" s="290"/>
      <c r="P64" s="133">
        <f>COUNTIF(O51:O57,"CE")</f>
        <v>0</v>
      </c>
      <c r="Q64" s="135"/>
      <c r="R64" s="135"/>
      <c r="S64" s="135"/>
      <c r="T64" s="136"/>
      <c r="U64" s="136"/>
      <c r="V64" s="137"/>
    </row>
    <row r="65" spans="1:22" s="138" customFormat="1" ht="12.75" hidden="1" customHeight="1" x14ac:dyDescent="0.2">
      <c r="A65" s="297" t="s">
        <v>135</v>
      </c>
      <c r="B65" s="298"/>
      <c r="C65" s="298"/>
      <c r="D65" s="299"/>
      <c r="E65" s="99">
        <f>COUNTIF(D51:D57,"SS")</f>
        <v>0</v>
      </c>
      <c r="F65" s="134"/>
      <c r="G65" s="135"/>
      <c r="H65" s="135"/>
      <c r="I65" s="136"/>
      <c r="J65" s="136"/>
      <c r="K65" s="137"/>
      <c r="L65" s="297" t="s">
        <v>135</v>
      </c>
      <c r="M65" s="298"/>
      <c r="N65" s="298"/>
      <c r="O65" s="299"/>
      <c r="P65" s="99">
        <f>COUNTIF(O51:O57,"SS")</f>
        <v>0</v>
      </c>
      <c r="Q65" s="135"/>
      <c r="R65" s="135"/>
      <c r="S65" s="135"/>
      <c r="T65" s="136"/>
      <c r="U65" s="136"/>
      <c r="V65" s="137"/>
    </row>
    <row r="66" spans="1:22" s="138" customFormat="1" ht="12.75" hidden="1" customHeight="1" x14ac:dyDescent="0.2">
      <c r="A66" s="279" t="s">
        <v>33</v>
      </c>
      <c r="B66" s="280"/>
      <c r="C66" s="280"/>
      <c r="D66" s="281"/>
      <c r="E66" s="191" t="e">
        <f>IF(AND(E58&gt;Config!$G$4,#REF!&gt;=35),E58-Config!$G$4,0)</f>
        <v>#REF!</v>
      </c>
      <c r="F66" s="135"/>
      <c r="G66" s="135"/>
      <c r="H66" s="135"/>
      <c r="I66" s="136"/>
      <c r="J66" s="136"/>
      <c r="K66" s="137"/>
      <c r="L66" s="279" t="s">
        <v>33</v>
      </c>
      <c r="M66" s="280"/>
      <c r="N66" s="280"/>
      <c r="O66" s="281"/>
      <c r="P66" s="191" t="e">
        <f>IF(AND(P58&gt;Config!$G$4,#REF!&gt;=35),P58-Config!$G$4,0)</f>
        <v>#REF!</v>
      </c>
      <c r="Q66" s="135"/>
      <c r="R66" s="135"/>
      <c r="S66" s="135"/>
      <c r="T66" s="136"/>
      <c r="U66" s="136"/>
      <c r="V66" s="137"/>
    </row>
    <row r="67" spans="1:22" x14ac:dyDescent="0.2">
      <c r="A67" s="319" t="str">
        <f>IF(G15=5,_xlfn.ISOWEEKNUM(C73)," ")</f>
        <v xml:space="preserve"> </v>
      </c>
      <c r="B67" s="84" t="str">
        <f>IF(G15=5,"L"," ")</f>
        <v xml:space="preserve"> </v>
      </c>
      <c r="C67" s="85" t="str">
        <f>IF(G15=5,C57+1," ")</f>
        <v xml:space="preserve"> </v>
      </c>
      <c r="D67" s="86"/>
      <c r="E67" s="115"/>
      <c r="F67" s="115"/>
      <c r="G67" s="115"/>
      <c r="H67" s="322"/>
      <c r="I67" s="323"/>
      <c r="J67" s="323"/>
      <c r="K67" s="324"/>
      <c r="L67" s="319" t="str">
        <f>IF(R14=5,_xlfn.ISOWEEKNUM(N73)," ")</f>
        <v xml:space="preserve"> </v>
      </c>
      <c r="M67" s="84" t="str">
        <f>IF(R14=5,"L"," ")</f>
        <v xml:space="preserve"> </v>
      </c>
      <c r="N67" s="85" t="str">
        <f>IF(R14=5,N57+1," ")</f>
        <v xml:space="preserve"> </v>
      </c>
      <c r="O67" s="86"/>
      <c r="P67" s="115"/>
      <c r="Q67" s="115"/>
      <c r="R67" s="115"/>
      <c r="S67" s="322"/>
      <c r="T67" s="323"/>
      <c r="U67" s="323"/>
      <c r="V67" s="324"/>
    </row>
    <row r="68" spans="1:22" x14ac:dyDescent="0.2">
      <c r="A68" s="320"/>
      <c r="B68" s="87" t="str">
        <f>IF(G15=5,"M"," ")</f>
        <v xml:space="preserve"> </v>
      </c>
      <c r="C68" s="88" t="str">
        <f>IF(G15=5,C67+1," ")</f>
        <v xml:space="preserve"> </v>
      </c>
      <c r="D68" s="89"/>
      <c r="E68" s="113"/>
      <c r="F68" s="113"/>
      <c r="G68" s="113"/>
      <c r="H68" s="313"/>
      <c r="I68" s="314"/>
      <c r="J68" s="314"/>
      <c r="K68" s="315"/>
      <c r="L68" s="320"/>
      <c r="M68" s="87" t="str">
        <f>IF(R14=5,"M"," ")</f>
        <v xml:space="preserve"> </v>
      </c>
      <c r="N68" s="88" t="str">
        <f>IF(R14=5,N67+1," ")</f>
        <v xml:space="preserve"> </v>
      </c>
      <c r="O68" s="89"/>
      <c r="P68" s="113"/>
      <c r="Q68" s="113"/>
      <c r="R68" s="113"/>
      <c r="S68" s="313"/>
      <c r="T68" s="314"/>
      <c r="U68" s="314"/>
      <c r="V68" s="315"/>
    </row>
    <row r="69" spans="1:22" x14ac:dyDescent="0.2">
      <c r="A69" s="320"/>
      <c r="B69" s="87" t="str">
        <f>IF(G15=5,"Me"," ")</f>
        <v xml:space="preserve"> </v>
      </c>
      <c r="C69" s="88" t="str">
        <f>IF(G15=5,C68+1," ")</f>
        <v xml:space="preserve"> </v>
      </c>
      <c r="D69" s="89"/>
      <c r="E69" s="113"/>
      <c r="F69" s="113"/>
      <c r="G69" s="113"/>
      <c r="H69" s="313"/>
      <c r="I69" s="314"/>
      <c r="J69" s="314"/>
      <c r="K69" s="315"/>
      <c r="L69" s="320"/>
      <c r="M69" s="87" t="str">
        <f>IF(R14=5,"Me"," ")</f>
        <v xml:space="preserve"> </v>
      </c>
      <c r="N69" s="88" t="str">
        <f>IF(R14=5,N68+1," ")</f>
        <v xml:space="preserve"> </v>
      </c>
      <c r="O69" s="89"/>
      <c r="P69" s="113"/>
      <c r="Q69" s="113"/>
      <c r="R69" s="113"/>
      <c r="S69" s="313"/>
      <c r="T69" s="314"/>
      <c r="U69" s="314"/>
      <c r="V69" s="315"/>
    </row>
    <row r="70" spans="1:22" x14ac:dyDescent="0.2">
      <c r="A70" s="320"/>
      <c r="B70" s="87" t="str">
        <f>IF(G15=5,"J"," ")</f>
        <v xml:space="preserve"> </v>
      </c>
      <c r="C70" s="88" t="str">
        <f>IF(G15=5,C69+1," ")</f>
        <v xml:space="preserve"> </v>
      </c>
      <c r="D70" s="89"/>
      <c r="E70" s="113"/>
      <c r="F70" s="113"/>
      <c r="G70" s="113"/>
      <c r="H70" s="313"/>
      <c r="I70" s="314"/>
      <c r="J70" s="314"/>
      <c r="K70" s="315"/>
      <c r="L70" s="320"/>
      <c r="M70" s="87" t="str">
        <f>IF(R14=5,"J"," ")</f>
        <v xml:space="preserve"> </v>
      </c>
      <c r="N70" s="88" t="str">
        <f>IF(R14=5,N69+1," ")</f>
        <v xml:space="preserve"> </v>
      </c>
      <c r="O70" s="89"/>
      <c r="P70" s="113"/>
      <c r="Q70" s="113"/>
      <c r="R70" s="113"/>
      <c r="S70" s="313"/>
      <c r="T70" s="314"/>
      <c r="U70" s="314"/>
      <c r="V70" s="315"/>
    </row>
    <row r="71" spans="1:22" x14ac:dyDescent="0.2">
      <c r="A71" s="320"/>
      <c r="B71" s="87" t="str">
        <f>IF(G15=5,"V"," ")</f>
        <v xml:space="preserve"> </v>
      </c>
      <c r="C71" s="88" t="str">
        <f>IF(G15=5,C70+1," ")</f>
        <v xml:space="preserve"> </v>
      </c>
      <c r="D71" s="89"/>
      <c r="E71" s="113"/>
      <c r="F71" s="113"/>
      <c r="G71" s="113"/>
      <c r="H71" s="313"/>
      <c r="I71" s="314"/>
      <c r="J71" s="314"/>
      <c r="K71" s="315"/>
      <c r="L71" s="320"/>
      <c r="M71" s="87" t="str">
        <f>IF(R14=5,"V"," ")</f>
        <v xml:space="preserve"> </v>
      </c>
      <c r="N71" s="88" t="str">
        <f>IF(R14=5,N70+1," ")</f>
        <v xml:space="preserve"> </v>
      </c>
      <c r="O71" s="89"/>
      <c r="P71" s="113"/>
      <c r="Q71" s="113"/>
      <c r="R71" s="113"/>
      <c r="S71" s="313"/>
      <c r="T71" s="314"/>
      <c r="U71" s="314"/>
      <c r="V71" s="315"/>
    </row>
    <row r="72" spans="1:22" x14ac:dyDescent="0.2">
      <c r="A72" s="320"/>
      <c r="B72" s="90" t="str">
        <f>IF(G15=5,"S"," ")</f>
        <v xml:space="preserve"> </v>
      </c>
      <c r="C72" s="91" t="str">
        <f>IF(G15=5,C71+1," ")</f>
        <v xml:space="preserve"> </v>
      </c>
      <c r="D72" s="92"/>
      <c r="E72" s="116"/>
      <c r="F72" s="116"/>
      <c r="G72" s="116"/>
      <c r="H72" s="316"/>
      <c r="I72" s="317"/>
      <c r="J72" s="317"/>
      <c r="K72" s="318"/>
      <c r="L72" s="320"/>
      <c r="M72" s="90" t="str">
        <f>IF(R14=5,"S"," ")</f>
        <v xml:space="preserve"> </v>
      </c>
      <c r="N72" s="91" t="str">
        <f>IF(R14=5,N71+1," ")</f>
        <v xml:space="preserve"> </v>
      </c>
      <c r="O72" s="92"/>
      <c r="P72" s="116"/>
      <c r="Q72" s="116"/>
      <c r="R72" s="116"/>
      <c r="S72" s="316"/>
      <c r="T72" s="317"/>
      <c r="U72" s="317"/>
      <c r="V72" s="318"/>
    </row>
    <row r="73" spans="1:22" x14ac:dyDescent="0.2">
      <c r="A73" s="321"/>
      <c r="B73" s="93" t="str">
        <f>IF(G15=5,"D"," ")</f>
        <v xml:space="preserve"> </v>
      </c>
      <c r="C73" s="94" t="str">
        <f>IF(G15=5,C72+1," ")</f>
        <v xml:space="preserve"> </v>
      </c>
      <c r="D73" s="95"/>
      <c r="E73" s="114"/>
      <c r="F73" s="114"/>
      <c r="G73" s="114"/>
      <c r="H73" s="310"/>
      <c r="I73" s="311"/>
      <c r="J73" s="311"/>
      <c r="K73" s="312"/>
      <c r="L73" s="321"/>
      <c r="M73" s="93" t="str">
        <f>IF(R14=5,"D"," ")</f>
        <v xml:space="preserve"> </v>
      </c>
      <c r="N73" s="94" t="str">
        <f>IF(R14=5,N72+1," ")</f>
        <v xml:space="preserve"> </v>
      </c>
      <c r="O73" s="95"/>
      <c r="P73" s="114"/>
      <c r="Q73" s="114"/>
      <c r="R73" s="114"/>
      <c r="S73" s="310"/>
      <c r="T73" s="311"/>
      <c r="U73" s="311"/>
      <c r="V73" s="312"/>
    </row>
    <row r="74" spans="1:22" x14ac:dyDescent="0.2">
      <c r="A74" s="307" t="s">
        <v>32</v>
      </c>
      <c r="B74" s="308"/>
      <c r="C74" s="308"/>
      <c r="D74" s="309"/>
      <c r="E74" s="130">
        <f>SUM(E67:E73)+G74</f>
        <v>0</v>
      </c>
      <c r="F74" s="131">
        <f>SUM(F67:F73)</f>
        <v>0</v>
      </c>
      <c r="G74" s="132">
        <f>SUM(G67:G73)</f>
        <v>0</v>
      </c>
      <c r="H74" s="185" t="s">
        <v>125</v>
      </c>
      <c r="I74" s="210">
        <f>IF(AND(INDEX(Agents[],MATCH($A$1,Agent,1),11)&lt;=C73,INDEX(Agents[],MATCH($A$1,Agent,1),12)&gt;=C73),(G76+G77)-E82,0)</f>
        <v>0</v>
      </c>
      <c r="J74" s="186" t="s">
        <v>56</v>
      </c>
      <c r="K74" s="210" t="e">
        <f>IF(G74&gt;=E82,0,E82-G74)</f>
        <v>#REF!</v>
      </c>
      <c r="L74" s="307" t="s">
        <v>32</v>
      </c>
      <c r="M74" s="308"/>
      <c r="N74" s="308"/>
      <c r="O74" s="309"/>
      <c r="P74" s="130">
        <f>SUM(P67:P73)+R74</f>
        <v>0</v>
      </c>
      <c r="Q74" s="131">
        <f>SUM(Q67:Q73)</f>
        <v>0</v>
      </c>
      <c r="R74" s="131">
        <f>SUM(R67:R73)</f>
        <v>0</v>
      </c>
      <c r="S74" s="185" t="s">
        <v>125</v>
      </c>
      <c r="T74" s="210">
        <f>IF(AND(INDEX(Agents[],MATCH($A$1,Agent,1),11)&lt;=N73,INDEX(Agents[],MATCH($A$1,Agent,1),12)&gt;=N73),(R76+R77)-P82,0)</f>
        <v>0</v>
      </c>
      <c r="U74" s="186" t="s">
        <v>56</v>
      </c>
      <c r="V74" s="210" t="e">
        <f>IF(R74&gt;=P82,0,P82-R74)</f>
        <v>#REF!</v>
      </c>
    </row>
    <row r="75" spans="1:22" s="138" customFormat="1" ht="13.5" hidden="1" customHeight="1" thickBot="1" x14ac:dyDescent="0.25">
      <c r="A75" s="288" t="s">
        <v>128</v>
      </c>
      <c r="B75" s="289"/>
      <c r="C75" s="289"/>
      <c r="D75" s="290"/>
      <c r="E75" s="133">
        <f>COUNTIF(D67:D73,"CP")</f>
        <v>0</v>
      </c>
      <c r="F75" s="279" t="s">
        <v>129</v>
      </c>
      <c r="G75" s="304"/>
      <c r="H75" s="190">
        <f>IF(D67="CP",E67,0)+IF(D68="CP",E68,0)+IF(D69="CP",E69,0)+IF(D70="CP",E70,0)+IF(D71="CP",E71,0)+IF(D72="CP",E72,0)+IF(D73="CP",E73,0)</f>
        <v>0</v>
      </c>
      <c r="I75" s="136"/>
      <c r="J75" s="305" t="s">
        <v>59</v>
      </c>
      <c r="K75" s="306"/>
      <c r="L75" s="288" t="s">
        <v>128</v>
      </c>
      <c r="M75" s="289"/>
      <c r="N75" s="289"/>
      <c r="O75" s="290"/>
      <c r="P75" s="133">
        <f>COUNTIF(O67:O73,"CP")</f>
        <v>0</v>
      </c>
      <c r="Q75" s="279" t="s">
        <v>129</v>
      </c>
      <c r="R75" s="304"/>
      <c r="S75" s="190">
        <f>IF(O67="CP",P67,0)+IF(O68="CP",P68,0)+IF(O69="CP",P69,0)+IF(O70="CP",P70,0)+IF(O71="CP",P71,0)+IF(O72="CP",P72,0)+IF(O73="CP",P73,0)</f>
        <v>0</v>
      </c>
      <c r="T75" s="136"/>
      <c r="U75" s="305" t="s">
        <v>59</v>
      </c>
      <c r="V75" s="306"/>
    </row>
    <row r="76" spans="1:22" s="138" customFormat="1" ht="12.75" hidden="1" customHeight="1" x14ac:dyDescent="0.2">
      <c r="A76" s="288" t="s">
        <v>131</v>
      </c>
      <c r="B76" s="289"/>
      <c r="C76" s="289"/>
      <c r="D76" s="290"/>
      <c r="E76" s="133">
        <f>COUNTIF(D67:D73,"AM")</f>
        <v>0</v>
      </c>
      <c r="F76" s="134"/>
      <c r="G76" s="140" t="e">
        <f>IF(AND(E74&gt;#REF!,#REF!&gt;=35),E74-#REF!,0)</f>
        <v>#REF!</v>
      </c>
      <c r="H76" s="300" t="s">
        <v>89</v>
      </c>
      <c r="I76" s="301"/>
      <c r="J76" s="148" t="s">
        <v>73</v>
      </c>
      <c r="K76" s="174">
        <f>INDEX(Agents[],MATCH(A1,Agent,1),9)</f>
        <v>1600</v>
      </c>
      <c r="L76" s="288" t="s">
        <v>131</v>
      </c>
      <c r="M76" s="289"/>
      <c r="N76" s="289"/>
      <c r="O76" s="290"/>
      <c r="P76" s="133">
        <f>COUNTIF(O67:O73,"AM")</f>
        <v>0</v>
      </c>
      <c r="Q76" s="134"/>
      <c r="R76" s="140" t="e">
        <f>IF(AND(P74&gt;#REF!,#REF!&gt;=35),P74-#REF!,0)</f>
        <v>#REF!</v>
      </c>
      <c r="S76" s="300" t="s">
        <v>89</v>
      </c>
      <c r="T76" s="301"/>
      <c r="U76" s="148" t="s">
        <v>72</v>
      </c>
      <c r="V76" s="149" t="e">
        <f>K76*#REF!</f>
        <v>#REF!</v>
      </c>
    </row>
    <row r="77" spans="1:22" s="138" customFormat="1" ht="13.5" hidden="1" customHeight="1" thickBot="1" x14ac:dyDescent="0.25">
      <c r="A77" s="288" t="s">
        <v>132</v>
      </c>
      <c r="B77" s="289"/>
      <c r="C77" s="289"/>
      <c r="D77" s="290"/>
      <c r="E77" s="133">
        <f>COUNTIF(D67:D73,"AT")</f>
        <v>0</v>
      </c>
      <c r="F77" s="135"/>
      <c r="G77" s="143" t="e">
        <f>IF(AND(E78&gt;=0,E74+(E81*#REF!)&lt;#REF!),E74+(E81*#REF!)-#REF!,0)</f>
        <v>#REF!</v>
      </c>
      <c r="H77" s="302"/>
      <c r="I77" s="303"/>
      <c r="J77" s="148" t="s">
        <v>72</v>
      </c>
      <c r="K77" s="150" t="e">
        <f>K76*#REF!</f>
        <v>#REF!</v>
      </c>
      <c r="L77" s="288" t="s">
        <v>132</v>
      </c>
      <c r="M77" s="289"/>
      <c r="N77" s="289"/>
      <c r="O77" s="290"/>
      <c r="P77" s="133">
        <f>COUNTIF(O67:O73,"AT")</f>
        <v>0</v>
      </c>
      <c r="Q77" s="135"/>
      <c r="R77" s="143" t="e">
        <f>IF(AND(P78&gt;=0,P74+(P81*#REF!)&lt;#REF!),P74+(P81*#REF!)-#REF!,0)</f>
        <v>#REF!</v>
      </c>
      <c r="S77" s="302"/>
      <c r="T77" s="303"/>
      <c r="U77" s="151" t="s">
        <v>60</v>
      </c>
      <c r="V77" s="152" t="e">
        <f>V76/12</f>
        <v>#REF!</v>
      </c>
    </row>
    <row r="78" spans="1:22" s="138" customFormat="1" ht="12.75" hidden="1" customHeight="1" x14ac:dyDescent="0.2">
      <c r="A78" s="288" t="s">
        <v>133</v>
      </c>
      <c r="B78" s="289"/>
      <c r="C78" s="289"/>
      <c r="D78" s="290"/>
      <c r="E78" s="133">
        <f>COUNTIF(D67:D73,"REC")</f>
        <v>0</v>
      </c>
      <c r="J78" s="148" t="s">
        <v>60</v>
      </c>
      <c r="K78" s="149" t="e">
        <f>K77/12</f>
        <v>#REF!</v>
      </c>
      <c r="L78" s="288" t="s">
        <v>133</v>
      </c>
      <c r="M78" s="289"/>
      <c r="N78" s="289"/>
      <c r="O78" s="290"/>
      <c r="P78" s="133">
        <f>COUNTIF(O67:O73,"REC")</f>
        <v>0</v>
      </c>
      <c r="Q78" s="135"/>
      <c r="R78" s="135"/>
      <c r="S78" s="135"/>
      <c r="T78" s="136"/>
      <c r="U78" s="136"/>
      <c r="V78" s="153"/>
    </row>
    <row r="79" spans="1:22" s="138" customFormat="1" ht="13.5" hidden="1" customHeight="1" thickBot="1" x14ac:dyDescent="0.25">
      <c r="A79" s="279" t="s">
        <v>130</v>
      </c>
      <c r="B79" s="280"/>
      <c r="C79" s="280"/>
      <c r="D79" s="281"/>
      <c r="E79" s="190">
        <f>IF(D67="JF",E67,0)+IF(D68="JF",E68,0)+IF(D69="JF",E69,0)+IF(D70="JF",E70,0)+IF(D71="JF",E71,0)+IF(D72="JF",E72,0)+IF(D73="JF",E73,0)</f>
        <v>0</v>
      </c>
      <c r="J79" s="151" t="s">
        <v>58</v>
      </c>
      <c r="K79" s="152" t="e">
        <f>(K78+V77+#REF!+#REF!+#REF!+#REF!+#REF!+#REF!+#REF!+#REF!+#REF!+#REF!)-(#REF!*7)</f>
        <v>#REF!</v>
      </c>
      <c r="L79" s="279" t="s">
        <v>130</v>
      </c>
      <c r="M79" s="280"/>
      <c r="N79" s="280"/>
      <c r="O79" s="281"/>
      <c r="P79" s="190">
        <f>IF(O67="JF",P67,0)+IF(O68="JF",P68,0)+IF(O69="JF",P69,0)+IF(O70="JF",P70,0)+IF(O71="JF",P71,0)+IF(O72="JF",P72,0)+IF(O73="JF",P73,0)</f>
        <v>0</v>
      </c>
      <c r="Q79" s="135"/>
      <c r="R79" s="135"/>
      <c r="S79" s="135"/>
      <c r="T79" s="136"/>
      <c r="U79" s="136"/>
      <c r="V79" s="137"/>
    </row>
    <row r="80" spans="1:22" s="138" customFormat="1" ht="12.75" hidden="1" customHeight="1" x14ac:dyDescent="0.2">
      <c r="A80" s="288" t="s">
        <v>134</v>
      </c>
      <c r="B80" s="289"/>
      <c r="C80" s="289"/>
      <c r="D80" s="290"/>
      <c r="E80" s="133">
        <f>COUNTIF(D67:D73,"CE")</f>
        <v>0</v>
      </c>
      <c r="F80" s="291" t="b">
        <v>0</v>
      </c>
      <c r="G80" s="293" t="s">
        <v>124</v>
      </c>
      <c r="H80" s="293"/>
      <c r="I80" s="294"/>
      <c r="J80" s="136"/>
      <c r="K80" s="137"/>
      <c r="L80" s="288" t="s">
        <v>134</v>
      </c>
      <c r="M80" s="289"/>
      <c r="N80" s="289"/>
      <c r="O80" s="290"/>
      <c r="P80" s="133">
        <f>COUNTIF(O67:O73,"CE")</f>
        <v>0</v>
      </c>
      <c r="Q80" s="291" t="b">
        <v>0</v>
      </c>
      <c r="R80" s="293" t="s">
        <v>124</v>
      </c>
      <c r="S80" s="293"/>
      <c r="T80" s="294"/>
      <c r="U80" s="136"/>
      <c r="V80" s="137"/>
    </row>
    <row r="81" spans="1:24" s="138" customFormat="1" ht="13.5" hidden="1" customHeight="1" thickBot="1" x14ac:dyDescent="0.25">
      <c r="A81" s="297" t="s">
        <v>135</v>
      </c>
      <c r="B81" s="298"/>
      <c r="C81" s="298"/>
      <c r="D81" s="299"/>
      <c r="E81" s="99">
        <f>COUNTIF(D67:D73,"SS")</f>
        <v>0</v>
      </c>
      <c r="F81" s="292"/>
      <c r="G81" s="295"/>
      <c r="H81" s="295"/>
      <c r="I81" s="296"/>
      <c r="J81" s="136"/>
      <c r="K81" s="137"/>
      <c r="L81" s="297" t="s">
        <v>135</v>
      </c>
      <c r="M81" s="298"/>
      <c r="N81" s="298"/>
      <c r="O81" s="299"/>
      <c r="P81" s="99">
        <f>COUNTIF(O67:O73,"SS")</f>
        <v>0</v>
      </c>
      <c r="Q81" s="292"/>
      <c r="R81" s="295"/>
      <c r="S81" s="295"/>
      <c r="T81" s="296"/>
      <c r="U81" s="136"/>
      <c r="V81" s="137"/>
    </row>
    <row r="82" spans="1:24" s="138" customFormat="1" ht="12.75" hidden="1" customHeight="1" x14ac:dyDescent="0.2">
      <c r="A82" s="279" t="s">
        <v>33</v>
      </c>
      <c r="B82" s="280"/>
      <c r="C82" s="280"/>
      <c r="D82" s="281"/>
      <c r="E82" s="191" t="e">
        <f>IF(AND(E74&gt;Config!$G$4,#REF!&gt;=35),E74-Config!$G$4,0)</f>
        <v>#REF!</v>
      </c>
      <c r="F82" s="282" t="s">
        <v>46</v>
      </c>
      <c r="G82" s="283"/>
      <c r="H82" s="284"/>
      <c r="I82" s="188" t="e">
        <f>SUM(G76:G77)</f>
        <v>#REF!</v>
      </c>
      <c r="J82" s="136"/>
      <c r="K82" s="137"/>
      <c r="L82" s="279" t="s">
        <v>33</v>
      </c>
      <c r="M82" s="280"/>
      <c r="N82" s="280"/>
      <c r="O82" s="281"/>
      <c r="P82" s="191" t="e">
        <f>IF(AND(P74&gt;Config!$G$4,#REF!&gt;=35),P74-Config!$G$4,0)</f>
        <v>#REF!</v>
      </c>
      <c r="Q82" s="285" t="s">
        <v>46</v>
      </c>
      <c r="R82" s="286"/>
      <c r="S82" s="287"/>
      <c r="T82" s="154" t="e">
        <f>SUM(R76:R77)</f>
        <v>#REF!</v>
      </c>
      <c r="U82" s="136"/>
      <c r="V82" s="137"/>
    </row>
    <row r="83" spans="1:24" x14ac:dyDescent="0.2">
      <c r="A83" s="276" t="s">
        <v>34</v>
      </c>
      <c r="B83" s="277"/>
      <c r="C83" s="277"/>
      <c r="D83" s="278"/>
      <c r="E83" s="155">
        <f>E74+E58+E42+E26+E10</f>
        <v>0</v>
      </c>
      <c r="F83" s="155">
        <f>F74+F58+F42+F26+F10</f>
        <v>0</v>
      </c>
      <c r="G83" s="156">
        <f>G74+G58+G42+G26+G10</f>
        <v>0</v>
      </c>
      <c r="H83" s="192" t="s">
        <v>125</v>
      </c>
      <c r="I83" s="209">
        <f>I74+I58+I42+I26+I10</f>
        <v>0</v>
      </c>
      <c r="J83" s="193" t="s">
        <v>56</v>
      </c>
      <c r="K83" s="209" t="e">
        <f>K74+K58+K42+K26+K10</f>
        <v>#REF!</v>
      </c>
      <c r="L83" s="276" t="s">
        <v>34</v>
      </c>
      <c r="M83" s="277"/>
      <c r="N83" s="277"/>
      <c r="O83" s="278"/>
      <c r="P83" s="155">
        <f>P74+P58+P42+P26+P10</f>
        <v>149</v>
      </c>
      <c r="Q83" s="155">
        <f>Q74+Q58+Q42+Q26+Q10</f>
        <v>0</v>
      </c>
      <c r="R83" s="155">
        <f>R74+R58+R42+R26+R10</f>
        <v>0</v>
      </c>
      <c r="S83" s="192" t="s">
        <v>125</v>
      </c>
      <c r="T83" s="209">
        <f>T74+T58+T42+T26+T10</f>
        <v>0</v>
      </c>
      <c r="U83" s="193" t="s">
        <v>56</v>
      </c>
      <c r="V83" s="209" t="e">
        <f>V74+V58+V42+V26+V10</f>
        <v>#REF!</v>
      </c>
      <c r="X83" s="128"/>
    </row>
    <row r="84" spans="1:24" x14ac:dyDescent="0.2">
      <c r="A84" s="206"/>
      <c r="B84" s="206"/>
      <c r="C84" s="206"/>
      <c r="D84" s="206"/>
      <c r="I84" s="158"/>
    </row>
    <row r="85" spans="1:24" ht="12.75" customHeight="1" x14ac:dyDescent="0.2">
      <c r="A85" s="208" t="s">
        <v>140</v>
      </c>
      <c r="B85" s="207"/>
      <c r="C85" s="207"/>
      <c r="D85" s="207"/>
      <c r="E85" s="207"/>
      <c r="F85" s="271">
        <f>INDEX(Agents[],MATCH(A1,Agent,1),5)</f>
        <v>0</v>
      </c>
      <c r="G85" s="272"/>
      <c r="I85" s="273" t="s">
        <v>45</v>
      </c>
      <c r="J85" s="274"/>
      <c r="K85" s="275"/>
      <c r="L85" s="207" t="s">
        <v>55</v>
      </c>
      <c r="M85" s="207"/>
      <c r="N85" s="207"/>
      <c r="O85" s="207"/>
      <c r="P85" s="207"/>
      <c r="Q85" s="271">
        <f>INDEX(Agents[],MATCH(L1,Agent,1),5)</f>
        <v>0</v>
      </c>
      <c r="R85" s="272"/>
      <c r="S85" s="157"/>
      <c r="T85" s="273" t="s">
        <v>45</v>
      </c>
      <c r="U85" s="274"/>
      <c r="V85" s="275"/>
    </row>
    <row r="86" spans="1:24" ht="12.75" customHeight="1" thickBot="1" x14ac:dyDescent="0.25">
      <c r="A86" s="253" t="s">
        <v>36</v>
      </c>
      <c r="B86" s="254"/>
      <c r="C86" s="254"/>
      <c r="D86" s="254"/>
      <c r="E86" s="254"/>
      <c r="F86" s="269">
        <f>E75+E59+E43+E27+E11</f>
        <v>0</v>
      </c>
      <c r="G86" s="270"/>
      <c r="I86" s="161"/>
      <c r="J86" s="159"/>
      <c r="K86" s="162"/>
      <c r="L86" s="254" t="s">
        <v>36</v>
      </c>
      <c r="M86" s="254"/>
      <c r="N86" s="254"/>
      <c r="O86" s="254"/>
      <c r="P86" s="254"/>
      <c r="Q86" s="269">
        <f>P75+P59+P43+P27+P11</f>
        <v>0</v>
      </c>
      <c r="R86" s="270"/>
      <c r="S86" s="157"/>
      <c r="T86" s="161"/>
      <c r="U86" s="159"/>
      <c r="V86" s="162"/>
    </row>
    <row r="87" spans="1:24" ht="13.5" thickTop="1" x14ac:dyDescent="0.2">
      <c r="A87" s="261" t="s">
        <v>37</v>
      </c>
      <c r="B87" s="262"/>
      <c r="C87" s="262"/>
      <c r="D87" s="262"/>
      <c r="E87" s="262"/>
      <c r="F87" s="267">
        <f>F85-F86</f>
        <v>0</v>
      </c>
      <c r="G87" s="268"/>
      <c r="H87" s="206"/>
      <c r="I87" s="253" t="s">
        <v>139</v>
      </c>
      <c r="J87" s="254"/>
      <c r="K87" s="173"/>
      <c r="L87" s="262" t="s">
        <v>37</v>
      </c>
      <c r="M87" s="262"/>
      <c r="N87" s="262"/>
      <c r="O87" s="262"/>
      <c r="P87" s="262"/>
      <c r="Q87" s="267">
        <f>Q85-Q86</f>
        <v>0</v>
      </c>
      <c r="R87" s="268"/>
      <c r="S87" s="206"/>
      <c r="T87" s="253" t="s">
        <v>54</v>
      </c>
      <c r="U87" s="254"/>
      <c r="V87" s="173">
        <f>K91</f>
        <v>0</v>
      </c>
    </row>
    <row r="88" spans="1:24" x14ac:dyDescent="0.2">
      <c r="I88" s="253" t="s">
        <v>47</v>
      </c>
      <c r="J88" s="254"/>
      <c r="K88" s="163">
        <f>I83</f>
        <v>0</v>
      </c>
      <c r="S88" s="157"/>
      <c r="T88" s="253" t="s">
        <v>47</v>
      </c>
      <c r="U88" s="254"/>
      <c r="V88" s="163">
        <f>T83</f>
        <v>0</v>
      </c>
    </row>
    <row r="89" spans="1:24" x14ac:dyDescent="0.2">
      <c r="A89" s="265" t="s">
        <v>15</v>
      </c>
      <c r="B89" s="266"/>
      <c r="C89" s="266"/>
      <c r="D89" s="266"/>
      <c r="E89" s="266"/>
      <c r="F89" s="249">
        <f>E76+E60+E44+E28+E12</f>
        <v>0</v>
      </c>
      <c r="G89" s="250"/>
      <c r="H89" s="206"/>
      <c r="I89" s="253" t="s">
        <v>49</v>
      </c>
      <c r="J89" s="254"/>
      <c r="K89" s="169"/>
      <c r="L89" s="265" t="s">
        <v>15</v>
      </c>
      <c r="M89" s="266"/>
      <c r="N89" s="266"/>
      <c r="O89" s="266"/>
      <c r="P89" s="266"/>
      <c r="Q89" s="249">
        <f>P76+P60+P44+P28+P12</f>
        <v>0</v>
      </c>
      <c r="R89" s="250"/>
      <c r="S89" s="206"/>
      <c r="T89" s="253" t="s">
        <v>49</v>
      </c>
      <c r="U89" s="254"/>
      <c r="V89" s="169"/>
    </row>
    <row r="90" spans="1:24" ht="13.5" thickBot="1" x14ac:dyDescent="0.25">
      <c r="A90" s="261" t="s">
        <v>17</v>
      </c>
      <c r="B90" s="262"/>
      <c r="C90" s="262"/>
      <c r="D90" s="262"/>
      <c r="E90" s="262"/>
      <c r="F90" s="263">
        <f>E77+E61+E45+E29+E13</f>
        <v>0</v>
      </c>
      <c r="G90" s="264"/>
      <c r="I90" s="161"/>
      <c r="J90" s="159"/>
      <c r="K90" s="163"/>
      <c r="L90" s="261" t="s">
        <v>17</v>
      </c>
      <c r="M90" s="262"/>
      <c r="N90" s="262"/>
      <c r="O90" s="262"/>
      <c r="P90" s="262"/>
      <c r="Q90" s="263">
        <f>P77+P61+P45+P29+P13</f>
        <v>0</v>
      </c>
      <c r="R90" s="264"/>
      <c r="S90" s="157"/>
      <c r="T90" s="161"/>
      <c r="U90" s="159"/>
      <c r="V90" s="163"/>
    </row>
    <row r="91" spans="1:24" ht="13.5" thickTop="1" x14ac:dyDescent="0.2">
      <c r="I91" s="253" t="s">
        <v>48</v>
      </c>
      <c r="J91" s="254"/>
      <c r="K91" s="164">
        <f>(K87+K88+F92)-K89</f>
        <v>0</v>
      </c>
      <c r="S91" s="157"/>
      <c r="T91" s="253" t="s">
        <v>48</v>
      </c>
      <c r="U91" s="254"/>
      <c r="V91" s="164">
        <f>(V87+V88+Q92)-V89</f>
        <v>0</v>
      </c>
    </row>
    <row r="92" spans="1:24" ht="12.75" customHeight="1" x14ac:dyDescent="0.2">
      <c r="A92" s="245" t="s">
        <v>137</v>
      </c>
      <c r="B92" s="246"/>
      <c r="C92" s="246"/>
      <c r="D92" s="246"/>
      <c r="E92" s="246"/>
      <c r="F92" s="249">
        <f>IF(F80=FALSE,G83*20%,0)</f>
        <v>0</v>
      </c>
      <c r="G92" s="250"/>
      <c r="I92" s="165"/>
      <c r="J92" s="166"/>
      <c r="K92" s="167" t="e">
        <f>IF(I83+K83+K87&gt;30,K87+K88,I83+K83)</f>
        <v>#REF!</v>
      </c>
      <c r="L92" s="245" t="s">
        <v>137</v>
      </c>
      <c r="M92" s="246"/>
      <c r="N92" s="246"/>
      <c r="O92" s="246"/>
      <c r="P92" s="246"/>
      <c r="Q92" s="249">
        <f>IF(Q80=FALSE,R83*20%,0)</f>
        <v>0</v>
      </c>
      <c r="R92" s="250"/>
      <c r="S92" s="157"/>
      <c r="T92" s="165"/>
      <c r="U92" s="166"/>
      <c r="V92" s="167" t="e">
        <f>IF(T83+V83+V87&gt;30,V87+V88,T83+V83)</f>
        <v>#REF!</v>
      </c>
    </row>
    <row r="93" spans="1:24" x14ac:dyDescent="0.2">
      <c r="A93" s="247"/>
      <c r="B93" s="248"/>
      <c r="C93" s="248"/>
      <c r="D93" s="248"/>
      <c r="E93" s="248"/>
      <c r="F93" s="251"/>
      <c r="G93" s="252"/>
      <c r="H93" s="206"/>
      <c r="I93" s="159"/>
      <c r="J93" s="159"/>
      <c r="K93" s="159"/>
      <c r="L93" s="247"/>
      <c r="M93" s="248"/>
      <c r="N93" s="248"/>
      <c r="O93" s="248"/>
      <c r="P93" s="248"/>
      <c r="Q93" s="251"/>
      <c r="R93" s="252"/>
      <c r="S93" s="206"/>
      <c r="T93" s="159"/>
      <c r="U93" s="159"/>
      <c r="V93" s="159"/>
      <c r="W93" s="159"/>
    </row>
    <row r="94" spans="1:24" ht="12.75" customHeight="1" x14ac:dyDescent="0.2">
      <c r="A94" s="247" t="s">
        <v>138</v>
      </c>
      <c r="B94" s="248"/>
      <c r="C94" s="248"/>
      <c r="D94" s="248"/>
      <c r="E94" s="248"/>
      <c r="F94" s="257"/>
      <c r="G94" s="258"/>
      <c r="I94" s="159"/>
      <c r="J94" s="159"/>
      <c r="K94" s="159"/>
      <c r="L94" s="247" t="s">
        <v>138</v>
      </c>
      <c r="M94" s="248"/>
      <c r="N94" s="248"/>
      <c r="O94" s="248"/>
      <c r="P94" s="248"/>
      <c r="Q94" s="257"/>
      <c r="R94" s="258"/>
      <c r="S94" s="157"/>
      <c r="T94" s="159"/>
      <c r="U94" s="159"/>
      <c r="V94" s="159"/>
    </row>
    <row r="95" spans="1:24" x14ac:dyDescent="0.2">
      <c r="A95" s="255"/>
      <c r="B95" s="256"/>
      <c r="C95" s="256"/>
      <c r="D95" s="256"/>
      <c r="E95" s="256"/>
      <c r="F95" s="259"/>
      <c r="G95" s="260"/>
      <c r="H95" s="189"/>
      <c r="I95" s="159"/>
      <c r="J95"/>
      <c r="K95" s="159"/>
      <c r="L95" s="255"/>
      <c r="M95" s="256"/>
      <c r="N95" s="256"/>
      <c r="O95" s="256"/>
      <c r="P95" s="256"/>
      <c r="Q95" s="259"/>
      <c r="R95" s="260"/>
      <c r="S95" s="189"/>
      <c r="T95" s="159"/>
      <c r="U95"/>
      <c r="V95" s="159"/>
    </row>
    <row r="96" spans="1:24" ht="13.5" customHeight="1" x14ac:dyDescent="0.2">
      <c r="H96" s="189"/>
      <c r="I96" s="159"/>
      <c r="J96" s="159"/>
      <c r="K96" s="159"/>
      <c r="S96" s="189"/>
      <c r="T96" s="159"/>
      <c r="U96" s="159"/>
      <c r="V96" s="159"/>
    </row>
    <row r="97" spans="1:22" x14ac:dyDescent="0.2">
      <c r="H97" s="206"/>
      <c r="I97" s="159"/>
      <c r="J97" s="159"/>
      <c r="K97" s="159"/>
      <c r="S97" s="206"/>
      <c r="T97" s="159"/>
      <c r="U97" s="159"/>
      <c r="V97" s="159"/>
    </row>
    <row r="98" spans="1:22" x14ac:dyDescent="0.2">
      <c r="J98" s="159"/>
      <c r="K98" s="159"/>
      <c r="L98" s="206"/>
      <c r="M98" s="157"/>
      <c r="N98" s="157"/>
      <c r="O98" s="157"/>
      <c r="P98" s="157"/>
      <c r="Q98" s="157"/>
      <c r="R98" s="157"/>
      <c r="S98" s="157"/>
    </row>
    <row r="99" spans="1:22" x14ac:dyDescent="0.2">
      <c r="A99" s="158"/>
      <c r="B99" s="158"/>
      <c r="C99" s="158"/>
      <c r="D99" s="158"/>
      <c r="E99" s="158"/>
      <c r="L99" s="158"/>
      <c r="M99" s="158"/>
      <c r="N99" s="158"/>
      <c r="O99" s="158"/>
      <c r="P99" s="158"/>
      <c r="Q99" s="157"/>
      <c r="R99" s="157"/>
      <c r="S99" s="157"/>
    </row>
    <row r="101" spans="1:22" x14ac:dyDescent="0.2">
      <c r="A101" s="239" t="s">
        <v>57</v>
      </c>
      <c r="B101" s="240"/>
      <c r="C101" s="240"/>
      <c r="D101" s="240"/>
      <c r="E101" s="175" t="e">
        <f>K79</f>
        <v>#REF!</v>
      </c>
      <c r="F101" s="241" t="e">
        <f>E101-F104</f>
        <v>#REF!</v>
      </c>
      <c r="G101" s="242"/>
      <c r="L101" s="234" t="s">
        <v>57</v>
      </c>
      <c r="M101" s="235"/>
      <c r="N101" s="235"/>
      <c r="O101" s="235"/>
      <c r="P101" s="160" t="e">
        <f>K79</f>
        <v>#REF!</v>
      </c>
      <c r="Q101" s="243" t="e">
        <f>P101-Q104</f>
        <v>#REF!</v>
      </c>
      <c r="R101" s="244"/>
    </row>
    <row r="102" spans="1:22" x14ac:dyDescent="0.2">
      <c r="Q102" s="168"/>
    </row>
    <row r="103" spans="1:22" x14ac:dyDescent="0.2">
      <c r="A103" s="48"/>
      <c r="B103" s="48"/>
      <c r="C103" s="48"/>
      <c r="D103" s="48"/>
      <c r="E103" s="48"/>
      <c r="F103" s="48"/>
      <c r="G103" s="48"/>
      <c r="Q103" s="168"/>
    </row>
    <row r="104" spans="1:22" x14ac:dyDescent="0.2">
      <c r="A104" s="230" t="s">
        <v>35</v>
      </c>
      <c r="B104" s="231"/>
      <c r="C104" s="231"/>
      <c r="D104" s="231"/>
      <c r="E104" s="231"/>
      <c r="F104" s="232">
        <f>E83-(H11+E15+H27+E31+H43+E47+H59+E63+H75+E79)</f>
        <v>0</v>
      </c>
      <c r="G104" s="233"/>
      <c r="L104" s="234" t="s">
        <v>35</v>
      </c>
      <c r="M104" s="235"/>
      <c r="N104" s="235"/>
      <c r="O104" s="235"/>
      <c r="P104" s="236"/>
      <c r="Q104" s="237">
        <f>F104+P83-(S11+P15+S27+P31+S43+P47+S59+P63+S75+P79)</f>
        <v>149</v>
      </c>
      <c r="R104" s="238"/>
    </row>
    <row r="105" spans="1:22" x14ac:dyDescent="0.2">
      <c r="A105" s="48"/>
      <c r="B105" s="48"/>
      <c r="C105" s="48"/>
      <c r="D105" s="48"/>
      <c r="E105" s="48"/>
      <c r="F105" s="48"/>
      <c r="G105" s="48"/>
    </row>
  </sheetData>
  <sheetProtection selectLockedCells="1"/>
  <mergeCells count="253">
    <mergeCell ref="H2:K2"/>
    <mergeCell ref="S2:V2"/>
    <mergeCell ref="A1:F1"/>
    <mergeCell ref="G1:I1"/>
    <mergeCell ref="L1:Q1"/>
    <mergeCell ref="R1:T1"/>
    <mergeCell ref="A11:D11"/>
    <mergeCell ref="F11:G11"/>
    <mergeCell ref="L11:O11"/>
    <mergeCell ref="Q11:R11"/>
    <mergeCell ref="A10:D10"/>
    <mergeCell ref="L10:O10"/>
    <mergeCell ref="H9:K9"/>
    <mergeCell ref="S9:V9"/>
    <mergeCell ref="A3:A9"/>
    <mergeCell ref="H4:K4"/>
    <mergeCell ref="S4:V4"/>
    <mergeCell ref="H5:K5"/>
    <mergeCell ref="S5:V5"/>
    <mergeCell ref="L3:L9"/>
    <mergeCell ref="S6:V6"/>
    <mergeCell ref="S3:V3"/>
    <mergeCell ref="H8:K8"/>
    <mergeCell ref="S8:V8"/>
    <mergeCell ref="H7:K7"/>
    <mergeCell ref="S7:V7"/>
    <mergeCell ref="H6:K6"/>
    <mergeCell ref="H3:K3"/>
    <mergeCell ref="A14:D14"/>
    <mergeCell ref="H14:I14"/>
    <mergeCell ref="L14:O14"/>
    <mergeCell ref="S14:T14"/>
    <mergeCell ref="A17:D17"/>
    <mergeCell ref="L17:O17"/>
    <mergeCell ref="A12:D12"/>
    <mergeCell ref="H12:I13"/>
    <mergeCell ref="L12:O12"/>
    <mergeCell ref="S12:T13"/>
    <mergeCell ref="A13:D13"/>
    <mergeCell ref="L13:O13"/>
    <mergeCell ref="A18:D18"/>
    <mergeCell ref="L18:O18"/>
    <mergeCell ref="H23:K23"/>
    <mergeCell ref="S23:V23"/>
    <mergeCell ref="H22:K22"/>
    <mergeCell ref="S22:V22"/>
    <mergeCell ref="A16:D16"/>
    <mergeCell ref="L16:O16"/>
    <mergeCell ref="A15:D15"/>
    <mergeCell ref="H15:I15"/>
    <mergeCell ref="L15:O15"/>
    <mergeCell ref="S25:V25"/>
    <mergeCell ref="S19:V19"/>
    <mergeCell ref="S24:V24"/>
    <mergeCell ref="A19:A25"/>
    <mergeCell ref="H20:K20"/>
    <mergeCell ref="S20:V20"/>
    <mergeCell ref="H21:K21"/>
    <mergeCell ref="S21:V21"/>
    <mergeCell ref="H24:K24"/>
    <mergeCell ref="L19:L25"/>
    <mergeCell ref="A27:D27"/>
    <mergeCell ref="F27:G27"/>
    <mergeCell ref="L27:O27"/>
    <mergeCell ref="Q27:R27"/>
    <mergeCell ref="H19:K19"/>
    <mergeCell ref="A26:D26"/>
    <mergeCell ref="L26:O26"/>
    <mergeCell ref="H25:K25"/>
    <mergeCell ref="A31:D31"/>
    <mergeCell ref="L31:O31"/>
    <mergeCell ref="A30:D30"/>
    <mergeCell ref="L30:O30"/>
    <mergeCell ref="A28:D28"/>
    <mergeCell ref="H28:I29"/>
    <mergeCell ref="L28:O28"/>
    <mergeCell ref="S28:T29"/>
    <mergeCell ref="A29:D29"/>
    <mergeCell ref="L29:O29"/>
    <mergeCell ref="A34:D34"/>
    <mergeCell ref="L34:O34"/>
    <mergeCell ref="H39:K39"/>
    <mergeCell ref="S39:V39"/>
    <mergeCell ref="H38:K38"/>
    <mergeCell ref="S38:V38"/>
    <mergeCell ref="A33:D33"/>
    <mergeCell ref="L33:O33"/>
    <mergeCell ref="A32:D32"/>
    <mergeCell ref="L32:O32"/>
    <mergeCell ref="S41:V41"/>
    <mergeCell ref="S35:V35"/>
    <mergeCell ref="S40:V40"/>
    <mergeCell ref="A35:A41"/>
    <mergeCell ref="H36:K36"/>
    <mergeCell ref="S36:V36"/>
    <mergeCell ref="H37:K37"/>
    <mergeCell ref="S37:V37"/>
    <mergeCell ref="H40:K40"/>
    <mergeCell ref="L35:L41"/>
    <mergeCell ref="A43:D43"/>
    <mergeCell ref="F43:G43"/>
    <mergeCell ref="L43:O43"/>
    <mergeCell ref="Q43:R43"/>
    <mergeCell ref="H35:K35"/>
    <mergeCell ref="A42:D42"/>
    <mergeCell ref="L42:O42"/>
    <mergeCell ref="H41:K41"/>
    <mergeCell ref="A47:D47"/>
    <mergeCell ref="L47:O47"/>
    <mergeCell ref="A46:D46"/>
    <mergeCell ref="L46:O46"/>
    <mergeCell ref="A44:D44"/>
    <mergeCell ref="H44:I45"/>
    <mergeCell ref="L44:O44"/>
    <mergeCell ref="S44:T45"/>
    <mergeCell ref="A45:D45"/>
    <mergeCell ref="L45:O45"/>
    <mergeCell ref="A50:D50"/>
    <mergeCell ref="L50:O50"/>
    <mergeCell ref="H55:K55"/>
    <mergeCell ref="S55:V55"/>
    <mergeCell ref="H54:K54"/>
    <mergeCell ref="S54:V54"/>
    <mergeCell ref="A49:D49"/>
    <mergeCell ref="L49:O49"/>
    <mergeCell ref="A48:D48"/>
    <mergeCell ref="L48:O48"/>
    <mergeCell ref="A60:D60"/>
    <mergeCell ref="H60:I61"/>
    <mergeCell ref="L60:O60"/>
    <mergeCell ref="S60:T61"/>
    <mergeCell ref="A61:D61"/>
    <mergeCell ref="L61:O61"/>
    <mergeCell ref="L51:L57"/>
    <mergeCell ref="A59:D59"/>
    <mergeCell ref="F59:G59"/>
    <mergeCell ref="L59:O59"/>
    <mergeCell ref="Q59:R59"/>
    <mergeCell ref="H51:K51"/>
    <mergeCell ref="A58:D58"/>
    <mergeCell ref="L58:O58"/>
    <mergeCell ref="H57:K57"/>
    <mergeCell ref="S57:V57"/>
    <mergeCell ref="S51:V51"/>
    <mergeCell ref="S56:V56"/>
    <mergeCell ref="A51:A57"/>
    <mergeCell ref="H52:K52"/>
    <mergeCell ref="S52:V52"/>
    <mergeCell ref="H53:K53"/>
    <mergeCell ref="S53:V53"/>
    <mergeCell ref="H56:K56"/>
    <mergeCell ref="A66:D66"/>
    <mergeCell ref="L66:O66"/>
    <mergeCell ref="A65:D65"/>
    <mergeCell ref="L65:O65"/>
    <mergeCell ref="A64:D64"/>
    <mergeCell ref="L64:O64"/>
    <mergeCell ref="A63:D63"/>
    <mergeCell ref="L63:O63"/>
    <mergeCell ref="A62:D62"/>
    <mergeCell ref="L62:O62"/>
    <mergeCell ref="H70:K70"/>
    <mergeCell ref="S70:V70"/>
    <mergeCell ref="H72:K72"/>
    <mergeCell ref="S72:V72"/>
    <mergeCell ref="A67:A73"/>
    <mergeCell ref="H67:K67"/>
    <mergeCell ref="L67:L73"/>
    <mergeCell ref="S67:V67"/>
    <mergeCell ref="H68:K68"/>
    <mergeCell ref="S68:V68"/>
    <mergeCell ref="H69:K69"/>
    <mergeCell ref="S69:V69"/>
    <mergeCell ref="H71:K71"/>
    <mergeCell ref="S71:V71"/>
    <mergeCell ref="A75:D75"/>
    <mergeCell ref="F75:G75"/>
    <mergeCell ref="J75:K75"/>
    <mergeCell ref="L75:O75"/>
    <mergeCell ref="Q75:R75"/>
    <mergeCell ref="U75:V75"/>
    <mergeCell ref="A74:D74"/>
    <mergeCell ref="L74:O74"/>
    <mergeCell ref="H73:K73"/>
    <mergeCell ref="S73:V73"/>
    <mergeCell ref="A79:D79"/>
    <mergeCell ref="L79:O79"/>
    <mergeCell ref="A78:D78"/>
    <mergeCell ref="L78:O78"/>
    <mergeCell ref="A76:D76"/>
    <mergeCell ref="H76:I77"/>
    <mergeCell ref="L76:O76"/>
    <mergeCell ref="S76:T77"/>
    <mergeCell ref="A77:D77"/>
    <mergeCell ref="L77:O77"/>
    <mergeCell ref="A82:D82"/>
    <mergeCell ref="F82:H82"/>
    <mergeCell ref="L82:O82"/>
    <mergeCell ref="Q82:S82"/>
    <mergeCell ref="A80:D80"/>
    <mergeCell ref="F80:F81"/>
    <mergeCell ref="G80:I81"/>
    <mergeCell ref="L80:O80"/>
    <mergeCell ref="Q80:Q81"/>
    <mergeCell ref="R80:T81"/>
    <mergeCell ref="A81:D81"/>
    <mergeCell ref="L81:O81"/>
    <mergeCell ref="A86:E86"/>
    <mergeCell ref="F86:G86"/>
    <mergeCell ref="L86:P86"/>
    <mergeCell ref="Q86:R86"/>
    <mergeCell ref="F85:G85"/>
    <mergeCell ref="I85:K85"/>
    <mergeCell ref="Q85:R85"/>
    <mergeCell ref="T85:V85"/>
    <mergeCell ref="A83:D83"/>
    <mergeCell ref="L83:O83"/>
    <mergeCell ref="A89:E89"/>
    <mergeCell ref="F89:G89"/>
    <mergeCell ref="I89:J89"/>
    <mergeCell ref="L89:P89"/>
    <mergeCell ref="Q89:R89"/>
    <mergeCell ref="T89:U89"/>
    <mergeCell ref="I88:J88"/>
    <mergeCell ref="T88:U88"/>
    <mergeCell ref="A87:E87"/>
    <mergeCell ref="F87:G87"/>
    <mergeCell ref="I87:J87"/>
    <mergeCell ref="L87:P87"/>
    <mergeCell ref="Q87:R87"/>
    <mergeCell ref="T87:U87"/>
    <mergeCell ref="I91:J91"/>
    <mergeCell ref="T91:U91"/>
    <mergeCell ref="A94:E95"/>
    <mergeCell ref="F94:G95"/>
    <mergeCell ref="L94:P95"/>
    <mergeCell ref="Q94:R95"/>
    <mergeCell ref="A90:E90"/>
    <mergeCell ref="F90:G90"/>
    <mergeCell ref="L90:P90"/>
    <mergeCell ref="Q90:R90"/>
    <mergeCell ref="A104:E104"/>
    <mergeCell ref="F104:G104"/>
    <mergeCell ref="L104:P104"/>
    <mergeCell ref="Q104:R104"/>
    <mergeCell ref="A101:D101"/>
    <mergeCell ref="F101:G101"/>
    <mergeCell ref="L101:O101"/>
    <mergeCell ref="Q101:R101"/>
    <mergeCell ref="A92:E93"/>
    <mergeCell ref="F92:G93"/>
    <mergeCell ref="L92:P93"/>
    <mergeCell ref="Q92:R93"/>
  </mergeCells>
  <conditionalFormatting sqref="E26">
    <cfRule type="cellIs" dxfId="521" priority="1575" operator="greaterThan">
      <formula>#REF!</formula>
    </cfRule>
    <cfRule type="cellIs" dxfId="520" priority="1576" operator="lessThan">
      <formula>#REF!</formula>
    </cfRule>
    <cfRule type="cellIs" dxfId="519" priority="1577" operator="equal">
      <formula>#REF!</formula>
    </cfRule>
  </conditionalFormatting>
  <conditionalFormatting sqref="E42">
    <cfRule type="cellIs" dxfId="518" priority="1572" operator="greaterThan">
      <formula>#REF!</formula>
    </cfRule>
    <cfRule type="cellIs" dxfId="517" priority="1573" operator="lessThan">
      <formula>#REF!</formula>
    </cfRule>
    <cfRule type="cellIs" dxfId="516" priority="1574" operator="equal">
      <formula>#REF!</formula>
    </cfRule>
  </conditionalFormatting>
  <conditionalFormatting sqref="E58">
    <cfRule type="cellIs" dxfId="515" priority="1569" operator="greaterThan">
      <formula>#REF!</formula>
    </cfRule>
    <cfRule type="cellIs" dxfId="514" priority="1570" operator="lessThan">
      <formula>#REF!</formula>
    </cfRule>
    <cfRule type="cellIs" dxfId="513" priority="1571" operator="equal">
      <formula>#REF!</formula>
    </cfRule>
  </conditionalFormatting>
  <conditionalFormatting sqref="E74">
    <cfRule type="cellIs" dxfId="512" priority="1566" operator="greaterThan">
      <formula>#REF!</formula>
    </cfRule>
    <cfRule type="cellIs" dxfId="511" priority="1567" operator="lessThan">
      <formula>#REF!</formula>
    </cfRule>
    <cfRule type="cellIs" dxfId="510" priority="1568" operator="equal">
      <formula>#REF!</formula>
    </cfRule>
  </conditionalFormatting>
  <conditionalFormatting sqref="P10">
    <cfRule type="cellIs" dxfId="509" priority="1563" operator="greaterThan">
      <formula>#REF!</formula>
    </cfRule>
    <cfRule type="cellIs" dxfId="508" priority="1564" operator="lessThan">
      <formula>#REF!</formula>
    </cfRule>
    <cfRule type="cellIs" dxfId="507" priority="1565" operator="equal">
      <formula>#REF!</formula>
    </cfRule>
  </conditionalFormatting>
  <conditionalFormatting sqref="P26">
    <cfRule type="cellIs" dxfId="506" priority="1560" operator="greaterThan">
      <formula>#REF!</formula>
    </cfRule>
    <cfRule type="cellIs" dxfId="505" priority="1561" operator="lessThan">
      <formula>#REF!</formula>
    </cfRule>
    <cfRule type="cellIs" dxfId="504" priority="1562" operator="equal">
      <formula>#REF!</formula>
    </cfRule>
  </conditionalFormatting>
  <conditionalFormatting sqref="P42">
    <cfRule type="cellIs" dxfId="503" priority="1557" operator="greaterThan">
      <formula>#REF!</formula>
    </cfRule>
    <cfRule type="cellIs" dxfId="502" priority="1558" operator="lessThan">
      <formula>#REF!</formula>
    </cfRule>
    <cfRule type="cellIs" dxfId="501" priority="1559" operator="equal">
      <formula>#REF!</formula>
    </cfRule>
  </conditionalFormatting>
  <conditionalFormatting sqref="P58">
    <cfRule type="cellIs" dxfId="500" priority="1554" operator="greaterThan">
      <formula>#REF!</formula>
    </cfRule>
    <cfRule type="cellIs" dxfId="499" priority="1555" operator="lessThan">
      <formula>#REF!</formula>
    </cfRule>
    <cfRule type="cellIs" dxfId="498" priority="1556" operator="equal">
      <formula>#REF!</formula>
    </cfRule>
  </conditionalFormatting>
  <conditionalFormatting sqref="P74">
    <cfRule type="cellIs" dxfId="497" priority="1551" operator="greaterThan">
      <formula>#REF!</formula>
    </cfRule>
    <cfRule type="cellIs" dxfId="496" priority="1552" operator="lessThan">
      <formula>#REF!</formula>
    </cfRule>
    <cfRule type="cellIs" dxfId="495" priority="1553" operator="equal">
      <formula>#REF!</formula>
    </cfRule>
  </conditionalFormatting>
  <conditionalFormatting sqref="B3:H3">
    <cfRule type="expression" dxfId="494" priority="1487">
      <formula>COUNTIF(JFerie,$C3)=1</formula>
    </cfRule>
  </conditionalFormatting>
  <conditionalFormatting sqref="D3">
    <cfRule type="cellIs" dxfId="493" priority="216" operator="equal">
      <formula>"SS"</formula>
    </cfRule>
    <cfRule type="cellIs" dxfId="492" priority="1482" operator="equal">
      <formula>"REC"</formula>
    </cfRule>
    <cfRule type="cellIs" dxfId="491" priority="1483" operator="equal">
      <formula>"CE"</formula>
    </cfRule>
    <cfRule type="cellIs" dxfId="490" priority="1484" operator="equal">
      <formula>"AT"</formula>
    </cfRule>
    <cfRule type="cellIs" dxfId="489" priority="1485" operator="equal">
      <formula>"AM"</formula>
    </cfRule>
    <cfRule type="cellIs" dxfId="488" priority="1486" operator="equal">
      <formula>"CP"</formula>
    </cfRule>
  </conditionalFormatting>
  <conditionalFormatting sqref="B4:H4">
    <cfRule type="expression" dxfId="487" priority="1481">
      <formula>COUNTIF(JFerie,$C4)=1</formula>
    </cfRule>
  </conditionalFormatting>
  <conditionalFormatting sqref="D4">
    <cfRule type="cellIs" dxfId="486" priority="215" operator="equal">
      <formula>"SS"</formula>
    </cfRule>
    <cfRule type="cellIs" dxfId="485" priority="1476" operator="equal">
      <formula>"REC"</formula>
    </cfRule>
    <cfRule type="cellIs" dxfId="484" priority="1477" operator="equal">
      <formula>"CE"</formula>
    </cfRule>
    <cfRule type="cellIs" dxfId="483" priority="1478" operator="equal">
      <formula>"AT"</formula>
    </cfRule>
    <cfRule type="cellIs" dxfId="482" priority="1479" operator="equal">
      <formula>"AM"</formula>
    </cfRule>
    <cfRule type="cellIs" dxfId="481" priority="1480" operator="equal">
      <formula>"CP"</formula>
    </cfRule>
  </conditionalFormatting>
  <conditionalFormatting sqref="B5:H5">
    <cfRule type="expression" dxfId="480" priority="1475">
      <formula>COUNTIF(JFerie,$C5)=1</formula>
    </cfRule>
  </conditionalFormatting>
  <conditionalFormatting sqref="D5">
    <cfRule type="cellIs" dxfId="479" priority="214" operator="equal">
      <formula>"SS"</formula>
    </cfRule>
    <cfRule type="cellIs" dxfId="478" priority="1470" operator="equal">
      <formula>"REC"</formula>
    </cfRule>
    <cfRule type="cellIs" dxfId="477" priority="1471" operator="equal">
      <formula>"CE"</formula>
    </cfRule>
    <cfRule type="cellIs" dxfId="476" priority="1472" operator="equal">
      <formula>"AT"</formula>
    </cfRule>
    <cfRule type="cellIs" dxfId="475" priority="1473" operator="equal">
      <formula>"AM"</formula>
    </cfRule>
    <cfRule type="cellIs" dxfId="474" priority="1474" operator="equal">
      <formula>"CP"</formula>
    </cfRule>
  </conditionalFormatting>
  <conditionalFormatting sqref="B6:H6">
    <cfRule type="expression" dxfId="473" priority="1469">
      <formula>COUNTIF(JFerie,$C6)=1</formula>
    </cfRule>
  </conditionalFormatting>
  <conditionalFormatting sqref="D6">
    <cfRule type="cellIs" dxfId="472" priority="213" operator="equal">
      <formula>"SS"</formula>
    </cfRule>
    <cfRule type="cellIs" dxfId="471" priority="1464" operator="equal">
      <formula>"REC"</formula>
    </cfRule>
    <cfRule type="cellIs" dxfId="470" priority="1465" operator="equal">
      <formula>"CE"</formula>
    </cfRule>
    <cfRule type="cellIs" dxfId="469" priority="1466" operator="equal">
      <formula>"AT"</formula>
    </cfRule>
    <cfRule type="cellIs" dxfId="468" priority="1467" operator="equal">
      <formula>"AM"</formula>
    </cfRule>
    <cfRule type="cellIs" dxfId="467" priority="1468" operator="equal">
      <formula>"CP"</formula>
    </cfRule>
  </conditionalFormatting>
  <conditionalFormatting sqref="B7:H7">
    <cfRule type="expression" dxfId="466" priority="1463">
      <formula>COUNTIF(JFerie,$C7)=1</formula>
    </cfRule>
  </conditionalFormatting>
  <conditionalFormatting sqref="D7">
    <cfRule type="cellIs" dxfId="465" priority="212" operator="equal">
      <formula>"SS"</formula>
    </cfRule>
    <cfRule type="cellIs" dxfId="464" priority="1458" operator="equal">
      <formula>"REC"</formula>
    </cfRule>
    <cfRule type="cellIs" dxfId="463" priority="1459" operator="equal">
      <formula>"CE"</formula>
    </cfRule>
    <cfRule type="cellIs" dxfId="462" priority="1460" operator="equal">
      <formula>"AT"</formula>
    </cfRule>
    <cfRule type="cellIs" dxfId="461" priority="1461" operator="equal">
      <formula>"AM"</formula>
    </cfRule>
    <cfRule type="cellIs" dxfId="460" priority="1462" operator="equal">
      <formula>"CP"</formula>
    </cfRule>
  </conditionalFormatting>
  <conditionalFormatting sqref="B8:H8">
    <cfRule type="expression" dxfId="459" priority="1457">
      <formula>COUNTIF(JFerie,$C8)=1</formula>
    </cfRule>
  </conditionalFormatting>
  <conditionalFormatting sqref="D8">
    <cfRule type="cellIs" dxfId="458" priority="211" operator="equal">
      <formula>"SS"</formula>
    </cfRule>
    <cfRule type="cellIs" dxfId="457" priority="1452" operator="equal">
      <formula>"REC"</formula>
    </cfRule>
    <cfRule type="cellIs" dxfId="456" priority="1453" operator="equal">
      <formula>"CE"</formula>
    </cfRule>
    <cfRule type="cellIs" dxfId="455" priority="1454" operator="equal">
      <formula>"AT"</formula>
    </cfRule>
    <cfRule type="cellIs" dxfId="454" priority="1455" operator="equal">
      <formula>"AM"</formula>
    </cfRule>
    <cfRule type="cellIs" dxfId="453" priority="1456" operator="equal">
      <formula>"CP"</formula>
    </cfRule>
  </conditionalFormatting>
  <conditionalFormatting sqref="B9:H9">
    <cfRule type="expression" dxfId="452" priority="1451">
      <formula>COUNTIF(JFerie,$C9)=1</formula>
    </cfRule>
  </conditionalFormatting>
  <conditionalFormatting sqref="D9">
    <cfRule type="cellIs" dxfId="451" priority="210" operator="equal">
      <formula>"SS"</formula>
    </cfRule>
    <cfRule type="cellIs" dxfId="450" priority="1446" operator="equal">
      <formula>"REC"</formula>
    </cfRule>
    <cfRule type="cellIs" dxfId="449" priority="1447" operator="equal">
      <formula>"CE"</formula>
    </cfRule>
    <cfRule type="cellIs" dxfId="448" priority="1448" operator="equal">
      <formula>"AT"</formula>
    </cfRule>
    <cfRule type="cellIs" dxfId="447" priority="1449" operator="equal">
      <formula>"AM"</formula>
    </cfRule>
    <cfRule type="cellIs" dxfId="446" priority="1450" operator="equal">
      <formula>"CP"</formula>
    </cfRule>
  </conditionalFormatting>
  <conditionalFormatting sqref="E10">
    <cfRule type="cellIs" dxfId="445" priority="1488" operator="greaterThan">
      <formula>#REF!</formula>
    </cfRule>
    <cfRule type="cellIs" dxfId="444" priority="1489" operator="lessThan">
      <formula>#REF!</formula>
    </cfRule>
    <cfRule type="cellIs" dxfId="443" priority="1490" operator="equal">
      <formula>#REF!</formula>
    </cfRule>
  </conditionalFormatting>
  <conditionalFormatting sqref="B19:H19">
    <cfRule type="expression" dxfId="442" priority="1445">
      <formula>COUNTIF(JFerie,$C19)=1</formula>
    </cfRule>
  </conditionalFormatting>
  <conditionalFormatting sqref="D19">
    <cfRule type="cellIs" dxfId="441" priority="201" operator="equal">
      <formula>"SS"</formula>
    </cfRule>
    <cfRule type="cellIs" dxfId="440" priority="1440" operator="equal">
      <formula>"REC"</formula>
    </cfRule>
    <cfRule type="cellIs" dxfId="439" priority="1441" operator="equal">
      <formula>"CE"</formula>
    </cfRule>
    <cfRule type="cellIs" dxfId="438" priority="1442" operator="equal">
      <formula>"AT"</formula>
    </cfRule>
    <cfRule type="cellIs" dxfId="437" priority="1443" operator="equal">
      <formula>"AM"</formula>
    </cfRule>
    <cfRule type="cellIs" dxfId="436" priority="1444" operator="equal">
      <formula>"CP"</formula>
    </cfRule>
  </conditionalFormatting>
  <conditionalFormatting sqref="B20:H20">
    <cfRule type="expression" dxfId="435" priority="1439">
      <formula>COUNTIF(JFerie,$C20)=1</formula>
    </cfRule>
  </conditionalFormatting>
  <conditionalFormatting sqref="D20">
    <cfRule type="cellIs" dxfId="434" priority="1434" operator="equal">
      <formula>"REC"</formula>
    </cfRule>
    <cfRule type="cellIs" dxfId="433" priority="1435" operator="equal">
      <formula>"CE"</formula>
    </cfRule>
    <cfRule type="cellIs" dxfId="432" priority="1436" operator="equal">
      <formula>"AT"</formula>
    </cfRule>
    <cfRule type="cellIs" dxfId="431" priority="1437" operator="equal">
      <formula>"AM"</formula>
    </cfRule>
    <cfRule type="cellIs" dxfId="430" priority="1438" operator="equal">
      <formula>"CP"</formula>
    </cfRule>
  </conditionalFormatting>
  <conditionalFormatting sqref="B21:H21">
    <cfRule type="expression" dxfId="429" priority="1433">
      <formula>COUNTIF(JFerie,$C21)=1</formula>
    </cfRule>
  </conditionalFormatting>
  <conditionalFormatting sqref="D21">
    <cfRule type="cellIs" dxfId="428" priority="1428" operator="equal">
      <formula>"REC"</formula>
    </cfRule>
    <cfRule type="cellIs" dxfId="427" priority="1429" operator="equal">
      <formula>"CE"</formula>
    </cfRule>
    <cfRule type="cellIs" dxfId="426" priority="1430" operator="equal">
      <formula>"AT"</formula>
    </cfRule>
    <cfRule type="cellIs" dxfId="425" priority="1431" operator="equal">
      <formula>"AM"</formula>
    </cfRule>
    <cfRule type="cellIs" dxfId="424" priority="1432" operator="equal">
      <formula>"CP"</formula>
    </cfRule>
  </conditionalFormatting>
  <conditionalFormatting sqref="B22:H22">
    <cfRule type="expression" dxfId="423" priority="1427">
      <formula>COUNTIF(JFerie,$C22)=1</formula>
    </cfRule>
  </conditionalFormatting>
  <conditionalFormatting sqref="D22">
    <cfRule type="cellIs" dxfId="422" priority="1422" operator="equal">
      <formula>"REC"</formula>
    </cfRule>
    <cfRule type="cellIs" dxfId="421" priority="1423" operator="equal">
      <formula>"CE"</formula>
    </cfRule>
    <cfRule type="cellIs" dxfId="420" priority="1424" operator="equal">
      <formula>"AT"</formula>
    </cfRule>
    <cfRule type="cellIs" dxfId="419" priority="1425" operator="equal">
      <formula>"AM"</formula>
    </cfRule>
    <cfRule type="cellIs" dxfId="418" priority="1426" operator="equal">
      <formula>"CP"</formula>
    </cfRule>
  </conditionalFormatting>
  <conditionalFormatting sqref="B23:H23">
    <cfRule type="expression" dxfId="417" priority="1421">
      <formula>COUNTIF(JFerie,$C23)=1</formula>
    </cfRule>
  </conditionalFormatting>
  <conditionalFormatting sqref="D23">
    <cfRule type="cellIs" dxfId="416" priority="1416" operator="equal">
      <formula>"REC"</formula>
    </cfRule>
    <cfRule type="cellIs" dxfId="415" priority="1417" operator="equal">
      <formula>"CE"</formula>
    </cfRule>
    <cfRule type="cellIs" dxfId="414" priority="1418" operator="equal">
      <formula>"AT"</formula>
    </cfRule>
    <cfRule type="cellIs" dxfId="413" priority="1419" operator="equal">
      <formula>"AM"</formula>
    </cfRule>
    <cfRule type="cellIs" dxfId="412" priority="1420" operator="equal">
      <formula>"CP"</formula>
    </cfRule>
  </conditionalFormatting>
  <conditionalFormatting sqref="B24:H24">
    <cfRule type="expression" dxfId="411" priority="1415">
      <formula>COUNTIF(JFerie,$C24)=1</formula>
    </cfRule>
  </conditionalFormatting>
  <conditionalFormatting sqref="D24">
    <cfRule type="cellIs" dxfId="410" priority="1410" operator="equal">
      <formula>"REC"</formula>
    </cfRule>
    <cfRule type="cellIs" dxfId="409" priority="1411" operator="equal">
      <formula>"CE"</formula>
    </cfRule>
    <cfRule type="cellIs" dxfId="408" priority="1412" operator="equal">
      <formula>"AT"</formula>
    </cfRule>
    <cfRule type="cellIs" dxfId="407" priority="1413" operator="equal">
      <formula>"AM"</formula>
    </cfRule>
    <cfRule type="cellIs" dxfId="406" priority="1414" operator="equal">
      <formula>"CP"</formula>
    </cfRule>
  </conditionalFormatting>
  <conditionalFormatting sqref="B25:H25">
    <cfRule type="expression" dxfId="405" priority="1409">
      <formula>COUNTIF(JFerie,$C25)=1</formula>
    </cfRule>
  </conditionalFormatting>
  <conditionalFormatting sqref="D25">
    <cfRule type="cellIs" dxfId="404" priority="1404" operator="equal">
      <formula>"REC"</formula>
    </cfRule>
    <cfRule type="cellIs" dxfId="403" priority="1405" operator="equal">
      <formula>"CE"</formula>
    </cfRule>
    <cfRule type="cellIs" dxfId="402" priority="1406" operator="equal">
      <formula>"AT"</formula>
    </cfRule>
    <cfRule type="cellIs" dxfId="401" priority="1407" operator="equal">
      <formula>"AM"</formula>
    </cfRule>
    <cfRule type="cellIs" dxfId="400" priority="1408" operator="equal">
      <formula>"CP"</formula>
    </cfRule>
  </conditionalFormatting>
  <conditionalFormatting sqref="B35:H35">
    <cfRule type="expression" dxfId="399" priority="1403">
      <formula>COUNTIF(JFerie,$C35)=1</formula>
    </cfRule>
  </conditionalFormatting>
  <conditionalFormatting sqref="D35">
    <cfRule type="cellIs" dxfId="398" priority="1398" operator="equal">
      <formula>"REC"</formula>
    </cfRule>
    <cfRule type="cellIs" dxfId="397" priority="1399" operator="equal">
      <formula>"CE"</formula>
    </cfRule>
    <cfRule type="cellIs" dxfId="396" priority="1400" operator="equal">
      <formula>"AT"</formula>
    </cfRule>
    <cfRule type="cellIs" dxfId="395" priority="1401" operator="equal">
      <formula>"AM"</formula>
    </cfRule>
    <cfRule type="cellIs" dxfId="394" priority="1402" operator="equal">
      <formula>"CP"</formula>
    </cfRule>
  </conditionalFormatting>
  <conditionalFormatting sqref="B36:H36">
    <cfRule type="expression" dxfId="393" priority="1397">
      <formula>COUNTIF(JFerie,$C36)=1</formula>
    </cfRule>
  </conditionalFormatting>
  <conditionalFormatting sqref="D36">
    <cfRule type="cellIs" dxfId="392" priority="1392" operator="equal">
      <formula>"REC"</formula>
    </cfRule>
    <cfRule type="cellIs" dxfId="391" priority="1393" operator="equal">
      <formula>"CE"</formula>
    </cfRule>
    <cfRule type="cellIs" dxfId="390" priority="1394" operator="equal">
      <formula>"AT"</formula>
    </cfRule>
    <cfRule type="cellIs" dxfId="389" priority="1395" operator="equal">
      <formula>"AM"</formula>
    </cfRule>
    <cfRule type="cellIs" dxfId="388" priority="1396" operator="equal">
      <formula>"CP"</formula>
    </cfRule>
  </conditionalFormatting>
  <conditionalFormatting sqref="B37:H37">
    <cfRule type="expression" dxfId="387" priority="1391">
      <formula>COUNTIF(JFerie,$C37)=1</formula>
    </cfRule>
  </conditionalFormatting>
  <conditionalFormatting sqref="D37">
    <cfRule type="cellIs" dxfId="386" priority="1386" operator="equal">
      <formula>"REC"</formula>
    </cfRule>
    <cfRule type="cellIs" dxfId="385" priority="1387" operator="equal">
      <formula>"CE"</formula>
    </cfRule>
    <cfRule type="cellIs" dxfId="384" priority="1388" operator="equal">
      <formula>"AT"</formula>
    </cfRule>
    <cfRule type="cellIs" dxfId="383" priority="1389" operator="equal">
      <formula>"AM"</formula>
    </cfRule>
    <cfRule type="cellIs" dxfId="382" priority="1390" operator="equal">
      <formula>"CP"</formula>
    </cfRule>
  </conditionalFormatting>
  <conditionalFormatting sqref="B38:H38">
    <cfRule type="expression" dxfId="381" priority="1385">
      <formula>COUNTIF(JFerie,$C38)=1</formula>
    </cfRule>
  </conditionalFormatting>
  <conditionalFormatting sqref="D38">
    <cfRule type="cellIs" dxfId="380" priority="1380" operator="equal">
      <formula>"REC"</formula>
    </cfRule>
    <cfRule type="cellIs" dxfId="379" priority="1381" operator="equal">
      <formula>"CE"</formula>
    </cfRule>
    <cfRule type="cellIs" dxfId="378" priority="1382" operator="equal">
      <formula>"AT"</formula>
    </cfRule>
    <cfRule type="cellIs" dxfId="377" priority="1383" operator="equal">
      <formula>"AM"</formula>
    </cfRule>
    <cfRule type="cellIs" dxfId="376" priority="1384" operator="equal">
      <formula>"CP"</formula>
    </cfRule>
  </conditionalFormatting>
  <conditionalFormatting sqref="B39:H39">
    <cfRule type="expression" dxfId="375" priority="1379">
      <formula>COUNTIF(JFerie,$C39)=1</formula>
    </cfRule>
  </conditionalFormatting>
  <conditionalFormatting sqref="D39">
    <cfRule type="cellIs" dxfId="374" priority="1374" operator="equal">
      <formula>"REC"</formula>
    </cfRule>
    <cfRule type="cellIs" dxfId="373" priority="1375" operator="equal">
      <formula>"CE"</formula>
    </cfRule>
    <cfRule type="cellIs" dxfId="372" priority="1376" operator="equal">
      <formula>"AT"</formula>
    </cfRule>
    <cfRule type="cellIs" dxfId="371" priority="1377" operator="equal">
      <formula>"AM"</formula>
    </cfRule>
    <cfRule type="cellIs" dxfId="370" priority="1378" operator="equal">
      <formula>"CP"</formula>
    </cfRule>
  </conditionalFormatting>
  <conditionalFormatting sqref="B40:H40">
    <cfRule type="expression" dxfId="369" priority="1373">
      <formula>COUNTIF(JFerie,$C40)=1</formula>
    </cfRule>
  </conditionalFormatting>
  <conditionalFormatting sqref="D40">
    <cfRule type="cellIs" dxfId="368" priority="1368" operator="equal">
      <formula>"REC"</formula>
    </cfRule>
    <cfRule type="cellIs" dxfId="367" priority="1369" operator="equal">
      <formula>"CE"</formula>
    </cfRule>
    <cfRule type="cellIs" dxfId="366" priority="1370" operator="equal">
      <formula>"AT"</formula>
    </cfRule>
    <cfRule type="cellIs" dxfId="365" priority="1371" operator="equal">
      <formula>"AM"</formula>
    </cfRule>
    <cfRule type="cellIs" dxfId="364" priority="1372" operator="equal">
      <formula>"CP"</formula>
    </cfRule>
  </conditionalFormatting>
  <conditionalFormatting sqref="B41:H41">
    <cfRule type="expression" dxfId="363" priority="1367">
      <formula>COUNTIF(JFerie,$C41)=1</formula>
    </cfRule>
  </conditionalFormatting>
  <conditionalFormatting sqref="D41">
    <cfRule type="cellIs" dxfId="362" priority="1362" operator="equal">
      <formula>"REC"</formula>
    </cfRule>
    <cfRule type="cellIs" dxfId="361" priority="1363" operator="equal">
      <formula>"CE"</formula>
    </cfRule>
    <cfRule type="cellIs" dxfId="360" priority="1364" operator="equal">
      <formula>"AT"</formula>
    </cfRule>
    <cfRule type="cellIs" dxfId="359" priority="1365" operator="equal">
      <formula>"AM"</formula>
    </cfRule>
    <cfRule type="cellIs" dxfId="358" priority="1366" operator="equal">
      <formula>"CP"</formula>
    </cfRule>
  </conditionalFormatting>
  <conditionalFormatting sqref="B51:H51">
    <cfRule type="expression" dxfId="357" priority="1361">
      <formula>COUNTIF(JFerie,$C51)=1</formula>
    </cfRule>
  </conditionalFormatting>
  <conditionalFormatting sqref="D51">
    <cfRule type="cellIs" dxfId="356" priority="1356" operator="equal">
      <formula>"REC"</formula>
    </cfRule>
    <cfRule type="cellIs" dxfId="355" priority="1357" operator="equal">
      <formula>"CE"</formula>
    </cfRule>
    <cfRule type="cellIs" dxfId="354" priority="1358" operator="equal">
      <formula>"AT"</formula>
    </cfRule>
    <cfRule type="cellIs" dxfId="353" priority="1359" operator="equal">
      <formula>"AM"</formula>
    </cfRule>
    <cfRule type="cellIs" dxfId="352" priority="1360" operator="equal">
      <formula>"CP"</formula>
    </cfRule>
  </conditionalFormatting>
  <conditionalFormatting sqref="B52:H52">
    <cfRule type="expression" dxfId="351" priority="1355">
      <formula>COUNTIF(JFerie,$C52)=1</formula>
    </cfRule>
  </conditionalFormatting>
  <conditionalFormatting sqref="D52">
    <cfRule type="cellIs" dxfId="350" priority="1350" operator="equal">
      <formula>"REC"</formula>
    </cfRule>
    <cfRule type="cellIs" dxfId="349" priority="1351" operator="equal">
      <formula>"CE"</formula>
    </cfRule>
    <cfRule type="cellIs" dxfId="348" priority="1352" operator="equal">
      <formula>"AT"</formula>
    </cfRule>
    <cfRule type="cellIs" dxfId="347" priority="1353" operator="equal">
      <formula>"AM"</formula>
    </cfRule>
    <cfRule type="cellIs" dxfId="346" priority="1354" operator="equal">
      <formula>"CP"</formula>
    </cfRule>
  </conditionalFormatting>
  <conditionalFormatting sqref="B53:H53">
    <cfRule type="expression" dxfId="345" priority="1349">
      <formula>COUNTIF(JFerie,$C53)=1</formula>
    </cfRule>
  </conditionalFormatting>
  <conditionalFormatting sqref="D53">
    <cfRule type="cellIs" dxfId="344" priority="1344" operator="equal">
      <formula>"REC"</formula>
    </cfRule>
    <cfRule type="cellIs" dxfId="343" priority="1345" operator="equal">
      <formula>"CE"</formula>
    </cfRule>
    <cfRule type="cellIs" dxfId="342" priority="1346" operator="equal">
      <formula>"AT"</formula>
    </cfRule>
    <cfRule type="cellIs" dxfId="341" priority="1347" operator="equal">
      <formula>"AM"</formula>
    </cfRule>
    <cfRule type="cellIs" dxfId="340" priority="1348" operator="equal">
      <formula>"CP"</formula>
    </cfRule>
  </conditionalFormatting>
  <conditionalFormatting sqref="B54:H54">
    <cfRule type="expression" dxfId="339" priority="1343">
      <formula>COUNTIF(JFerie,$C54)=1</formula>
    </cfRule>
  </conditionalFormatting>
  <conditionalFormatting sqref="D54">
    <cfRule type="cellIs" dxfId="338" priority="1338" operator="equal">
      <formula>"REC"</formula>
    </cfRule>
    <cfRule type="cellIs" dxfId="337" priority="1339" operator="equal">
      <formula>"CE"</formula>
    </cfRule>
    <cfRule type="cellIs" dxfId="336" priority="1340" operator="equal">
      <formula>"AT"</formula>
    </cfRule>
    <cfRule type="cellIs" dxfId="335" priority="1341" operator="equal">
      <formula>"AM"</formula>
    </cfRule>
    <cfRule type="cellIs" dxfId="334" priority="1342" operator="equal">
      <formula>"CP"</formula>
    </cfRule>
  </conditionalFormatting>
  <conditionalFormatting sqref="B55:H55">
    <cfRule type="expression" dxfId="333" priority="1337">
      <formula>COUNTIF(JFerie,$C55)=1</formula>
    </cfRule>
  </conditionalFormatting>
  <conditionalFormatting sqref="D55">
    <cfRule type="cellIs" dxfId="332" priority="1332" operator="equal">
      <formula>"REC"</formula>
    </cfRule>
    <cfRule type="cellIs" dxfId="331" priority="1333" operator="equal">
      <formula>"CE"</formula>
    </cfRule>
    <cfRule type="cellIs" dxfId="330" priority="1334" operator="equal">
      <formula>"AT"</formula>
    </cfRule>
    <cfRule type="cellIs" dxfId="329" priority="1335" operator="equal">
      <formula>"AM"</formula>
    </cfRule>
    <cfRule type="cellIs" dxfId="328" priority="1336" operator="equal">
      <formula>"CP"</formula>
    </cfRule>
  </conditionalFormatting>
  <conditionalFormatting sqref="B56:H56">
    <cfRule type="expression" dxfId="327" priority="1331">
      <formula>COUNTIF(JFerie,$C56)=1</formula>
    </cfRule>
  </conditionalFormatting>
  <conditionalFormatting sqref="D56">
    <cfRule type="cellIs" dxfId="326" priority="1326" operator="equal">
      <formula>"REC"</formula>
    </cfRule>
    <cfRule type="cellIs" dxfId="325" priority="1327" operator="equal">
      <formula>"CE"</formula>
    </cfRule>
    <cfRule type="cellIs" dxfId="324" priority="1328" operator="equal">
      <formula>"AT"</formula>
    </cfRule>
    <cfRule type="cellIs" dxfId="323" priority="1329" operator="equal">
      <formula>"AM"</formula>
    </cfRule>
    <cfRule type="cellIs" dxfId="322" priority="1330" operator="equal">
      <formula>"CP"</formula>
    </cfRule>
  </conditionalFormatting>
  <conditionalFormatting sqref="B57:H57">
    <cfRule type="expression" dxfId="321" priority="1325">
      <formula>COUNTIF(JFerie,$C57)=1</formula>
    </cfRule>
  </conditionalFormatting>
  <conditionalFormatting sqref="D57">
    <cfRule type="cellIs" dxfId="320" priority="1320" operator="equal">
      <formula>"REC"</formula>
    </cfRule>
    <cfRule type="cellIs" dxfId="319" priority="1321" operator="equal">
      <formula>"CE"</formula>
    </cfRule>
    <cfRule type="cellIs" dxfId="318" priority="1322" operator="equal">
      <formula>"AT"</formula>
    </cfRule>
    <cfRule type="cellIs" dxfId="317" priority="1323" operator="equal">
      <formula>"AM"</formula>
    </cfRule>
    <cfRule type="cellIs" dxfId="316" priority="1324" operator="equal">
      <formula>"CP"</formula>
    </cfRule>
  </conditionalFormatting>
  <conditionalFormatting sqref="B67:H67">
    <cfRule type="expression" dxfId="315" priority="1319">
      <formula>COUNTIF(JFerie,$C67)=1</formula>
    </cfRule>
  </conditionalFormatting>
  <conditionalFormatting sqref="D67">
    <cfRule type="cellIs" dxfId="314" priority="1314" operator="equal">
      <formula>"REC"</formula>
    </cfRule>
    <cfRule type="cellIs" dxfId="313" priority="1315" operator="equal">
      <formula>"CE"</formula>
    </cfRule>
    <cfRule type="cellIs" dxfId="312" priority="1316" operator="equal">
      <formula>"AT"</formula>
    </cfRule>
    <cfRule type="cellIs" dxfId="311" priority="1317" operator="equal">
      <formula>"AM"</formula>
    </cfRule>
    <cfRule type="cellIs" dxfId="310" priority="1318" operator="equal">
      <formula>"CP"</formula>
    </cfRule>
  </conditionalFormatting>
  <conditionalFormatting sqref="B68:H68">
    <cfRule type="expression" dxfId="309" priority="1313">
      <formula>COUNTIF(JFerie,$C68)=1</formula>
    </cfRule>
  </conditionalFormatting>
  <conditionalFormatting sqref="D68">
    <cfRule type="cellIs" dxfId="308" priority="1308" operator="equal">
      <formula>"REC"</formula>
    </cfRule>
    <cfRule type="cellIs" dxfId="307" priority="1309" operator="equal">
      <formula>"CE"</formula>
    </cfRule>
    <cfRule type="cellIs" dxfId="306" priority="1310" operator="equal">
      <formula>"AT"</formula>
    </cfRule>
    <cfRule type="cellIs" dxfId="305" priority="1311" operator="equal">
      <formula>"AM"</formula>
    </cfRule>
    <cfRule type="cellIs" dxfId="304" priority="1312" operator="equal">
      <formula>"CP"</formula>
    </cfRule>
  </conditionalFormatting>
  <conditionalFormatting sqref="B69:H69">
    <cfRule type="expression" dxfId="303" priority="1307">
      <formula>COUNTIF(JFerie,$C69)=1</formula>
    </cfRule>
  </conditionalFormatting>
  <conditionalFormatting sqref="D69">
    <cfRule type="cellIs" dxfId="302" priority="1302" operator="equal">
      <formula>"REC"</formula>
    </cfRule>
    <cfRule type="cellIs" dxfId="301" priority="1303" operator="equal">
      <formula>"CE"</formula>
    </cfRule>
    <cfRule type="cellIs" dxfId="300" priority="1304" operator="equal">
      <formula>"AT"</formula>
    </cfRule>
    <cfRule type="cellIs" dxfId="299" priority="1305" operator="equal">
      <formula>"AM"</formula>
    </cfRule>
    <cfRule type="cellIs" dxfId="298" priority="1306" operator="equal">
      <formula>"CP"</formula>
    </cfRule>
  </conditionalFormatting>
  <conditionalFormatting sqref="B70:H70">
    <cfRule type="expression" dxfId="297" priority="1301">
      <formula>COUNTIF(JFerie,$C70)=1</formula>
    </cfRule>
  </conditionalFormatting>
  <conditionalFormatting sqref="D70">
    <cfRule type="cellIs" dxfId="296" priority="1296" operator="equal">
      <formula>"REC"</formula>
    </cfRule>
    <cfRule type="cellIs" dxfId="295" priority="1297" operator="equal">
      <formula>"CE"</formula>
    </cfRule>
    <cfRule type="cellIs" dxfId="294" priority="1298" operator="equal">
      <formula>"AT"</formula>
    </cfRule>
    <cfRule type="cellIs" dxfId="293" priority="1299" operator="equal">
      <formula>"AM"</formula>
    </cfRule>
    <cfRule type="cellIs" dxfId="292" priority="1300" operator="equal">
      <formula>"CP"</formula>
    </cfRule>
  </conditionalFormatting>
  <conditionalFormatting sqref="B71:H71">
    <cfRule type="expression" dxfId="291" priority="1295">
      <formula>COUNTIF(JFerie,$C71)=1</formula>
    </cfRule>
  </conditionalFormatting>
  <conditionalFormatting sqref="D71">
    <cfRule type="cellIs" dxfId="290" priority="1290" operator="equal">
      <formula>"REC"</formula>
    </cfRule>
    <cfRule type="cellIs" dxfId="289" priority="1291" operator="equal">
      <formula>"CE"</formula>
    </cfRule>
    <cfRule type="cellIs" dxfId="288" priority="1292" operator="equal">
      <formula>"AT"</formula>
    </cfRule>
    <cfRule type="cellIs" dxfId="287" priority="1293" operator="equal">
      <formula>"AM"</formula>
    </cfRule>
    <cfRule type="cellIs" dxfId="286" priority="1294" operator="equal">
      <formula>"CP"</formula>
    </cfRule>
  </conditionalFormatting>
  <conditionalFormatting sqref="B72:H72">
    <cfRule type="expression" dxfId="285" priority="1289">
      <formula>COUNTIF(JFerie,$C72)=1</formula>
    </cfRule>
  </conditionalFormatting>
  <conditionalFormatting sqref="D72">
    <cfRule type="cellIs" dxfId="284" priority="1284" operator="equal">
      <formula>"REC"</formula>
    </cfRule>
    <cfRule type="cellIs" dxfId="283" priority="1285" operator="equal">
      <formula>"CE"</formula>
    </cfRule>
    <cfRule type="cellIs" dxfId="282" priority="1286" operator="equal">
      <formula>"AT"</formula>
    </cfRule>
    <cfRule type="cellIs" dxfId="281" priority="1287" operator="equal">
      <formula>"AM"</formula>
    </cfRule>
    <cfRule type="cellIs" dxfId="280" priority="1288" operator="equal">
      <formula>"CP"</formula>
    </cfRule>
  </conditionalFormatting>
  <conditionalFormatting sqref="B73:H73">
    <cfRule type="expression" dxfId="279" priority="1283">
      <formula>COUNTIF(JFerie,$C73)=1</formula>
    </cfRule>
  </conditionalFormatting>
  <conditionalFormatting sqref="D73">
    <cfRule type="cellIs" dxfId="278" priority="1278" operator="equal">
      <formula>"REC"</formula>
    </cfRule>
    <cfRule type="cellIs" dxfId="277" priority="1279" operator="equal">
      <formula>"CE"</formula>
    </cfRule>
    <cfRule type="cellIs" dxfId="276" priority="1280" operator="equal">
      <formula>"AT"</formula>
    </cfRule>
    <cfRule type="cellIs" dxfId="275" priority="1281" operator="equal">
      <formula>"AM"</formula>
    </cfRule>
    <cfRule type="cellIs" dxfId="274" priority="1282" operator="equal">
      <formula>"CP"</formula>
    </cfRule>
  </conditionalFormatting>
  <conditionalFormatting sqref="M3:S3">
    <cfRule type="expression" dxfId="273" priority="1277">
      <formula>COUNTIF(JFerie,$N3)=1</formula>
    </cfRule>
  </conditionalFormatting>
  <conditionalFormatting sqref="O3">
    <cfRule type="cellIs" dxfId="272" priority="209" operator="equal">
      <formula>"SS"</formula>
    </cfRule>
    <cfRule type="cellIs" dxfId="271" priority="1272" operator="equal">
      <formula>"REC"</formula>
    </cfRule>
    <cfRule type="cellIs" dxfId="270" priority="1273" operator="equal">
      <formula>"CE"</formula>
    </cfRule>
    <cfRule type="cellIs" dxfId="269" priority="1274" operator="equal">
      <formula>"AT"</formula>
    </cfRule>
    <cfRule type="cellIs" dxfId="268" priority="1275" operator="equal">
      <formula>"AM"</formula>
    </cfRule>
    <cfRule type="cellIs" dxfId="267" priority="1276" operator="equal">
      <formula>"CP"</formula>
    </cfRule>
  </conditionalFormatting>
  <conditionalFormatting sqref="M4:S4">
    <cfRule type="expression" dxfId="266" priority="1271">
      <formula>COUNTIF(JFerie,$N4)=1</formula>
    </cfRule>
  </conditionalFormatting>
  <conditionalFormatting sqref="O4">
    <cfRule type="cellIs" dxfId="265" priority="208" operator="equal">
      <formula>"SS"</formula>
    </cfRule>
    <cfRule type="cellIs" dxfId="264" priority="1266" operator="equal">
      <formula>"REC"</formula>
    </cfRule>
    <cfRule type="cellIs" dxfId="263" priority="1267" operator="equal">
      <formula>"CE"</formula>
    </cfRule>
    <cfRule type="cellIs" dxfId="262" priority="1268" operator="equal">
      <formula>"AT"</formula>
    </cfRule>
    <cfRule type="cellIs" dxfId="261" priority="1269" operator="equal">
      <formula>"AM"</formula>
    </cfRule>
    <cfRule type="cellIs" dxfId="260" priority="1270" operator="equal">
      <formula>"CP"</formula>
    </cfRule>
  </conditionalFormatting>
  <conditionalFormatting sqref="M5:S5">
    <cfRule type="expression" dxfId="259" priority="1265">
      <formula>COUNTIF(JFerie,$N5)=1</formula>
    </cfRule>
  </conditionalFormatting>
  <conditionalFormatting sqref="O5">
    <cfRule type="cellIs" dxfId="258" priority="207" operator="equal">
      <formula>"SS"</formula>
    </cfRule>
    <cfRule type="cellIs" dxfId="257" priority="1260" operator="equal">
      <formula>"REC"</formula>
    </cfRule>
    <cfRule type="cellIs" dxfId="256" priority="1261" operator="equal">
      <formula>"CE"</formula>
    </cfRule>
    <cfRule type="cellIs" dxfId="255" priority="1262" operator="equal">
      <formula>"AT"</formula>
    </cfRule>
    <cfRule type="cellIs" dxfId="254" priority="1263" operator="equal">
      <formula>"AM"</formula>
    </cfRule>
    <cfRule type="cellIs" dxfId="253" priority="1264" operator="equal">
      <formula>"CP"</formula>
    </cfRule>
  </conditionalFormatting>
  <conditionalFormatting sqref="M6:S6">
    <cfRule type="expression" dxfId="252" priority="1259">
      <formula>COUNTIF(JFerie,$N6)=1</formula>
    </cfRule>
  </conditionalFormatting>
  <conditionalFormatting sqref="O6">
    <cfRule type="cellIs" dxfId="251" priority="1254" operator="equal">
      <formula>"REC"</formula>
    </cfRule>
    <cfRule type="cellIs" dxfId="250" priority="1255" operator="equal">
      <formula>"CE"</formula>
    </cfRule>
    <cfRule type="cellIs" dxfId="249" priority="1256" operator="equal">
      <formula>"AT"</formula>
    </cfRule>
    <cfRule type="cellIs" dxfId="248" priority="1257" operator="equal">
      <formula>"AM"</formula>
    </cfRule>
    <cfRule type="cellIs" dxfId="247" priority="1258" operator="equal">
      <formula>"CP"</formula>
    </cfRule>
  </conditionalFormatting>
  <conditionalFormatting sqref="M7:S7">
    <cfRule type="expression" dxfId="246" priority="1253">
      <formula>COUNTIF(JFerie,$N7)=1</formula>
    </cfRule>
  </conditionalFormatting>
  <conditionalFormatting sqref="O7">
    <cfRule type="cellIs" dxfId="245" priority="1248" operator="equal">
      <formula>"REC"</formula>
    </cfRule>
    <cfRule type="cellIs" dxfId="244" priority="1249" operator="equal">
      <formula>"CE"</formula>
    </cfRule>
    <cfRule type="cellIs" dxfId="243" priority="1250" operator="equal">
      <formula>"AT"</formula>
    </cfRule>
    <cfRule type="cellIs" dxfId="242" priority="1251" operator="equal">
      <formula>"AM"</formula>
    </cfRule>
    <cfRule type="cellIs" dxfId="241" priority="1252" operator="equal">
      <formula>"CP"</formula>
    </cfRule>
  </conditionalFormatting>
  <conditionalFormatting sqref="M8:S8">
    <cfRule type="expression" dxfId="240" priority="1247">
      <formula>COUNTIF(JFerie,$N8)=1</formula>
    </cfRule>
  </conditionalFormatting>
  <conditionalFormatting sqref="O8">
    <cfRule type="cellIs" dxfId="239" priority="1242" operator="equal">
      <formula>"REC"</formula>
    </cfRule>
    <cfRule type="cellIs" dxfId="238" priority="1243" operator="equal">
      <formula>"CE"</formula>
    </cfRule>
    <cfRule type="cellIs" dxfId="237" priority="1244" operator="equal">
      <formula>"AT"</formula>
    </cfRule>
    <cfRule type="cellIs" dxfId="236" priority="1245" operator="equal">
      <formula>"AM"</formula>
    </cfRule>
    <cfRule type="cellIs" dxfId="235" priority="1246" operator="equal">
      <formula>"CP"</formula>
    </cfRule>
  </conditionalFormatting>
  <conditionalFormatting sqref="M9:S9">
    <cfRule type="expression" dxfId="234" priority="1241">
      <formula>COUNTIF(JFerie,$N9)=1</formula>
    </cfRule>
  </conditionalFormatting>
  <conditionalFormatting sqref="O9">
    <cfRule type="cellIs" dxfId="233" priority="1236" operator="equal">
      <formula>"REC"</formula>
    </cfRule>
    <cfRule type="cellIs" dxfId="232" priority="1237" operator="equal">
      <formula>"CE"</formula>
    </cfRule>
    <cfRule type="cellIs" dxfId="231" priority="1238" operator="equal">
      <formula>"AT"</formula>
    </cfRule>
    <cfRule type="cellIs" dxfId="230" priority="1239" operator="equal">
      <formula>"AM"</formula>
    </cfRule>
    <cfRule type="cellIs" dxfId="229" priority="1240" operator="equal">
      <formula>"CP"</formula>
    </cfRule>
  </conditionalFormatting>
  <conditionalFormatting sqref="M19:S19">
    <cfRule type="expression" dxfId="228" priority="1235">
      <formula>COUNTIF(JFerie,$N19)=1</formula>
    </cfRule>
  </conditionalFormatting>
  <conditionalFormatting sqref="O19">
    <cfRule type="cellIs" dxfId="227" priority="1230" operator="equal">
      <formula>"REC"</formula>
    </cfRule>
    <cfRule type="cellIs" dxfId="226" priority="1231" operator="equal">
      <formula>"CE"</formula>
    </cfRule>
    <cfRule type="cellIs" dxfId="225" priority="1232" operator="equal">
      <formula>"AT"</formula>
    </cfRule>
    <cfRule type="cellIs" dxfId="224" priority="1233" operator="equal">
      <formula>"AM"</formula>
    </cfRule>
    <cfRule type="cellIs" dxfId="223" priority="1234" operator="equal">
      <formula>"CP"</formula>
    </cfRule>
  </conditionalFormatting>
  <conditionalFormatting sqref="M20:S20">
    <cfRule type="expression" dxfId="222" priority="1229">
      <formula>COUNTIF(JFerie,$N20)=1</formula>
    </cfRule>
  </conditionalFormatting>
  <conditionalFormatting sqref="O20">
    <cfRule type="cellIs" dxfId="221" priority="1224" operator="equal">
      <formula>"REC"</formula>
    </cfRule>
    <cfRule type="cellIs" dxfId="220" priority="1225" operator="equal">
      <formula>"CE"</formula>
    </cfRule>
    <cfRule type="cellIs" dxfId="219" priority="1226" operator="equal">
      <formula>"AT"</formula>
    </cfRule>
    <cfRule type="cellIs" dxfId="218" priority="1227" operator="equal">
      <formula>"AM"</formula>
    </cfRule>
    <cfRule type="cellIs" dxfId="217" priority="1228" operator="equal">
      <formula>"CP"</formula>
    </cfRule>
  </conditionalFormatting>
  <conditionalFormatting sqref="M21:S21">
    <cfRule type="expression" dxfId="216" priority="1223">
      <formula>COUNTIF(JFerie,$N21)=1</formula>
    </cfRule>
  </conditionalFormatting>
  <conditionalFormatting sqref="O21">
    <cfRule type="cellIs" dxfId="215" priority="1218" operator="equal">
      <formula>"REC"</formula>
    </cfRule>
    <cfRule type="cellIs" dxfId="214" priority="1219" operator="equal">
      <formula>"CE"</formula>
    </cfRule>
    <cfRule type="cellIs" dxfId="213" priority="1220" operator="equal">
      <formula>"AT"</formula>
    </cfRule>
    <cfRule type="cellIs" dxfId="212" priority="1221" operator="equal">
      <formula>"AM"</formula>
    </cfRule>
    <cfRule type="cellIs" dxfId="211" priority="1222" operator="equal">
      <formula>"CP"</formula>
    </cfRule>
  </conditionalFormatting>
  <conditionalFormatting sqref="M22:S22">
    <cfRule type="expression" dxfId="210" priority="1217">
      <formula>COUNTIF(JFerie,$N22)=1</formula>
    </cfRule>
  </conditionalFormatting>
  <conditionalFormatting sqref="O22">
    <cfRule type="cellIs" dxfId="209" priority="1212" operator="equal">
      <formula>"REC"</formula>
    </cfRule>
    <cfRule type="cellIs" dxfId="208" priority="1213" operator="equal">
      <formula>"CE"</formula>
    </cfRule>
    <cfRule type="cellIs" dxfId="207" priority="1214" operator="equal">
      <formula>"AT"</formula>
    </cfRule>
    <cfRule type="cellIs" dxfId="206" priority="1215" operator="equal">
      <formula>"AM"</formula>
    </cfRule>
    <cfRule type="cellIs" dxfId="205" priority="1216" operator="equal">
      <formula>"CP"</formula>
    </cfRule>
  </conditionalFormatting>
  <conditionalFormatting sqref="M23:S23">
    <cfRule type="expression" dxfId="204" priority="1211">
      <formula>COUNTIF(JFerie,$N23)=1</formula>
    </cfRule>
  </conditionalFormatting>
  <conditionalFormatting sqref="O23">
    <cfRule type="cellIs" dxfId="203" priority="1206" operator="equal">
      <formula>"REC"</formula>
    </cfRule>
    <cfRule type="cellIs" dxfId="202" priority="1207" operator="equal">
      <formula>"CE"</formula>
    </cfRule>
    <cfRule type="cellIs" dxfId="201" priority="1208" operator="equal">
      <formula>"AT"</formula>
    </cfRule>
    <cfRule type="cellIs" dxfId="200" priority="1209" operator="equal">
      <formula>"AM"</formula>
    </cfRule>
    <cfRule type="cellIs" dxfId="199" priority="1210" operator="equal">
      <formula>"CP"</formula>
    </cfRule>
  </conditionalFormatting>
  <conditionalFormatting sqref="M24:S24">
    <cfRule type="expression" dxfId="198" priority="1205">
      <formula>COUNTIF(JFerie,$N24)=1</formula>
    </cfRule>
  </conditionalFormatting>
  <conditionalFormatting sqref="O24">
    <cfRule type="cellIs" dxfId="197" priority="1200" operator="equal">
      <formula>"REC"</formula>
    </cfRule>
    <cfRule type="cellIs" dxfId="196" priority="1201" operator="equal">
      <formula>"CE"</formula>
    </cfRule>
    <cfRule type="cellIs" dxfId="195" priority="1202" operator="equal">
      <formula>"AT"</formula>
    </cfRule>
    <cfRule type="cellIs" dxfId="194" priority="1203" operator="equal">
      <formula>"AM"</formula>
    </cfRule>
    <cfRule type="cellIs" dxfId="193" priority="1204" operator="equal">
      <formula>"CP"</formula>
    </cfRule>
  </conditionalFormatting>
  <conditionalFormatting sqref="M25:S25">
    <cfRule type="expression" dxfId="192" priority="1199">
      <formula>COUNTIF(JFerie,$N25)=1</formula>
    </cfRule>
  </conditionalFormatting>
  <conditionalFormatting sqref="O25">
    <cfRule type="cellIs" dxfId="191" priority="1194" operator="equal">
      <formula>"REC"</formula>
    </cfRule>
    <cfRule type="cellIs" dxfId="190" priority="1195" operator="equal">
      <formula>"CE"</formula>
    </cfRule>
    <cfRule type="cellIs" dxfId="189" priority="1196" operator="equal">
      <formula>"AT"</formula>
    </cfRule>
    <cfRule type="cellIs" dxfId="188" priority="1197" operator="equal">
      <formula>"AM"</formula>
    </cfRule>
    <cfRule type="cellIs" dxfId="187" priority="1198" operator="equal">
      <formula>"CP"</formula>
    </cfRule>
  </conditionalFormatting>
  <conditionalFormatting sqref="M35:S35">
    <cfRule type="expression" dxfId="186" priority="1193">
      <formula>COUNTIF(JFerie,$N35)=1</formula>
    </cfRule>
  </conditionalFormatting>
  <conditionalFormatting sqref="O35">
    <cfRule type="cellIs" dxfId="185" priority="1188" operator="equal">
      <formula>"REC"</formula>
    </cfRule>
    <cfRule type="cellIs" dxfId="184" priority="1189" operator="equal">
      <formula>"CE"</formula>
    </cfRule>
    <cfRule type="cellIs" dxfId="183" priority="1190" operator="equal">
      <formula>"AT"</formula>
    </cfRule>
    <cfRule type="cellIs" dxfId="182" priority="1191" operator="equal">
      <formula>"AM"</formula>
    </cfRule>
    <cfRule type="cellIs" dxfId="181" priority="1192" operator="equal">
      <formula>"CP"</formula>
    </cfRule>
  </conditionalFormatting>
  <conditionalFormatting sqref="M36:S36">
    <cfRule type="expression" dxfId="180" priority="1187">
      <formula>COUNTIF(JFerie,$N36)=1</formula>
    </cfRule>
  </conditionalFormatting>
  <conditionalFormatting sqref="O36">
    <cfRule type="cellIs" dxfId="179" priority="1182" operator="equal">
      <formula>"REC"</formula>
    </cfRule>
    <cfRule type="cellIs" dxfId="178" priority="1183" operator="equal">
      <formula>"CE"</formula>
    </cfRule>
    <cfRule type="cellIs" dxfId="177" priority="1184" operator="equal">
      <formula>"AT"</formula>
    </cfRule>
    <cfRule type="cellIs" dxfId="176" priority="1185" operator="equal">
      <formula>"AM"</formula>
    </cfRule>
    <cfRule type="cellIs" dxfId="175" priority="1186" operator="equal">
      <formula>"CP"</formula>
    </cfRule>
  </conditionalFormatting>
  <conditionalFormatting sqref="M37:S37">
    <cfRule type="expression" dxfId="174" priority="1181">
      <formula>COUNTIF(JFerie,$N37)=1</formula>
    </cfRule>
  </conditionalFormatting>
  <conditionalFormatting sqref="O37">
    <cfRule type="cellIs" dxfId="173" priority="1176" operator="equal">
      <formula>"REC"</formula>
    </cfRule>
    <cfRule type="cellIs" dxfId="172" priority="1177" operator="equal">
      <formula>"CE"</formula>
    </cfRule>
    <cfRule type="cellIs" dxfId="171" priority="1178" operator="equal">
      <formula>"AT"</formula>
    </cfRule>
    <cfRule type="cellIs" dxfId="170" priority="1179" operator="equal">
      <formula>"AM"</formula>
    </cfRule>
    <cfRule type="cellIs" dxfId="169" priority="1180" operator="equal">
      <formula>"CP"</formula>
    </cfRule>
  </conditionalFormatting>
  <conditionalFormatting sqref="M38:S38">
    <cfRule type="expression" dxfId="168" priority="1175">
      <formula>COUNTIF(JFerie,$N38)=1</formula>
    </cfRule>
  </conditionalFormatting>
  <conditionalFormatting sqref="O38">
    <cfRule type="cellIs" dxfId="167" priority="1170" operator="equal">
      <formula>"REC"</formula>
    </cfRule>
    <cfRule type="cellIs" dxfId="166" priority="1171" operator="equal">
      <formula>"CE"</formula>
    </cfRule>
    <cfRule type="cellIs" dxfId="165" priority="1172" operator="equal">
      <formula>"AT"</formula>
    </cfRule>
    <cfRule type="cellIs" dxfId="164" priority="1173" operator="equal">
      <formula>"AM"</formula>
    </cfRule>
    <cfRule type="cellIs" dxfId="163" priority="1174" operator="equal">
      <formula>"CP"</formula>
    </cfRule>
  </conditionalFormatting>
  <conditionalFormatting sqref="M39:S39">
    <cfRule type="expression" dxfId="162" priority="1169">
      <formula>COUNTIF(JFerie,$N39)=1</formula>
    </cfRule>
  </conditionalFormatting>
  <conditionalFormatting sqref="O39">
    <cfRule type="cellIs" dxfId="161" priority="1164" operator="equal">
      <formula>"REC"</formula>
    </cfRule>
    <cfRule type="cellIs" dxfId="160" priority="1165" operator="equal">
      <formula>"CE"</formula>
    </cfRule>
    <cfRule type="cellIs" dxfId="159" priority="1166" operator="equal">
      <formula>"AT"</formula>
    </cfRule>
    <cfRule type="cellIs" dxfId="158" priority="1167" operator="equal">
      <formula>"AM"</formula>
    </cfRule>
    <cfRule type="cellIs" dxfId="157" priority="1168" operator="equal">
      <formula>"CP"</formula>
    </cfRule>
  </conditionalFormatting>
  <conditionalFormatting sqref="M40:S40">
    <cfRule type="expression" dxfId="156" priority="1163">
      <formula>COUNTIF(JFerie,$N40)=1</formula>
    </cfRule>
  </conditionalFormatting>
  <conditionalFormatting sqref="O40">
    <cfRule type="cellIs" dxfId="155" priority="1158" operator="equal">
      <formula>"REC"</formula>
    </cfRule>
    <cfRule type="cellIs" dxfId="154" priority="1159" operator="equal">
      <formula>"CE"</formula>
    </cfRule>
    <cfRule type="cellIs" dxfId="153" priority="1160" operator="equal">
      <formula>"AT"</formula>
    </cfRule>
    <cfRule type="cellIs" dxfId="152" priority="1161" operator="equal">
      <formula>"AM"</formula>
    </cfRule>
    <cfRule type="cellIs" dxfId="151" priority="1162" operator="equal">
      <formula>"CP"</formula>
    </cfRule>
  </conditionalFormatting>
  <conditionalFormatting sqref="M41:S41">
    <cfRule type="expression" dxfId="150" priority="1157">
      <formula>COUNTIF(JFerie,$N41)=1</formula>
    </cfRule>
  </conditionalFormatting>
  <conditionalFormatting sqref="O41">
    <cfRule type="cellIs" dxfId="149" priority="1152" operator="equal">
      <formula>"REC"</formula>
    </cfRule>
    <cfRule type="cellIs" dxfId="148" priority="1153" operator="equal">
      <formula>"CE"</formula>
    </cfRule>
    <cfRule type="cellIs" dxfId="147" priority="1154" operator="equal">
      <formula>"AT"</formula>
    </cfRule>
    <cfRule type="cellIs" dxfId="146" priority="1155" operator="equal">
      <formula>"AM"</formula>
    </cfRule>
    <cfRule type="cellIs" dxfId="145" priority="1156" operator="equal">
      <formula>"CP"</formula>
    </cfRule>
  </conditionalFormatting>
  <conditionalFormatting sqref="M51:S51">
    <cfRule type="expression" dxfId="144" priority="1151">
      <formula>COUNTIF(JFerie,$N51)=1</formula>
    </cfRule>
  </conditionalFormatting>
  <conditionalFormatting sqref="O51">
    <cfRule type="cellIs" dxfId="143" priority="1146" operator="equal">
      <formula>"REC"</formula>
    </cfRule>
    <cfRule type="cellIs" dxfId="142" priority="1147" operator="equal">
      <formula>"CE"</formula>
    </cfRule>
    <cfRule type="cellIs" dxfId="141" priority="1148" operator="equal">
      <formula>"AT"</formula>
    </cfRule>
    <cfRule type="cellIs" dxfId="140" priority="1149" operator="equal">
      <formula>"AM"</formula>
    </cfRule>
    <cfRule type="cellIs" dxfId="139" priority="1150" operator="equal">
      <formula>"CP"</formula>
    </cfRule>
  </conditionalFormatting>
  <conditionalFormatting sqref="M52:S52">
    <cfRule type="expression" dxfId="138" priority="1145">
      <formula>COUNTIF(JFerie,$N52)=1</formula>
    </cfRule>
  </conditionalFormatting>
  <conditionalFormatting sqref="O52">
    <cfRule type="cellIs" dxfId="137" priority="1140" operator="equal">
      <formula>"REC"</formula>
    </cfRule>
    <cfRule type="cellIs" dxfId="136" priority="1141" operator="equal">
      <formula>"CE"</formula>
    </cfRule>
    <cfRule type="cellIs" dxfId="135" priority="1142" operator="equal">
      <formula>"AT"</formula>
    </cfRule>
    <cfRule type="cellIs" dxfId="134" priority="1143" operator="equal">
      <formula>"AM"</formula>
    </cfRule>
    <cfRule type="cellIs" dxfId="133" priority="1144" operator="equal">
      <formula>"CP"</formula>
    </cfRule>
  </conditionalFormatting>
  <conditionalFormatting sqref="M53:S53">
    <cfRule type="expression" dxfId="132" priority="1139">
      <formula>COUNTIF(JFerie,$N53)=1</formula>
    </cfRule>
  </conditionalFormatting>
  <conditionalFormatting sqref="O53">
    <cfRule type="cellIs" dxfId="131" priority="1134" operator="equal">
      <formula>"REC"</formula>
    </cfRule>
    <cfRule type="cellIs" dxfId="130" priority="1135" operator="equal">
      <formula>"CE"</formula>
    </cfRule>
    <cfRule type="cellIs" dxfId="129" priority="1136" operator="equal">
      <formula>"AT"</formula>
    </cfRule>
    <cfRule type="cellIs" dxfId="128" priority="1137" operator="equal">
      <formula>"AM"</formula>
    </cfRule>
    <cfRule type="cellIs" dxfId="127" priority="1138" operator="equal">
      <formula>"CP"</formula>
    </cfRule>
  </conditionalFormatting>
  <conditionalFormatting sqref="M54:S54">
    <cfRule type="expression" dxfId="126" priority="1133">
      <formula>COUNTIF(JFerie,$N54)=1</formula>
    </cfRule>
  </conditionalFormatting>
  <conditionalFormatting sqref="O54">
    <cfRule type="cellIs" dxfId="125" priority="1128" operator="equal">
      <formula>"REC"</formula>
    </cfRule>
    <cfRule type="cellIs" dxfId="124" priority="1129" operator="equal">
      <formula>"CE"</formula>
    </cfRule>
    <cfRule type="cellIs" dxfId="123" priority="1130" operator="equal">
      <formula>"AT"</formula>
    </cfRule>
    <cfRule type="cellIs" dxfId="122" priority="1131" operator="equal">
      <formula>"AM"</formula>
    </cfRule>
    <cfRule type="cellIs" dxfId="121" priority="1132" operator="equal">
      <formula>"CP"</formula>
    </cfRule>
  </conditionalFormatting>
  <conditionalFormatting sqref="M55:S55">
    <cfRule type="expression" dxfId="120" priority="1127">
      <formula>COUNTIF(JFerie,$N55)=1</formula>
    </cfRule>
  </conditionalFormatting>
  <conditionalFormatting sqref="O55">
    <cfRule type="cellIs" dxfId="119" priority="1122" operator="equal">
      <formula>"REC"</formula>
    </cfRule>
    <cfRule type="cellIs" dxfId="118" priority="1123" operator="equal">
      <formula>"CE"</formula>
    </cfRule>
    <cfRule type="cellIs" dxfId="117" priority="1124" operator="equal">
      <formula>"AT"</formula>
    </cfRule>
    <cfRule type="cellIs" dxfId="116" priority="1125" operator="equal">
      <formula>"AM"</formula>
    </cfRule>
    <cfRule type="cellIs" dxfId="115" priority="1126" operator="equal">
      <formula>"CP"</formula>
    </cfRule>
  </conditionalFormatting>
  <conditionalFormatting sqref="M56:S56">
    <cfRule type="expression" dxfId="114" priority="1121">
      <formula>COUNTIF(JFerie,$N56)=1</formula>
    </cfRule>
  </conditionalFormatting>
  <conditionalFormatting sqref="O56">
    <cfRule type="cellIs" dxfId="113" priority="1116" operator="equal">
      <formula>"REC"</formula>
    </cfRule>
    <cfRule type="cellIs" dxfId="112" priority="1117" operator="equal">
      <formula>"CE"</formula>
    </cfRule>
    <cfRule type="cellIs" dxfId="111" priority="1118" operator="equal">
      <formula>"AT"</formula>
    </cfRule>
    <cfRule type="cellIs" dxfId="110" priority="1119" operator="equal">
      <formula>"AM"</formula>
    </cfRule>
    <cfRule type="cellIs" dxfId="109" priority="1120" operator="equal">
      <formula>"CP"</formula>
    </cfRule>
  </conditionalFormatting>
  <conditionalFormatting sqref="M57:S57">
    <cfRule type="expression" dxfId="108" priority="1115">
      <formula>COUNTIF(JFerie,$N57)=1</formula>
    </cfRule>
  </conditionalFormatting>
  <conditionalFormatting sqref="O57">
    <cfRule type="cellIs" dxfId="107" priority="1110" operator="equal">
      <formula>"REC"</formula>
    </cfRule>
    <cfRule type="cellIs" dxfId="106" priority="1111" operator="equal">
      <formula>"CE"</formula>
    </cfRule>
    <cfRule type="cellIs" dxfId="105" priority="1112" operator="equal">
      <formula>"AT"</formula>
    </cfRule>
    <cfRule type="cellIs" dxfId="104" priority="1113" operator="equal">
      <formula>"AM"</formula>
    </cfRule>
    <cfRule type="cellIs" dxfId="103" priority="1114" operator="equal">
      <formula>"CP"</formula>
    </cfRule>
  </conditionalFormatting>
  <conditionalFormatting sqref="M67:S67">
    <cfRule type="expression" dxfId="102" priority="1109">
      <formula>COUNTIF(JFerie,$N67)=1</formula>
    </cfRule>
  </conditionalFormatting>
  <conditionalFormatting sqref="O67">
    <cfRule type="cellIs" dxfId="101" priority="1104" operator="equal">
      <formula>"REC"</formula>
    </cfRule>
    <cfRule type="cellIs" dxfId="100" priority="1105" operator="equal">
      <formula>"CE"</formula>
    </cfRule>
    <cfRule type="cellIs" dxfId="99" priority="1106" operator="equal">
      <formula>"AT"</formula>
    </cfRule>
    <cfRule type="cellIs" dxfId="98" priority="1107" operator="equal">
      <formula>"AM"</formula>
    </cfRule>
    <cfRule type="cellIs" dxfId="97" priority="1108" operator="equal">
      <formula>"CP"</formula>
    </cfRule>
  </conditionalFormatting>
  <conditionalFormatting sqref="M68:S68">
    <cfRule type="expression" dxfId="96" priority="1103">
      <formula>COUNTIF(JFerie,$N68)=1</formula>
    </cfRule>
  </conditionalFormatting>
  <conditionalFormatting sqref="O68">
    <cfRule type="cellIs" dxfId="95" priority="1098" operator="equal">
      <formula>"REC"</formula>
    </cfRule>
    <cfRule type="cellIs" dxfId="94" priority="1099" operator="equal">
      <formula>"CE"</formula>
    </cfRule>
    <cfRule type="cellIs" dxfId="93" priority="1100" operator="equal">
      <formula>"AT"</formula>
    </cfRule>
    <cfRule type="cellIs" dxfId="92" priority="1101" operator="equal">
      <formula>"AM"</formula>
    </cfRule>
    <cfRule type="cellIs" dxfId="91" priority="1102" operator="equal">
      <formula>"CP"</formula>
    </cfRule>
  </conditionalFormatting>
  <conditionalFormatting sqref="M69:S69">
    <cfRule type="expression" dxfId="90" priority="1097">
      <formula>COUNTIF(JFerie,$N69)=1</formula>
    </cfRule>
  </conditionalFormatting>
  <conditionalFormatting sqref="O69">
    <cfRule type="cellIs" dxfId="89" priority="1092" operator="equal">
      <formula>"REC"</formula>
    </cfRule>
    <cfRule type="cellIs" dxfId="88" priority="1093" operator="equal">
      <formula>"CE"</formula>
    </cfRule>
    <cfRule type="cellIs" dxfId="87" priority="1094" operator="equal">
      <formula>"AT"</formula>
    </cfRule>
    <cfRule type="cellIs" dxfId="86" priority="1095" operator="equal">
      <formula>"AM"</formula>
    </cfRule>
    <cfRule type="cellIs" dxfId="85" priority="1096" operator="equal">
      <formula>"CP"</formula>
    </cfRule>
  </conditionalFormatting>
  <conditionalFormatting sqref="M70:S70">
    <cfRule type="expression" dxfId="84" priority="1091">
      <formula>COUNTIF(JFerie,$N70)=1</formula>
    </cfRule>
  </conditionalFormatting>
  <conditionalFormatting sqref="O70">
    <cfRule type="cellIs" dxfId="83" priority="1086" operator="equal">
      <formula>"REC"</formula>
    </cfRule>
    <cfRule type="cellIs" dxfId="82" priority="1087" operator="equal">
      <formula>"CE"</formula>
    </cfRule>
    <cfRule type="cellIs" dxfId="81" priority="1088" operator="equal">
      <formula>"AT"</formula>
    </cfRule>
    <cfRule type="cellIs" dxfId="80" priority="1089" operator="equal">
      <formula>"AM"</formula>
    </cfRule>
    <cfRule type="cellIs" dxfId="79" priority="1090" operator="equal">
      <formula>"CP"</formula>
    </cfRule>
  </conditionalFormatting>
  <conditionalFormatting sqref="M71:S71">
    <cfRule type="expression" dxfId="78" priority="1085">
      <formula>COUNTIF(JFerie,$N71)=1</formula>
    </cfRule>
  </conditionalFormatting>
  <conditionalFormatting sqref="O71">
    <cfRule type="cellIs" dxfId="77" priority="1080" operator="equal">
      <formula>"REC"</formula>
    </cfRule>
    <cfRule type="cellIs" dxfId="76" priority="1081" operator="equal">
      <formula>"CE"</formula>
    </cfRule>
    <cfRule type="cellIs" dxfId="75" priority="1082" operator="equal">
      <formula>"AT"</formula>
    </cfRule>
    <cfRule type="cellIs" dxfId="74" priority="1083" operator="equal">
      <formula>"AM"</formula>
    </cfRule>
    <cfRule type="cellIs" dxfId="73" priority="1084" operator="equal">
      <formula>"CP"</formula>
    </cfRule>
  </conditionalFormatting>
  <conditionalFormatting sqref="M72:S72">
    <cfRule type="expression" dxfId="72" priority="1079">
      <formula>COUNTIF(JFerie,$N72)=1</formula>
    </cfRule>
  </conditionalFormatting>
  <conditionalFormatting sqref="O72">
    <cfRule type="cellIs" dxfId="71" priority="1074" operator="equal">
      <formula>"REC"</formula>
    </cfRule>
    <cfRule type="cellIs" dxfId="70" priority="1075" operator="equal">
      <formula>"CE"</formula>
    </cfRule>
    <cfRule type="cellIs" dxfId="69" priority="1076" operator="equal">
      <formula>"AT"</formula>
    </cfRule>
    <cfRule type="cellIs" dxfId="68" priority="1077" operator="equal">
      <formula>"AM"</formula>
    </cfRule>
    <cfRule type="cellIs" dxfId="67" priority="1078" operator="equal">
      <formula>"CP"</formula>
    </cfRule>
  </conditionalFormatting>
  <conditionalFormatting sqref="M73:S73">
    <cfRule type="expression" dxfId="66" priority="1073">
      <formula>COUNTIF(JFerie,$N73)=1</formula>
    </cfRule>
  </conditionalFormatting>
  <conditionalFormatting sqref="O73">
    <cfRule type="cellIs" dxfId="65" priority="1068" operator="equal">
      <formula>"REC"</formula>
    </cfRule>
    <cfRule type="cellIs" dxfId="64" priority="1069" operator="equal">
      <formula>"CE"</formula>
    </cfRule>
    <cfRule type="cellIs" dxfId="63" priority="1070" operator="equal">
      <formula>"AT"</formula>
    </cfRule>
    <cfRule type="cellIs" dxfId="62" priority="1071" operator="equal">
      <formula>"AM"</formula>
    </cfRule>
    <cfRule type="cellIs" dxfId="61" priority="1072" operator="equal">
      <formula>"CP"</formula>
    </cfRule>
  </conditionalFormatting>
  <conditionalFormatting sqref="O5">
    <cfRule type="cellIs" dxfId="60" priority="206" operator="equal">
      <formula>"SS"</formula>
    </cfRule>
  </conditionalFormatting>
  <conditionalFormatting sqref="O6">
    <cfRule type="cellIs" dxfId="59" priority="205" operator="equal">
      <formula>"SS"</formula>
    </cfRule>
  </conditionalFormatting>
  <conditionalFormatting sqref="O7">
    <cfRule type="cellIs" dxfId="58" priority="204" operator="equal">
      <formula>"SS"</formula>
    </cfRule>
  </conditionalFormatting>
  <conditionalFormatting sqref="O8">
    <cfRule type="cellIs" dxfId="57" priority="203" operator="equal">
      <formula>"SS"</formula>
    </cfRule>
  </conditionalFormatting>
  <conditionalFormatting sqref="O9">
    <cfRule type="cellIs" dxfId="56" priority="202" operator="equal">
      <formula>"SS"</formula>
    </cfRule>
  </conditionalFormatting>
  <conditionalFormatting sqref="D20">
    <cfRule type="cellIs" dxfId="55" priority="200" operator="equal">
      <formula>"SS"</formula>
    </cfRule>
  </conditionalFormatting>
  <conditionalFormatting sqref="D21">
    <cfRule type="cellIs" dxfId="54" priority="199" operator="equal">
      <formula>"SS"</formula>
    </cfRule>
  </conditionalFormatting>
  <conditionalFormatting sqref="D22">
    <cfRule type="cellIs" dxfId="53" priority="198" operator="equal">
      <formula>"SS"</formula>
    </cfRule>
  </conditionalFormatting>
  <conditionalFormatting sqref="D23">
    <cfRule type="cellIs" dxfId="52" priority="197" operator="equal">
      <formula>"SS"</formula>
    </cfRule>
  </conditionalFormatting>
  <conditionalFormatting sqref="D24">
    <cfRule type="cellIs" dxfId="51" priority="196" operator="equal">
      <formula>"SS"</formula>
    </cfRule>
  </conditionalFormatting>
  <conditionalFormatting sqref="D25">
    <cfRule type="cellIs" dxfId="50" priority="195" operator="equal">
      <formula>"SS"</formula>
    </cfRule>
  </conditionalFormatting>
  <conditionalFormatting sqref="D35">
    <cfRule type="cellIs" dxfId="49" priority="194" operator="equal">
      <formula>"SS"</formula>
    </cfRule>
  </conditionalFormatting>
  <conditionalFormatting sqref="D36">
    <cfRule type="cellIs" dxfId="48" priority="193" operator="equal">
      <formula>"SS"</formula>
    </cfRule>
  </conditionalFormatting>
  <conditionalFormatting sqref="D37">
    <cfRule type="cellIs" dxfId="47" priority="192" operator="equal">
      <formula>"SS"</formula>
    </cfRule>
  </conditionalFormatting>
  <conditionalFormatting sqref="D38">
    <cfRule type="cellIs" dxfId="46" priority="191" operator="equal">
      <formula>"SS"</formula>
    </cfRule>
  </conditionalFormatting>
  <conditionalFormatting sqref="D39">
    <cfRule type="cellIs" dxfId="45" priority="190" operator="equal">
      <formula>"SS"</formula>
    </cfRule>
  </conditionalFormatting>
  <conditionalFormatting sqref="D40">
    <cfRule type="cellIs" dxfId="44" priority="189" operator="equal">
      <formula>"SS"</formula>
    </cfRule>
  </conditionalFormatting>
  <conditionalFormatting sqref="D41">
    <cfRule type="cellIs" dxfId="43" priority="188" operator="equal">
      <formula>"SS"</formula>
    </cfRule>
  </conditionalFormatting>
  <conditionalFormatting sqref="D51">
    <cfRule type="cellIs" dxfId="42" priority="187" operator="equal">
      <formula>"SS"</formula>
    </cfRule>
  </conditionalFormatting>
  <conditionalFormatting sqref="D52">
    <cfRule type="cellIs" dxfId="41" priority="186" operator="equal">
      <formula>"SS"</formula>
    </cfRule>
  </conditionalFormatting>
  <conditionalFormatting sqref="D53">
    <cfRule type="cellIs" dxfId="40" priority="185" operator="equal">
      <formula>"SS"</formula>
    </cfRule>
  </conditionalFormatting>
  <conditionalFormatting sqref="D54">
    <cfRule type="cellIs" dxfId="39" priority="184" operator="equal">
      <formula>"SS"</formula>
    </cfRule>
  </conditionalFormatting>
  <conditionalFormatting sqref="D55">
    <cfRule type="cellIs" dxfId="38" priority="183" operator="equal">
      <formula>"SS"</formula>
    </cfRule>
  </conditionalFormatting>
  <conditionalFormatting sqref="D56">
    <cfRule type="cellIs" dxfId="37" priority="182" operator="equal">
      <formula>"SS"</formula>
    </cfRule>
  </conditionalFormatting>
  <conditionalFormatting sqref="D57">
    <cfRule type="cellIs" dxfId="36" priority="181" operator="equal">
      <formula>"SS"</formula>
    </cfRule>
  </conditionalFormatting>
  <conditionalFormatting sqref="D67">
    <cfRule type="cellIs" dxfId="35" priority="180" operator="equal">
      <formula>"SS"</formula>
    </cfRule>
  </conditionalFormatting>
  <conditionalFormatting sqref="D68">
    <cfRule type="cellIs" dxfId="34" priority="179" operator="equal">
      <formula>"SS"</formula>
    </cfRule>
  </conditionalFormatting>
  <conditionalFormatting sqref="D69">
    <cfRule type="cellIs" dxfId="33" priority="178" operator="equal">
      <formula>"SS"</formula>
    </cfRule>
  </conditionalFormatting>
  <conditionalFormatting sqref="D70">
    <cfRule type="cellIs" dxfId="32" priority="177" operator="equal">
      <formula>"SS"</formula>
    </cfRule>
  </conditionalFormatting>
  <conditionalFormatting sqref="D71">
    <cfRule type="cellIs" dxfId="31" priority="176" operator="equal">
      <formula>"SS"</formula>
    </cfRule>
  </conditionalFormatting>
  <conditionalFormatting sqref="D72">
    <cfRule type="cellIs" dxfId="30" priority="175" operator="equal">
      <formula>"SS"</formula>
    </cfRule>
  </conditionalFormatting>
  <conditionalFormatting sqref="D73">
    <cfRule type="cellIs" dxfId="29" priority="174" operator="equal">
      <formula>"SS"</formula>
    </cfRule>
  </conditionalFormatting>
  <conditionalFormatting sqref="O19">
    <cfRule type="cellIs" dxfId="28" priority="173" operator="equal">
      <formula>"SS"</formula>
    </cfRule>
  </conditionalFormatting>
  <conditionalFormatting sqref="O20">
    <cfRule type="cellIs" dxfId="27" priority="172" operator="equal">
      <formula>"SS"</formula>
    </cfRule>
  </conditionalFormatting>
  <conditionalFormatting sqref="O21">
    <cfRule type="cellIs" dxfId="26" priority="171" operator="equal">
      <formula>"SS"</formula>
    </cfRule>
  </conditionalFormatting>
  <conditionalFormatting sqref="O22">
    <cfRule type="cellIs" dxfId="25" priority="170" operator="equal">
      <formula>"SS"</formula>
    </cfRule>
  </conditionalFormatting>
  <conditionalFormatting sqref="O23">
    <cfRule type="cellIs" dxfId="24" priority="169" operator="equal">
      <formula>"SS"</formula>
    </cfRule>
  </conditionalFormatting>
  <conditionalFormatting sqref="O24">
    <cfRule type="cellIs" dxfId="23" priority="168" operator="equal">
      <formula>"SS"</formula>
    </cfRule>
  </conditionalFormatting>
  <conditionalFormatting sqref="O25">
    <cfRule type="cellIs" dxfId="22" priority="167" operator="equal">
      <formula>"SS"</formula>
    </cfRule>
  </conditionalFormatting>
  <conditionalFormatting sqref="O35">
    <cfRule type="cellIs" dxfId="21" priority="166" operator="equal">
      <formula>"SS"</formula>
    </cfRule>
  </conditionalFormatting>
  <conditionalFormatting sqref="O36">
    <cfRule type="cellIs" dxfId="20" priority="165" operator="equal">
      <formula>"SS"</formula>
    </cfRule>
  </conditionalFormatting>
  <conditionalFormatting sqref="O37">
    <cfRule type="cellIs" dxfId="19" priority="164" operator="equal">
      <formula>"SS"</formula>
    </cfRule>
  </conditionalFormatting>
  <conditionalFormatting sqref="O38">
    <cfRule type="cellIs" dxfId="18" priority="163" operator="equal">
      <formula>"SS"</formula>
    </cfRule>
  </conditionalFormatting>
  <conditionalFormatting sqref="O39">
    <cfRule type="cellIs" dxfId="17" priority="162" operator="equal">
      <formula>"SS"</formula>
    </cfRule>
  </conditionalFormatting>
  <conditionalFormatting sqref="O40">
    <cfRule type="cellIs" dxfId="16" priority="161" operator="equal">
      <formula>"SS"</formula>
    </cfRule>
  </conditionalFormatting>
  <conditionalFormatting sqref="O41">
    <cfRule type="cellIs" dxfId="15" priority="160" operator="equal">
      <formula>"SS"</formula>
    </cfRule>
  </conditionalFormatting>
  <conditionalFormatting sqref="O51">
    <cfRule type="cellIs" dxfId="14" priority="159" operator="equal">
      <formula>"SS"</formula>
    </cfRule>
  </conditionalFormatting>
  <conditionalFormatting sqref="O52">
    <cfRule type="cellIs" dxfId="13" priority="158" operator="equal">
      <formula>"SS"</formula>
    </cfRule>
  </conditionalFormatting>
  <conditionalFormatting sqref="O53">
    <cfRule type="cellIs" dxfId="12" priority="157" operator="equal">
      <formula>"SS"</formula>
    </cfRule>
  </conditionalFormatting>
  <conditionalFormatting sqref="O54">
    <cfRule type="cellIs" dxfId="11" priority="156" operator="equal">
      <formula>"SS"</formula>
    </cfRule>
  </conditionalFormatting>
  <conditionalFormatting sqref="O55">
    <cfRule type="cellIs" dxfId="10" priority="155" operator="equal">
      <formula>"SS"</formula>
    </cfRule>
  </conditionalFormatting>
  <conditionalFormatting sqref="O56">
    <cfRule type="cellIs" dxfId="9" priority="154" operator="equal">
      <formula>"SS"</formula>
    </cfRule>
  </conditionalFormatting>
  <conditionalFormatting sqref="O57">
    <cfRule type="cellIs" dxfId="8" priority="153" operator="equal">
      <formula>"SS"</formula>
    </cfRule>
  </conditionalFormatting>
  <conditionalFormatting sqref="O67">
    <cfRule type="cellIs" dxfId="7" priority="152" operator="equal">
      <formula>"SS"</formula>
    </cfRule>
  </conditionalFormatting>
  <conditionalFormatting sqref="O68">
    <cfRule type="cellIs" dxfId="6" priority="151" operator="equal">
      <formula>"SS"</formula>
    </cfRule>
  </conditionalFormatting>
  <conditionalFormatting sqref="O69">
    <cfRule type="cellIs" dxfId="5" priority="150" operator="equal">
      <formula>"SS"</formula>
    </cfRule>
  </conditionalFormatting>
  <conditionalFormatting sqref="O70">
    <cfRule type="cellIs" dxfId="4" priority="149" operator="equal">
      <formula>"SS"</formula>
    </cfRule>
  </conditionalFormatting>
  <conditionalFormatting sqref="O71">
    <cfRule type="cellIs" dxfId="3" priority="148" operator="equal">
      <formula>"SS"</formula>
    </cfRule>
  </conditionalFormatting>
  <conditionalFormatting sqref="O72">
    <cfRule type="cellIs" dxfId="2" priority="147" operator="equal">
      <formula>"SS"</formula>
    </cfRule>
  </conditionalFormatting>
  <conditionalFormatting sqref="O73">
    <cfRule type="cellIs" dxfId="1" priority="146" operator="equal">
      <formula>"SS"</formula>
    </cfRule>
  </conditionalFormatting>
  <dataValidations count="5">
    <dataValidation type="decimal" allowBlank="1" showInputMessage="1" showErrorMessage="1" errorTitle="Attention !" error="- Donnée non valide -_x000a_L'amplitude horaire journalière doit être comprise en 0 et 20" sqref="E3:E9 E19:E25 E35:E41 E51:E57 E67:E73 P3:P9 P19:P25 P35:P41 P51:P57 P67:P73">
      <formula1>0</formula1>
      <formula2>20</formula2>
    </dataValidation>
    <dataValidation type="list" allowBlank="1" showInputMessage="1" showErrorMessage="1" sqref="D3:D9 D19:D25 D35:D41 D51:D57 D67:D73 O3:O9 O19:O25 O35:O41 O51:O57 O67:O73">
      <formula1>TypeJour</formula1>
    </dataValidation>
    <dataValidation type="list" allowBlank="1" showInputMessage="1" showErrorMessage="1" sqref="A1">
      <formula1>Agent</formula1>
    </dataValidation>
    <dataValidation type="decimal" allowBlank="1" showInputMessage="1" showErrorMessage="1" errorTitle="Attention !" error="- Donnée non valide -_x000a_L'amplitude horaire journalière des heures de nuit doit être comprise en 0 et 9_x000a_" sqref="G67:G73 R67:R73 G3:G9 R3:R9 G19:G25 R19:R25 G35:G41 R35:R41 G51:G57 R51:R57">
      <formula1>0</formula1>
      <formula2>9</formula2>
    </dataValidation>
    <dataValidation type="whole" allowBlank="1" showInputMessage="1" showErrorMessage="1" errorTitle="Attention !" error="- Donnée non valide -_x000a_Le nombre de panier journalier doit être 0 ou 1" sqref="F67:F73 Q67:Q73 F3:F9 Q3:Q9 F19:F25 Q19:Q25 F35:F41 Q35:Q41 F51:F57 Q51:Q57">
      <formula1>0</formula1>
      <formula2>1</formula2>
    </dataValidation>
  </dataValidations>
  <printOptions horizontalCentered="1"/>
  <pageMargins left="0.70866141732283472" right="0.70866141732283472" top="1.3385826771653544" bottom="0.35433070866141736" header="0.51181102362204722" footer="0.31496062992125984"/>
  <pageSetup paperSize="9" scale="95" orientation="portrait" blackAndWhite="1" r:id="rId1"/>
  <headerFooter>
    <oddHeader>&amp;L
Maire de Montclar
Régie des Remontées Mécaniques
&amp;C&amp;"Arial,Gras"&amp;14Gestion des heures&amp;R&amp;G</oddHeader>
    <oddFooter>&amp;L&amp;9Cette fiche vous est remise en accompagnement de votre fiche de paie.
Sans observation dans les huit jours, le pointage des heures sera validé.&amp;R&amp;9Le &amp;D &amp;T</oddFooter>
  </headerFooter>
  <colBreaks count="1" manualBreakCount="1">
    <brk id="11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2109" r:id="rId5" name="Check Box 13">
              <controlPr defaultSize="0" autoFill="0" autoLine="0" autoPict="0" altText="">
                <anchor moveWithCells="1">
                  <from>
                    <xdr:col>5</xdr:col>
                    <xdr:colOff>409575</xdr:colOff>
                    <xdr:row>93</xdr:row>
                    <xdr:rowOff>57150</xdr:rowOff>
                  </from>
                  <to>
                    <xdr:col>6</xdr:col>
                    <xdr:colOff>104775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0" r:id="rId6" name="Check Box 14">
              <controlPr defaultSize="0" autoFill="0" autoLine="0" autoPict="0" altText="">
                <anchor moveWithCells="1">
                  <from>
                    <xdr:col>16</xdr:col>
                    <xdr:colOff>419100</xdr:colOff>
                    <xdr:row>93</xdr:row>
                    <xdr:rowOff>57150</xdr:rowOff>
                  </from>
                  <to>
                    <xdr:col>17</xdr:col>
                    <xdr:colOff>114300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1" r:id="rId7" name="Check Box 15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2" r:id="rId8" name="Check Box 16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3" r:id="rId9" name="Check Box 17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4" r:id="rId10" name="Check Box 18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5" r:id="rId11" name="Check Box 19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6" r:id="rId12" name="Check Box 20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7" r:id="rId13" name="Check Box 21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8" r:id="rId14" name="Check Box 22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9" r:id="rId15" name="Check Box 23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20" r:id="rId16" name="Check Box 24">
              <controlPr defaultSize="0" autoFill="0" autoLine="0" autoPict="0" altText="">
                <anchor moveWithCells="1">
                  <from>
                    <xdr:col>22</xdr:col>
                    <xdr:colOff>0</xdr:colOff>
                    <xdr:row>93</xdr:row>
                    <xdr:rowOff>57150</xdr:rowOff>
                  </from>
                  <to>
                    <xdr:col>22</xdr:col>
                    <xdr:colOff>209550</xdr:colOff>
                    <xdr:row>94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 tint="0.39997558519241921"/>
  </sheetPr>
  <dimension ref="C2:DJ81"/>
  <sheetViews>
    <sheetView showGridLines="0" zoomScaleNormal="100" workbookViewId="0"/>
  </sheetViews>
  <sheetFormatPr baseColWidth="10" defaultRowHeight="12.75" x14ac:dyDescent="0.2"/>
  <cols>
    <col min="1" max="2" width="11.42578125" style="49"/>
    <col min="3" max="3" width="25.7109375" style="49" customWidth="1"/>
    <col min="4" max="4" width="3.7109375" style="49" customWidth="1"/>
    <col min="5" max="5" width="25.7109375" style="6" customWidth="1"/>
    <col min="6" max="6" width="3.7109375" style="49" customWidth="1"/>
    <col min="7" max="7" width="25.7109375" style="6" customWidth="1"/>
    <col min="8" max="8" width="3.7109375" style="49" customWidth="1"/>
    <col min="9" max="9" width="28.28515625" style="6" bestFit="1" customWidth="1"/>
    <col min="10" max="10" width="3.7109375" style="49" customWidth="1"/>
    <col min="11" max="11" width="25.7109375" style="6" customWidth="1"/>
    <col min="12" max="12" width="3.7109375" style="49" customWidth="1"/>
    <col min="13" max="14" width="8.7109375" style="49" customWidth="1"/>
    <col min="15" max="16384" width="11.42578125" style="49"/>
  </cols>
  <sheetData>
    <row r="2" spans="3:114" ht="40.5" customHeight="1" x14ac:dyDescent="0.2">
      <c r="C2" s="352" t="s">
        <v>167</v>
      </c>
      <c r="D2" s="352"/>
      <c r="E2" s="352"/>
      <c r="F2" s="352"/>
      <c r="G2" s="352"/>
      <c r="H2" s="352"/>
      <c r="I2" s="352"/>
      <c r="J2" s="352"/>
      <c r="K2" s="352"/>
      <c r="M2" s="6"/>
      <c r="N2" s="6"/>
    </row>
    <row r="3" spans="3:114" ht="15" customHeight="1" x14ac:dyDescent="0.2">
      <c r="C3" s="5"/>
      <c r="D3" s="5"/>
      <c r="E3" s="119"/>
      <c r="F3" s="5"/>
      <c r="G3" s="119"/>
      <c r="H3" s="5"/>
      <c r="I3" s="119"/>
      <c r="J3" s="5"/>
      <c r="K3" s="119"/>
      <c r="M3" s="6"/>
      <c r="N3" s="6"/>
    </row>
    <row r="4" spans="3:114" ht="30" customHeight="1" x14ac:dyDescent="0.2">
      <c r="C4" s="353">
        <f ca="1">TODAY()</f>
        <v>42336</v>
      </c>
      <c r="D4" s="353"/>
      <c r="E4" s="353"/>
      <c r="F4" s="354" t="str">
        <f>CONCATENATE(O4," - ",P4)</f>
        <v>2015 - 2016</v>
      </c>
      <c r="G4" s="354"/>
      <c r="H4" s="354"/>
      <c r="I4" s="177"/>
      <c r="J4" s="177"/>
      <c r="K4" s="176">
        <f ca="1">NOW()</f>
        <v>42336.696152199074</v>
      </c>
      <c r="M4" s="6"/>
      <c r="N4" s="6"/>
      <c r="O4" s="205">
        <v>2015</v>
      </c>
      <c r="P4" s="205">
        <f>O4+1</f>
        <v>2016</v>
      </c>
    </row>
    <row r="5" spans="3:114" ht="13.5" thickBot="1" x14ac:dyDescent="0.25">
      <c r="C5" s="5"/>
      <c r="D5" s="5"/>
      <c r="E5" s="119"/>
      <c r="F5" s="5"/>
      <c r="G5" s="119"/>
      <c r="H5" s="5"/>
      <c r="I5" s="119"/>
      <c r="J5" s="5"/>
      <c r="K5" s="119"/>
      <c r="M5" s="6"/>
      <c r="N5" s="6"/>
      <c r="DC5" s="120"/>
      <c r="DD5" s="120"/>
      <c r="DE5" s="120"/>
      <c r="DF5" s="120"/>
      <c r="DG5" s="120"/>
      <c r="DH5" s="120"/>
      <c r="DI5" s="120"/>
      <c r="DJ5" s="120"/>
    </row>
    <row r="6" spans="3:114" ht="30" customHeight="1" thickBot="1" x14ac:dyDescent="0.25">
      <c r="C6" s="121" t="s">
        <v>168</v>
      </c>
      <c r="D6" s="5"/>
      <c r="E6" s="121" t="s">
        <v>169</v>
      </c>
      <c r="F6" s="5"/>
      <c r="G6" s="121" t="s">
        <v>170</v>
      </c>
      <c r="H6" s="5"/>
      <c r="I6" s="121" t="s">
        <v>171</v>
      </c>
      <c r="J6" s="5"/>
      <c r="K6" s="121" t="s">
        <v>172</v>
      </c>
      <c r="M6" s="6"/>
      <c r="N6" s="6"/>
      <c r="DC6" s="120"/>
      <c r="DD6" s="120"/>
      <c r="DE6" s="120"/>
      <c r="DF6" s="120"/>
      <c r="DG6" s="120"/>
      <c r="DH6" s="120"/>
      <c r="DI6" s="120"/>
      <c r="DJ6" s="120"/>
    </row>
    <row r="7" spans="3:114" x14ac:dyDescent="0.2">
      <c r="C7" s="5"/>
      <c r="D7" s="5"/>
      <c r="E7" s="119"/>
      <c r="F7" s="5"/>
      <c r="G7" s="119"/>
      <c r="H7" s="5"/>
      <c r="I7" s="119"/>
      <c r="J7" s="5"/>
      <c r="K7" s="119"/>
      <c r="M7" s="6"/>
      <c r="N7" s="6"/>
      <c r="DC7" s="120"/>
      <c r="DD7" s="120"/>
      <c r="DE7" s="120"/>
      <c r="DF7" s="120"/>
      <c r="DG7" s="120"/>
      <c r="DH7" s="120"/>
      <c r="DI7" s="120"/>
      <c r="DJ7" s="120"/>
    </row>
    <row r="8" spans="3:114" s="6" customFormat="1" ht="20.100000000000001" customHeight="1" x14ac:dyDescent="0.2">
      <c r="C8"/>
      <c r="D8" s="119"/>
      <c r="E8" s="228" t="s">
        <v>173</v>
      </c>
      <c r="F8" s="227"/>
      <c r="G8" s="228" t="s">
        <v>174</v>
      </c>
      <c r="H8" s="119"/>
      <c r="I8"/>
      <c r="J8" s="119"/>
      <c r="K8"/>
      <c r="DC8" s="122"/>
      <c r="DD8" s="122"/>
      <c r="DE8" s="122"/>
      <c r="DF8" s="122"/>
      <c r="DG8" s="122"/>
      <c r="DH8" s="122"/>
      <c r="DI8" s="122"/>
      <c r="DJ8" s="122"/>
    </row>
    <row r="9" spans="3:114" s="6" customFormat="1" ht="20.100000000000001" customHeight="1" x14ac:dyDescent="0.2">
      <c r="C9"/>
      <c r="D9"/>
      <c r="E9"/>
      <c r="F9"/>
      <c r="G9"/>
      <c r="H9" s="119"/>
      <c r="I9"/>
      <c r="J9" s="119"/>
      <c r="K9"/>
      <c r="DC9" s="122"/>
      <c r="DD9" s="122"/>
      <c r="DE9" s="122"/>
      <c r="DF9" s="122"/>
      <c r="DG9" s="122"/>
      <c r="DH9" s="122"/>
      <c r="DI9" s="122"/>
      <c r="DJ9" s="122"/>
    </row>
    <row r="10" spans="3:114" s="6" customFormat="1" ht="20.100000000000001" customHeight="1" x14ac:dyDescent="0.2">
      <c r="C10"/>
      <c r="D10"/>
      <c r="E10"/>
      <c r="F10"/>
      <c r="G10"/>
      <c r="H10" s="119"/>
      <c r="I10"/>
      <c r="J10" s="119"/>
      <c r="K10" s="119"/>
      <c r="DC10" s="122"/>
      <c r="DD10" s="122"/>
      <c r="DE10" s="122"/>
      <c r="DF10" s="122"/>
      <c r="DG10" s="122"/>
      <c r="DH10" s="122"/>
      <c r="DI10" s="122"/>
      <c r="DJ10" s="122"/>
    </row>
    <row r="11" spans="3:114" s="6" customFormat="1" ht="20.100000000000001" customHeight="1" x14ac:dyDescent="0.2">
      <c r="C11"/>
      <c r="D11"/>
      <c r="E11"/>
      <c r="F11"/>
      <c r="G11"/>
      <c r="H11" s="119"/>
      <c r="I11"/>
      <c r="J11" s="119"/>
      <c r="K11" s="119"/>
      <c r="DC11" s="122"/>
      <c r="DD11" s="122"/>
      <c r="DE11" s="122"/>
      <c r="DF11" s="122"/>
      <c r="DG11" s="122"/>
      <c r="DH11" s="122"/>
      <c r="DI11" s="122"/>
      <c r="DJ11" s="122"/>
    </row>
    <row r="12" spans="3:114" s="6" customFormat="1" ht="20.100000000000001" customHeight="1" x14ac:dyDescent="0.2">
      <c r="C12"/>
      <c r="D12"/>
      <c r="E12"/>
      <c r="F12"/>
      <c r="G12"/>
      <c r="H12" s="119"/>
      <c r="I12"/>
      <c r="J12" s="119"/>
      <c r="K12" s="119"/>
    </row>
    <row r="13" spans="3:114" ht="20.100000000000001" customHeight="1" x14ac:dyDescent="0.2">
      <c r="C13"/>
      <c r="D13"/>
      <c r="E13"/>
      <c r="F13"/>
      <c r="G13"/>
      <c r="H13" s="5"/>
      <c r="I13"/>
      <c r="J13" s="5"/>
      <c r="K13" s="119"/>
    </row>
    <row r="14" spans="3:114" ht="20.100000000000001" customHeight="1" x14ac:dyDescent="0.2">
      <c r="C14"/>
      <c r="D14"/>
      <c r="E14"/>
      <c r="F14"/>
      <c r="G14"/>
      <c r="H14" s="5"/>
      <c r="I14"/>
      <c r="J14" s="5"/>
      <c r="K14" s="119"/>
    </row>
    <row r="15" spans="3:114" ht="20.100000000000001" customHeight="1" x14ac:dyDescent="0.2">
      <c r="C15"/>
      <c r="D15"/>
      <c r="E15"/>
      <c r="F15"/>
      <c r="G15"/>
      <c r="H15" s="5"/>
      <c r="I15"/>
      <c r="J15" s="5"/>
      <c r="K15" s="119"/>
    </row>
    <row r="16" spans="3:114" ht="20.100000000000001" customHeight="1" x14ac:dyDescent="0.2">
      <c r="C16"/>
      <c r="D16"/>
      <c r="E16"/>
      <c r="F16"/>
      <c r="G16"/>
      <c r="H16" s="5"/>
      <c r="I16"/>
      <c r="J16" s="5"/>
      <c r="K16" s="119"/>
    </row>
    <row r="17" spans="3:114" ht="20.100000000000001" customHeight="1" x14ac:dyDescent="0.2">
      <c r="C17" s="5"/>
      <c r="D17" s="5"/>
      <c r="E17" s="119"/>
      <c r="F17" s="5"/>
      <c r="G17" s="119"/>
      <c r="H17" s="5"/>
      <c r="I17"/>
      <c r="J17" s="5"/>
      <c r="K17" s="119"/>
    </row>
    <row r="18" spans="3:114" ht="20.100000000000001" customHeight="1" x14ac:dyDescent="0.2">
      <c r="D18" s="5"/>
      <c r="F18" s="5"/>
      <c r="H18" s="5"/>
      <c r="I18"/>
      <c r="J18" s="5"/>
      <c r="K18" s="119"/>
    </row>
    <row r="19" spans="3:114" ht="20.100000000000001" customHeight="1" x14ac:dyDescent="0.2">
      <c r="C19" s="5"/>
      <c r="D19" s="5"/>
      <c r="E19" s="119"/>
      <c r="F19" s="5"/>
      <c r="G19" s="119"/>
      <c r="H19" s="5"/>
      <c r="I19"/>
      <c r="J19" s="5"/>
      <c r="K19" s="119"/>
      <c r="DC19" s="120"/>
      <c r="DD19" s="120"/>
      <c r="DE19" s="120"/>
      <c r="DF19" s="120"/>
      <c r="DG19" s="120"/>
      <c r="DH19" s="120"/>
      <c r="DI19" s="120"/>
      <c r="DJ19" s="120"/>
    </row>
    <row r="20" spans="3:114" ht="20.100000000000001" customHeight="1" x14ac:dyDescent="0.2">
      <c r="C20"/>
      <c r="D20"/>
      <c r="E20"/>
      <c r="F20"/>
      <c r="G20"/>
      <c r="H20"/>
      <c r="I20"/>
      <c r="J20"/>
      <c r="K20"/>
      <c r="DC20" s="120"/>
      <c r="DD20" s="120"/>
      <c r="DE20" s="120"/>
      <c r="DF20" s="120"/>
      <c r="DG20" s="120"/>
      <c r="DH20" s="120"/>
      <c r="DI20" s="120"/>
      <c r="DJ20" s="120"/>
    </row>
    <row r="21" spans="3:114" ht="20.100000000000001" customHeight="1" x14ac:dyDescent="0.2">
      <c r="C21"/>
      <c r="D21"/>
      <c r="E21"/>
      <c r="F21"/>
      <c r="G21"/>
      <c r="H21"/>
      <c r="I21"/>
      <c r="J21"/>
      <c r="K21"/>
      <c r="DC21" s="120"/>
      <c r="DD21" s="120"/>
      <c r="DE21" s="120"/>
      <c r="DF21" s="120"/>
      <c r="DG21" s="120"/>
      <c r="DH21" s="120"/>
      <c r="DI21" s="120"/>
      <c r="DJ21" s="120"/>
    </row>
    <row r="22" spans="3:114" ht="20.100000000000001" customHeight="1" x14ac:dyDescent="0.2">
      <c r="C22"/>
      <c r="D22"/>
      <c r="E22"/>
      <c r="F22"/>
      <c r="G22"/>
      <c r="H22"/>
      <c r="I22"/>
      <c r="J22"/>
      <c r="K22"/>
      <c r="DC22" s="120"/>
      <c r="DD22" s="120"/>
      <c r="DE22" s="120"/>
      <c r="DF22" s="120"/>
      <c r="DG22" s="120"/>
      <c r="DH22" s="120"/>
      <c r="DI22" s="120"/>
      <c r="DJ22" s="120"/>
    </row>
    <row r="23" spans="3:114" ht="20.100000000000001" customHeight="1" x14ac:dyDescent="0.2">
      <c r="C23"/>
      <c r="D23"/>
      <c r="E23"/>
      <c r="F23"/>
      <c r="G23"/>
      <c r="H23"/>
      <c r="I23"/>
      <c r="J23"/>
      <c r="K23"/>
      <c r="DC23" s="120"/>
      <c r="DD23" s="120"/>
      <c r="DE23" s="120"/>
      <c r="DF23" s="120"/>
      <c r="DG23" s="120"/>
      <c r="DH23" s="120"/>
      <c r="DI23" s="120"/>
      <c r="DJ23" s="120"/>
    </row>
    <row r="24" spans="3:114" ht="20.100000000000001" customHeight="1" x14ac:dyDescent="0.2">
      <c r="C24"/>
      <c r="D24"/>
      <c r="E24"/>
      <c r="F24"/>
      <c r="G24"/>
      <c r="H24"/>
      <c r="I24"/>
      <c r="J24"/>
      <c r="K24"/>
      <c r="DC24" s="120"/>
      <c r="DD24" s="120"/>
      <c r="DE24" s="120"/>
      <c r="DF24" s="120"/>
      <c r="DG24" s="120"/>
      <c r="DH24" s="120"/>
      <c r="DI24" s="120"/>
      <c r="DJ24" s="120"/>
    </row>
    <row r="25" spans="3:114" ht="20.100000000000001" customHeight="1" x14ac:dyDescent="0.2">
      <c r="C25"/>
      <c r="D25"/>
      <c r="E25"/>
      <c r="F25"/>
      <c r="G25"/>
      <c r="H25"/>
      <c r="I25"/>
      <c r="J25"/>
      <c r="K25"/>
      <c r="DC25" s="120"/>
      <c r="DD25" s="120"/>
      <c r="DE25" s="120"/>
      <c r="DF25" s="120"/>
      <c r="DG25" s="120"/>
      <c r="DH25" s="120"/>
      <c r="DI25" s="120"/>
      <c r="DJ25" s="120"/>
    </row>
    <row r="26" spans="3:114" ht="20.100000000000001" customHeight="1" x14ac:dyDescent="0.2">
      <c r="C26" s="5"/>
      <c r="D26" s="5"/>
      <c r="E26" s="119"/>
      <c r="F26" s="5"/>
      <c r="G26" s="119"/>
      <c r="H26" s="5"/>
      <c r="I26"/>
      <c r="J26" s="5"/>
      <c r="K26" s="119"/>
    </row>
    <row r="27" spans="3:114" ht="20.100000000000001" customHeight="1" x14ac:dyDescent="0.2">
      <c r="C27" s="5"/>
      <c r="D27" s="5"/>
      <c r="E27" s="119"/>
      <c r="F27" s="5"/>
      <c r="G27" s="119"/>
      <c r="H27" s="5"/>
      <c r="I27"/>
      <c r="J27" s="5"/>
      <c r="K27" s="119"/>
    </row>
    <row r="28" spans="3:114" ht="20.100000000000001" customHeight="1" x14ac:dyDescent="0.2">
      <c r="C28" s="5"/>
      <c r="D28" s="5"/>
      <c r="E28" s="119"/>
      <c r="F28" s="5"/>
      <c r="G28" s="119"/>
      <c r="H28" s="5"/>
      <c r="I28"/>
      <c r="J28" s="5"/>
      <c r="K28" s="119"/>
    </row>
    <row r="29" spans="3:114" ht="20.100000000000001" customHeight="1" x14ac:dyDescent="0.2">
      <c r="C29" s="5"/>
      <c r="D29" s="5"/>
      <c r="E29" s="119"/>
      <c r="F29" s="5"/>
      <c r="G29" s="119"/>
      <c r="H29" s="5"/>
      <c r="I29"/>
      <c r="J29" s="5"/>
      <c r="K29" s="119"/>
    </row>
    <row r="30" spans="3:114" ht="20.100000000000001" customHeight="1" x14ac:dyDescent="0.2">
      <c r="C30" s="5"/>
      <c r="D30" s="5"/>
      <c r="E30" s="119"/>
      <c r="F30" s="5"/>
      <c r="G30" s="119"/>
      <c r="H30" s="5"/>
      <c r="I30"/>
      <c r="J30" s="5"/>
      <c r="K30" s="119"/>
    </row>
    <row r="31" spans="3:114" ht="20.100000000000001" customHeight="1" x14ac:dyDescent="0.2">
      <c r="C31" s="5"/>
      <c r="D31" s="5"/>
      <c r="E31" s="119"/>
      <c r="F31" s="5"/>
      <c r="G31" s="119"/>
      <c r="H31" s="5"/>
      <c r="I31"/>
      <c r="J31" s="5"/>
      <c r="K31" s="119"/>
    </row>
    <row r="32" spans="3:114" ht="20.100000000000001" customHeight="1" x14ac:dyDescent="0.2">
      <c r="C32" s="5"/>
      <c r="D32" s="5"/>
      <c r="E32" s="119"/>
      <c r="F32" s="5"/>
      <c r="G32" s="119"/>
      <c r="H32" s="5"/>
      <c r="I32"/>
      <c r="J32" s="5"/>
      <c r="K32" s="119"/>
    </row>
    <row r="33" spans="3:114" ht="20.100000000000001" customHeight="1" x14ac:dyDescent="0.2">
      <c r="C33" s="5"/>
      <c r="D33" s="5"/>
      <c r="E33" s="119"/>
      <c r="F33" s="5"/>
      <c r="G33" s="119"/>
      <c r="H33" s="5"/>
      <c r="I33" s="123"/>
      <c r="J33" s="5"/>
      <c r="K33" s="119"/>
      <c r="DC33" s="120"/>
      <c r="DD33" s="120"/>
      <c r="DE33" s="120"/>
      <c r="DF33" s="120"/>
      <c r="DG33" s="120"/>
      <c r="DH33" s="120"/>
      <c r="DI33" s="120"/>
      <c r="DJ33" s="120"/>
    </row>
    <row r="34" spans="3:114" x14ac:dyDescent="0.2">
      <c r="C34" s="5"/>
      <c r="D34" s="5"/>
      <c r="E34" s="119"/>
      <c r="F34" s="5"/>
      <c r="G34" s="119"/>
      <c r="H34" s="5"/>
      <c r="J34" s="5"/>
      <c r="K34" s="119"/>
      <c r="DC34" s="120"/>
      <c r="DD34" s="120"/>
      <c r="DE34" s="120"/>
      <c r="DF34" s="120"/>
      <c r="DG34" s="120"/>
      <c r="DH34" s="120"/>
      <c r="DI34" s="120"/>
      <c r="DJ34" s="120"/>
    </row>
    <row r="35" spans="3:114" x14ac:dyDescent="0.2">
      <c r="C35" s="5"/>
      <c r="D35" s="5"/>
      <c r="E35" s="119"/>
      <c r="F35" s="5"/>
      <c r="G35" s="119"/>
      <c r="H35" s="5"/>
      <c r="I35" s="123"/>
      <c r="J35" s="5"/>
      <c r="K35" s="119"/>
      <c r="DC35" s="120"/>
      <c r="DD35" s="120"/>
      <c r="DE35" s="120"/>
      <c r="DF35" s="120"/>
      <c r="DG35" s="120"/>
      <c r="DH35" s="120"/>
      <c r="DI35" s="120"/>
      <c r="DJ35" s="120"/>
    </row>
    <row r="36" spans="3:114" x14ac:dyDescent="0.2">
      <c r="C36" s="5"/>
      <c r="D36" s="5"/>
      <c r="E36" s="119"/>
      <c r="F36" s="5"/>
      <c r="G36" s="119"/>
      <c r="H36" s="5"/>
      <c r="J36" s="5"/>
      <c r="K36" s="119"/>
      <c r="DC36" s="120"/>
      <c r="DD36" s="120"/>
      <c r="DE36" s="120"/>
      <c r="DF36" s="120"/>
      <c r="DG36" s="120"/>
      <c r="DH36" s="120"/>
      <c r="DI36" s="120"/>
      <c r="DJ36" s="120"/>
    </row>
    <row r="37" spans="3:114" x14ac:dyDescent="0.2">
      <c r="C37" s="5"/>
      <c r="D37" s="5"/>
      <c r="E37" s="119"/>
      <c r="F37" s="5"/>
      <c r="G37" s="119"/>
      <c r="H37" s="5"/>
      <c r="I37" s="119"/>
      <c r="J37" s="5"/>
      <c r="K37" s="119"/>
      <c r="DC37" s="120"/>
      <c r="DD37" s="120"/>
      <c r="DE37" s="120"/>
      <c r="DF37" s="120"/>
      <c r="DG37" s="120"/>
      <c r="DH37" s="120"/>
      <c r="DI37" s="120"/>
      <c r="DJ37" s="120"/>
    </row>
    <row r="38" spans="3:114" x14ac:dyDescent="0.2">
      <c r="DC38" s="120"/>
      <c r="DD38" s="120"/>
      <c r="DE38" s="120"/>
      <c r="DF38" s="120"/>
      <c r="DG38" s="120"/>
      <c r="DH38" s="120"/>
      <c r="DI38" s="120"/>
      <c r="DJ38" s="120"/>
    </row>
    <row r="39" spans="3:114" x14ac:dyDescent="0.2">
      <c r="DC39" s="120"/>
      <c r="DD39" s="120"/>
      <c r="DE39" s="120"/>
      <c r="DF39" s="120"/>
      <c r="DG39" s="120"/>
      <c r="DH39" s="120"/>
      <c r="DI39" s="120"/>
      <c r="DJ39" s="120"/>
    </row>
    <row r="47" spans="3:114" x14ac:dyDescent="0.2">
      <c r="DC47" s="120"/>
      <c r="DD47" s="120"/>
      <c r="DE47" s="120"/>
      <c r="DF47" s="120"/>
      <c r="DG47" s="120"/>
      <c r="DH47" s="120"/>
      <c r="DI47" s="120"/>
      <c r="DJ47" s="120"/>
    </row>
    <row r="48" spans="3:114" x14ac:dyDescent="0.2">
      <c r="DC48" s="120"/>
      <c r="DD48" s="120"/>
      <c r="DE48" s="120"/>
      <c r="DF48" s="120"/>
      <c r="DG48" s="120"/>
      <c r="DH48" s="120"/>
      <c r="DI48" s="120"/>
      <c r="DJ48" s="120"/>
    </row>
    <row r="49" spans="107:114" x14ac:dyDescent="0.2">
      <c r="DC49" s="120"/>
      <c r="DD49" s="120"/>
      <c r="DE49" s="120"/>
      <c r="DF49" s="120"/>
      <c r="DG49" s="120"/>
      <c r="DH49" s="120"/>
      <c r="DI49" s="120"/>
      <c r="DJ49" s="120"/>
    </row>
    <row r="50" spans="107:114" x14ac:dyDescent="0.2">
      <c r="DC50" s="120"/>
      <c r="DD50" s="120"/>
      <c r="DE50" s="120"/>
      <c r="DF50" s="120"/>
      <c r="DG50" s="120"/>
      <c r="DH50" s="120"/>
      <c r="DI50" s="120"/>
      <c r="DJ50" s="120"/>
    </row>
    <row r="51" spans="107:114" x14ac:dyDescent="0.2">
      <c r="DC51" s="120"/>
      <c r="DD51" s="120"/>
      <c r="DE51" s="120"/>
      <c r="DF51" s="120"/>
      <c r="DG51" s="120"/>
      <c r="DH51" s="120"/>
      <c r="DI51" s="120"/>
      <c r="DJ51" s="120"/>
    </row>
    <row r="52" spans="107:114" x14ac:dyDescent="0.2">
      <c r="DC52" s="120"/>
      <c r="DD52" s="120"/>
      <c r="DE52" s="120"/>
      <c r="DF52" s="120"/>
      <c r="DG52" s="120"/>
      <c r="DH52" s="120"/>
      <c r="DI52" s="120"/>
      <c r="DJ52" s="120"/>
    </row>
    <row r="53" spans="107:114" x14ac:dyDescent="0.2">
      <c r="DC53" s="120"/>
      <c r="DD53" s="120"/>
      <c r="DE53" s="120"/>
      <c r="DF53" s="120"/>
      <c r="DG53" s="120"/>
      <c r="DH53" s="120"/>
      <c r="DI53" s="120"/>
      <c r="DJ53" s="120"/>
    </row>
    <row r="61" spans="107:114" x14ac:dyDescent="0.2">
      <c r="DC61" s="120"/>
      <c r="DD61" s="120"/>
      <c r="DE61" s="120"/>
      <c r="DF61" s="120"/>
      <c r="DG61" s="120"/>
      <c r="DH61" s="120"/>
      <c r="DI61" s="120"/>
      <c r="DJ61" s="120"/>
    </row>
    <row r="62" spans="107:114" x14ac:dyDescent="0.2">
      <c r="DC62" s="120"/>
      <c r="DD62" s="120"/>
      <c r="DE62" s="120"/>
      <c r="DF62" s="120"/>
      <c r="DG62" s="120"/>
      <c r="DH62" s="120"/>
      <c r="DI62" s="120"/>
      <c r="DJ62" s="120"/>
    </row>
    <row r="63" spans="107:114" x14ac:dyDescent="0.2">
      <c r="DC63" s="120"/>
      <c r="DD63" s="120"/>
      <c r="DE63" s="120"/>
      <c r="DF63" s="120"/>
      <c r="DG63" s="120"/>
      <c r="DH63" s="120"/>
      <c r="DI63" s="120"/>
      <c r="DJ63" s="120"/>
    </row>
    <row r="64" spans="107:114" x14ac:dyDescent="0.2">
      <c r="DC64" s="120"/>
      <c r="DD64" s="120"/>
      <c r="DE64" s="120"/>
      <c r="DF64" s="120"/>
      <c r="DG64" s="120"/>
      <c r="DH64" s="120"/>
      <c r="DI64" s="120"/>
      <c r="DJ64" s="120"/>
    </row>
    <row r="65" spans="107:114" x14ac:dyDescent="0.2">
      <c r="DC65" s="120"/>
      <c r="DD65" s="120"/>
      <c r="DE65" s="120"/>
      <c r="DF65" s="120"/>
      <c r="DG65" s="120"/>
      <c r="DH65" s="120"/>
      <c r="DI65" s="120"/>
      <c r="DJ65" s="120"/>
    </row>
    <row r="66" spans="107:114" x14ac:dyDescent="0.2">
      <c r="DC66" s="120"/>
      <c r="DD66" s="120"/>
      <c r="DE66" s="120"/>
      <c r="DF66" s="120"/>
      <c r="DG66" s="120"/>
      <c r="DH66" s="120"/>
      <c r="DI66" s="120"/>
      <c r="DJ66" s="120"/>
    </row>
    <row r="67" spans="107:114" x14ac:dyDescent="0.2">
      <c r="DC67" s="120"/>
      <c r="DD67" s="120"/>
      <c r="DE67" s="120"/>
      <c r="DF67" s="120"/>
      <c r="DG67" s="120"/>
      <c r="DH67" s="120"/>
      <c r="DI67" s="120"/>
      <c r="DJ67" s="120"/>
    </row>
    <row r="81" spans="114:114" x14ac:dyDescent="0.2">
      <c r="DJ81" s="120"/>
    </row>
  </sheetData>
  <mergeCells count="3">
    <mergeCell ref="C2:K2"/>
    <mergeCell ref="C4:E4"/>
    <mergeCell ref="F4:H4"/>
  </mergeCells>
  <pageMargins left="0.7" right="0.7" top="0.75" bottom="0.75" header="0.3" footer="0.3"/>
  <pageSetup paperSize="9" orientation="portrait" horizontalDpi="0" verticalDpi="0" r:id="rId1"/>
  <colBreaks count="1" manualBreakCount="1">
    <brk id="2" max="1048575" man="1"/>
  </colBreaks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BW28"/>
  <sheetViews>
    <sheetView showGridLines="0" zoomScale="70" zoomScaleNormal="70" zoomScaleSheetLayoutView="70" workbookViewId="0">
      <pane xSplit="3" ySplit="2" topLeftCell="D3" activePane="bottomRight" state="frozenSplit"/>
      <selection pane="topRight" activeCell="C1" sqref="C1"/>
      <selection pane="bottomLeft" activeCell="A2" sqref="A2"/>
      <selection pane="bottomRight" activeCell="K9" sqref="K9"/>
    </sheetView>
  </sheetViews>
  <sheetFormatPr baseColWidth="10" defaultRowHeight="15" x14ac:dyDescent="0.25"/>
  <cols>
    <col min="1" max="2" width="16.7109375" style="39" customWidth="1"/>
    <col min="3" max="3" width="33.42578125" style="3" customWidth="1"/>
    <col min="4" max="5" width="15.7109375" style="4" customWidth="1"/>
    <col min="6" max="6" width="7.7109375" style="4" customWidth="1"/>
    <col min="7" max="7" width="12.7109375" style="4" customWidth="1"/>
    <col min="8" max="8" width="8" style="4" customWidth="1"/>
    <col min="9" max="75" width="15.7109375" style="4" customWidth="1"/>
    <col min="76" max="16384" width="11.42578125" style="3"/>
  </cols>
  <sheetData>
    <row r="1" spans="1:75" s="1" customFormat="1" ht="36.75" customHeight="1" thickBot="1" x14ac:dyDescent="0.25">
      <c r="A1" s="359"/>
      <c r="B1" s="359"/>
      <c r="C1" s="359"/>
      <c r="D1" s="359"/>
      <c r="E1" s="360"/>
      <c r="F1" s="367" t="s">
        <v>109</v>
      </c>
      <c r="G1" s="368"/>
      <c r="H1" s="369"/>
      <c r="I1" s="41"/>
      <c r="J1" s="40"/>
      <c r="K1" s="40"/>
      <c r="L1" s="40"/>
      <c r="M1" s="364">
        <f>Config!F9</f>
        <v>42315</v>
      </c>
      <c r="N1" s="364"/>
      <c r="O1" s="364"/>
      <c r="P1" s="364"/>
      <c r="Q1" s="364"/>
      <c r="R1" s="364"/>
      <c r="S1" s="364"/>
      <c r="T1" s="364"/>
      <c r="U1" s="365"/>
      <c r="V1" s="361">
        <f>Config!F10</f>
        <v>42346</v>
      </c>
      <c r="W1" s="362"/>
      <c r="X1" s="362"/>
      <c r="Y1" s="362"/>
      <c r="Z1" s="362"/>
      <c r="AA1" s="362"/>
      <c r="AB1" s="362"/>
      <c r="AC1" s="362"/>
      <c r="AD1" s="363"/>
      <c r="AE1" s="366">
        <f>Config!F11</f>
        <v>42377</v>
      </c>
      <c r="AF1" s="364"/>
      <c r="AG1" s="364"/>
      <c r="AH1" s="364"/>
      <c r="AI1" s="364"/>
      <c r="AJ1" s="364"/>
      <c r="AK1" s="364"/>
      <c r="AL1" s="364"/>
      <c r="AM1" s="365"/>
      <c r="AN1" s="361">
        <f>Config!F12</f>
        <v>42408</v>
      </c>
      <c r="AO1" s="362"/>
      <c r="AP1" s="362"/>
      <c r="AQ1" s="362"/>
      <c r="AR1" s="362"/>
      <c r="AS1" s="362"/>
      <c r="AT1" s="362"/>
      <c r="AU1" s="362"/>
      <c r="AV1" s="363"/>
      <c r="AW1" s="366">
        <f>Config!F13</f>
        <v>42439</v>
      </c>
      <c r="AX1" s="364"/>
      <c r="AY1" s="364"/>
      <c r="AZ1" s="364"/>
      <c r="BA1" s="364"/>
      <c r="BB1" s="364"/>
      <c r="BC1" s="364"/>
      <c r="BD1" s="364"/>
      <c r="BE1" s="365"/>
      <c r="BF1" s="361">
        <f>Config!F14</f>
        <v>42470</v>
      </c>
      <c r="BG1" s="362"/>
      <c r="BH1" s="362"/>
      <c r="BI1" s="362"/>
      <c r="BJ1" s="362"/>
      <c r="BK1" s="362"/>
      <c r="BL1" s="362"/>
      <c r="BM1" s="362"/>
      <c r="BN1" s="363"/>
      <c r="BO1" s="357" t="s">
        <v>166</v>
      </c>
      <c r="BP1" s="358"/>
      <c r="BQ1" s="358"/>
      <c r="BR1" s="358"/>
      <c r="BS1" s="358"/>
      <c r="BT1" s="355" t="str">
        <f>Accueil!F4</f>
        <v>2015 - 2016</v>
      </c>
      <c r="BU1" s="355"/>
      <c r="BV1" s="355"/>
      <c r="BW1" s="356"/>
    </row>
    <row r="2" spans="1:75" s="1" customFormat="1" ht="35.1" customHeight="1" thickTop="1" thickBot="1" x14ac:dyDescent="0.25">
      <c r="A2" s="37" t="s">
        <v>105</v>
      </c>
      <c r="B2" s="37" t="s">
        <v>106</v>
      </c>
      <c r="C2" s="41" t="s">
        <v>52</v>
      </c>
      <c r="D2" s="41" t="s">
        <v>108</v>
      </c>
      <c r="E2" s="41" t="s">
        <v>53</v>
      </c>
      <c r="F2" s="41" t="s">
        <v>20</v>
      </c>
      <c r="G2" s="41" t="s">
        <v>111</v>
      </c>
      <c r="H2" s="41" t="s">
        <v>32</v>
      </c>
      <c r="I2" s="41" t="s">
        <v>74</v>
      </c>
      <c r="J2" s="41" t="s">
        <v>110</v>
      </c>
      <c r="K2" s="43" t="s">
        <v>112</v>
      </c>
      <c r="L2" s="43" t="s">
        <v>113</v>
      </c>
      <c r="M2" s="41" t="s">
        <v>39</v>
      </c>
      <c r="N2" s="41" t="s">
        <v>43</v>
      </c>
      <c r="O2" s="41" t="s">
        <v>40</v>
      </c>
      <c r="P2" s="41" t="s">
        <v>50</v>
      </c>
      <c r="Q2" s="41" t="s">
        <v>42</v>
      </c>
      <c r="R2" s="41" t="s">
        <v>15</v>
      </c>
      <c r="S2" s="41" t="s">
        <v>17</v>
      </c>
      <c r="T2" s="41" t="s">
        <v>126</v>
      </c>
      <c r="U2" s="187" t="s">
        <v>127</v>
      </c>
      <c r="V2" s="41" t="s">
        <v>39</v>
      </c>
      <c r="W2" s="41" t="s">
        <v>43</v>
      </c>
      <c r="X2" s="41" t="s">
        <v>40</v>
      </c>
      <c r="Y2" s="41" t="s">
        <v>50</v>
      </c>
      <c r="Z2" s="41" t="s">
        <v>42</v>
      </c>
      <c r="AA2" s="41" t="s">
        <v>15</v>
      </c>
      <c r="AB2" s="41" t="s">
        <v>17</v>
      </c>
      <c r="AC2" s="41" t="s">
        <v>41</v>
      </c>
      <c r="AD2" s="194" t="s">
        <v>127</v>
      </c>
      <c r="AE2" s="41" t="s">
        <v>39</v>
      </c>
      <c r="AF2" s="41" t="s">
        <v>43</v>
      </c>
      <c r="AG2" s="41" t="s">
        <v>40</v>
      </c>
      <c r="AH2" s="41" t="s">
        <v>50</v>
      </c>
      <c r="AI2" s="41" t="s">
        <v>42</v>
      </c>
      <c r="AJ2" s="41" t="s">
        <v>15</v>
      </c>
      <c r="AK2" s="41" t="s">
        <v>17</v>
      </c>
      <c r="AL2" s="41" t="s">
        <v>41</v>
      </c>
      <c r="AM2" s="194" t="s">
        <v>127</v>
      </c>
      <c r="AN2" s="41" t="s">
        <v>39</v>
      </c>
      <c r="AO2" s="41" t="s">
        <v>43</v>
      </c>
      <c r="AP2" s="41" t="s">
        <v>40</v>
      </c>
      <c r="AQ2" s="41" t="s">
        <v>50</v>
      </c>
      <c r="AR2" s="41" t="s">
        <v>42</v>
      </c>
      <c r="AS2" s="41" t="s">
        <v>15</v>
      </c>
      <c r="AT2" s="41" t="s">
        <v>17</v>
      </c>
      <c r="AU2" s="41" t="s">
        <v>41</v>
      </c>
      <c r="AV2" s="194" t="s">
        <v>127</v>
      </c>
      <c r="AW2" s="41" t="s">
        <v>39</v>
      </c>
      <c r="AX2" s="41" t="s">
        <v>43</v>
      </c>
      <c r="AY2" s="41" t="s">
        <v>40</v>
      </c>
      <c r="AZ2" s="41" t="s">
        <v>50</v>
      </c>
      <c r="BA2" s="41" t="s">
        <v>42</v>
      </c>
      <c r="BB2" s="41" t="s">
        <v>15</v>
      </c>
      <c r="BC2" s="41" t="s">
        <v>17</v>
      </c>
      <c r="BD2" s="41" t="s">
        <v>41</v>
      </c>
      <c r="BE2" s="194" t="s">
        <v>127</v>
      </c>
      <c r="BF2" s="41" t="s">
        <v>39</v>
      </c>
      <c r="BG2" s="41" t="s">
        <v>43</v>
      </c>
      <c r="BH2" s="41" t="s">
        <v>40</v>
      </c>
      <c r="BI2" s="41" t="s">
        <v>50</v>
      </c>
      <c r="BJ2" s="41" t="s">
        <v>42</v>
      </c>
      <c r="BK2" s="41" t="s">
        <v>15</v>
      </c>
      <c r="BL2" s="41" t="s">
        <v>17</v>
      </c>
      <c r="BM2" s="41" t="s">
        <v>41</v>
      </c>
      <c r="BN2" s="194" t="s">
        <v>127</v>
      </c>
      <c r="BO2" s="41" t="s">
        <v>39</v>
      </c>
      <c r="BP2" s="41" t="s">
        <v>38</v>
      </c>
      <c r="BQ2" s="41" t="s">
        <v>43</v>
      </c>
      <c r="BR2" s="41" t="s">
        <v>40</v>
      </c>
      <c r="BS2" s="41" t="s">
        <v>50</v>
      </c>
      <c r="BT2" s="41" t="s">
        <v>42</v>
      </c>
      <c r="BU2" s="41" t="s">
        <v>15</v>
      </c>
      <c r="BV2" s="41" t="s">
        <v>17</v>
      </c>
      <c r="BW2" s="41" t="s">
        <v>51</v>
      </c>
    </row>
    <row r="3" spans="1:75" s="2" customFormat="1" ht="35.1" customHeight="1" thickTop="1" x14ac:dyDescent="0.2">
      <c r="A3" s="214" t="s">
        <v>151</v>
      </c>
      <c r="B3" s="214" t="s">
        <v>155</v>
      </c>
      <c r="C3" s="215" t="s">
        <v>173</v>
      </c>
      <c r="D3" s="184"/>
      <c r="E3" s="184"/>
      <c r="F3" s="184"/>
      <c r="G3" s="184"/>
      <c r="H3" s="42">
        <f>SUM(F3:G3)</f>
        <v>0</v>
      </c>
      <c r="I3" s="42">
        <f>Config!$N$21-(Récap!G3*7)</f>
        <v>1600</v>
      </c>
      <c r="J3" s="42">
        <f t="shared" ref="J3:J4" ca="1" si="0">INDIRECT(ADDRESS(91,129,,,$C3))</f>
        <v>0</v>
      </c>
      <c r="K3" s="44"/>
      <c r="L3" s="44"/>
      <c r="M3" s="45">
        <f ca="1">INDIRECT(ADDRESS(84,7,,,$C3))</f>
        <v>0</v>
      </c>
      <c r="N3" s="45">
        <f t="shared" ref="N3:N4" ca="1" si="1">INDIRECT(ADDRESS(84,13,,,$C3))</f>
        <v>0</v>
      </c>
      <c r="O3" s="45">
        <f ca="1">INDIRECT(ADDRESS(84,9,,,$C3))</f>
        <v>0</v>
      </c>
      <c r="P3" s="45">
        <f ca="1">INDIRECT(ADDRESS(92,13,,,$C3))</f>
        <v>0</v>
      </c>
      <c r="Q3" s="45">
        <f ca="1">INDIRECT(ADDRESS(84,8,,,$C3))</f>
        <v>0</v>
      </c>
      <c r="R3" s="45">
        <f t="shared" ref="R3:R4" ca="1" si="2">INDIRECT(ADDRESS(90,8,,,$C3))</f>
        <v>0</v>
      </c>
      <c r="S3" s="45">
        <f t="shared" ref="S3:S4" ca="1" si="3">INDIRECT(ADDRESS(91,8,,,$C3))</f>
        <v>0</v>
      </c>
      <c r="T3" s="45">
        <f t="shared" ref="T3:T4" ca="1" si="4">INDIRECT(ADDRESS(87,8,,,$C3))</f>
        <v>0</v>
      </c>
      <c r="U3" s="45">
        <f t="shared" ref="U3:U4" ca="1" si="5">INDIRECT(ADDRESS(88,8,,,$C3))</f>
        <v>0</v>
      </c>
      <c r="V3" s="42">
        <f ca="1">INDIRECT(ADDRESS(84,18,,,$C3))</f>
        <v>0</v>
      </c>
      <c r="W3" s="42">
        <f t="shared" ref="W3:W4" ca="1" si="6">INDIRECT(ADDRESS(84,24,,,$C3))</f>
        <v>0</v>
      </c>
      <c r="X3" s="42">
        <f ca="1">INDIRECT(ADDRESS(84,20,,,$C3))</f>
        <v>0</v>
      </c>
      <c r="Y3" s="42">
        <f ca="1">INDIRECT(ADDRESS(92,24,,,$C3))</f>
        <v>0</v>
      </c>
      <c r="Z3" s="42">
        <f ca="1">INDIRECT(ADDRESS(84,19,,,$C3))</f>
        <v>0</v>
      </c>
      <c r="AA3" s="42">
        <f t="shared" ref="AA3:AA4" ca="1" si="7">INDIRECT(ADDRESS(90,19,,,$C3))</f>
        <v>0</v>
      </c>
      <c r="AB3" s="42">
        <f t="shared" ref="AB3:AB4" ca="1" si="8">INDIRECT(ADDRESS(91,19,,,$C3))</f>
        <v>0</v>
      </c>
      <c r="AC3" s="42">
        <f t="shared" ref="AC3:AC4" ca="1" si="9">INDIRECT(ADDRESS(87,19,,,$C3))</f>
        <v>0</v>
      </c>
      <c r="AD3" s="42">
        <f t="shared" ref="AD3:AD4" ca="1" si="10">INDIRECT(ADDRESS(88,19,,,$C3))</f>
        <v>0</v>
      </c>
      <c r="AE3" s="42">
        <f ca="1">INDIRECT(ADDRESS(84,29,,,$C3))</f>
        <v>0</v>
      </c>
      <c r="AF3" s="42">
        <f t="shared" ref="AF3:AF4" ca="1" si="11">INDIRECT(ADDRESS(84,35,,,$C3))</f>
        <v>0</v>
      </c>
      <c r="AG3" s="42">
        <f ca="1">INDIRECT(ADDRESS(84,31,,,$C3))</f>
        <v>0</v>
      </c>
      <c r="AH3" s="42">
        <f ca="1">INDIRECT(ADDRESS(92,35,,,$C3))</f>
        <v>0</v>
      </c>
      <c r="AI3" s="42">
        <f ca="1">INDIRECT(ADDRESS(84,30,,,$C3))</f>
        <v>0</v>
      </c>
      <c r="AJ3" s="42">
        <f t="shared" ref="AJ3:AJ4" ca="1" si="12">INDIRECT(ADDRESS(90,30,,,$C3))</f>
        <v>0</v>
      </c>
      <c r="AK3" s="42">
        <f t="shared" ref="AK3:AK4" ca="1" si="13">INDIRECT(ADDRESS(91,30,,,$C3))</f>
        <v>0</v>
      </c>
      <c r="AL3" s="42">
        <f t="shared" ref="AL3:AL4" ca="1" si="14">INDIRECT(ADDRESS(87,30,,,$C3))</f>
        <v>0</v>
      </c>
      <c r="AM3" s="42">
        <f t="shared" ref="AM3:AM4" ca="1" si="15">INDIRECT(ADDRESS(88,30,,,$C3))</f>
        <v>0</v>
      </c>
      <c r="AN3" s="42">
        <f ca="1">INDIRECT(ADDRESS(84,40,,,$C3))</f>
        <v>0</v>
      </c>
      <c r="AO3" s="42">
        <f t="shared" ref="AO3:AO4" ca="1" si="16">INDIRECT(ADDRESS(84,46,,,$C3))</f>
        <v>0</v>
      </c>
      <c r="AP3" s="42">
        <f ca="1">INDIRECT(ADDRESS(84,42,,,$C3))</f>
        <v>0</v>
      </c>
      <c r="AQ3" s="42">
        <f ca="1">INDIRECT(ADDRESS(92,46,,,$C3))</f>
        <v>0</v>
      </c>
      <c r="AR3" s="42">
        <f ca="1">INDIRECT(ADDRESS(84,41,,,$C3))</f>
        <v>0</v>
      </c>
      <c r="AS3" s="42">
        <f t="shared" ref="AS3:AS4" ca="1" si="17">INDIRECT(ADDRESS(90,41,,,$C3))</f>
        <v>0</v>
      </c>
      <c r="AT3" s="42">
        <f t="shared" ref="AT3:AT4" ca="1" si="18">INDIRECT(ADDRESS(91,41,,,$C3))</f>
        <v>0</v>
      </c>
      <c r="AU3" s="42">
        <f t="shared" ref="AU3:AU4" ca="1" si="19">INDIRECT(ADDRESS(87,41,,,$C3))</f>
        <v>0</v>
      </c>
      <c r="AV3" s="42">
        <f t="shared" ref="AV3:AV4" ca="1" si="20">INDIRECT(ADDRESS(88,41,,,$C3))</f>
        <v>0</v>
      </c>
      <c r="AW3" s="42">
        <f ca="1">INDIRECT(ADDRESS(84,51,,,$C3))</f>
        <v>0</v>
      </c>
      <c r="AX3" s="42">
        <f t="shared" ref="AX3:AX4" ca="1" si="21">INDIRECT(ADDRESS(84,57,,,$C3))</f>
        <v>0</v>
      </c>
      <c r="AY3" s="42">
        <f ca="1">INDIRECT(ADDRESS(84,53,,,$C3))</f>
        <v>0</v>
      </c>
      <c r="AZ3" s="42">
        <f ca="1">INDIRECT(ADDRESS(92,57,,,$C3))</f>
        <v>0</v>
      </c>
      <c r="BA3" s="42">
        <f ca="1">INDIRECT(ADDRESS(84,52,,,$C3))</f>
        <v>0</v>
      </c>
      <c r="BB3" s="42">
        <f t="shared" ref="BB3:BB4" ca="1" si="22">INDIRECT(ADDRESS(90,52,,,$C3))</f>
        <v>0</v>
      </c>
      <c r="BC3" s="42">
        <f t="shared" ref="BC3:BC4" ca="1" si="23">INDIRECT(ADDRESS(91,52,,,$C3))</f>
        <v>0</v>
      </c>
      <c r="BD3" s="42">
        <f t="shared" ref="BD3:BD4" ca="1" si="24">INDIRECT(ADDRESS(87,52,,,$C3))</f>
        <v>0</v>
      </c>
      <c r="BE3" s="42">
        <f t="shared" ref="BE3:BE4" ca="1" si="25">INDIRECT(ADDRESS(88,52,,,$C3))</f>
        <v>0</v>
      </c>
      <c r="BF3" s="42">
        <f ca="1">INDIRECT(ADDRESS(84,62,,,$C3))</f>
        <v>0</v>
      </c>
      <c r="BG3" s="42">
        <f t="shared" ref="BG3:BG4" ca="1" si="26">INDIRECT(ADDRESS(84,68,,,$C3))</f>
        <v>0</v>
      </c>
      <c r="BH3" s="42">
        <f ca="1">INDIRECT(ADDRESS(84,64,,,$C3))</f>
        <v>0</v>
      </c>
      <c r="BI3" s="42">
        <f ca="1">INDIRECT(ADDRESS(92,68,,,$C3))</f>
        <v>0</v>
      </c>
      <c r="BJ3" s="42">
        <f ca="1">INDIRECT(ADDRESS(84,63,,,$C3))</f>
        <v>0</v>
      </c>
      <c r="BK3" s="42">
        <f t="shared" ref="BK3:BK4" ca="1" si="27">INDIRECT(ADDRESS(90,63,,,$C3))</f>
        <v>0</v>
      </c>
      <c r="BL3" s="42">
        <f t="shared" ref="BL3:BL4" ca="1" si="28">INDIRECT(ADDRESS(91,63,,,$C3))</f>
        <v>0</v>
      </c>
      <c r="BM3" s="42">
        <f t="shared" ref="BM3:BM4" ca="1" si="29">INDIRECT(ADDRESS(87,63,,,$C3))</f>
        <v>0</v>
      </c>
      <c r="BN3" s="42">
        <f t="shared" ref="BN3:BN4" ca="1" si="30">INDIRECT(ADDRESS(88,63,,,$C3))</f>
        <v>0</v>
      </c>
      <c r="BO3" s="46">
        <f ca="1">M3+V3+AE3+AN3+AW3+BF3</f>
        <v>0</v>
      </c>
      <c r="BP3" s="46">
        <f ca="1">BO3-Agents[[#This Row],[Heure Annuelle]]</f>
        <v>-1600</v>
      </c>
      <c r="BQ3" s="42">
        <f ca="1">N3+W3+AF3+AO3+AX3+BG3</f>
        <v>0</v>
      </c>
      <c r="BR3" s="42">
        <f ca="1">O3+X3+AG3+AP3+AY3+BH3</f>
        <v>0</v>
      </c>
      <c r="BS3" s="196">
        <f t="shared" ref="BS3:BS4" ca="1" si="31">INDIRECT(ADDRESS(92,68,,,$C3))</f>
        <v>0</v>
      </c>
      <c r="BT3" s="42">
        <f ca="1">Q3+Z3+AI3+AR3+BA3+BJ3</f>
        <v>0</v>
      </c>
      <c r="BU3" s="42">
        <f ca="1">R3+AA3+AJ3+AS3+BB3+BK3</f>
        <v>0</v>
      </c>
      <c r="BV3" s="42">
        <f ca="1">S3+AB3+AK3+AT3+BC3+BL3</f>
        <v>0</v>
      </c>
      <c r="BW3" s="46">
        <f t="shared" ref="BW3:BW4" ca="1" si="32">INDIRECT(ADDRESS(88,129,,,$C3))</f>
        <v>0</v>
      </c>
    </row>
    <row r="4" spans="1:75" s="2" customFormat="1" ht="35.1" customHeight="1" x14ac:dyDescent="0.2">
      <c r="A4" s="214" t="s">
        <v>151</v>
      </c>
      <c r="B4" s="214" t="s">
        <v>164</v>
      </c>
      <c r="C4" s="216" t="s">
        <v>174</v>
      </c>
      <c r="D4" s="184"/>
      <c r="E4" s="184"/>
      <c r="F4" s="184"/>
      <c r="G4" s="184"/>
      <c r="H4" s="42">
        <f t="shared" ref="H4" si="33">SUM(F4:G4)</f>
        <v>0</v>
      </c>
      <c r="I4" s="42">
        <f>Config!$N$21-(Récap!G4*7)</f>
        <v>1600</v>
      </c>
      <c r="J4" s="42">
        <f t="shared" ca="1" si="0"/>
        <v>0</v>
      </c>
      <c r="K4" s="44"/>
      <c r="L4" s="44"/>
      <c r="M4" s="45">
        <f t="shared" ref="M4" ca="1" si="34">INDIRECT(ADDRESS(84,7,,,$C4))</f>
        <v>0</v>
      </c>
      <c r="N4" s="45">
        <f t="shared" ca="1" si="1"/>
        <v>0</v>
      </c>
      <c r="O4" s="45">
        <f t="shared" ref="O4" ca="1" si="35">INDIRECT(ADDRESS(84,9,,,$C4))</f>
        <v>0</v>
      </c>
      <c r="P4" s="45">
        <f t="shared" ref="P4" ca="1" si="36">INDIRECT(ADDRESS(92,13,,,$C4))</f>
        <v>0</v>
      </c>
      <c r="Q4" s="45">
        <f t="shared" ref="Q4" ca="1" si="37">INDIRECT(ADDRESS(84,8,,,$C4))</f>
        <v>0</v>
      </c>
      <c r="R4" s="45">
        <f t="shared" ca="1" si="2"/>
        <v>0</v>
      </c>
      <c r="S4" s="45">
        <f t="shared" ca="1" si="3"/>
        <v>0</v>
      </c>
      <c r="T4" s="45">
        <f t="shared" ca="1" si="4"/>
        <v>0</v>
      </c>
      <c r="U4" s="45">
        <f t="shared" ca="1" si="5"/>
        <v>0</v>
      </c>
      <c r="V4" s="42">
        <f t="shared" ref="V4" ca="1" si="38">INDIRECT(ADDRESS(84,18,,,$C4))</f>
        <v>0</v>
      </c>
      <c r="W4" s="42">
        <f t="shared" ca="1" si="6"/>
        <v>0</v>
      </c>
      <c r="X4" s="42">
        <f t="shared" ref="X4" ca="1" si="39">INDIRECT(ADDRESS(84,20,,,$C4))</f>
        <v>0</v>
      </c>
      <c r="Y4" s="42">
        <f t="shared" ref="Y4" ca="1" si="40">INDIRECT(ADDRESS(92,24,,,$C4))</f>
        <v>0</v>
      </c>
      <c r="Z4" s="42">
        <f t="shared" ref="Z4" ca="1" si="41">INDIRECT(ADDRESS(84,19,,,$C4))</f>
        <v>0</v>
      </c>
      <c r="AA4" s="42">
        <f t="shared" ca="1" si="7"/>
        <v>0</v>
      </c>
      <c r="AB4" s="42">
        <f t="shared" ca="1" si="8"/>
        <v>0</v>
      </c>
      <c r="AC4" s="42">
        <f t="shared" ca="1" si="9"/>
        <v>0</v>
      </c>
      <c r="AD4" s="42">
        <f t="shared" ca="1" si="10"/>
        <v>0</v>
      </c>
      <c r="AE4" s="42">
        <f t="shared" ref="AE4" ca="1" si="42">INDIRECT(ADDRESS(84,29,,,$C4))</f>
        <v>0</v>
      </c>
      <c r="AF4" s="42">
        <f t="shared" ca="1" si="11"/>
        <v>0</v>
      </c>
      <c r="AG4" s="42">
        <f t="shared" ref="AG4" ca="1" si="43">INDIRECT(ADDRESS(84,31,,,$C4))</f>
        <v>0</v>
      </c>
      <c r="AH4" s="42">
        <f t="shared" ref="AH4" ca="1" si="44">INDIRECT(ADDRESS(92,35,,,$C4))</f>
        <v>0</v>
      </c>
      <c r="AI4" s="42">
        <f t="shared" ref="AI4" ca="1" si="45">INDIRECT(ADDRESS(84,30,,,$C4))</f>
        <v>0</v>
      </c>
      <c r="AJ4" s="42">
        <f t="shared" ca="1" si="12"/>
        <v>0</v>
      </c>
      <c r="AK4" s="42">
        <f t="shared" ca="1" si="13"/>
        <v>0</v>
      </c>
      <c r="AL4" s="42">
        <f t="shared" ca="1" si="14"/>
        <v>0</v>
      </c>
      <c r="AM4" s="42">
        <f t="shared" ca="1" si="15"/>
        <v>0</v>
      </c>
      <c r="AN4" s="42">
        <f t="shared" ref="AN4" ca="1" si="46">INDIRECT(ADDRESS(84,40,,,$C4))</f>
        <v>0</v>
      </c>
      <c r="AO4" s="42">
        <f t="shared" ca="1" si="16"/>
        <v>0</v>
      </c>
      <c r="AP4" s="42">
        <f t="shared" ref="AP4" ca="1" si="47">INDIRECT(ADDRESS(84,42,,,$C4))</f>
        <v>0</v>
      </c>
      <c r="AQ4" s="42">
        <f t="shared" ref="AQ4" ca="1" si="48">INDIRECT(ADDRESS(92,46,,,$C4))</f>
        <v>0</v>
      </c>
      <c r="AR4" s="42">
        <f t="shared" ref="AR4" ca="1" si="49">INDIRECT(ADDRESS(84,41,,,$C4))</f>
        <v>0</v>
      </c>
      <c r="AS4" s="42">
        <f t="shared" ca="1" si="17"/>
        <v>0</v>
      </c>
      <c r="AT4" s="42">
        <f t="shared" ca="1" si="18"/>
        <v>0</v>
      </c>
      <c r="AU4" s="42">
        <f t="shared" ca="1" si="19"/>
        <v>0</v>
      </c>
      <c r="AV4" s="42">
        <f t="shared" ca="1" si="20"/>
        <v>0</v>
      </c>
      <c r="AW4" s="42">
        <f t="shared" ref="AW4" ca="1" si="50">INDIRECT(ADDRESS(84,51,,,$C4))</f>
        <v>0</v>
      </c>
      <c r="AX4" s="42">
        <f t="shared" ca="1" si="21"/>
        <v>0</v>
      </c>
      <c r="AY4" s="42">
        <f t="shared" ref="AY4" ca="1" si="51">INDIRECT(ADDRESS(84,53,,,$C4))</f>
        <v>0</v>
      </c>
      <c r="AZ4" s="42">
        <f t="shared" ref="AZ4" ca="1" si="52">INDIRECT(ADDRESS(92,57,,,$C4))</f>
        <v>0</v>
      </c>
      <c r="BA4" s="42">
        <f t="shared" ref="BA4" ca="1" si="53">INDIRECT(ADDRESS(84,52,,,$C4))</f>
        <v>0</v>
      </c>
      <c r="BB4" s="42">
        <f t="shared" ca="1" si="22"/>
        <v>0</v>
      </c>
      <c r="BC4" s="42">
        <f t="shared" ca="1" si="23"/>
        <v>0</v>
      </c>
      <c r="BD4" s="42">
        <f t="shared" ca="1" si="24"/>
        <v>0</v>
      </c>
      <c r="BE4" s="42">
        <f t="shared" ca="1" si="25"/>
        <v>0</v>
      </c>
      <c r="BF4" s="42">
        <f t="shared" ref="BF4" ca="1" si="54">INDIRECT(ADDRESS(84,62,,,$C4))</f>
        <v>0</v>
      </c>
      <c r="BG4" s="42">
        <f t="shared" ca="1" si="26"/>
        <v>0</v>
      </c>
      <c r="BH4" s="42">
        <f t="shared" ref="BH4" ca="1" si="55">INDIRECT(ADDRESS(84,64,,,$C4))</f>
        <v>0</v>
      </c>
      <c r="BI4" s="42">
        <f t="shared" ref="BI4" ca="1" si="56">INDIRECT(ADDRESS(92,68,,,$C4))</f>
        <v>0</v>
      </c>
      <c r="BJ4" s="42">
        <f t="shared" ref="BJ4" ca="1" si="57">INDIRECT(ADDRESS(84,63,,,$C4))</f>
        <v>0</v>
      </c>
      <c r="BK4" s="42">
        <f t="shared" ca="1" si="27"/>
        <v>0</v>
      </c>
      <c r="BL4" s="42">
        <f t="shared" ca="1" si="28"/>
        <v>0</v>
      </c>
      <c r="BM4" s="42">
        <f t="shared" ca="1" si="29"/>
        <v>0</v>
      </c>
      <c r="BN4" s="42">
        <f t="shared" ca="1" si="30"/>
        <v>0</v>
      </c>
      <c r="BO4" s="46">
        <f t="shared" ref="BO4" ca="1" si="58">M4+V4+AE4+AN4+AW4+BF4</f>
        <v>0</v>
      </c>
      <c r="BP4" s="46">
        <f ca="1">BO4-Agents[[#This Row],[Heure Annuelle]]</f>
        <v>-1600</v>
      </c>
      <c r="BQ4" s="42">
        <f t="shared" ref="BQ4" ca="1" si="59">N4+W4+AF4+AO4+AX4+BG4</f>
        <v>0</v>
      </c>
      <c r="BR4" s="42">
        <f t="shared" ref="BR4" ca="1" si="60">O4+X4+AG4+AP4+AY4+BH4</f>
        <v>0</v>
      </c>
      <c r="BS4" s="196">
        <f t="shared" ca="1" si="31"/>
        <v>0</v>
      </c>
      <c r="BT4" s="42">
        <f t="shared" ref="BT4" ca="1" si="61">Q4+Z4+AI4+AR4+BA4+BJ4</f>
        <v>0</v>
      </c>
      <c r="BU4" s="42">
        <f t="shared" ref="BU4" ca="1" si="62">R4+AA4+AJ4+AS4+BB4+BK4</f>
        <v>0</v>
      </c>
      <c r="BV4" s="42">
        <f t="shared" ref="BV4" ca="1" si="63">S4+AB4+AK4+AT4+BC4+BL4</f>
        <v>0</v>
      </c>
      <c r="BW4" s="46">
        <f t="shared" ca="1" si="32"/>
        <v>0</v>
      </c>
    </row>
    <row r="5" spans="1:75" s="2" customFormat="1" ht="35.1" customHeight="1" x14ac:dyDescent="0.2">
      <c r="A5" s="217"/>
      <c r="B5" s="217"/>
      <c r="C5" s="229"/>
      <c r="D5" s="184"/>
      <c r="E5" s="184"/>
      <c r="F5" s="184"/>
      <c r="G5" s="184"/>
      <c r="H5" s="42"/>
      <c r="I5" s="42"/>
      <c r="J5" s="42"/>
      <c r="K5" s="44"/>
      <c r="L5" s="4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</row>
    <row r="6" spans="1:75" ht="35.1" customHeight="1" x14ac:dyDescent="0.25">
      <c r="A6" s="38"/>
      <c r="B6" s="38"/>
      <c r="C6" s="211"/>
      <c r="D6" s="212"/>
      <c r="E6" s="212"/>
      <c r="F6" s="195"/>
      <c r="G6" s="212"/>
      <c r="H6" s="195"/>
      <c r="I6" s="213"/>
      <c r="J6" s="213"/>
      <c r="K6" s="44"/>
      <c r="L6" s="44"/>
    </row>
    <row r="7" spans="1:75" ht="35.1" customHeight="1" x14ac:dyDescent="0.25">
      <c r="A7" s="38"/>
      <c r="B7" s="38"/>
      <c r="C7" s="211"/>
      <c r="D7" s="212"/>
      <c r="E7" s="212"/>
      <c r="F7" s="195"/>
      <c r="G7" s="212"/>
      <c r="H7" s="195"/>
      <c r="I7" s="213"/>
      <c r="J7" s="213"/>
      <c r="K7" s="44"/>
      <c r="L7" s="44"/>
    </row>
    <row r="8" spans="1:75" ht="35.1" customHeight="1" x14ac:dyDescent="0.25">
      <c r="A8" s="38"/>
      <c r="B8" s="38"/>
      <c r="C8" s="211"/>
      <c r="D8" s="212"/>
      <c r="E8" s="212"/>
      <c r="F8" s="195"/>
      <c r="G8" s="212"/>
      <c r="H8" s="195"/>
      <c r="I8" s="213"/>
      <c r="J8" s="213"/>
      <c r="K8" s="44"/>
      <c r="L8" s="44"/>
    </row>
    <row r="9" spans="1:75" ht="35.1" customHeight="1" x14ac:dyDescent="0.25">
      <c r="A9" s="38"/>
      <c r="B9" s="38"/>
      <c r="C9" s="211"/>
      <c r="D9" s="212"/>
      <c r="E9" s="212"/>
      <c r="F9" s="195"/>
      <c r="G9" s="212"/>
      <c r="H9" s="195"/>
      <c r="I9" s="213"/>
      <c r="J9" s="213"/>
      <c r="K9" s="44"/>
      <c r="L9" s="44"/>
    </row>
    <row r="10" spans="1:75" ht="35.1" customHeight="1" x14ac:dyDescent="0.25">
      <c r="A10" s="38"/>
      <c r="B10" s="38"/>
      <c r="C10" s="211"/>
      <c r="D10" s="212"/>
      <c r="E10" s="212"/>
      <c r="F10" s="195"/>
      <c r="G10" s="212"/>
      <c r="H10" s="195"/>
      <c r="I10" s="213"/>
      <c r="J10" s="213"/>
      <c r="K10" s="44"/>
      <c r="L10" s="44"/>
    </row>
    <row r="11" spans="1:75" ht="35.1" customHeight="1" x14ac:dyDescent="0.25">
      <c r="A11" s="38"/>
      <c r="B11" s="38"/>
      <c r="C11" s="211"/>
      <c r="D11" s="212"/>
      <c r="E11" s="212"/>
      <c r="F11" s="195"/>
      <c r="G11" s="212"/>
      <c r="H11" s="195"/>
      <c r="I11" s="213"/>
      <c r="J11" s="213"/>
      <c r="K11" s="44"/>
      <c r="L11" s="44"/>
    </row>
    <row r="12" spans="1:75" ht="35.1" customHeight="1" x14ac:dyDescent="0.25">
      <c r="A12" s="38"/>
      <c r="B12" s="38"/>
      <c r="C12" s="211"/>
      <c r="D12" s="212"/>
      <c r="E12" s="212"/>
      <c r="F12" s="195"/>
      <c r="G12" s="212"/>
      <c r="H12" s="195"/>
      <c r="I12" s="213"/>
      <c r="J12" s="213"/>
      <c r="K12" s="44"/>
      <c r="L12" s="44"/>
    </row>
    <row r="13" spans="1:75" ht="35.1" customHeight="1" x14ac:dyDescent="0.25">
      <c r="A13" s="38"/>
      <c r="B13" s="38"/>
      <c r="C13" s="211"/>
      <c r="D13" s="212"/>
      <c r="E13" s="212"/>
      <c r="F13" s="195"/>
      <c r="G13" s="212"/>
      <c r="H13" s="195"/>
      <c r="I13" s="213"/>
      <c r="J13" s="213"/>
      <c r="K13" s="44"/>
      <c r="L13" s="44"/>
    </row>
    <row r="14" spans="1:75" ht="35.1" customHeight="1" x14ac:dyDescent="0.25">
      <c r="A14" s="38"/>
      <c r="B14" s="38"/>
      <c r="C14" s="211"/>
      <c r="D14" s="212"/>
      <c r="E14" s="212"/>
      <c r="F14" s="195"/>
      <c r="G14" s="212"/>
      <c r="H14" s="195"/>
      <c r="I14" s="213"/>
      <c r="J14" s="213"/>
      <c r="K14" s="44"/>
      <c r="L14" s="44"/>
    </row>
    <row r="15" spans="1:75" ht="35.1" customHeight="1" x14ac:dyDescent="0.25">
      <c r="A15" s="38"/>
      <c r="B15" s="38"/>
      <c r="C15" s="211"/>
      <c r="D15" s="212"/>
      <c r="E15" s="212"/>
      <c r="F15" s="195"/>
      <c r="G15" s="212"/>
      <c r="H15" s="195"/>
      <c r="I15" s="213"/>
      <c r="J15" s="213"/>
      <c r="K15" s="44"/>
      <c r="L15" s="44"/>
    </row>
    <row r="16" spans="1:75" ht="35.1" customHeight="1" x14ac:dyDescent="0.25">
      <c r="A16" s="38"/>
      <c r="B16" s="38"/>
      <c r="C16" s="211"/>
      <c r="D16" s="212"/>
      <c r="E16" s="212"/>
      <c r="F16" s="195"/>
      <c r="G16" s="212"/>
      <c r="H16" s="195"/>
      <c r="I16" s="213"/>
      <c r="J16" s="213"/>
      <c r="K16" s="44"/>
      <c r="L16" s="44"/>
    </row>
    <row r="17" spans="1:12" ht="35.1" customHeight="1" x14ac:dyDescent="0.25">
      <c r="A17" s="38"/>
      <c r="B17" s="38"/>
      <c r="C17" s="211"/>
      <c r="D17" s="212"/>
      <c r="E17" s="212"/>
      <c r="F17" s="195"/>
      <c r="G17" s="212"/>
      <c r="H17" s="195"/>
      <c r="I17" s="213"/>
      <c r="J17" s="213"/>
      <c r="K17" s="44"/>
      <c r="L17" s="44"/>
    </row>
    <row r="18" spans="1:12" ht="35.1" customHeight="1" x14ac:dyDescent="0.25">
      <c r="A18" s="38"/>
      <c r="B18" s="38"/>
      <c r="C18" s="211"/>
      <c r="D18" s="212"/>
      <c r="E18" s="212"/>
      <c r="F18" s="195"/>
      <c r="G18" s="212"/>
      <c r="H18" s="195"/>
      <c r="I18" s="213"/>
      <c r="J18" s="213"/>
      <c r="K18" s="44"/>
      <c r="L18" s="44"/>
    </row>
    <row r="19" spans="1:12" ht="35.1" customHeight="1" x14ac:dyDescent="0.25">
      <c r="A19" s="38"/>
      <c r="B19" s="38"/>
      <c r="C19" s="211"/>
      <c r="D19" s="212"/>
      <c r="E19" s="212"/>
      <c r="F19" s="195"/>
      <c r="G19" s="212"/>
      <c r="H19" s="195"/>
      <c r="I19" s="213"/>
      <c r="J19" s="213"/>
      <c r="K19" s="44"/>
      <c r="L19" s="44"/>
    </row>
    <row r="20" spans="1:12" ht="35.1" customHeight="1" x14ac:dyDescent="0.25">
      <c r="A20" s="38"/>
      <c r="B20" s="38"/>
      <c r="C20" s="211"/>
      <c r="D20" s="212"/>
      <c r="E20" s="212"/>
      <c r="F20" s="195"/>
      <c r="G20" s="212"/>
      <c r="H20" s="195"/>
      <c r="I20" s="213"/>
      <c r="J20" s="213"/>
      <c r="K20" s="44"/>
      <c r="L20" s="44"/>
    </row>
    <row r="21" spans="1:12" ht="35.1" customHeight="1" x14ac:dyDescent="0.25">
      <c r="A21" s="38"/>
      <c r="B21" s="38"/>
      <c r="C21" s="211"/>
      <c r="D21" s="212"/>
      <c r="E21" s="212"/>
      <c r="F21" s="195"/>
      <c r="G21" s="212"/>
      <c r="H21" s="195"/>
      <c r="I21" s="213"/>
      <c r="J21" s="213"/>
      <c r="K21" s="44"/>
      <c r="L21" s="44"/>
    </row>
    <row r="22" spans="1:12" ht="35.1" customHeight="1" x14ac:dyDescent="0.25">
      <c r="A22" s="38"/>
      <c r="B22" s="38"/>
      <c r="C22" s="211"/>
      <c r="D22" s="212"/>
      <c r="E22" s="212"/>
      <c r="F22" s="195"/>
      <c r="G22" s="212"/>
      <c r="H22" s="195"/>
      <c r="I22" s="213"/>
      <c r="J22" s="213"/>
      <c r="K22" s="44"/>
      <c r="L22" s="44"/>
    </row>
    <row r="23" spans="1:12" ht="35.1" customHeight="1" x14ac:dyDescent="0.25">
      <c r="A23" s="38"/>
      <c r="B23" s="38"/>
      <c r="C23" s="211"/>
      <c r="D23" s="212"/>
      <c r="E23" s="212"/>
      <c r="F23" s="195"/>
      <c r="G23" s="212"/>
      <c r="H23" s="195"/>
      <c r="I23" s="213"/>
      <c r="J23" s="213"/>
      <c r="K23" s="44"/>
      <c r="L23" s="44"/>
    </row>
    <row r="24" spans="1:12" ht="35.1" customHeight="1" x14ac:dyDescent="0.25">
      <c r="A24" s="38"/>
      <c r="B24" s="38"/>
      <c r="C24" s="211"/>
      <c r="D24" s="212"/>
      <c r="E24" s="212"/>
      <c r="F24" s="195"/>
      <c r="G24" s="212"/>
      <c r="H24" s="195"/>
      <c r="I24" s="213"/>
      <c r="J24" s="213"/>
      <c r="K24" s="44"/>
      <c r="L24" s="44"/>
    </row>
    <row r="25" spans="1:12" ht="35.1" customHeight="1" x14ac:dyDescent="0.25">
      <c r="A25" s="38"/>
      <c r="B25" s="38"/>
      <c r="C25" s="211"/>
      <c r="D25" s="212"/>
      <c r="E25" s="212"/>
      <c r="F25" s="195"/>
      <c r="G25" s="212"/>
      <c r="H25" s="195"/>
      <c r="I25" s="213"/>
      <c r="J25" s="213"/>
      <c r="K25" s="44"/>
      <c r="L25" s="44"/>
    </row>
    <row r="26" spans="1:12" ht="35.1" customHeight="1" x14ac:dyDescent="0.25">
      <c r="A26" s="38"/>
      <c r="B26" s="38"/>
      <c r="C26" s="211"/>
      <c r="D26" s="212"/>
      <c r="E26" s="212"/>
      <c r="F26" s="195"/>
      <c r="G26" s="212"/>
      <c r="H26" s="195"/>
      <c r="I26" s="213"/>
      <c r="J26" s="213"/>
      <c r="K26" s="44"/>
      <c r="L26" s="44"/>
    </row>
    <row r="27" spans="1:12" ht="35.1" customHeight="1" x14ac:dyDescent="0.25">
      <c r="A27" s="38"/>
      <c r="B27" s="38"/>
      <c r="C27" s="211"/>
      <c r="D27" s="212"/>
      <c r="E27" s="212"/>
      <c r="F27" s="195"/>
      <c r="G27" s="212"/>
      <c r="H27" s="195"/>
      <c r="I27" s="213"/>
      <c r="J27" s="213"/>
      <c r="K27" s="44"/>
      <c r="L27" s="44"/>
    </row>
    <row r="28" spans="1:12" ht="35.1" customHeight="1" x14ac:dyDescent="0.25">
      <c r="A28" s="38"/>
      <c r="B28" s="38"/>
      <c r="C28" s="211"/>
      <c r="D28" s="212"/>
      <c r="E28" s="212"/>
      <c r="F28" s="195"/>
      <c r="G28" s="212"/>
      <c r="H28" s="195"/>
      <c r="I28" s="213"/>
      <c r="J28" s="213"/>
      <c r="K28" s="44"/>
      <c r="L28" s="44"/>
    </row>
  </sheetData>
  <mergeCells count="10">
    <mergeCell ref="BT1:BW1"/>
    <mergeCell ref="BO1:BS1"/>
    <mergeCell ref="A1:E1"/>
    <mergeCell ref="BF1:BN1"/>
    <mergeCell ref="M1:U1"/>
    <mergeCell ref="AN1:AV1"/>
    <mergeCell ref="AW1:BE1"/>
    <mergeCell ref="F1:H1"/>
    <mergeCell ref="V1:AD1"/>
    <mergeCell ref="AE1:AM1"/>
  </mergeCells>
  <conditionalFormatting sqref="BW3:BW4">
    <cfRule type="cellIs" dxfId="0" priority="1" operator="lessThan">
      <formula>0</formula>
    </cfRule>
  </conditionalFormatting>
  <dataValidations count="2">
    <dataValidation type="list" allowBlank="1" showInputMessage="1" showErrorMessage="1" sqref="B3:B5">
      <formula1>Poste</formula1>
    </dataValidation>
    <dataValidation type="list" allowBlank="1" showInputMessage="1" showErrorMessage="1" sqref="A3:A5">
      <formula1>Services</formula1>
    </dataValidation>
  </dataValidations>
  <hyperlinks>
    <hyperlink ref="C3" location="'AILLAUD Fabien'!A1" display="AILLAUD Fabien"/>
    <hyperlink ref="C4" location="'ALBOUY Michèle'!A1" display="ALBOUY Michèle"/>
  </hyperlinks>
  <printOptions horizontalCentered="1"/>
  <pageMargins left="0.70866141732283472" right="0.70866141732283472" top="1.7322834645669292" bottom="0.74803149606299213" header="0.51181102362204722" footer="0.31496062992125984"/>
  <pageSetup paperSize="9" scale="78" orientation="landscape" horizontalDpi="0" verticalDpi="0" r:id="rId1"/>
  <headerFooter>
    <oddHeader>&amp;C&amp;"Arial,Gras"&amp;14Récapitulatif des heures
- Permanents -&amp;R&amp;G</oddHeader>
    <oddFooter>&amp;L&amp;9Mairie de Montclar
Régie des Remontées Mécaniques&amp;R&amp;9&amp;D &amp;T</oddFooter>
  </headerFooter>
  <colBreaks count="6" manualBreakCount="6">
    <brk id="21" max="13" man="1"/>
    <brk id="30" max="13" man="1"/>
    <brk id="39" max="13" man="1"/>
    <brk id="48" max="13" man="1"/>
    <brk id="57" max="13" man="1"/>
    <brk id="66" max="13" man="1"/>
  </colBreaks>
  <ignoredErrors>
    <ignoredError sqref="H3:H4" formulaRange="1"/>
  </ignoredErrors>
  <drawing r:id="rId2"/>
  <legacyDrawing r:id="rId3"/>
  <legacyDrawingHF r:id="rId4"/>
  <controls>
    <mc:AlternateContent xmlns:mc="http://schemas.openxmlformats.org/markup-compatibility/2006">
      <mc:Choice Requires="x14">
        <control shapeId="4115" r:id="rId5" name="CommandButton6">
          <controlPr print="0" autoLine="0" autoPict="0" r:id="rId6">
            <anchor moveWithCells="1">
              <from>
                <xdr:col>57</xdr:col>
                <xdr:colOff>66675</xdr:colOff>
                <xdr:row>0</xdr:row>
                <xdr:rowOff>47625</xdr:rowOff>
              </from>
              <to>
                <xdr:col>58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5" r:id="rId5" name="CommandButton6"/>
      </mc:Fallback>
    </mc:AlternateContent>
    <mc:AlternateContent xmlns:mc="http://schemas.openxmlformats.org/markup-compatibility/2006">
      <mc:Choice Requires="x14">
        <control shapeId="4114" r:id="rId7" name="CommandButton5">
          <controlPr print="0" autoLine="0" autoPict="0" r:id="rId8">
            <anchor moveWithCells="1">
              <from>
                <xdr:col>48</xdr:col>
                <xdr:colOff>66675</xdr:colOff>
                <xdr:row>0</xdr:row>
                <xdr:rowOff>47625</xdr:rowOff>
              </from>
              <to>
                <xdr:col>49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4" r:id="rId7" name="CommandButton5"/>
      </mc:Fallback>
    </mc:AlternateContent>
    <mc:AlternateContent xmlns:mc="http://schemas.openxmlformats.org/markup-compatibility/2006">
      <mc:Choice Requires="x14">
        <control shapeId="4113" r:id="rId9" name="CommandButton4">
          <controlPr print="0" autoLine="0" autoPict="0" r:id="rId10">
            <anchor moveWithCells="1">
              <from>
                <xdr:col>39</xdr:col>
                <xdr:colOff>66675</xdr:colOff>
                <xdr:row>0</xdr:row>
                <xdr:rowOff>47625</xdr:rowOff>
              </from>
              <to>
                <xdr:col>40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3" r:id="rId9" name="CommandButton4"/>
      </mc:Fallback>
    </mc:AlternateContent>
    <mc:AlternateContent xmlns:mc="http://schemas.openxmlformats.org/markup-compatibility/2006">
      <mc:Choice Requires="x14">
        <control shapeId="4112" r:id="rId11" name="CommandButton3">
          <controlPr print="0" autoLine="0" autoPict="0" r:id="rId12">
            <anchor moveWithCells="1">
              <from>
                <xdr:col>30</xdr:col>
                <xdr:colOff>66675</xdr:colOff>
                <xdr:row>0</xdr:row>
                <xdr:rowOff>47625</xdr:rowOff>
              </from>
              <to>
                <xdr:col>31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2" r:id="rId11" name="CommandButton3"/>
      </mc:Fallback>
    </mc:AlternateContent>
    <mc:AlternateContent xmlns:mc="http://schemas.openxmlformats.org/markup-compatibility/2006">
      <mc:Choice Requires="x14">
        <control shapeId="4111" r:id="rId13" name="CommandButton2">
          <controlPr print="0" autoLine="0" autoPict="0" r:id="rId14">
            <anchor moveWithCells="1">
              <from>
                <xdr:col>21</xdr:col>
                <xdr:colOff>47625</xdr:colOff>
                <xdr:row>0</xdr:row>
                <xdr:rowOff>57150</xdr:rowOff>
              </from>
              <to>
                <xdr:col>22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1" r:id="rId13" name="CommandButton2"/>
      </mc:Fallback>
    </mc:AlternateContent>
    <mc:AlternateContent xmlns:mc="http://schemas.openxmlformats.org/markup-compatibility/2006">
      <mc:Choice Requires="x14">
        <control shapeId="4110" r:id="rId15" name="CommandButton1">
          <controlPr print="0" autoLine="0" autoPict="0" r:id="rId16">
            <anchor moveWithCells="1">
              <from>
                <xdr:col>12</xdr:col>
                <xdr:colOff>66675</xdr:colOff>
                <xdr:row>0</xdr:row>
                <xdr:rowOff>47625</xdr:rowOff>
              </from>
              <to>
                <xdr:col>13</xdr:col>
                <xdr:colOff>419100</xdr:colOff>
                <xdr:row>0</xdr:row>
                <xdr:rowOff>342900</xdr:rowOff>
              </to>
            </anchor>
          </controlPr>
        </control>
      </mc:Choice>
      <mc:Fallback>
        <control shapeId="4110" r:id="rId15" name="CommandButton1"/>
      </mc:Fallback>
    </mc:AlternateContent>
  </controls>
  <tableParts count="8">
    <tablePart r:id="rId17"/>
    <tablePart r:id="rId18"/>
    <tablePart r:id="rId19"/>
    <tablePart r:id="rId20"/>
    <tablePart r:id="rId21"/>
    <tablePart r:id="rId22"/>
    <tablePart r:id="rId23"/>
    <tablePart r:id="rId2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9">
    <tabColor theme="5" tint="0.39997558519241921"/>
  </sheetPr>
  <dimension ref="D1:Q55"/>
  <sheetViews>
    <sheetView showGridLines="0" tabSelected="1" zoomScaleNormal="100" workbookViewId="0">
      <selection activeCell="E19" sqref="E19"/>
    </sheetView>
  </sheetViews>
  <sheetFormatPr baseColWidth="10" defaultRowHeight="12.75" x14ac:dyDescent="0.2"/>
  <cols>
    <col min="1" max="2" width="11.42578125" style="49"/>
    <col min="3" max="3" width="3.7109375" style="49" customWidth="1"/>
    <col min="4" max="4" width="31.140625" style="49" bestFit="1" customWidth="1"/>
    <col min="5" max="5" width="11.42578125" style="6" customWidth="1"/>
    <col min="6" max="16384" width="11.42578125" style="49"/>
  </cols>
  <sheetData>
    <row r="1" spans="4:17" x14ac:dyDescent="0.2">
      <c r="E1" s="49"/>
    </row>
    <row r="2" spans="4:17" ht="45" x14ac:dyDescent="0.2">
      <c r="D2" s="352" t="s">
        <v>175</v>
      </c>
      <c r="E2" s="352"/>
      <c r="F2" s="352"/>
      <c r="G2" s="352"/>
      <c r="H2" s="352"/>
      <c r="I2" s="352"/>
      <c r="J2" s="352"/>
    </row>
    <row r="3" spans="4:17" ht="26.25" customHeight="1" x14ac:dyDescent="0.2"/>
    <row r="6" spans="4:17" ht="24.95" customHeight="1" thickBot="1" x14ac:dyDescent="0.25">
      <c r="D6" s="370" t="s">
        <v>122</v>
      </c>
      <c r="E6" s="370"/>
      <c r="F6" s="223"/>
    </row>
    <row r="7" spans="4:17" ht="20.100000000000001" customHeight="1" thickTop="1" x14ac:dyDescent="0.2">
      <c r="D7" s="178" t="s">
        <v>174</v>
      </c>
      <c r="E7" s="179">
        <v>1</v>
      </c>
    </row>
    <row r="8" spans="4:17" ht="20.100000000000001" customHeight="1" x14ac:dyDescent="0.2">
      <c r="D8" s="180" t="s">
        <v>173</v>
      </c>
      <c r="E8" s="181">
        <v>1</v>
      </c>
    </row>
    <row r="9" spans="4:17" ht="20.100000000000001" customHeight="1" x14ac:dyDescent="0.2">
      <c r="D9" s="178" t="s">
        <v>91</v>
      </c>
      <c r="E9" s="179">
        <v>0</v>
      </c>
    </row>
    <row r="10" spans="4:17" ht="20.100000000000001" customHeight="1" x14ac:dyDescent="0.2">
      <c r="D10" s="180" t="s">
        <v>90</v>
      </c>
      <c r="E10" s="181">
        <v>0</v>
      </c>
      <c r="Q10" s="182"/>
    </row>
    <row r="11" spans="4:17" ht="20.100000000000001" customHeight="1" x14ac:dyDescent="0.2">
      <c r="D11" s="178" t="s">
        <v>123</v>
      </c>
      <c r="E11" s="179">
        <v>0</v>
      </c>
      <c r="G11" s="183"/>
    </row>
    <row r="12" spans="4:17" ht="20.100000000000001" customHeight="1" x14ac:dyDescent="0.2">
      <c r="D12" s="180" t="s">
        <v>94</v>
      </c>
      <c r="E12" s="181">
        <v>0</v>
      </c>
    </row>
    <row r="13" spans="4:17" ht="20.100000000000001" customHeight="1" x14ac:dyDescent="0.2">
      <c r="D13" s="178" t="s">
        <v>121</v>
      </c>
      <c r="E13" s="179"/>
    </row>
    <row r="14" spans="4:17" ht="20.100000000000001" customHeight="1" x14ac:dyDescent="0.2">
      <c r="E14" s="49"/>
    </row>
    <row r="15" spans="4:17" ht="20.100000000000001" customHeight="1" x14ac:dyDescent="0.2">
      <c r="E15" s="49"/>
    </row>
    <row r="16" spans="4:17" ht="20.100000000000001" customHeight="1" x14ac:dyDescent="0.2">
      <c r="E16" s="49"/>
    </row>
    <row r="17" spans="4:5" ht="20.100000000000001" customHeight="1" x14ac:dyDescent="0.2">
      <c r="E17" s="49"/>
    </row>
    <row r="18" spans="4:5" ht="20.100000000000001" customHeight="1" x14ac:dyDescent="0.2">
      <c r="E18" s="49"/>
    </row>
    <row r="19" spans="4:5" ht="20.100000000000001" customHeight="1" x14ac:dyDescent="0.2">
      <c r="E19" s="49"/>
    </row>
    <row r="20" spans="4:5" ht="20.100000000000001" customHeight="1" x14ac:dyDescent="0.2">
      <c r="E20" s="49"/>
    </row>
    <row r="21" spans="4:5" ht="20.100000000000001" customHeight="1" x14ac:dyDescent="0.2">
      <c r="E21" s="49"/>
    </row>
    <row r="22" spans="4:5" ht="20.100000000000001" customHeight="1" x14ac:dyDescent="0.2">
      <c r="E22" s="49"/>
    </row>
    <row r="23" spans="4:5" ht="20.100000000000001" customHeight="1" x14ac:dyDescent="0.2">
      <c r="E23" s="49"/>
    </row>
    <row r="24" spans="4:5" ht="20.100000000000001" customHeight="1" x14ac:dyDescent="0.2">
      <c r="E24" s="49"/>
    </row>
    <row r="25" spans="4:5" ht="20.100000000000001" customHeight="1" x14ac:dyDescent="0.2">
      <c r="E25" s="49"/>
    </row>
    <row r="26" spans="4:5" ht="20.100000000000001" customHeight="1" x14ac:dyDescent="0.2">
      <c r="E26" s="49"/>
    </row>
    <row r="27" spans="4:5" ht="20.100000000000001" customHeight="1" x14ac:dyDescent="0.2">
      <c r="E27" s="49"/>
    </row>
    <row r="28" spans="4:5" ht="20.100000000000001" customHeight="1" x14ac:dyDescent="0.2">
      <c r="E28" s="49"/>
    </row>
    <row r="29" spans="4:5" ht="20.100000000000001" customHeight="1" x14ac:dyDescent="0.2">
      <c r="E29" s="49"/>
    </row>
    <row r="30" spans="4:5" ht="20.100000000000001" customHeight="1" x14ac:dyDescent="0.2">
      <c r="E30" s="49"/>
    </row>
    <row r="31" spans="4:5" ht="20.100000000000001" customHeight="1" x14ac:dyDescent="0.2">
      <c r="E31" s="49"/>
    </row>
    <row r="32" spans="4:5" ht="20.100000000000001" customHeight="1" x14ac:dyDescent="0.2">
      <c r="D32" s="224"/>
      <c r="E32" s="225"/>
    </row>
    <row r="33" spans="4:5" ht="20.100000000000001" customHeight="1" x14ac:dyDescent="0.2">
      <c r="D33" s="224"/>
      <c r="E33" s="225"/>
    </row>
    <row r="34" spans="4:5" ht="20.100000000000001" customHeight="1" x14ac:dyDescent="0.2">
      <c r="D34" s="224"/>
      <c r="E34" s="225"/>
    </row>
    <row r="35" spans="4:5" ht="20.100000000000001" customHeight="1" x14ac:dyDescent="0.2">
      <c r="D35" s="224"/>
      <c r="E35" s="225"/>
    </row>
    <row r="36" spans="4:5" ht="20.100000000000001" customHeight="1" x14ac:dyDescent="0.2">
      <c r="D36" s="224"/>
      <c r="E36" s="225"/>
    </row>
    <row r="37" spans="4:5" ht="20.100000000000001" customHeight="1" x14ac:dyDescent="0.2">
      <c r="D37" s="224"/>
      <c r="E37" s="225"/>
    </row>
    <row r="38" spans="4:5" ht="20.100000000000001" customHeight="1" x14ac:dyDescent="0.2">
      <c r="D38" s="224"/>
      <c r="E38" s="225"/>
    </row>
    <row r="39" spans="4:5" ht="20.100000000000001" customHeight="1" x14ac:dyDescent="0.2">
      <c r="D39" s="224"/>
      <c r="E39" s="225"/>
    </row>
    <row r="40" spans="4:5" ht="20.100000000000001" customHeight="1" x14ac:dyDescent="0.2">
      <c r="D40" s="224"/>
      <c r="E40" s="225"/>
    </row>
    <row r="41" spans="4:5" ht="20.100000000000001" customHeight="1" x14ac:dyDescent="0.2">
      <c r="D41" s="224"/>
      <c r="E41" s="225"/>
    </row>
    <row r="42" spans="4:5" ht="20.100000000000001" customHeight="1" x14ac:dyDescent="0.2">
      <c r="D42" s="224"/>
      <c r="E42" s="225"/>
    </row>
    <row r="43" spans="4:5" ht="20.100000000000001" customHeight="1" x14ac:dyDescent="0.2">
      <c r="D43" s="224"/>
      <c r="E43" s="225"/>
    </row>
    <row r="44" spans="4:5" ht="20.100000000000001" customHeight="1" x14ac:dyDescent="0.2">
      <c r="D44" s="224"/>
      <c r="E44" s="225"/>
    </row>
    <row r="45" spans="4:5" ht="20.100000000000001" customHeight="1" x14ac:dyDescent="0.2">
      <c r="D45" s="224"/>
      <c r="E45" s="225"/>
    </row>
    <row r="46" spans="4:5" ht="20.100000000000001" customHeight="1" x14ac:dyDescent="0.2">
      <c r="D46" s="224"/>
      <c r="E46" s="225"/>
    </row>
    <row r="47" spans="4:5" ht="20.100000000000001" customHeight="1" x14ac:dyDescent="0.2">
      <c r="D47" s="224"/>
      <c r="E47" s="225"/>
    </row>
    <row r="48" spans="4:5" ht="20.100000000000001" customHeight="1" x14ac:dyDescent="0.2">
      <c r="D48" s="224"/>
      <c r="E48" s="225"/>
    </row>
    <row r="49" spans="4:5" ht="20.100000000000001" customHeight="1" x14ac:dyDescent="0.2">
      <c r="D49" s="224"/>
      <c r="E49" s="225"/>
    </row>
    <row r="50" spans="4:5" ht="20.100000000000001" customHeight="1" x14ac:dyDescent="0.2">
      <c r="D50" s="224"/>
      <c r="E50" s="225"/>
    </row>
    <row r="51" spans="4:5" ht="20.100000000000001" customHeight="1" x14ac:dyDescent="0.2">
      <c r="D51" s="224"/>
      <c r="E51" s="226"/>
    </row>
    <row r="52" spans="4:5" ht="20.100000000000001" customHeight="1" x14ac:dyDescent="0.2">
      <c r="D52" s="224"/>
      <c r="E52" s="226"/>
    </row>
    <row r="53" spans="4:5" ht="20.100000000000001" customHeight="1" x14ac:dyDescent="0.2">
      <c r="D53" s="224"/>
      <c r="E53" s="226"/>
    </row>
    <row r="54" spans="4:5" ht="20.100000000000001" customHeight="1" x14ac:dyDescent="0.2">
      <c r="E54" s="49"/>
    </row>
    <row r="55" spans="4:5" ht="20.100000000000001" customHeight="1" x14ac:dyDescent="0.2">
      <c r="E55" s="49"/>
    </row>
  </sheetData>
  <mergeCells count="2">
    <mergeCell ref="D2:J2"/>
    <mergeCell ref="D6:E6"/>
  </mergeCells>
  <dataValidations count="1">
    <dataValidation type="decimal" allowBlank="1" showInputMessage="1" showErrorMessage="1" errorTitle="Valeur incorrecte" error="Valeur incorrecte !_x000a_Tapez 1 pour imprimer la feuille_x000a_Tapez 0 pour ne pas imprimer la feuille" sqref="E7:E55">
      <formula1>0</formula1>
      <formula2>1</formula2>
    </dataValidation>
  </dataValidations>
  <pageMargins left="0.7" right="0.7" top="0.75" bottom="0.75" header="0.3" footer="0.3"/>
  <pageSetup paperSize="9" scale="70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38241" r:id="rId4" name="CommandButton1">
          <controlPr print="0" autoLine="0" r:id="rId5">
            <anchor moveWithCells="1">
              <from>
                <xdr:col>3</xdr:col>
                <xdr:colOff>647700</xdr:colOff>
                <xdr:row>2</xdr:row>
                <xdr:rowOff>276225</xdr:rowOff>
              </from>
              <to>
                <xdr:col>4</xdr:col>
                <xdr:colOff>9525</xdr:colOff>
                <xdr:row>4</xdr:row>
                <xdr:rowOff>104775</xdr:rowOff>
              </to>
            </anchor>
          </controlPr>
        </control>
      </mc:Choice>
      <mc:Fallback>
        <control shapeId="138241" r:id="rId4" name="CommandButton1"/>
      </mc:Fallback>
    </mc:AlternateContent>
    <mc:AlternateContent xmlns:mc="http://schemas.openxmlformats.org/markup-compatibility/2006">
      <mc:Choice Requires="x14">
        <control shapeId="138242" r:id="rId6" name="CommandButton2">
          <controlPr autoLine="0" r:id="rId7">
            <anchor moveWithCells="1">
              <from>
                <xdr:col>6</xdr:col>
                <xdr:colOff>419100</xdr:colOff>
                <xdr:row>7</xdr:row>
                <xdr:rowOff>209550</xdr:rowOff>
              </from>
              <to>
                <xdr:col>8</xdr:col>
                <xdr:colOff>152400</xdr:colOff>
                <xdr:row>9</xdr:row>
                <xdr:rowOff>76200</xdr:rowOff>
              </to>
            </anchor>
          </controlPr>
        </control>
      </mc:Choice>
      <mc:Fallback>
        <control shapeId="138242" r:id="rId6" name="CommandButton2"/>
      </mc:Fallback>
    </mc:AlternateContent>
    <mc:AlternateContent xmlns:mc="http://schemas.openxmlformats.org/markup-compatibility/2006">
      <mc:Choice Requires="x14">
        <control shapeId="138243" r:id="rId8" name="CommandButton3">
          <controlPr autoLine="0" r:id="rId9">
            <anchor moveWithCells="1">
              <from>
                <xdr:col>6</xdr:col>
                <xdr:colOff>419100</xdr:colOff>
                <xdr:row>9</xdr:row>
                <xdr:rowOff>200025</xdr:rowOff>
              </from>
              <to>
                <xdr:col>8</xdr:col>
                <xdr:colOff>152400</xdr:colOff>
                <xdr:row>11</xdr:row>
                <xdr:rowOff>66675</xdr:rowOff>
              </to>
            </anchor>
          </controlPr>
        </control>
      </mc:Choice>
      <mc:Fallback>
        <control shapeId="138243" r:id="rId8" name="CommandButton3"/>
      </mc:Fallback>
    </mc:AlternateContent>
    <mc:AlternateContent xmlns:mc="http://schemas.openxmlformats.org/markup-compatibility/2006">
      <mc:Choice Requires="x14">
        <control shapeId="138244" r:id="rId10" name="CommandButton4">
          <controlPr autoLine="0" r:id="rId11">
            <anchor moveWithCells="1">
              <from>
                <xdr:col>6</xdr:col>
                <xdr:colOff>419100</xdr:colOff>
                <xdr:row>11</xdr:row>
                <xdr:rowOff>190500</xdr:rowOff>
              </from>
              <to>
                <xdr:col>8</xdr:col>
                <xdr:colOff>152400</xdr:colOff>
                <xdr:row>13</xdr:row>
                <xdr:rowOff>57150</xdr:rowOff>
              </to>
            </anchor>
          </controlPr>
        </control>
      </mc:Choice>
      <mc:Fallback>
        <control shapeId="138244" r:id="rId10" name="CommandButton4"/>
      </mc:Fallback>
    </mc:AlternateContent>
    <mc:AlternateContent xmlns:mc="http://schemas.openxmlformats.org/markup-compatibility/2006">
      <mc:Choice Requires="x14">
        <control shapeId="138245" r:id="rId12" name="CommandButton5">
          <controlPr autoLine="0" r:id="rId13">
            <anchor moveWithCells="1">
              <from>
                <xdr:col>6</xdr:col>
                <xdr:colOff>419100</xdr:colOff>
                <xdr:row>13</xdr:row>
                <xdr:rowOff>180975</xdr:rowOff>
              </from>
              <to>
                <xdr:col>8</xdr:col>
                <xdr:colOff>152400</xdr:colOff>
                <xdr:row>15</xdr:row>
                <xdr:rowOff>47625</xdr:rowOff>
              </to>
            </anchor>
          </controlPr>
        </control>
      </mc:Choice>
      <mc:Fallback>
        <control shapeId="138245" r:id="rId12" name="CommandButton5"/>
      </mc:Fallback>
    </mc:AlternateContent>
    <mc:AlternateContent xmlns:mc="http://schemas.openxmlformats.org/markup-compatibility/2006">
      <mc:Choice Requires="x14">
        <control shapeId="138246" r:id="rId14" name="CommandButton6">
          <controlPr autoLine="0" r:id="rId15">
            <anchor moveWithCells="1">
              <from>
                <xdr:col>6</xdr:col>
                <xdr:colOff>419100</xdr:colOff>
                <xdr:row>15</xdr:row>
                <xdr:rowOff>171450</xdr:rowOff>
              </from>
              <to>
                <xdr:col>8</xdr:col>
                <xdr:colOff>152400</xdr:colOff>
                <xdr:row>17</xdr:row>
                <xdr:rowOff>38100</xdr:rowOff>
              </to>
            </anchor>
          </controlPr>
        </control>
      </mc:Choice>
      <mc:Fallback>
        <control shapeId="138246" r:id="rId14" name="CommandButton6"/>
      </mc:Fallback>
    </mc:AlternateContent>
    <mc:AlternateContent xmlns:mc="http://schemas.openxmlformats.org/markup-compatibility/2006">
      <mc:Choice Requires="x14">
        <control shapeId="138247" r:id="rId16" name="CommandButton7">
          <controlPr autoLine="0" r:id="rId17">
            <anchor moveWithCells="1">
              <from>
                <xdr:col>6</xdr:col>
                <xdr:colOff>419100</xdr:colOff>
                <xdr:row>17</xdr:row>
                <xdr:rowOff>161925</xdr:rowOff>
              </from>
              <to>
                <xdr:col>8</xdr:col>
                <xdr:colOff>152400</xdr:colOff>
                <xdr:row>19</xdr:row>
                <xdr:rowOff>28575</xdr:rowOff>
              </to>
            </anchor>
          </controlPr>
        </control>
      </mc:Choice>
      <mc:Fallback>
        <control shapeId="138247" r:id="rId16" name="CommandButton7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85"/>
  <sheetViews>
    <sheetView showGridLines="0" zoomScaleNormal="100" workbookViewId="0">
      <selection activeCell="E20" sqref="E20"/>
    </sheetView>
  </sheetViews>
  <sheetFormatPr baseColWidth="10" defaultRowHeight="15" x14ac:dyDescent="0.2"/>
  <cols>
    <col min="1" max="1" width="23" style="36" customWidth="1"/>
    <col min="2" max="2" width="5.7109375" style="33" customWidth="1"/>
    <col min="3" max="3" width="18.140625" style="33" customWidth="1"/>
    <col min="4" max="4" width="35.140625" style="33" customWidth="1"/>
    <col min="5" max="5" width="5.7109375" style="33" customWidth="1"/>
    <col min="6" max="6" width="21" style="33" customWidth="1"/>
    <col min="7" max="7" width="10" style="33" customWidth="1"/>
    <col min="8" max="8" width="5.7109375" style="33" customWidth="1"/>
    <col min="9" max="12" width="10.7109375" style="33" customWidth="1"/>
    <col min="13" max="13" width="19.140625" style="33" customWidth="1"/>
    <col min="14" max="16384" width="11.42578125" style="33"/>
  </cols>
  <sheetData>
    <row r="1" spans="1:16" ht="15.75" thickBot="1" x14ac:dyDescent="0.25">
      <c r="I1" s="5"/>
      <c r="J1" s="5"/>
      <c r="K1" s="5"/>
      <c r="L1" s="5"/>
      <c r="M1" s="5"/>
      <c r="O1" s="6"/>
    </row>
    <row r="2" spans="1:16" ht="16.5" thickTop="1" thickBot="1" x14ac:dyDescent="0.25">
      <c r="A2" s="24"/>
      <c r="C2" s="7" t="s">
        <v>12</v>
      </c>
      <c r="D2" s="8" t="s">
        <v>44</v>
      </c>
      <c r="F2" s="78" t="s">
        <v>92</v>
      </c>
      <c r="G2" s="9">
        <v>2015</v>
      </c>
      <c r="I2" s="377" t="s">
        <v>93</v>
      </c>
      <c r="J2" s="378"/>
      <c r="K2" s="378"/>
      <c r="L2" s="378"/>
      <c r="M2" s="378"/>
      <c r="N2" s="379"/>
      <c r="O2" s="6"/>
      <c r="P2" s="49"/>
    </row>
    <row r="3" spans="1:16" ht="16.5" thickTop="1" thickBot="1" x14ac:dyDescent="0.25">
      <c r="A3" s="24"/>
      <c r="C3" s="10" t="s">
        <v>14</v>
      </c>
      <c r="D3" s="11" t="s">
        <v>15</v>
      </c>
      <c r="I3" s="12">
        <f>G2</f>
        <v>2015</v>
      </c>
      <c r="J3" s="13">
        <f>G2+1</f>
        <v>2016</v>
      </c>
      <c r="K3" s="14">
        <f>G2</f>
        <v>2015</v>
      </c>
      <c r="L3" s="14">
        <f>G2+1</f>
        <v>2016</v>
      </c>
      <c r="M3" s="15" t="s">
        <v>95</v>
      </c>
      <c r="N3" s="16" t="s">
        <v>96</v>
      </c>
      <c r="O3" s="6"/>
    </row>
    <row r="4" spans="1:16" ht="16.5" thickTop="1" thickBot="1" x14ac:dyDescent="0.25">
      <c r="A4" s="17"/>
      <c r="C4" s="18" t="s">
        <v>16</v>
      </c>
      <c r="D4" s="19" t="s">
        <v>17</v>
      </c>
      <c r="F4" s="50" t="s">
        <v>13</v>
      </c>
      <c r="G4" s="9">
        <v>42</v>
      </c>
      <c r="I4" s="20">
        <f>DATE(G2,1,1)</f>
        <v>42005</v>
      </c>
      <c r="J4" s="21">
        <f>DATE(G2+1,1,1)</f>
        <v>42370</v>
      </c>
      <c r="K4" s="69">
        <f>I4</f>
        <v>42005</v>
      </c>
      <c r="L4" s="70">
        <f>J4</f>
        <v>42370</v>
      </c>
      <c r="M4" s="71" t="s">
        <v>61</v>
      </c>
      <c r="N4" s="22"/>
      <c r="O4" s="23" t="b">
        <v>1</v>
      </c>
    </row>
    <row r="5" spans="1:16" ht="15.75" thickBot="1" x14ac:dyDescent="0.25">
      <c r="A5" s="24"/>
      <c r="C5" s="18" t="s">
        <v>18</v>
      </c>
      <c r="D5" s="19" t="s">
        <v>19</v>
      </c>
      <c r="I5" s="25">
        <f>FLOOR(DATE(G2,5,DAY(MINUTE(G2/38)/2+56)),7)-33</f>
        <v>42100</v>
      </c>
      <c r="J5" s="26">
        <f>FLOOR(DATE(G2+1,5,DAY(MINUTE(G2+1/38)/2+56)),7)-33</f>
        <v>42471</v>
      </c>
      <c r="K5" s="69">
        <f t="shared" ref="K5:L14" si="0">I5</f>
        <v>42100</v>
      </c>
      <c r="L5" s="70">
        <f t="shared" si="0"/>
        <v>42471</v>
      </c>
      <c r="M5" s="71" t="s">
        <v>97</v>
      </c>
      <c r="N5" s="22"/>
      <c r="O5" s="23" t="b">
        <v>1</v>
      </c>
    </row>
    <row r="6" spans="1:16" ht="15.75" thickBot="1" x14ac:dyDescent="0.25">
      <c r="A6" s="24"/>
      <c r="C6" s="18" t="s">
        <v>20</v>
      </c>
      <c r="D6" s="19" t="s">
        <v>21</v>
      </c>
      <c r="F6" s="51" t="s">
        <v>98</v>
      </c>
      <c r="G6" s="52">
        <v>42310</v>
      </c>
      <c r="I6" s="25">
        <f>DATE(G2,5,1)</f>
        <v>42125</v>
      </c>
      <c r="J6" s="26">
        <f>DATE(G2+1,5,1)</f>
        <v>42491</v>
      </c>
      <c r="K6" s="69">
        <f t="shared" si="0"/>
        <v>42125</v>
      </c>
      <c r="L6" s="70">
        <f t="shared" si="0"/>
        <v>42491</v>
      </c>
      <c r="M6" s="71" t="s">
        <v>99</v>
      </c>
      <c r="N6" s="22"/>
      <c r="O6" s="23" t="b">
        <v>0</v>
      </c>
    </row>
    <row r="7" spans="1:16" x14ac:dyDescent="0.2">
      <c r="A7" s="24"/>
      <c r="C7" s="18" t="s">
        <v>22</v>
      </c>
      <c r="D7" s="19" t="s">
        <v>23</v>
      </c>
      <c r="F7" s="53"/>
      <c r="G7" s="54"/>
      <c r="I7" s="25">
        <f>DATE(G2,5,8)</f>
        <v>42132</v>
      </c>
      <c r="J7" s="26">
        <f>DATE(G2+1,5,8)</f>
        <v>42498</v>
      </c>
      <c r="K7" s="69">
        <f t="shared" si="0"/>
        <v>42132</v>
      </c>
      <c r="L7" s="70">
        <f t="shared" si="0"/>
        <v>42498</v>
      </c>
      <c r="M7" s="71" t="s">
        <v>100</v>
      </c>
      <c r="N7" s="22"/>
      <c r="O7" s="23" t="b">
        <v>0</v>
      </c>
    </row>
    <row r="8" spans="1:16" ht="15.75" thickBot="1" x14ac:dyDescent="0.25">
      <c r="A8" s="24"/>
      <c r="C8" s="18" t="s">
        <v>24</v>
      </c>
      <c r="D8" s="19" t="s">
        <v>25</v>
      </c>
      <c r="F8" s="380" t="s">
        <v>101</v>
      </c>
      <c r="G8" s="381"/>
      <c r="I8" s="25">
        <f>FLOOR(DATE(G2,5,DAY(MINUTE(G2/38)/2+56)),7)+5</f>
        <v>42138</v>
      </c>
      <c r="J8" s="26">
        <f>FLOOR(DATE(G2+1,5,DAY(MINUTE(G2+1/38)/2+56)),7)+5</f>
        <v>42509</v>
      </c>
      <c r="K8" s="69">
        <f t="shared" si="0"/>
        <v>42138</v>
      </c>
      <c r="L8" s="70">
        <f t="shared" si="0"/>
        <v>42509</v>
      </c>
      <c r="M8" s="71" t="s">
        <v>62</v>
      </c>
      <c r="N8" s="22"/>
      <c r="O8" s="23" t="b">
        <v>1</v>
      </c>
    </row>
    <row r="9" spans="1:16" x14ac:dyDescent="0.2">
      <c r="A9" s="24"/>
      <c r="C9" s="117" t="s">
        <v>116</v>
      </c>
      <c r="D9" s="118" t="s">
        <v>117</v>
      </c>
      <c r="F9" s="75">
        <f>G6+5</f>
        <v>42315</v>
      </c>
      <c r="G9" s="55">
        <v>4</v>
      </c>
      <c r="I9" s="25">
        <f>FLOOR(DATE(G2,5,DAY(MINUTE(G2/38)/2+56)),7)+16</f>
        <v>42149</v>
      </c>
      <c r="J9" s="26">
        <f>FLOOR(DATE(G2+1,5,DAY(MINUTE(G2+1/38)/2+56)),7)+16</f>
        <v>42520</v>
      </c>
      <c r="K9" s="69">
        <f t="shared" si="0"/>
        <v>42149</v>
      </c>
      <c r="L9" s="70">
        <f t="shared" si="0"/>
        <v>42520</v>
      </c>
      <c r="M9" s="71" t="s">
        <v>102</v>
      </c>
      <c r="N9" s="22"/>
      <c r="O9" s="23" t="b">
        <v>1</v>
      </c>
    </row>
    <row r="10" spans="1:16" x14ac:dyDescent="0.2">
      <c r="A10" s="27"/>
      <c r="C10" s="18" t="s">
        <v>26</v>
      </c>
      <c r="D10" s="19" t="s">
        <v>27</v>
      </c>
      <c r="F10" s="76">
        <f>F9+31</f>
        <v>42346</v>
      </c>
      <c r="G10" s="56">
        <v>4</v>
      </c>
      <c r="I10" s="25">
        <f>DATE(G2,7,14)</f>
        <v>42199</v>
      </c>
      <c r="J10" s="26">
        <f>DATE(G2+1,7,14)</f>
        <v>42565</v>
      </c>
      <c r="K10" s="69">
        <f t="shared" si="0"/>
        <v>42199</v>
      </c>
      <c r="L10" s="70">
        <f t="shared" si="0"/>
        <v>42565</v>
      </c>
      <c r="M10" s="71" t="s">
        <v>103</v>
      </c>
      <c r="N10" s="22"/>
      <c r="O10" s="23" t="b">
        <v>1</v>
      </c>
    </row>
    <row r="11" spans="1:16" x14ac:dyDescent="0.2">
      <c r="A11" s="24"/>
      <c r="C11" s="18" t="s">
        <v>28</v>
      </c>
      <c r="D11" s="19" t="s">
        <v>29</v>
      </c>
      <c r="F11" s="76">
        <f>F10+31</f>
        <v>42377</v>
      </c>
      <c r="G11" s="56">
        <v>5</v>
      </c>
      <c r="I11" s="25">
        <f>DATE(G2,8,15)</f>
        <v>42231</v>
      </c>
      <c r="J11" s="26">
        <f>DATE(G2+1,8,15)</f>
        <v>42597</v>
      </c>
      <c r="K11" s="69">
        <f t="shared" si="0"/>
        <v>42231</v>
      </c>
      <c r="L11" s="70">
        <f t="shared" si="0"/>
        <v>42597</v>
      </c>
      <c r="M11" s="71" t="s">
        <v>63</v>
      </c>
      <c r="N11" s="22"/>
      <c r="O11" s="23" t="b">
        <v>1</v>
      </c>
    </row>
    <row r="12" spans="1:16" x14ac:dyDescent="0.2">
      <c r="A12" s="57"/>
      <c r="C12" s="124" t="s">
        <v>118</v>
      </c>
      <c r="D12" s="125" t="s">
        <v>119</v>
      </c>
      <c r="F12" s="76">
        <f>F11+31</f>
        <v>42408</v>
      </c>
      <c r="G12" s="56">
        <v>4</v>
      </c>
      <c r="I12" s="25">
        <f>DATE(G2,11,1)</f>
        <v>42309</v>
      </c>
      <c r="J12" s="26">
        <f>DATE(G2+1,11,1)</f>
        <v>42675</v>
      </c>
      <c r="K12" s="69">
        <f t="shared" si="0"/>
        <v>42309</v>
      </c>
      <c r="L12" s="70">
        <f t="shared" si="0"/>
        <v>42675</v>
      </c>
      <c r="M12" s="71" t="s">
        <v>64</v>
      </c>
      <c r="N12" s="22"/>
      <c r="O12" s="23" t="b">
        <v>1</v>
      </c>
    </row>
    <row r="13" spans="1:16" ht="15.75" thickBot="1" x14ac:dyDescent="0.25">
      <c r="A13" s="57"/>
      <c r="C13" s="28" t="s">
        <v>30</v>
      </c>
      <c r="D13" s="79" t="s">
        <v>31</v>
      </c>
      <c r="F13" s="76">
        <f>F12+31</f>
        <v>42439</v>
      </c>
      <c r="G13" s="56">
        <v>4</v>
      </c>
      <c r="I13" s="25">
        <f>DATE(G2,11,11)</f>
        <v>42319</v>
      </c>
      <c r="J13" s="26">
        <f>DATE(G2+1,11,11)</f>
        <v>42685</v>
      </c>
      <c r="K13" s="69">
        <f t="shared" si="0"/>
        <v>42319</v>
      </c>
      <c r="L13" s="70">
        <f t="shared" si="0"/>
        <v>42685</v>
      </c>
      <c r="M13" s="71" t="s">
        <v>114</v>
      </c>
      <c r="N13" s="22"/>
      <c r="O13" s="23" t="b">
        <v>1</v>
      </c>
    </row>
    <row r="14" spans="1:16" ht="15.75" customHeight="1" thickTop="1" thickBot="1" x14ac:dyDescent="0.25">
      <c r="A14" s="57"/>
      <c r="C14" s="80" t="s">
        <v>87</v>
      </c>
      <c r="D14" s="29" t="s">
        <v>88</v>
      </c>
      <c r="F14" s="77">
        <f>F13+31</f>
        <v>42470</v>
      </c>
      <c r="G14" s="58">
        <v>5</v>
      </c>
      <c r="I14" s="30">
        <f>DATE(G2,12,25)</f>
        <v>42363</v>
      </c>
      <c r="J14" s="31">
        <f>DATE(G2+1,12,25)</f>
        <v>42729</v>
      </c>
      <c r="K14" s="72">
        <f t="shared" si="0"/>
        <v>42363</v>
      </c>
      <c r="L14" s="73">
        <f t="shared" si="0"/>
        <v>42729</v>
      </c>
      <c r="M14" s="74" t="s">
        <v>65</v>
      </c>
      <c r="N14" s="32"/>
      <c r="O14" s="23" t="b">
        <v>1</v>
      </c>
    </row>
    <row r="15" spans="1:16" ht="16.5" thickTop="1" thickBot="1" x14ac:dyDescent="0.25">
      <c r="A15" s="57"/>
      <c r="C15" s="53"/>
      <c r="D15" s="53"/>
      <c r="F15" s="197"/>
      <c r="G15" s="198"/>
      <c r="M15" s="67" t="s">
        <v>104</v>
      </c>
      <c r="N15" s="68">
        <f>COUNTIF(O4:O14,TRUE)</f>
        <v>9</v>
      </c>
    </row>
    <row r="16" spans="1:16" ht="15.75" thickTop="1" x14ac:dyDescent="0.2">
      <c r="A16" s="57"/>
      <c r="F16" s="197"/>
      <c r="G16" s="198"/>
    </row>
    <row r="17" spans="1:14" ht="15.75" customHeight="1" x14ac:dyDescent="0.2">
      <c r="A17" s="57"/>
      <c r="F17" s="197"/>
      <c r="G17" s="198"/>
      <c r="I17" s="388" t="s">
        <v>71</v>
      </c>
      <c r="J17" s="389"/>
      <c r="K17" s="389"/>
      <c r="L17" s="389"/>
      <c r="M17" s="390"/>
      <c r="N17" s="394">
        <v>1607</v>
      </c>
    </row>
    <row r="18" spans="1:14" ht="15.75" customHeight="1" x14ac:dyDescent="0.2">
      <c r="A18" s="57"/>
      <c r="F18" s="197"/>
      <c r="G18" s="198"/>
      <c r="I18" s="391"/>
      <c r="J18" s="392"/>
      <c r="K18" s="392"/>
      <c r="L18" s="392"/>
      <c r="M18" s="393"/>
      <c r="N18" s="395"/>
    </row>
    <row r="19" spans="1:14" ht="15.75" customHeight="1" x14ac:dyDescent="0.2">
      <c r="A19" s="24"/>
      <c r="F19" s="197"/>
      <c r="G19" s="198"/>
      <c r="I19" s="388" t="s">
        <v>70</v>
      </c>
      <c r="J19" s="389"/>
      <c r="K19" s="389"/>
      <c r="L19" s="389"/>
      <c r="M19" s="390"/>
      <c r="N19" s="394">
        <f>N15</f>
        <v>9</v>
      </c>
    </row>
    <row r="20" spans="1:14" ht="15.75" thickBot="1" x14ac:dyDescent="0.25">
      <c r="A20" s="24"/>
      <c r="F20" s="197"/>
      <c r="G20" s="198"/>
      <c r="I20" s="391"/>
      <c r="J20" s="392"/>
      <c r="K20" s="392"/>
      <c r="L20" s="392"/>
      <c r="M20" s="393"/>
      <c r="N20" s="396"/>
    </row>
    <row r="21" spans="1:14" ht="15.75" thickBot="1" x14ac:dyDescent="0.25">
      <c r="A21" s="24"/>
      <c r="I21" s="397" t="s">
        <v>136</v>
      </c>
      <c r="J21" s="398"/>
      <c r="K21" s="398"/>
      <c r="L21" s="398"/>
      <c r="M21" s="399"/>
      <c r="N21" s="9">
        <f>N17-((N19-8)*7)</f>
        <v>1600</v>
      </c>
    </row>
    <row r="22" spans="1:14" x14ac:dyDescent="0.2">
      <c r="A22" s="24"/>
    </row>
    <row r="23" spans="1:14" ht="30" customHeight="1" x14ac:dyDescent="0.2">
      <c r="A23" s="24"/>
      <c r="I23" s="385" t="s">
        <v>86</v>
      </c>
      <c r="J23" s="386"/>
      <c r="K23" s="386"/>
      <c r="L23" s="386"/>
      <c r="M23" s="386"/>
      <c r="N23" s="387"/>
    </row>
    <row r="24" spans="1:14" ht="30" customHeight="1" x14ac:dyDescent="0.2">
      <c r="A24" s="24"/>
      <c r="I24" s="382" t="s">
        <v>75</v>
      </c>
      <c r="J24" s="383"/>
      <c r="K24" s="383"/>
      <c r="L24" s="384"/>
      <c r="M24" s="60">
        <v>365</v>
      </c>
      <c r="N24" s="61" t="s">
        <v>66</v>
      </c>
    </row>
    <row r="25" spans="1:14" ht="30" customHeight="1" x14ac:dyDescent="0.2">
      <c r="A25" s="24"/>
      <c r="I25" s="374" t="s">
        <v>67</v>
      </c>
      <c r="J25" s="375"/>
      <c r="K25" s="375"/>
      <c r="L25" s="376"/>
      <c r="M25" s="62">
        <v>104</v>
      </c>
      <c r="N25" s="63" t="s">
        <v>66</v>
      </c>
    </row>
    <row r="26" spans="1:14" ht="30" customHeight="1" x14ac:dyDescent="0.2">
      <c r="A26" s="24"/>
      <c r="I26" s="374" t="s">
        <v>79</v>
      </c>
      <c r="J26" s="375"/>
      <c r="K26" s="375"/>
      <c r="L26" s="376"/>
      <c r="M26" s="62">
        <v>9</v>
      </c>
      <c r="N26" s="63" t="s">
        <v>66</v>
      </c>
    </row>
    <row r="27" spans="1:14" ht="30" customHeight="1" x14ac:dyDescent="0.2">
      <c r="A27" s="57"/>
      <c r="I27" s="374" t="s">
        <v>68</v>
      </c>
      <c r="J27" s="375"/>
      <c r="K27" s="375"/>
      <c r="L27" s="376"/>
      <c r="M27" s="62">
        <v>25</v>
      </c>
      <c r="N27" s="63" t="s">
        <v>66</v>
      </c>
    </row>
    <row r="28" spans="1:14" ht="30" customHeight="1" x14ac:dyDescent="0.2">
      <c r="A28" s="57"/>
      <c r="I28" s="371" t="s">
        <v>80</v>
      </c>
      <c r="J28" s="372"/>
      <c r="K28" s="372"/>
      <c r="L28" s="373"/>
      <c r="M28" s="62">
        <f>M24-(M25+M26+M27)</f>
        <v>227</v>
      </c>
      <c r="N28" s="63"/>
    </row>
    <row r="29" spans="1:14" ht="30" customHeight="1" x14ac:dyDescent="0.2">
      <c r="A29" s="57"/>
      <c r="I29" s="374" t="s">
        <v>82</v>
      </c>
      <c r="J29" s="375"/>
      <c r="K29" s="375"/>
      <c r="L29" s="376"/>
      <c r="M29" s="62">
        <f>M28/5</f>
        <v>45.4</v>
      </c>
      <c r="N29" s="63" t="s">
        <v>81</v>
      </c>
    </row>
    <row r="30" spans="1:14" ht="30" customHeight="1" x14ac:dyDescent="0.2">
      <c r="A30" s="57"/>
      <c r="I30" s="374" t="s">
        <v>69</v>
      </c>
      <c r="J30" s="375"/>
      <c r="K30" s="375"/>
      <c r="L30" s="376"/>
      <c r="M30" s="62">
        <f>M29*35</f>
        <v>1589</v>
      </c>
      <c r="N30" s="63" t="s">
        <v>85</v>
      </c>
    </row>
    <row r="31" spans="1:14" ht="30" customHeight="1" x14ac:dyDescent="0.2">
      <c r="A31" s="57"/>
      <c r="I31" s="374" t="s">
        <v>76</v>
      </c>
      <c r="J31" s="375"/>
      <c r="K31" s="375"/>
      <c r="L31" s="376"/>
      <c r="M31" s="64">
        <v>1600</v>
      </c>
      <c r="N31" s="63" t="s">
        <v>84</v>
      </c>
    </row>
    <row r="32" spans="1:14" ht="30" customHeight="1" x14ac:dyDescent="0.2">
      <c r="A32" s="57"/>
      <c r="I32" s="374" t="s">
        <v>77</v>
      </c>
      <c r="J32" s="375"/>
      <c r="K32" s="375"/>
      <c r="L32" s="376"/>
      <c r="M32" s="62">
        <v>7</v>
      </c>
      <c r="N32" s="63" t="s">
        <v>83</v>
      </c>
    </row>
    <row r="33" spans="1:14" ht="30" customHeight="1" x14ac:dyDescent="0.2">
      <c r="A33" s="57"/>
      <c r="F33" s="53"/>
      <c r="I33" s="400" t="s">
        <v>78</v>
      </c>
      <c r="J33" s="401"/>
      <c r="K33" s="401"/>
      <c r="L33" s="402"/>
      <c r="M33" s="65">
        <f>M31+M32</f>
        <v>1607</v>
      </c>
      <c r="N33" s="66" t="s">
        <v>83</v>
      </c>
    </row>
    <row r="34" spans="1:14" x14ac:dyDescent="0.2">
      <c r="A34" s="24"/>
    </row>
    <row r="35" spans="1:14" ht="15.75" thickBot="1" x14ac:dyDescent="0.25">
      <c r="A35" s="24"/>
    </row>
    <row r="36" spans="1:14" ht="16.5" thickTop="1" thickBot="1" x14ac:dyDescent="0.25">
      <c r="A36" s="24"/>
      <c r="L36" s="199" t="s">
        <v>141</v>
      </c>
      <c r="M36" s="199" t="s">
        <v>106</v>
      </c>
    </row>
    <row r="37" spans="1:14" ht="15.75" thickTop="1" x14ac:dyDescent="0.2">
      <c r="A37" s="24"/>
      <c r="L37" s="200" t="s">
        <v>142</v>
      </c>
      <c r="M37" s="200" t="s">
        <v>143</v>
      </c>
    </row>
    <row r="38" spans="1:14" x14ac:dyDescent="0.2">
      <c r="A38" s="24"/>
      <c r="L38" s="201" t="s">
        <v>107</v>
      </c>
      <c r="M38" s="201" t="s">
        <v>144</v>
      </c>
    </row>
    <row r="39" spans="1:14" x14ac:dyDescent="0.2">
      <c r="A39" s="24"/>
      <c r="L39" s="201" t="s">
        <v>145</v>
      </c>
      <c r="M39" s="201" t="s">
        <v>146</v>
      </c>
    </row>
    <row r="40" spans="1:14" x14ac:dyDescent="0.2">
      <c r="A40" s="24"/>
      <c r="L40" s="201" t="s">
        <v>147</v>
      </c>
      <c r="M40" s="201" t="s">
        <v>148</v>
      </c>
    </row>
    <row r="41" spans="1:14" x14ac:dyDescent="0.2">
      <c r="A41" s="24"/>
      <c r="L41" s="201" t="s">
        <v>149</v>
      </c>
      <c r="M41" s="201" t="s">
        <v>150</v>
      </c>
    </row>
    <row r="42" spans="1:14" ht="15.75" thickBot="1" x14ac:dyDescent="0.25">
      <c r="A42" s="57"/>
      <c r="L42" s="202" t="s">
        <v>151</v>
      </c>
      <c r="M42" s="201" t="s">
        <v>152</v>
      </c>
    </row>
    <row r="43" spans="1:14" ht="15.75" thickTop="1" x14ac:dyDescent="0.2">
      <c r="A43" s="57"/>
      <c r="L43" s="203"/>
      <c r="M43" s="201" t="s">
        <v>153</v>
      </c>
    </row>
    <row r="44" spans="1:14" x14ac:dyDescent="0.2">
      <c r="A44" s="57"/>
      <c r="L44" s="203"/>
      <c r="M44" s="201" t="s">
        <v>154</v>
      </c>
    </row>
    <row r="45" spans="1:14" x14ac:dyDescent="0.2">
      <c r="A45" s="57"/>
      <c r="L45" s="203"/>
      <c r="M45" s="201" t="s">
        <v>155</v>
      </c>
    </row>
    <row r="46" spans="1:14" x14ac:dyDescent="0.2">
      <c r="A46" s="57"/>
      <c r="L46" s="203"/>
      <c r="M46" s="201" t="s">
        <v>156</v>
      </c>
    </row>
    <row r="47" spans="1:14" x14ac:dyDescent="0.2">
      <c r="A47" s="57"/>
      <c r="L47" s="203"/>
      <c r="M47" s="201" t="s">
        <v>157</v>
      </c>
    </row>
    <row r="48" spans="1:14" x14ac:dyDescent="0.2">
      <c r="A48" s="57"/>
      <c r="L48" s="203"/>
      <c r="M48" s="201" t="s">
        <v>158</v>
      </c>
    </row>
    <row r="49" spans="1:13" x14ac:dyDescent="0.2">
      <c r="A49" s="24"/>
      <c r="L49" s="203"/>
      <c r="M49" s="204" t="s">
        <v>159</v>
      </c>
    </row>
    <row r="50" spans="1:13" x14ac:dyDescent="0.2">
      <c r="A50" s="24"/>
      <c r="L50" s="203"/>
      <c r="M50" s="201" t="s">
        <v>160</v>
      </c>
    </row>
    <row r="51" spans="1:13" x14ac:dyDescent="0.2">
      <c r="A51" s="24"/>
      <c r="L51" s="203"/>
      <c r="M51" s="201" t="s">
        <v>161</v>
      </c>
    </row>
    <row r="52" spans="1:13" x14ac:dyDescent="0.2">
      <c r="A52" s="24"/>
      <c r="L52" s="203"/>
      <c r="M52" s="201" t="s">
        <v>162</v>
      </c>
    </row>
    <row r="53" spans="1:13" x14ac:dyDescent="0.2">
      <c r="A53" s="24"/>
      <c r="L53" s="203"/>
      <c r="M53" s="201" t="s">
        <v>163</v>
      </c>
    </row>
    <row r="54" spans="1:13" x14ac:dyDescent="0.2">
      <c r="A54" s="24"/>
      <c r="L54" s="203"/>
      <c r="M54" s="201" t="s">
        <v>164</v>
      </c>
    </row>
    <row r="55" spans="1:13" ht="15.75" thickBot="1" x14ac:dyDescent="0.25">
      <c r="A55" s="24"/>
      <c r="L55" s="203"/>
      <c r="M55" s="202" t="s">
        <v>165</v>
      </c>
    </row>
    <row r="56" spans="1:13" ht="15.75" thickTop="1" x14ac:dyDescent="0.2">
      <c r="A56" s="24"/>
    </row>
    <row r="57" spans="1:13" x14ac:dyDescent="0.2">
      <c r="A57" s="57"/>
    </row>
    <row r="58" spans="1:13" x14ac:dyDescent="0.2">
      <c r="A58" s="57"/>
    </row>
    <row r="59" spans="1:13" x14ac:dyDescent="0.2">
      <c r="A59" s="57"/>
    </row>
    <row r="60" spans="1:13" x14ac:dyDescent="0.2">
      <c r="A60" s="57"/>
    </row>
    <row r="61" spans="1:13" x14ac:dyDescent="0.2">
      <c r="A61" s="57"/>
    </row>
    <row r="62" spans="1:13" x14ac:dyDescent="0.2">
      <c r="A62" s="57"/>
    </row>
    <row r="63" spans="1:13" x14ac:dyDescent="0.2">
      <c r="A63" s="57"/>
    </row>
    <row r="64" spans="1:13" x14ac:dyDescent="0.2">
      <c r="A64" s="24"/>
    </row>
    <row r="65" spans="1:1" x14ac:dyDescent="0.2">
      <c r="A65" s="24"/>
    </row>
    <row r="66" spans="1:1" x14ac:dyDescent="0.2">
      <c r="A66" s="24"/>
    </row>
    <row r="67" spans="1:1" x14ac:dyDescent="0.2">
      <c r="A67" s="24"/>
    </row>
    <row r="68" spans="1:1" x14ac:dyDescent="0.2">
      <c r="A68" s="24"/>
    </row>
    <row r="69" spans="1:1" x14ac:dyDescent="0.2">
      <c r="A69" s="24"/>
    </row>
    <row r="70" spans="1:1" x14ac:dyDescent="0.2">
      <c r="A70" s="24"/>
    </row>
    <row r="71" spans="1:1" x14ac:dyDescent="0.2">
      <c r="A71" s="24"/>
    </row>
    <row r="72" spans="1:1" x14ac:dyDescent="0.2">
      <c r="A72" s="57"/>
    </row>
    <row r="73" spans="1:1" x14ac:dyDescent="0.2">
      <c r="A73" s="57"/>
    </row>
    <row r="74" spans="1:1" x14ac:dyDescent="0.2">
      <c r="A74" s="57"/>
    </row>
    <row r="75" spans="1:1" x14ac:dyDescent="0.2">
      <c r="A75" s="57"/>
    </row>
    <row r="76" spans="1:1" x14ac:dyDescent="0.2">
      <c r="A76" s="34"/>
    </row>
    <row r="77" spans="1:1" x14ac:dyDescent="0.2">
      <c r="A77" s="34"/>
    </row>
    <row r="78" spans="1:1" x14ac:dyDescent="0.2">
      <c r="A78" s="34"/>
    </row>
    <row r="79" spans="1:1" x14ac:dyDescent="0.2">
      <c r="A79" s="24"/>
    </row>
    <row r="80" spans="1:1" x14ac:dyDescent="0.2">
      <c r="A80" s="24"/>
    </row>
    <row r="81" spans="1:1" x14ac:dyDescent="0.2">
      <c r="A81" s="24"/>
    </row>
    <row r="82" spans="1:1" x14ac:dyDescent="0.2">
      <c r="A82" s="24"/>
    </row>
    <row r="83" spans="1:1" x14ac:dyDescent="0.2">
      <c r="A83" s="59"/>
    </row>
    <row r="84" spans="1:1" x14ac:dyDescent="0.2">
      <c r="A84" s="35"/>
    </row>
    <row r="85" spans="1:1" x14ac:dyDescent="0.2">
      <c r="A85" s="35"/>
    </row>
  </sheetData>
  <mergeCells count="18">
    <mergeCell ref="I33:L33"/>
    <mergeCell ref="I32:L32"/>
    <mergeCell ref="I31:L31"/>
    <mergeCell ref="I30:L30"/>
    <mergeCell ref="I29:L29"/>
    <mergeCell ref="I28:L28"/>
    <mergeCell ref="I27:L27"/>
    <mergeCell ref="I26:L26"/>
    <mergeCell ref="I2:N2"/>
    <mergeCell ref="F8:G8"/>
    <mergeCell ref="I24:L24"/>
    <mergeCell ref="I23:N23"/>
    <mergeCell ref="I25:L25"/>
    <mergeCell ref="I17:M18"/>
    <mergeCell ref="N17:N18"/>
    <mergeCell ref="N19:N20"/>
    <mergeCell ref="I19:M20"/>
    <mergeCell ref="I21:M2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Check Box 1">
              <controlPr locked="0" defaultSize="0" autoFill="0" autoLine="0" autoPict="0">
                <anchor moveWithCells="1">
                  <from>
                    <xdr:col>13</xdr:col>
                    <xdr:colOff>0</xdr:colOff>
                    <xdr:row>2</xdr:row>
                    <xdr:rowOff>257175</xdr:rowOff>
                  </from>
                  <to>
                    <xdr:col>13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Check Box 2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3</xdr:row>
                    <xdr:rowOff>180975</xdr:rowOff>
                  </from>
                  <to>
                    <xdr:col>13</xdr:col>
                    <xdr:colOff>571500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4</xdr:row>
                    <xdr:rowOff>180975</xdr:rowOff>
                  </from>
                  <to>
                    <xdr:col>13</xdr:col>
                    <xdr:colOff>571500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5</xdr:row>
                    <xdr:rowOff>180975</xdr:rowOff>
                  </from>
                  <to>
                    <xdr:col>13</xdr:col>
                    <xdr:colOff>571500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6</xdr:row>
                    <xdr:rowOff>180975</xdr:rowOff>
                  </from>
                  <to>
                    <xdr:col>13</xdr:col>
                    <xdr:colOff>571500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7</xdr:row>
                    <xdr:rowOff>180975</xdr:rowOff>
                  </from>
                  <to>
                    <xdr:col>13</xdr:col>
                    <xdr:colOff>571500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8</xdr:row>
                    <xdr:rowOff>180975</xdr:rowOff>
                  </from>
                  <to>
                    <xdr:col>13</xdr:col>
                    <xdr:colOff>571500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9</xdr:row>
                    <xdr:rowOff>180975</xdr:rowOff>
                  </from>
                  <to>
                    <xdr:col>13</xdr:col>
                    <xdr:colOff>571500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10</xdr:row>
                    <xdr:rowOff>180975</xdr:rowOff>
                  </from>
                  <to>
                    <xdr:col>13</xdr:col>
                    <xdr:colOff>571500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locked="0" defaultSize="0" autoFill="0" autoLine="0" autoPict="0">
                <anchor moveWithCells="1">
                  <from>
                    <xdr:col>12</xdr:col>
                    <xdr:colOff>1609725</xdr:colOff>
                    <xdr:row>11</xdr:row>
                    <xdr:rowOff>180975</xdr:rowOff>
                  </from>
                  <to>
                    <xdr:col>13</xdr:col>
                    <xdr:colOff>571500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Check Box 11">
              <controlPr defaultSize="0" autoFill="0" autoLine="0" autoPict="0">
                <anchor moveWithCells="1">
                  <from>
                    <xdr:col>12</xdr:col>
                    <xdr:colOff>1609725</xdr:colOff>
                    <xdr:row>12</xdr:row>
                    <xdr:rowOff>171450</xdr:rowOff>
                  </from>
                  <to>
                    <xdr:col>13</xdr:col>
                    <xdr:colOff>600075</xdr:colOff>
                    <xdr:row>13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BBB</vt:lpstr>
      <vt:lpstr>AAA</vt:lpstr>
      <vt:lpstr>Accueil</vt:lpstr>
      <vt:lpstr>Récap</vt:lpstr>
      <vt:lpstr>Impression</vt:lpstr>
      <vt:lpstr>Config</vt:lpstr>
      <vt:lpstr>AAA!Agent</vt:lpstr>
      <vt:lpstr>BBB!Agent</vt:lpstr>
      <vt:lpstr>Agent</vt:lpstr>
      <vt:lpstr>Récap!Impression_des_titres</vt:lpstr>
      <vt:lpstr>JFerie</vt:lpstr>
      <vt:lpstr>Poste</vt:lpstr>
      <vt:lpstr>Service</vt:lpstr>
      <vt:lpstr>TypeJour</vt:lpstr>
      <vt:lpstr>AAA!Zone_d_impression</vt:lpstr>
      <vt:lpstr>Accueil!Zone_d_impression</vt:lpstr>
      <vt:lpstr>BBB!Zone_d_impression</vt:lpstr>
      <vt:lpstr>Impression!Zone_d_impression</vt:lpstr>
      <vt:lpstr>Récap!Zone_d_impression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VV</dc:creator>
  <cp:lastModifiedBy>VV</cp:lastModifiedBy>
  <cp:lastPrinted>2015-11-28T15:18:14Z</cp:lastPrinted>
  <dcterms:created xsi:type="dcterms:W3CDTF">2014-11-29T00:02:55Z</dcterms:created>
  <dcterms:modified xsi:type="dcterms:W3CDTF">2015-11-28T15:42:33Z</dcterms:modified>
</cp:coreProperties>
</file>