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bookViews>
    <workbookView xWindow="-15" yWindow="-15" windowWidth="19230" windowHeight="10425" tabRatio="851"/>
  </bookViews>
  <sheets>
    <sheet name="Revision" sheetId="17" r:id="rId1"/>
    <sheet name="Mission Profil &amp; Synthesis" sheetId="1" r:id="rId2"/>
    <sheet name="Capacitor" sheetId="2" r:id="rId3"/>
    <sheet name="Connector" sheetId="9" r:id="rId4"/>
    <sheet name="Fan" sheetId="12" r:id="rId5"/>
    <sheet name="Memory (FLASH and EEPROM) " sheetId="18" r:id="rId6"/>
    <sheet name="LED" sheetId="3" r:id="rId7"/>
    <sheet name="Optocoupler" sheetId="4" r:id="rId8"/>
    <sheet name="Power Transistor" sheetId="8" r:id="rId9"/>
    <sheet name="Relay" sheetId="14" r:id="rId10"/>
    <sheet name="Switch" sheetId="7" r:id="rId11"/>
    <sheet name="Creation Annexe Word" sheetId="19" r:id="rId12"/>
  </sheets>
  <definedNames>
    <definedName name="_xlnm._FilterDatabase" localSheetId="2" hidden="1">Capacitor!$A$15:$O$15</definedName>
    <definedName name="_xlnm._FilterDatabase" localSheetId="6" hidden="1">LED!$A$15:$P$15</definedName>
    <definedName name="_xlnm._FilterDatabase" localSheetId="5" hidden="1">'Memory (FLASH and EEPROM) '!$A$12:$S$12</definedName>
    <definedName name="_xlnm._FilterDatabase" localSheetId="7" hidden="1">Optocoupler!$A$15:$Q$15</definedName>
    <definedName name="_xlnm._FilterDatabase" localSheetId="10" hidden="1">Switch!$A$12:$H$12</definedName>
    <definedName name="Listing_relay">Relay!$AA$1:$AA$13</definedName>
    <definedName name="Relay_A">Relay!$AA$1</definedName>
    <definedName name="Relay_B">Relay!$AA$2</definedName>
    <definedName name="Relay_C">Relay!$AA$3</definedName>
    <definedName name="Relay_D">Relay!$AA$4</definedName>
    <definedName name="Relay_E">Relay!$AA$5</definedName>
    <definedName name="Relay_F">Relay!$AA$6</definedName>
    <definedName name="Relay_G">Relay!$AA$7</definedName>
    <definedName name="Relay_H_AC">Relay!$AA$8</definedName>
    <definedName name="Relay_H_DC">Relay!$AA$9</definedName>
    <definedName name="Relay_I_AC">Relay!$AA$10</definedName>
    <definedName name="Relay_I_DC">Relay!$AA$11</definedName>
    <definedName name="Relay_J_AC">Relay!$AA$12</definedName>
    <definedName name="Relay_J_DC">Relay!$AA$13</definedName>
    <definedName name="Z_D9820A12_A1B3_4B5E_9269_F628D77B6202_.wvu.FilterData" localSheetId="2" hidden="1">Capacitor!$A$15:$O$15</definedName>
    <definedName name="Z_D9820A12_A1B3_4B5E_9269_F628D77B6202_.wvu.FilterData" localSheetId="6" hidden="1">LED!$A$15:$P$15</definedName>
    <definedName name="Z_D9820A12_A1B3_4B5E_9269_F628D77B6202_.wvu.FilterData" localSheetId="5" hidden="1">'Memory (FLASH and EEPROM) '!$A$12:$S$12</definedName>
    <definedName name="Z_D9820A12_A1B3_4B5E_9269_F628D77B6202_.wvu.FilterData" localSheetId="7" hidden="1">Optocoupler!$A$15:$Q$15</definedName>
    <definedName name="Z_D9820A12_A1B3_4B5E_9269_F628D77B6202_.wvu.FilterData" localSheetId="10" hidden="1">Switch!$A$12:$H$12</definedName>
  </definedNames>
  <calcPr calcId="145621"/>
  <customWorkbookViews>
    <customWorkbookView name="VEVE Clement -EXT - Affichage personnalisé" guid="{D9820A12-A1B3-4B5E-9269-F628D77B6202}" mergeInterval="0" personalView="1" maximized="1" windowWidth="1280" windowHeight="589" activeSheetId="6"/>
  </customWorkbookViews>
</workbook>
</file>

<file path=xl/calcChain.xml><?xml version="1.0" encoding="utf-8"?>
<calcChain xmlns="http://schemas.openxmlformats.org/spreadsheetml/2006/main">
  <c r="J13" i="7" l="1"/>
  <c r="I13" i="7"/>
  <c r="H13" i="7"/>
  <c r="Y17" i="14"/>
  <c r="X17" i="14"/>
  <c r="W17" i="14"/>
  <c r="V17" i="14"/>
  <c r="Y16" i="14"/>
  <c r="X16" i="14"/>
  <c r="W16" i="14"/>
  <c r="V16" i="14"/>
  <c r="K19" i="8"/>
  <c r="J19" i="8"/>
  <c r="K18" i="8"/>
  <c r="J18" i="8"/>
  <c r="K17" i="8"/>
  <c r="J17" i="8"/>
  <c r="K16" i="8"/>
  <c r="J16" i="8"/>
  <c r="K15" i="8"/>
  <c r="J15" i="8"/>
  <c r="R20" i="4"/>
  <c r="Q20" i="4"/>
  <c r="P20" i="4"/>
  <c r="O20" i="4"/>
  <c r="M20" i="4"/>
  <c r="L20" i="4"/>
  <c r="R19" i="4"/>
  <c r="Q19" i="4"/>
  <c r="P19" i="4"/>
  <c r="O19" i="4"/>
  <c r="M19" i="4"/>
  <c r="L19" i="4"/>
  <c r="R18" i="4"/>
  <c r="Q18" i="4"/>
  <c r="P18" i="4"/>
  <c r="O18" i="4"/>
  <c r="M18" i="4"/>
  <c r="L18" i="4"/>
  <c r="R17" i="4"/>
  <c r="Q17" i="4"/>
  <c r="P17" i="4"/>
  <c r="O17" i="4"/>
  <c r="R16" i="4"/>
  <c r="Q16" i="4"/>
  <c r="P16" i="4"/>
  <c r="O16" i="4"/>
  <c r="W18" i="18"/>
  <c r="X18" i="18" s="1"/>
  <c r="Y18" i="18" s="1"/>
  <c r="T18" i="18"/>
  <c r="K18" i="18"/>
  <c r="X17" i="18"/>
  <c r="Y17" i="18" s="1"/>
  <c r="W17" i="18"/>
  <c r="T17" i="18"/>
  <c r="K17" i="18"/>
  <c r="X16" i="18"/>
  <c r="Y16" i="18" s="1"/>
  <c r="W16" i="18"/>
  <c r="T16" i="18"/>
  <c r="K16" i="18"/>
  <c r="W15" i="18"/>
  <c r="X15" i="18" s="1"/>
  <c r="Y15" i="18" s="1"/>
  <c r="T15" i="18"/>
  <c r="K15" i="18"/>
  <c r="W14" i="18"/>
  <c r="X14" i="18" s="1"/>
  <c r="Y14" i="18" s="1"/>
  <c r="T14" i="18"/>
  <c r="K14" i="18"/>
  <c r="W13" i="18"/>
  <c r="X13" i="18" s="1"/>
  <c r="Y13" i="18" s="1"/>
  <c r="T13" i="18"/>
  <c r="K13" i="18"/>
  <c r="Q23" i="3"/>
  <c r="P23" i="3"/>
  <c r="O23" i="3"/>
  <c r="N23" i="3"/>
  <c r="Q22" i="3"/>
  <c r="P22" i="3"/>
  <c r="O22" i="3"/>
  <c r="N22" i="3"/>
  <c r="Q21" i="3"/>
  <c r="P21" i="3"/>
  <c r="O21" i="3"/>
  <c r="N21" i="3"/>
  <c r="Q20" i="3"/>
  <c r="P20" i="3"/>
  <c r="O20" i="3"/>
  <c r="N20" i="3"/>
  <c r="L20" i="3"/>
  <c r="K20" i="3"/>
  <c r="Q19" i="3"/>
  <c r="P19" i="3"/>
  <c r="O19" i="3"/>
  <c r="N19" i="3"/>
  <c r="Q18" i="3"/>
  <c r="P18" i="3"/>
  <c r="O18" i="3"/>
  <c r="N18" i="3"/>
  <c r="Q17" i="3"/>
  <c r="P17" i="3"/>
  <c r="O17" i="3"/>
  <c r="N17" i="3"/>
  <c r="Q16" i="3"/>
  <c r="P16" i="3"/>
  <c r="O16" i="3"/>
  <c r="N16" i="3"/>
  <c r="I25" i="2"/>
  <c r="L25" i="2" s="1"/>
  <c r="I24" i="2"/>
  <c r="L24" i="2" s="1"/>
  <c r="I23" i="2"/>
  <c r="L23" i="2" s="1"/>
  <c r="L22" i="2"/>
  <c r="N22" i="2" s="1"/>
  <c r="I22" i="2"/>
  <c r="I21" i="2"/>
  <c r="L21" i="2" s="1"/>
  <c r="I20" i="2"/>
  <c r="L20" i="2" s="1"/>
  <c r="I19" i="2"/>
  <c r="L19" i="2" s="1"/>
  <c r="L18" i="2"/>
  <c r="N18" i="2" s="1"/>
  <c r="I18" i="2"/>
  <c r="N17" i="2"/>
  <c r="M17" i="2"/>
  <c r="L17" i="2"/>
  <c r="O17" i="2" s="1"/>
  <c r="I17" i="2"/>
  <c r="O16" i="2"/>
  <c r="N16" i="2"/>
  <c r="M16" i="2"/>
  <c r="L16" i="2"/>
  <c r="I16" i="2"/>
  <c r="O20" i="2" l="1"/>
  <c r="N20" i="2"/>
  <c r="M20" i="2"/>
  <c r="M23" i="2"/>
  <c r="N23" i="2"/>
  <c r="O23" i="2"/>
  <c r="M19" i="2"/>
  <c r="O19" i="2"/>
  <c r="N19" i="2"/>
  <c r="O21" i="2"/>
  <c r="M21" i="2"/>
  <c r="N21" i="2"/>
  <c r="N24" i="2"/>
  <c r="M24" i="2"/>
  <c r="O24" i="2"/>
  <c r="O25" i="2"/>
  <c r="N25" i="2"/>
  <c r="M25" i="2"/>
  <c r="M22" i="2"/>
  <c r="O18" i="2"/>
  <c r="O22" i="2"/>
  <c r="M18" i="2"/>
  <c r="K5" i="18" l="1"/>
  <c r="K4" i="18"/>
  <c r="K11" i="8" l="1"/>
  <c r="F17" i="8" l="1"/>
  <c r="F18" i="8"/>
  <c r="F16" i="8"/>
  <c r="H16" i="8" s="1"/>
  <c r="F15" i="8"/>
  <c r="F19" i="8"/>
  <c r="K3" i="18"/>
  <c r="K9" i="18"/>
  <c r="K8" i="18"/>
  <c r="K7" i="18"/>
  <c r="K6" i="18"/>
  <c r="V14" i="18" l="1"/>
  <c r="Z14" i="18" s="1"/>
  <c r="U14" i="18" s="1"/>
  <c r="V18" i="18"/>
  <c r="Z18" i="18" s="1"/>
  <c r="U18" i="18" s="1"/>
  <c r="V17" i="18"/>
  <c r="Z17" i="18" s="1"/>
  <c r="U17" i="18" s="1"/>
  <c r="V15" i="18"/>
  <c r="Z15" i="18" s="1"/>
  <c r="U15" i="18" s="1"/>
  <c r="V13" i="18"/>
  <c r="Z13" i="18" s="1"/>
  <c r="U13" i="18" s="1"/>
  <c r="V16" i="18"/>
  <c r="Z16" i="18" s="1"/>
  <c r="U16" i="18" s="1"/>
  <c r="S17" i="18"/>
  <c r="S16" i="18"/>
  <c r="S13" i="18"/>
  <c r="S18" i="18"/>
  <c r="S15" i="18"/>
  <c r="S14" i="18"/>
  <c r="H15" i="8"/>
  <c r="H18" i="8"/>
  <c r="H19" i="8"/>
  <c r="H17" i="8"/>
  <c r="S12" i="18"/>
  <c r="H15" i="12" l="1"/>
  <c r="H18" i="12"/>
  <c r="I18" i="12"/>
  <c r="J18" i="12"/>
  <c r="K18" i="12"/>
  <c r="I19" i="12"/>
  <c r="K19" i="12"/>
  <c r="I20" i="12"/>
  <c r="K20" i="12"/>
  <c r="I21" i="12"/>
  <c r="K21" i="12"/>
  <c r="I22" i="12"/>
  <c r="K22" i="12"/>
  <c r="I23" i="12"/>
  <c r="K23" i="12"/>
  <c r="I24" i="12"/>
  <c r="K24" i="12"/>
  <c r="I25" i="12"/>
  <c r="K25" i="12"/>
  <c r="I26" i="12"/>
  <c r="K26" i="12"/>
  <c r="I27" i="12"/>
  <c r="K27" i="12"/>
  <c r="I28" i="12"/>
  <c r="K28" i="12"/>
  <c r="I29" i="12"/>
  <c r="K29" i="12"/>
  <c r="I30" i="12"/>
  <c r="K30" i="12"/>
  <c r="I31" i="12"/>
  <c r="K31" i="12"/>
  <c r="L31" i="12" s="1"/>
  <c r="J19" i="12"/>
  <c r="H19" i="12"/>
  <c r="L11" i="12"/>
  <c r="L13" i="12"/>
  <c r="L12" i="12"/>
  <c r="M35" i="12" l="1"/>
  <c r="O34" i="12"/>
  <c r="L30" i="12"/>
  <c r="L29" i="12" s="1"/>
  <c r="L28" i="12" s="1"/>
  <c r="L27" i="12" s="1"/>
  <c r="L26" i="12" s="1"/>
  <c r="L25" i="12" s="1"/>
  <c r="L24" i="12" s="1"/>
  <c r="L23" i="12" s="1"/>
  <c r="L22" i="12" s="1"/>
  <c r="L21" i="12" s="1"/>
  <c r="L20" i="12" s="1"/>
  <c r="L19" i="12" s="1"/>
  <c r="L18" i="12" s="1"/>
  <c r="H20" i="12"/>
  <c r="N34" i="12"/>
  <c r="H21" i="12" l="1"/>
  <c r="J20" i="12"/>
  <c r="H22" i="12" l="1"/>
  <c r="J21" i="12"/>
  <c r="H23" i="12"/>
  <c r="J23" i="12" l="1"/>
  <c r="J22" i="12"/>
  <c r="H24" i="12" l="1"/>
  <c r="J24" i="12"/>
  <c r="H25" i="12" l="1"/>
  <c r="J25" i="12"/>
  <c r="J26" i="12" l="1"/>
  <c r="H26" i="12"/>
  <c r="H27" i="12" l="1"/>
  <c r="J28" i="12" l="1"/>
  <c r="H28" i="12"/>
  <c r="J27" i="12"/>
  <c r="H29" i="12"/>
  <c r="J29" i="12" l="1"/>
  <c r="H30" i="12"/>
  <c r="J30" i="12"/>
  <c r="H31" i="12"/>
  <c r="J31" i="12" l="1"/>
  <c r="H10" i="12"/>
  <c r="G10" i="8"/>
  <c r="L9" i="12" l="1"/>
  <c r="L8" i="12"/>
  <c r="L7" i="12"/>
  <c r="L6" i="12"/>
  <c r="L5" i="12"/>
  <c r="L4" i="12"/>
  <c r="L3" i="12"/>
  <c r="I9" i="9" l="1"/>
  <c r="I8" i="9"/>
  <c r="I7" i="9"/>
  <c r="I6" i="9"/>
  <c r="I5" i="9"/>
  <c r="I4" i="9"/>
  <c r="I3" i="9"/>
  <c r="I9" i="7"/>
  <c r="I8" i="7"/>
  <c r="I7" i="7"/>
  <c r="I6" i="7"/>
  <c r="I5" i="7"/>
  <c r="I4" i="7"/>
  <c r="I3" i="7"/>
  <c r="I9" i="14"/>
  <c r="I8" i="14"/>
  <c r="I7" i="14"/>
  <c r="I6" i="14"/>
  <c r="I5" i="14"/>
  <c r="I4" i="14"/>
  <c r="I3" i="14"/>
  <c r="I11" i="14"/>
  <c r="K9" i="8"/>
  <c r="K8" i="8"/>
  <c r="K7" i="8"/>
  <c r="K6" i="8"/>
  <c r="K5" i="8"/>
  <c r="K4" i="8"/>
  <c r="K3" i="8"/>
  <c r="U16" i="14" l="1"/>
  <c r="U17" i="14"/>
  <c r="I16" i="8"/>
  <c r="I19" i="8"/>
  <c r="I18" i="8"/>
  <c r="I15" i="8"/>
  <c r="I17" i="8"/>
  <c r="K11" i="4"/>
  <c r="Q17" i="14" l="1"/>
  <c r="R17" i="14" s="1"/>
  <c r="S17" i="14"/>
  <c r="T17" i="14" s="1"/>
  <c r="Q16" i="14"/>
  <c r="R16" i="14" s="1"/>
  <c r="S16" i="14"/>
  <c r="T16" i="14" s="1"/>
  <c r="J12" i="3"/>
  <c r="J11" i="3"/>
  <c r="J9" i="3"/>
  <c r="J8" i="3"/>
  <c r="J7" i="3"/>
  <c r="J6" i="3"/>
  <c r="J5" i="3"/>
  <c r="J4" i="3"/>
  <c r="J3" i="3"/>
  <c r="J17" i="3" l="1"/>
  <c r="M17" i="3" s="1"/>
  <c r="K17" i="3" s="1"/>
  <c r="L17" i="3" s="1"/>
  <c r="J23" i="3"/>
  <c r="M23" i="3" s="1"/>
  <c r="K23" i="3" s="1"/>
  <c r="L23" i="3" s="1"/>
  <c r="J21" i="3"/>
  <c r="M21" i="3" s="1"/>
  <c r="K21" i="3" s="1"/>
  <c r="L21" i="3" s="1"/>
  <c r="J18" i="3"/>
  <c r="M18" i="3" s="1"/>
  <c r="K18" i="3" s="1"/>
  <c r="L18" i="3" s="1"/>
  <c r="J16" i="3"/>
  <c r="M16" i="3" s="1"/>
  <c r="K16" i="3" s="1"/>
  <c r="L16" i="3" s="1"/>
  <c r="J22" i="3"/>
  <c r="M22" i="3" s="1"/>
  <c r="K22" i="3" s="1"/>
  <c r="L22" i="3" s="1"/>
  <c r="J19" i="3"/>
  <c r="M19" i="3" s="1"/>
  <c r="K19" i="3" s="1"/>
  <c r="L19" i="3" s="1"/>
  <c r="J20" i="3"/>
  <c r="M20" i="3" s="1"/>
  <c r="K12" i="4"/>
  <c r="K9" i="4"/>
  <c r="K8" i="4"/>
  <c r="K7" i="4"/>
  <c r="K6" i="4"/>
  <c r="K5" i="4"/>
  <c r="K4" i="4"/>
  <c r="K3" i="4"/>
  <c r="K12" i="2"/>
  <c r="K11" i="2"/>
  <c r="G10" i="2"/>
  <c r="K20" i="4" l="1"/>
  <c r="N20" i="4" s="1"/>
  <c r="K17" i="4"/>
  <c r="N17" i="4" s="1"/>
  <c r="L17" i="4" s="1"/>
  <c r="M17" i="4" s="1"/>
  <c r="K16" i="4"/>
  <c r="N16" i="4" s="1"/>
  <c r="L16" i="4" s="1"/>
  <c r="M16" i="4" s="1"/>
  <c r="K18" i="4"/>
  <c r="N18" i="4" s="1"/>
  <c r="K19" i="4"/>
  <c r="N19" i="4" s="1"/>
  <c r="K9" i="2"/>
  <c r="K8" i="2"/>
  <c r="K7" i="2"/>
  <c r="K6" i="2"/>
  <c r="K5" i="2"/>
  <c r="K4" i="2"/>
  <c r="K3" i="2"/>
</calcChain>
</file>

<file path=xl/comments1.xml><?xml version="1.0" encoding="utf-8"?>
<comments xmlns="http://schemas.openxmlformats.org/spreadsheetml/2006/main">
  <authors>
    <author>VEVE Clement -EXT</author>
  </authors>
  <commentList>
    <comment ref="C25" authorId="0">
      <text>
        <r>
          <rPr>
            <sz val="8"/>
            <color indexed="81"/>
            <rFont val="Tahoma"/>
            <family val="2"/>
          </rPr>
          <t xml:space="preserve">
[Tac]: Mean Temperature above component / Température moyenne autour des composants
[Tc]: Mean component temperature / Température moyenne du composant</t>
        </r>
      </text>
    </comment>
    <comment ref="D25" authorId="0">
      <text>
        <r>
          <rPr>
            <sz val="8"/>
            <color indexed="81"/>
            <rFont val="Tahoma"/>
            <family val="2"/>
          </rPr>
          <t xml:space="preserve">
Par defaut on prend 5°C
issue de l'IEC62380
Modifiable en fonction du projet</t>
        </r>
      </text>
    </comment>
    <comment ref="C26" authorId="0">
      <text>
        <r>
          <rPr>
            <sz val="8"/>
            <color indexed="81"/>
            <rFont val="Tahoma"/>
            <family val="2"/>
          </rPr>
          <t xml:space="preserve">
[Tac]: Mean Temperature above component  / Température moyenne autour des composants
</t>
        </r>
      </text>
    </comment>
    <comment ref="D26" authorId="0">
      <text>
        <r>
          <rPr>
            <sz val="8"/>
            <color indexed="81"/>
            <rFont val="Tahoma"/>
            <family val="2"/>
          </rPr>
          <t xml:space="preserve">
Par defaut on prend 20°C
Modifiable en fonction du projet</t>
        </r>
      </text>
    </comment>
    <comment ref="C27" authorId="0">
      <text>
        <r>
          <rPr>
            <sz val="8"/>
            <color indexed="81"/>
            <rFont val="Tahoma"/>
            <family val="2"/>
          </rPr>
          <t xml:space="preserve">
[Tac]: Mean Temperature above component  / Température moyenne autour des composants
</t>
        </r>
      </text>
    </comment>
    <comment ref="D27" authorId="0">
      <text>
        <r>
          <rPr>
            <sz val="8"/>
            <color indexed="81"/>
            <rFont val="Tahoma"/>
            <family val="2"/>
          </rPr>
          <t xml:space="preserve">
Par defaut on prend 20°C
Modifiable en fonction du projet</t>
        </r>
      </text>
    </comment>
    <comment ref="C28" authorId="0">
      <text>
        <r>
          <rPr>
            <sz val="8"/>
            <color indexed="81"/>
            <rFont val="Tahoma"/>
            <family val="2"/>
          </rPr>
          <t xml:space="preserve">
[Tac]: Mean Temperature above component  / Température moyenne autour des composants
</t>
        </r>
      </text>
    </comment>
    <comment ref="D28" authorId="0">
      <text>
        <r>
          <rPr>
            <sz val="8"/>
            <color indexed="81"/>
            <rFont val="Tahoma"/>
            <family val="2"/>
          </rPr>
          <t xml:space="preserve">
Par defaut on prend 20°C
Modifiable en fonction du projet</t>
        </r>
      </text>
    </comment>
    <comment ref="C29" authorId="0">
      <text>
        <r>
          <rPr>
            <sz val="8"/>
            <color indexed="81"/>
            <rFont val="Tahoma"/>
            <family val="2"/>
          </rPr>
          <t xml:space="preserve">
[Tac]: Mean Temperature above component  / Température moyenne autour des composants
</t>
        </r>
      </text>
    </comment>
    <comment ref="D29" authorId="0">
      <text>
        <r>
          <rPr>
            <sz val="8"/>
            <color indexed="81"/>
            <rFont val="Tahoma"/>
            <family val="2"/>
          </rPr>
          <t xml:space="preserve">
Par defaut on prend 20°C
Modifiable en fonction du projet</t>
        </r>
      </text>
    </comment>
    <comment ref="C30" authorId="0">
      <text>
        <r>
          <rPr>
            <sz val="8"/>
            <color indexed="81"/>
            <rFont val="Tahoma"/>
            <family val="2"/>
          </rPr>
          <t xml:space="preserve">
[Tac]: Mean Temperature above component  / Temperature moyenne autour des composants
</t>
        </r>
      </text>
    </comment>
    <comment ref="D30" authorId="0">
      <text>
        <r>
          <rPr>
            <sz val="8"/>
            <color indexed="81"/>
            <rFont val="Tahoma"/>
            <family val="2"/>
          </rPr>
          <t xml:space="preserve">
Par defaut on prend 26°C (Pour la France)
Modifiable en fonction du projet</t>
        </r>
      </text>
    </comment>
  </commentList>
</comments>
</file>

<file path=xl/comments2.xml><?xml version="1.0" encoding="utf-8"?>
<comments xmlns="http://schemas.openxmlformats.org/spreadsheetml/2006/main">
  <authors>
    <author>BAUDIN Camille -EXT</author>
  </authors>
  <commentList>
    <comment ref="C18" authorId="0">
      <text>
        <r>
          <rPr>
            <b/>
            <sz val="9"/>
            <color indexed="81"/>
            <rFont val="Tahoma"/>
            <family val="2"/>
          </rPr>
          <t>BAUDIN Camille -EXT:</t>
        </r>
        <r>
          <rPr>
            <sz val="9"/>
            <color indexed="81"/>
            <rFont val="Tahoma"/>
            <family val="2"/>
          </rPr>
          <t xml:space="preserve">
Non utilisé, pour la maintenance uniquement.</t>
        </r>
      </text>
    </comment>
  </commentList>
</comments>
</file>

<file path=xl/comments3.xml><?xml version="1.0" encoding="utf-8"?>
<comments xmlns="http://schemas.openxmlformats.org/spreadsheetml/2006/main">
  <authors>
    <author>VEVE Clement -EXT</author>
  </authors>
  <commentList>
    <comment ref="K34" authorId="0">
      <text>
        <r>
          <rPr>
            <sz val="8"/>
            <color indexed="81"/>
            <rFont val="Tahoma"/>
            <family val="2"/>
          </rPr>
          <t xml:space="preserve">Si l’on ne posse de pas l'information utiliser la valeur datasheet
</t>
        </r>
      </text>
    </comment>
  </commentList>
</comments>
</file>

<file path=xl/comments4.xml><?xml version="1.0" encoding="utf-8"?>
<comments xmlns="http://schemas.openxmlformats.org/spreadsheetml/2006/main">
  <authors>
    <author>VEVE Clement -EXT</author>
    <author>BAUDIN Camille -EXT</author>
  </authors>
  <commentList>
    <comment ref="K12" authorId="0">
      <text>
        <r>
          <rPr>
            <b/>
            <sz val="11"/>
            <color indexed="81"/>
            <rFont val="Tahoma"/>
            <family val="2"/>
          </rPr>
          <t>VEVE Clement -EXT: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Alstom"/>
          </rPr>
          <t xml:space="preserve">Vous pouvez utiliser de lien Pour vous aider dans la conversion  entre  BYTE / BIT: 
</t>
        </r>
        <r>
          <rPr>
            <b/>
            <sz val="12"/>
            <color indexed="81"/>
            <rFont val="Alstom"/>
          </rPr>
          <t>http://www.matisse.net/bitcalc/</t>
        </r>
      </text>
    </comment>
    <comment ref="C13" authorId="1">
      <text>
        <r>
          <rPr>
            <b/>
            <sz val="8"/>
            <color indexed="81"/>
            <rFont val="Tahoma"/>
            <family val="2"/>
          </rPr>
          <t>BAUDIN Camille -EXT:</t>
        </r>
        <r>
          <rPr>
            <sz val="8"/>
            <color indexed="81"/>
            <rFont val="Tahoma"/>
            <family val="2"/>
          </rPr>
          <t xml:space="preserve">
EEPROM
Electronic label</t>
        </r>
      </text>
    </comment>
    <comment ref="C14" authorId="1">
      <text>
        <r>
          <rPr>
            <b/>
            <sz val="8"/>
            <color indexed="81"/>
            <rFont val="Tahoma"/>
            <family val="2"/>
          </rPr>
          <t>BAUDIN Camille -EXT:</t>
        </r>
        <r>
          <rPr>
            <sz val="8"/>
            <color indexed="81"/>
            <rFont val="Tahoma"/>
            <family val="2"/>
          </rPr>
          <t xml:space="preserve">
Flash
Contient le BSP</t>
        </r>
      </text>
    </comment>
    <comment ref="G14" authorId="1">
      <text>
        <r>
          <rPr>
            <b/>
            <sz val="9"/>
            <color indexed="81"/>
            <rFont val="Tahoma"/>
            <family val="2"/>
          </rPr>
          <t>BAUDIN Camille -EXT:</t>
        </r>
        <r>
          <rPr>
            <sz val="9"/>
            <color indexed="81"/>
            <rFont val="Tahoma"/>
            <family val="2"/>
          </rPr>
          <t xml:space="preserve">
@125°C</t>
        </r>
      </text>
    </comment>
    <comment ref="C15" authorId="1">
      <text>
        <r>
          <rPr>
            <b/>
            <sz val="8"/>
            <color indexed="81"/>
            <rFont val="Tahoma"/>
            <family val="2"/>
          </rPr>
          <t>BAUDIN Camille -EXT:</t>
        </r>
        <r>
          <rPr>
            <sz val="8"/>
            <color indexed="81"/>
            <rFont val="Tahoma"/>
            <family val="2"/>
          </rPr>
          <t xml:space="preserve">
EEPROM
Electronic label</t>
        </r>
      </text>
    </comment>
    <comment ref="C16" authorId="1">
      <text>
        <r>
          <rPr>
            <b/>
            <sz val="8"/>
            <color indexed="81"/>
            <rFont val="Tahoma"/>
            <family val="2"/>
          </rPr>
          <t>BAUDIN Camille -EXT:</t>
        </r>
        <r>
          <rPr>
            <sz val="8"/>
            <color indexed="81"/>
            <rFont val="Tahoma"/>
            <family val="2"/>
          </rPr>
          <t xml:space="preserve">
EEPROM
contient des data</t>
        </r>
      </text>
    </comment>
    <comment ref="C17" authorId="1">
      <text>
        <r>
          <rPr>
            <b/>
            <sz val="8"/>
            <color indexed="81"/>
            <rFont val="Tahoma"/>
            <family val="2"/>
          </rPr>
          <t>BAUDIN Camille -EXT:</t>
        </r>
        <r>
          <rPr>
            <sz val="8"/>
            <color indexed="81"/>
            <rFont val="Tahoma"/>
            <family val="2"/>
          </rPr>
          <t xml:space="preserve">
EEPROM
Electronic label</t>
        </r>
      </text>
    </comment>
    <comment ref="C18" authorId="1">
      <text>
        <r>
          <rPr>
            <b/>
            <sz val="8"/>
            <color indexed="81"/>
            <rFont val="Tahoma"/>
            <family val="2"/>
          </rPr>
          <t>BAUDIN Camille -EXT:</t>
        </r>
        <r>
          <rPr>
            <sz val="8"/>
            <color indexed="81"/>
            <rFont val="Tahoma"/>
            <family val="2"/>
          </rPr>
          <t xml:space="preserve">
EEPROM
Electronic label</t>
        </r>
      </text>
    </comment>
  </commentList>
</comments>
</file>

<file path=xl/comments5.xml><?xml version="1.0" encoding="utf-8"?>
<comments xmlns="http://schemas.openxmlformats.org/spreadsheetml/2006/main">
  <authors>
    <author>VEVE Clement -EXT</author>
  </authors>
  <commentList>
    <comment ref="I15" authorId="0">
      <text>
        <r>
          <rPr>
            <sz val="8"/>
            <color indexed="81"/>
            <rFont val="Tahoma"/>
            <family val="2"/>
          </rPr>
          <t xml:space="preserve">
"ratio= final / initial
Par defaut on peux prendre une valeur de 50%</t>
        </r>
      </text>
    </comment>
  </commentList>
</comments>
</file>

<file path=xl/comments6.xml><?xml version="1.0" encoding="utf-8"?>
<comments xmlns="http://schemas.openxmlformats.org/spreadsheetml/2006/main">
  <authors>
    <author>BAUDIN Camille -EXT</author>
  </authors>
  <commentList>
    <comment ref="E15" authorId="0">
      <text>
        <r>
          <rPr>
            <b/>
            <sz val="8"/>
            <color indexed="81"/>
            <rFont val="Tahoma"/>
            <family val="2"/>
          </rPr>
          <t>BAUDIN Camille -EXT:</t>
        </r>
        <r>
          <rPr>
            <sz val="8"/>
            <color indexed="81"/>
            <rFont val="Tahoma"/>
            <family val="2"/>
          </rPr>
          <t xml:space="preserve">
Je n'ai pas le schéma, j'ai rempli notre fichier sur la base du fichier d'Harting.
Je tiens à préciser que transistor devra commuter un Id &gt;= 4,3 A pour entrer dans le cadre de ce calcul de durée de vie.
Comme je n'ai pas d'info précises sur ce composant, je préfère l'ajouter.</t>
        </r>
      </text>
    </comment>
    <comment ref="E16" authorId="0">
      <text>
        <r>
          <rPr>
            <b/>
            <sz val="8"/>
            <color indexed="81"/>
            <rFont val="Tahoma"/>
            <family val="2"/>
          </rPr>
          <t>BAUDIN Camille -EXT:</t>
        </r>
        <r>
          <rPr>
            <sz val="8"/>
            <color indexed="81"/>
            <rFont val="Tahoma"/>
            <family val="2"/>
          </rPr>
          <t xml:space="preserve">
Je n'ai pas le schéma, j'ai rempli notre fichier sur la base du fichier d'Harting.
Je tiens à préciser que transistor devra commuter un Id &gt;= 4,3 A pour entrer dans le cadre de ce calcul de durée de vie.
Comme je n'ai pas d'info précises sur ce composant, je préfère l'ajouter.</t>
        </r>
      </text>
    </comment>
    <comment ref="E17" authorId="0">
      <text>
        <r>
          <rPr>
            <b/>
            <sz val="8"/>
            <color indexed="81"/>
            <rFont val="Tahoma"/>
            <family val="2"/>
          </rPr>
          <t>BAUDIN Camille -EXT:</t>
        </r>
        <r>
          <rPr>
            <sz val="8"/>
            <color indexed="81"/>
            <rFont val="Tahoma"/>
            <family val="2"/>
          </rPr>
          <t xml:space="preserve">
Je n'ai pas le schéma, j'ai rempli notre fichier sur la base du fichier d'Harting.
Je tiens à préciser que transistor devra commuter un Id &gt;= 9,8 A pour entrer dans le cadre de ce calcul de durée de vie.
Comme je n'ai pas d'info précises sur ce composant, je préfère l'ajouter.</t>
        </r>
      </text>
    </comment>
  </commentList>
</comments>
</file>

<file path=xl/sharedStrings.xml><?xml version="1.0" encoding="utf-8"?>
<sst xmlns="http://schemas.openxmlformats.org/spreadsheetml/2006/main" count="678" uniqueCount="230">
  <si>
    <t>Period 2</t>
  </si>
  <si>
    <t>Period 1</t>
  </si>
  <si>
    <t>Period 3</t>
  </si>
  <si>
    <t>Number of operational day by year:</t>
  </si>
  <si>
    <t>Number of operational hours by day:</t>
  </si>
  <si>
    <t>Requirement of life expectancy:</t>
  </si>
  <si>
    <t>Datasheet values</t>
  </si>
  <si>
    <t xml:space="preserve">Mean components ambient temperature [Tac]
(°C) </t>
  </si>
  <si>
    <t>Equipment</t>
  </si>
  <si>
    <t>Project values</t>
  </si>
  <si>
    <t xml:space="preserve">Project results with datasheet value </t>
  </si>
  <si>
    <t>Datasheet Value</t>
  </si>
  <si>
    <t>Mission Profile</t>
  </si>
  <si>
    <t>Temperature</t>
  </si>
  <si>
    <t>Board</t>
  </si>
  <si>
    <t>Generic name
(DTR - S4)</t>
  </si>
  <si>
    <t>Qualification test duration
(hours)</t>
  </si>
  <si>
    <t>Qualification test temperature
(°C)</t>
  </si>
  <si>
    <t>Capacitor drift
(%)</t>
  </si>
  <si>
    <t>Number of use cycles by operational day</t>
  </si>
  <si>
    <t>Max number use by operational day</t>
  </si>
  <si>
    <t>Mechanical lifetime (cycles)</t>
  </si>
  <si>
    <t>Reminder</t>
  </si>
  <si>
    <t>0,85µm or 1,3µm</t>
  </si>
  <si>
    <t>Exported constraint</t>
  </si>
  <si>
    <t xml:space="preserve"> Project values</t>
  </si>
  <si>
    <t>Acceptable optical power drift
(%)</t>
  </si>
  <si>
    <t>Maximal component current
(mA)</t>
  </si>
  <si>
    <t>Supplier / ref datasheet</t>
  </si>
  <si>
    <t>Number of use cycles by operational hour</t>
  </si>
  <si>
    <t>Final CTR
operating
(%)</t>
  </si>
  <si>
    <t>Data Retention by cell (years)</t>
  </si>
  <si>
    <t xml:space="preserve">Junction temperature range
(°C) </t>
  </si>
  <si>
    <t>Under cyclic operation, the number of cycles is limited</t>
  </si>
  <si>
    <t xml:space="preserve">Voltage at the terminal
(V) </t>
  </si>
  <si>
    <t>Current through the contact
(A)</t>
  </si>
  <si>
    <t>Number of use (Writing or erasure cycles)
by operational day for one cell</t>
  </si>
  <si>
    <t>Project values must not exceed the specified value</t>
  </si>
  <si>
    <t>Number of mating and unmating cycles
(or manufacturer value)</t>
  </si>
  <si>
    <t>Operational life expectancy
(hours)</t>
  </si>
  <si>
    <t>Fan regulation ?</t>
  </si>
  <si>
    <t>Temperature distribution</t>
  </si>
  <si>
    <t>Results (%)</t>
  </si>
  <si>
    <t>Country:</t>
  </si>
  <si>
    <t>Range of external Temperature (°C)</t>
  </si>
  <si>
    <t>Life expectancy
(hours)</t>
  </si>
  <si>
    <t>Temperature
(°C)</t>
  </si>
  <si>
    <t>First life expectancy parameter
Lower temperature</t>
  </si>
  <si>
    <t>Second life expectancy parameter
Higher temperature</t>
  </si>
  <si>
    <t>% Operating fan</t>
  </si>
  <si>
    <t>Refreshing data ?</t>
  </si>
  <si>
    <t xml:space="preserve">Project results with Project value </t>
  </si>
  <si>
    <t>Memory use</t>
  </si>
  <si>
    <t>Life expectancy
(years)</t>
  </si>
  <si>
    <t>Number of commutation over 5W for Silicon (1W for Gallium arsenide) by day</t>
  </si>
  <si>
    <t xml:space="preserve"> Number of commutation over 5W for Silicon (1W for Gallium arsenide) by operational day</t>
  </si>
  <si>
    <t>Operating current
(mA)</t>
  </si>
  <si>
    <t>Speed
(tr/min)</t>
  </si>
  <si>
    <t>Maximum fan speed used ?
(tr/min)</t>
  </si>
  <si>
    <t>Speed coefficient</t>
  </si>
  <si>
    <t>Version</t>
  </si>
  <si>
    <t>Auteur</t>
  </si>
  <si>
    <t xml:space="preserve">Date </t>
  </si>
  <si>
    <t>Commentaires</t>
  </si>
  <si>
    <t>Historique des revisions de l'analyse de durée de vie</t>
  </si>
  <si>
    <t>Program/Erase Cycle Endurance (typical)</t>
  </si>
  <si>
    <t>Operational life expectancy
(days)</t>
  </si>
  <si>
    <t>Number of using sector</t>
  </si>
  <si>
    <t>Writing / erasing frequency by second, minute, hour or day</t>
  </si>
  <si>
    <t>Size of writing data in Byte (octet)</t>
  </si>
  <si>
    <t>Writing: sequential or random?</t>
  </si>
  <si>
    <t>Average memory annual use in hour by day</t>
  </si>
  <si>
    <t>Memory use in Byte (octet)</t>
  </si>
  <si>
    <t>Total number of messages can be written to the memory considered</t>
  </si>
  <si>
    <t>Total number of messages can be written taking into account the endurance of the memory</t>
  </si>
  <si>
    <t>Electromechanical-Miniature or card</t>
  </si>
  <si>
    <t>Electromechanical-European type</t>
  </si>
  <si>
    <t>Thermal</t>
  </si>
  <si>
    <t>Dry reed / Balanced</t>
  </si>
  <si>
    <t>Dry reed / Latching Balanced</t>
  </si>
  <si>
    <t>Mercury wetted reed low power / Balanced</t>
  </si>
  <si>
    <t>Mercury wetted reed low power / Latching Balanced</t>
  </si>
  <si>
    <t>Type of relay</t>
  </si>
  <si>
    <t>AC Industrial</t>
  </si>
  <si>
    <t>DC Industrial</t>
  </si>
  <si>
    <t>AC High voltage vacuum</t>
  </si>
  <si>
    <t>DC High voltage vacuum</t>
  </si>
  <si>
    <t>AC Power mercury wetted</t>
  </si>
  <si>
    <t>DC Power mercury wetted</t>
  </si>
  <si>
    <r>
      <rPr>
        <b/>
        <sz val="10"/>
        <rFont val="Alstom"/>
      </rPr>
      <t>Project results with resistive load</t>
    </r>
    <r>
      <rPr>
        <sz val="10"/>
        <rFont val="Alstom"/>
      </rPr>
      <t xml:space="preserve">
(Values of C &lt; 1nF and Values of L &lt; 100µH)</t>
    </r>
  </si>
  <si>
    <r>
      <rPr>
        <b/>
        <sz val="10"/>
        <rFont val="Alstom"/>
      </rPr>
      <t>Project results with capacitive load</t>
    </r>
    <r>
      <rPr>
        <sz val="10"/>
        <rFont val="Alstom"/>
      </rPr>
      <t xml:space="preserve">
(Values of C &gt; 1nF and Values of L &lt; 100µH)</t>
    </r>
  </si>
  <si>
    <r>
      <rPr>
        <b/>
        <sz val="10"/>
        <rFont val="Alstom"/>
      </rPr>
      <t>Project results with inductive load</t>
    </r>
    <r>
      <rPr>
        <sz val="10"/>
        <rFont val="Alstom"/>
      </rPr>
      <t xml:space="preserve">
(Values of C &lt; 1nF and Values of L &gt; 100µH)</t>
    </r>
  </si>
  <si>
    <r>
      <rPr>
        <b/>
        <sz val="10"/>
        <rFont val="Alstom"/>
      </rPr>
      <t>Project results with inductive and capacitive load</t>
    </r>
    <r>
      <rPr>
        <sz val="10"/>
        <rFont val="Alstom"/>
      </rPr>
      <t xml:space="preserve">
(Values of C &gt; 1nF and Values of L &gt; 100µH)</t>
    </r>
  </si>
  <si>
    <r>
      <t>Maximal component I</t>
    </r>
    <r>
      <rPr>
        <vertAlign val="subscript"/>
        <sz val="10"/>
        <rFont val="Alstom"/>
      </rPr>
      <t>F</t>
    </r>
    <r>
      <rPr>
        <sz val="10"/>
        <rFont val="Alstom"/>
      </rPr>
      <t xml:space="preserve">
(mA)</t>
    </r>
  </si>
  <si>
    <r>
      <t>Measured current I</t>
    </r>
    <r>
      <rPr>
        <vertAlign val="subscript"/>
        <sz val="10"/>
        <rFont val="Alstom"/>
      </rPr>
      <t xml:space="preserve">F </t>
    </r>
    <r>
      <rPr>
        <sz val="10"/>
        <rFont val="Alstom"/>
      </rPr>
      <t>of the transfer ratio [testing conditions]
(mA)</t>
    </r>
  </si>
  <si>
    <r>
      <t>Average or Typical initial CTR for Operating
I</t>
    </r>
    <r>
      <rPr>
        <vertAlign val="subscript"/>
        <sz val="10"/>
        <rFont val="Alstom"/>
      </rPr>
      <t xml:space="preserve">F </t>
    </r>
    <r>
      <rPr>
        <sz val="10"/>
        <rFont val="Alstom"/>
      </rPr>
      <t>(%)</t>
    </r>
  </si>
  <si>
    <r>
      <t>Operating I</t>
    </r>
    <r>
      <rPr>
        <vertAlign val="subscript"/>
        <sz val="10"/>
        <rFont val="Alstom"/>
      </rPr>
      <t>F</t>
    </r>
    <r>
      <rPr>
        <sz val="10"/>
        <rFont val="Alstom"/>
      </rPr>
      <t xml:space="preserve">
(mA)</t>
    </r>
  </si>
  <si>
    <r>
      <t xml:space="preserve">Project results with datasheet value and </t>
    </r>
    <r>
      <rPr>
        <b/>
        <sz val="10"/>
        <rFont val="Alstom"/>
      </rPr>
      <t>project capacitor drift acceptance</t>
    </r>
  </si>
  <si>
    <r>
      <rPr>
        <b/>
        <sz val="10"/>
        <rFont val="Alstom"/>
      </rPr>
      <t>[facultative]</t>
    </r>
    <r>
      <rPr>
        <sz val="10"/>
        <rFont val="Alstom"/>
      </rPr>
      <t xml:space="preserve">
Mean component temperature [Tc]
(°C)</t>
    </r>
  </si>
  <si>
    <r>
      <rPr>
        <b/>
        <sz val="10"/>
        <rFont val="Alstom"/>
      </rPr>
      <t>[facultative]</t>
    </r>
    <r>
      <rPr>
        <sz val="10"/>
        <rFont val="Alstom"/>
      </rPr>
      <t xml:space="preserve">
Project Capacitor drift acceptance
(%)</t>
    </r>
  </si>
  <si>
    <r>
      <t xml:space="preserve">Capacitor </t>
    </r>
    <r>
      <rPr>
        <sz val="10"/>
        <rFont val="Symbol"/>
        <family val="1"/>
        <charset val="2"/>
      </rPr>
      <t>D</t>
    </r>
    <r>
      <rPr>
        <sz val="10"/>
        <rFont val="Alstom"/>
      </rPr>
      <t>T° between Tac and Tc:</t>
    </r>
  </si>
  <si>
    <r>
      <t xml:space="preserve">CPU </t>
    </r>
    <r>
      <rPr>
        <sz val="10"/>
        <color rgb="FF002060"/>
        <rFont val="Symbol"/>
        <family val="1"/>
        <charset val="2"/>
      </rPr>
      <t>D</t>
    </r>
    <r>
      <rPr>
        <sz val="10"/>
        <color rgb="FF002060"/>
        <rFont val="Alstom"/>
      </rPr>
      <t>T° between Tac and CPU junction temperature:</t>
    </r>
  </si>
  <si>
    <r>
      <rPr>
        <sz val="10"/>
        <color rgb="FF002060"/>
        <rFont val="Symbol"/>
        <family val="1"/>
        <charset val="2"/>
      </rPr>
      <t>D</t>
    </r>
    <r>
      <rPr>
        <sz val="10"/>
        <color rgb="FF002060"/>
        <rFont val="Alstom"/>
      </rPr>
      <t>T° between Tac and annual average outdoor temperature:</t>
    </r>
  </si>
  <si>
    <r>
      <t xml:space="preserve">LED </t>
    </r>
    <r>
      <rPr>
        <sz val="10"/>
        <rFont val="Symbol"/>
        <family val="1"/>
        <charset val="2"/>
      </rPr>
      <t>D</t>
    </r>
    <r>
      <rPr>
        <sz val="10"/>
        <rFont val="Alstom"/>
      </rPr>
      <t>T° between Tac and optocoupler junction temperature:</t>
    </r>
  </si>
  <si>
    <r>
      <rPr>
        <sz val="11"/>
        <rFont val="Symbol"/>
        <family val="1"/>
        <charset val="2"/>
      </rPr>
      <t>q</t>
    </r>
    <r>
      <rPr>
        <sz val="11"/>
        <rFont val="Alstom"/>
      </rPr>
      <t>0</t>
    </r>
  </si>
  <si>
    <r>
      <rPr>
        <sz val="11"/>
        <rFont val="Symbol"/>
        <family val="1"/>
        <charset val="2"/>
      </rPr>
      <t>k</t>
    </r>
    <r>
      <rPr>
        <sz val="11"/>
        <rFont val="Alstom"/>
      </rPr>
      <t>0</t>
    </r>
  </si>
  <si>
    <r>
      <t>k</t>
    </r>
    <r>
      <rPr>
        <sz val="11"/>
        <rFont val="Alstom"/>
      </rPr>
      <t>1</t>
    </r>
  </si>
  <si>
    <r>
      <rPr>
        <sz val="11"/>
        <rFont val="Symbol"/>
        <family val="1"/>
        <charset val="2"/>
      </rPr>
      <t>k</t>
    </r>
    <r>
      <rPr>
        <sz val="11"/>
        <rFont val="Alstom"/>
      </rPr>
      <t>2</t>
    </r>
  </si>
  <si>
    <r>
      <rPr>
        <sz val="11"/>
        <rFont val="Symbol"/>
        <family val="1"/>
        <charset val="2"/>
      </rPr>
      <t>k</t>
    </r>
    <r>
      <rPr>
        <sz val="11"/>
        <rFont val="Alstom"/>
      </rPr>
      <t>3</t>
    </r>
  </si>
  <si>
    <r>
      <t>Mean junction temperature [Tac+</t>
    </r>
    <r>
      <rPr>
        <sz val="10"/>
        <rFont val="Symbol"/>
        <family val="1"/>
        <charset val="2"/>
      </rPr>
      <t>D</t>
    </r>
    <r>
      <rPr>
        <sz val="10"/>
        <rFont val="Alstom"/>
      </rPr>
      <t>T°]</t>
    </r>
  </si>
  <si>
    <r>
      <t xml:space="preserve">Optocoupler </t>
    </r>
    <r>
      <rPr>
        <sz val="10"/>
        <rFont val="Symbol"/>
        <family val="1"/>
        <charset val="2"/>
      </rPr>
      <t>D</t>
    </r>
    <r>
      <rPr>
        <sz val="10"/>
        <rFont val="Alstom"/>
      </rPr>
      <t>T° between Tac and optocoupler junction temperature:</t>
    </r>
  </si>
  <si>
    <r>
      <t xml:space="preserve">Transistor </t>
    </r>
    <r>
      <rPr>
        <sz val="10"/>
        <rFont val="Symbol"/>
        <family val="1"/>
        <charset val="2"/>
      </rPr>
      <t>D</t>
    </r>
    <r>
      <rPr>
        <sz val="10"/>
        <rFont val="Alstom"/>
      </rPr>
      <t>T° between Tac and transistor junction temperature:</t>
    </r>
  </si>
  <si>
    <r>
      <rPr>
        <sz val="10"/>
        <rFont val="Symbol"/>
        <family val="1"/>
        <charset val="2"/>
      </rPr>
      <t>p</t>
    </r>
    <r>
      <rPr>
        <sz val="10"/>
        <rFont val="Alstom"/>
      </rPr>
      <t>t</t>
    </r>
  </si>
  <si>
    <r>
      <rPr>
        <sz val="10"/>
        <rFont val="Symbol"/>
        <family val="1"/>
        <charset val="2"/>
      </rPr>
      <t>q</t>
    </r>
    <r>
      <rPr>
        <sz val="10"/>
        <rFont val="Alstom"/>
      </rPr>
      <t>b
for resistive load</t>
    </r>
  </si>
  <si>
    <r>
      <rPr>
        <sz val="10"/>
        <rFont val="Symbol"/>
        <family val="1"/>
        <charset val="2"/>
      </rPr>
      <t>q</t>
    </r>
    <r>
      <rPr>
        <sz val="10"/>
        <rFont val="Alstom"/>
      </rPr>
      <t>b
for capacitive load</t>
    </r>
  </si>
  <si>
    <r>
      <rPr>
        <sz val="10"/>
        <rFont val="Symbol"/>
        <family val="1"/>
        <charset val="2"/>
      </rPr>
      <t>q</t>
    </r>
    <r>
      <rPr>
        <sz val="10"/>
        <rFont val="Alstom"/>
      </rPr>
      <t>b
for inductive load</t>
    </r>
  </si>
  <si>
    <r>
      <rPr>
        <sz val="10"/>
        <rFont val="Symbol"/>
        <family val="1"/>
        <charset val="2"/>
      </rPr>
      <t>q</t>
    </r>
    <r>
      <rPr>
        <sz val="10"/>
        <rFont val="Alstom"/>
      </rPr>
      <t>b
for inductive and capacitive load</t>
    </r>
  </si>
  <si>
    <t>Electronic parts reference</t>
  </si>
  <si>
    <t>Tac (Temperature around component):</t>
  </si>
  <si>
    <t>Mechanical results for life expectancy
(years)</t>
  </si>
  <si>
    <t>Mechanical results for life expectancy
(hours)</t>
  </si>
  <si>
    <t>Mechanical</t>
  </si>
  <si>
    <t>Start and stop temperature fan, around CPU (°C)</t>
  </si>
  <si>
    <t>Number all memory sector</t>
  </si>
  <si>
    <r>
      <t xml:space="preserve">One sector size in </t>
    </r>
    <r>
      <rPr>
        <b/>
        <sz val="10"/>
        <rFont val="Alstom"/>
      </rPr>
      <t>Byte</t>
    </r>
    <r>
      <rPr>
        <sz val="10"/>
        <rFont val="Alstom"/>
      </rPr>
      <t xml:space="preserve"> (Octet) or  </t>
    </r>
    <r>
      <rPr>
        <b/>
        <sz val="10"/>
        <rFont val="Alstom"/>
      </rPr>
      <t>Kilo Byte</t>
    </r>
    <r>
      <rPr>
        <sz val="10"/>
        <rFont val="Alstom"/>
      </rPr>
      <t xml:space="preserve"> or </t>
    </r>
    <r>
      <rPr>
        <b/>
        <sz val="10"/>
        <rFont val="Alstom"/>
      </rPr>
      <t>Mega Byte</t>
    </r>
  </si>
  <si>
    <r>
      <t>Memory size
in</t>
    </r>
    <r>
      <rPr>
        <b/>
        <sz val="10"/>
        <rFont val="Alstom"/>
      </rPr>
      <t xml:space="preserve"> Byte</t>
    </r>
  </si>
  <si>
    <t>Fichier de calcul revision C2</t>
  </si>
  <si>
    <t>N/A</t>
  </si>
  <si>
    <t>Connector type</t>
  </si>
  <si>
    <t>&lt; 100</t>
  </si>
  <si>
    <t>Train lines</t>
  </si>
  <si>
    <t>&lt; 30</t>
  </si>
  <si>
    <t>Internal</t>
  </si>
  <si>
    <t>No data from manufacturer</t>
  </si>
  <si>
    <t>-</t>
  </si>
  <si>
    <t>There is no LED on this board</t>
  </si>
  <si>
    <t>Byte</t>
  </si>
  <si>
    <t>by second</t>
  </si>
  <si>
    <t>Other</t>
  </si>
  <si>
    <t>Sequential</t>
  </si>
  <si>
    <t>No</t>
  </si>
  <si>
    <t>There is no optocoupler on this board</t>
  </si>
  <si>
    <t>X5</t>
  </si>
  <si>
    <t>unknown</t>
  </si>
  <si>
    <t>Port board</t>
  </si>
  <si>
    <t>There is not electrolytic capacitor on this board</t>
  </si>
  <si>
    <t>Switch board</t>
  </si>
  <si>
    <t>Management board</t>
  </si>
  <si>
    <t>C127</t>
  </si>
  <si>
    <t>DS_EDLC_100mF_5,5V (Harting reference) / FT0H104ZF</t>
  </si>
  <si>
    <t>PowerSupply 
EPLAX SB862</t>
  </si>
  <si>
    <t>C117</t>
  </si>
  <si>
    <t>119-018746F (Harting reference) /  16ZLH1500MEFC10X20</t>
  </si>
  <si>
    <t>C118</t>
  </si>
  <si>
    <t>C123</t>
  </si>
  <si>
    <t>119-013517L (Harting reference) / NiconLXY120µF35V</t>
  </si>
  <si>
    <t>C151</t>
  </si>
  <si>
    <t>C125</t>
  </si>
  <si>
    <t>119-013739J (Harting reference) / EKXG251ELL330MK20S</t>
  </si>
  <si>
    <t>C126</t>
  </si>
  <si>
    <t xml:space="preserve">119-019251C (Harting reference) / Rubycon 35ZLH1500MEFC12.5X30 </t>
  </si>
  <si>
    <t>CRS V2
DTR0000205890_C</t>
  </si>
  <si>
    <t>X1</t>
  </si>
  <si>
    <t>ST_DC_THT_M12_D4-Bu_Vert</t>
  </si>
  <si>
    <t>X2</t>
  </si>
  <si>
    <t>X3</t>
  </si>
  <si>
    <t>X4</t>
  </si>
  <si>
    <t>X6</t>
  </si>
  <si>
    <t>X7</t>
  </si>
  <si>
    <t>X8</t>
  </si>
  <si>
    <t>X9</t>
  </si>
  <si>
    <t>ST_DC_THT_M12_A4-ST_Vert</t>
  </si>
  <si>
    <t>X10</t>
  </si>
  <si>
    <t>ST_DC_THT_DSUB-9FV_WD</t>
  </si>
  <si>
    <t>X11</t>
  </si>
  <si>
    <t>ST_DC_THT_DIN-2B_ML_32</t>
  </si>
  <si>
    <t>X12</t>
  </si>
  <si>
    <t>X13</t>
  </si>
  <si>
    <t>ST_B2B_THT_BL20-08_RM2,54</t>
  </si>
  <si>
    <t>X14</t>
  </si>
  <si>
    <t>X15</t>
  </si>
  <si>
    <t>ST_B2B_THT_BL20-08_RM5,08</t>
  </si>
  <si>
    <t>X16</t>
  </si>
  <si>
    <t>X17</t>
  </si>
  <si>
    <t>X18</t>
  </si>
  <si>
    <t>Unknown</t>
  </si>
  <si>
    <t>X19</t>
  </si>
  <si>
    <t>Harting: SEK18</t>
  </si>
  <si>
    <t>ST_B2B_SMD_BTE-020-04-FDAK</t>
  </si>
  <si>
    <t>ST_B2B_THT_ST368-8_PF</t>
  </si>
  <si>
    <t>ST_DC_THT_DIN-B_32</t>
  </si>
  <si>
    <t>ST_B2B_SMD_BSE-020-01-FDA</t>
  </si>
  <si>
    <t>X100</t>
  </si>
  <si>
    <t>Stiftl. 2x4pol st. RM5,08 L=20 S=6-Au  // Idx:10</t>
  </si>
  <si>
    <t>X101</t>
  </si>
  <si>
    <t>Stiftl. 2x4pol st. RM2,54  L=20 S=6-Au  // Idx:10</t>
  </si>
  <si>
    <t>There is no fan in the CRS v2</t>
  </si>
  <si>
    <t>D108</t>
  </si>
  <si>
    <t>119-013866A (Harting reference)</t>
  </si>
  <si>
    <t>LED1</t>
  </si>
  <si>
    <t>ROHM: SML-211DT</t>
  </si>
  <si>
    <t>LED2</t>
  </si>
  <si>
    <t>LED3</t>
  </si>
  <si>
    <t>D1 to D9</t>
  </si>
  <si>
    <t>Kingbright:
 L-937EGW</t>
  </si>
  <si>
    <t>D10</t>
  </si>
  <si>
    <t>Kingbright:
 L-937GYW</t>
  </si>
  <si>
    <t>D11</t>
  </si>
  <si>
    <t>IC105</t>
  </si>
  <si>
    <t>ON Semi:
CAT24C02</t>
  </si>
  <si>
    <t>IC2</t>
  </si>
  <si>
    <t>Numonyx: 
NAND01GR3B2C</t>
  </si>
  <si>
    <t>IC9</t>
  </si>
  <si>
    <t>IC10</t>
  </si>
  <si>
    <t>Stmicro:
M24512</t>
  </si>
  <si>
    <t>IC1</t>
  </si>
  <si>
    <t>OC101</t>
  </si>
  <si>
    <t>119-018280L  (Harting reference) / FOD817A</t>
  </si>
  <si>
    <t>OC100</t>
  </si>
  <si>
    <t>T100</t>
  </si>
  <si>
    <t>119-019211H</t>
  </si>
  <si>
    <t>Fairchild:
FQD16N25C</t>
  </si>
  <si>
    <t>T105</t>
  </si>
  <si>
    <t>T3</t>
  </si>
  <si>
    <t>DS_T_Si5475</t>
  </si>
  <si>
    <t>Vishay:
Si5475DDC</t>
  </si>
  <si>
    <t>There is no power transistor which commutes 5W or more on this board</t>
  </si>
  <si>
    <t>There is no relay in the CRS v2</t>
  </si>
  <si>
    <t>There is no switch in the CRS v2</t>
  </si>
  <si>
    <t xml:space="preserve">
Generic name
(DTR - S4)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</si>
</sst>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_-* #,##0\ _€_-;\-* #,##0\ _€_-;_-* &quot;-&quot;??\ _€_-;_-@_-"/>
    <numFmt numFmtId="165" formatCode="#,###&quot; days&quot;"/>
    <numFmt numFmtId="166" formatCode="#,###&quot; hours&quot;"/>
    <numFmt numFmtId="167" formatCode="#,###&quot; years&quot;"/>
    <numFmt numFmtId="168" formatCode="0.0"/>
    <numFmt numFmtId="169" formatCode="#,###&quot; °C&quot;"/>
    <numFmt numFmtId="170" formatCode="0.0%"/>
    <numFmt numFmtId="171" formatCode="##,##0.0&quot; years&quot;"/>
    <numFmt numFmtId="172" formatCode="#,###&quot; tr/min&quot;"/>
    <numFmt numFmtId="173" formatCode="#,###&quot; B&quot;"/>
    <numFmt numFmtId="174" formatCode="#,##0_ ;\-#,##0\ 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Symbol"/>
      <family val="1"/>
      <charset val="2"/>
    </font>
    <font>
      <sz val="10"/>
      <name val="Arial"/>
      <family val="2"/>
    </font>
    <font>
      <sz val="8"/>
      <color indexed="81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11"/>
      <name val="Alstom"/>
    </font>
    <font>
      <sz val="10"/>
      <color rgb="FF002060"/>
      <name val="Symbol"/>
      <family val="1"/>
      <charset val="2"/>
    </font>
    <font>
      <b/>
      <sz val="14"/>
      <name val="Alstom"/>
    </font>
    <font>
      <sz val="10"/>
      <name val="Alstom"/>
    </font>
    <font>
      <u/>
      <sz val="10"/>
      <color indexed="12"/>
      <name val="Arial"/>
      <family val="2"/>
    </font>
    <font>
      <u/>
      <sz val="10"/>
      <color indexed="12"/>
      <name val="Alstom"/>
    </font>
    <font>
      <b/>
      <sz val="12"/>
      <name val="Alstom"/>
    </font>
    <font>
      <b/>
      <sz val="10"/>
      <name val="Alstom"/>
    </font>
    <font>
      <b/>
      <sz val="10"/>
      <color rgb="FFFF0000"/>
      <name val="Alstom"/>
    </font>
    <font>
      <sz val="10"/>
      <color rgb="FFFF0000"/>
      <name val="Alstom"/>
    </font>
    <font>
      <b/>
      <sz val="14"/>
      <color rgb="FFFF0000"/>
      <name val="Alstom"/>
    </font>
    <font>
      <vertAlign val="subscript"/>
      <sz val="10"/>
      <name val="Alstom"/>
    </font>
    <font>
      <sz val="10"/>
      <color theme="0"/>
      <name val="Alstom"/>
    </font>
    <font>
      <b/>
      <sz val="11"/>
      <name val="Alstom"/>
    </font>
    <font>
      <sz val="10"/>
      <color rgb="FF002060"/>
      <name val="Alstom"/>
    </font>
    <font>
      <b/>
      <sz val="10"/>
      <color theme="0"/>
      <name val="Alstom"/>
    </font>
    <font>
      <b/>
      <sz val="10"/>
      <color rgb="FF002060"/>
      <name val="Alstom"/>
    </font>
    <font>
      <sz val="12"/>
      <name val="Alstom"/>
    </font>
    <font>
      <sz val="11"/>
      <name val="Symbol"/>
      <family val="1"/>
      <charset val="2"/>
    </font>
    <font>
      <sz val="10"/>
      <color rgb="FF000000"/>
      <name val="Arial"/>
      <family val="2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sz val="12"/>
      <color indexed="81"/>
      <name val="Alstom"/>
    </font>
    <font>
      <b/>
      <sz val="12"/>
      <color indexed="81"/>
      <name val="Alstom"/>
    </font>
    <font>
      <sz val="11"/>
      <color theme="0" tint="-0.34998626667073579"/>
      <name val="Alstom"/>
    </font>
    <font>
      <sz val="9"/>
      <name val="Alstom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C00000"/>
      <name val="Arial"/>
      <family val="2"/>
    </font>
    <font>
      <b/>
      <sz val="8"/>
      <color indexed="81"/>
      <name val="Tahoma"/>
      <family val="2"/>
    </font>
    <font>
      <sz val="10"/>
      <color rgb="FFC00000"/>
      <name val="Alstom"/>
    </font>
  </fonts>
  <fills count="2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DFFDD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E5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0">
    <xf numFmtId="0" fontId="0" fillId="0" borderId="0"/>
    <xf numFmtId="9" fontId="7" fillId="0" borderId="0" applyFont="0" applyFill="0" applyBorder="0" applyAlignment="0" applyProtection="0"/>
    <xf numFmtId="0" fontId="6" fillId="0" borderId="2" applyNumberFormat="0" applyFill="0">
      <alignment horizontal="center" vertical="center" textRotation="90" wrapText="1"/>
    </xf>
    <xf numFmtId="0" fontId="4" fillId="0" borderId="2" applyNumberFormat="0" applyFill="0">
      <alignment horizontal="center" vertical="center" wrapText="1"/>
    </xf>
    <xf numFmtId="43" fontId="7" fillId="0" borderId="0" applyFont="0" applyFill="0" applyBorder="0" applyAlignment="0" applyProtection="0"/>
    <xf numFmtId="0" fontId="4" fillId="0" borderId="0"/>
    <xf numFmtId="0" fontId="4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10" borderId="57" applyFill="0" applyProtection="0">
      <alignment horizontal="center" vertical="center" wrapText="1"/>
    </xf>
    <xf numFmtId="0" fontId="1" fillId="0" borderId="0"/>
    <xf numFmtId="0" fontId="16" fillId="0" borderId="2" applyNumberFormat="0" applyFill="0">
      <alignment horizontal="center" vertical="center" wrapText="1"/>
    </xf>
    <xf numFmtId="0" fontId="16" fillId="0" borderId="2" applyNumberFormat="0" applyFill="0">
      <alignment horizontal="center" vertical="center" wrapText="1"/>
    </xf>
  </cellStyleXfs>
  <cellXfs count="568">
    <xf numFmtId="0" fontId="0" fillId="0" borderId="0" xfId="0"/>
    <xf numFmtId="0" fontId="18" fillId="2" borderId="0" xfId="7" applyFont="1" applyFill="1" applyAlignment="1" applyProtection="1">
      <alignment vertical="center"/>
    </xf>
    <xf numFmtId="0" fontId="13" fillId="22" borderId="2" xfId="5" applyFont="1" applyFill="1" applyBorder="1" applyAlignment="1" applyProtection="1">
      <alignment horizontal="center" vertical="center" wrapText="1"/>
      <protection locked="0"/>
    </xf>
    <xf numFmtId="0" fontId="13" fillId="22" borderId="2" xfId="5" applyFont="1" applyFill="1" applyBorder="1" applyAlignment="1" applyProtection="1">
      <alignment horizontal="center" vertical="top" wrapText="1"/>
      <protection locked="0"/>
    </xf>
    <xf numFmtId="49" fontId="13" fillId="22" borderId="2" xfId="5" quotePrefix="1" applyNumberFormat="1" applyFont="1" applyFill="1" applyBorder="1" applyAlignment="1" applyProtection="1">
      <alignment horizontal="center" vertical="center"/>
      <protection locked="0"/>
    </xf>
    <xf numFmtId="0" fontId="13" fillId="22" borderId="2" xfId="5" applyFont="1" applyFill="1" applyBorder="1" applyAlignment="1" applyProtection="1">
      <alignment horizontal="left" vertical="center" wrapText="1"/>
      <protection locked="0"/>
    </xf>
    <xf numFmtId="14" fontId="13" fillId="22" borderId="2" xfId="5" applyNumberFormat="1" applyFont="1" applyFill="1" applyBorder="1" applyAlignment="1" applyProtection="1">
      <alignment horizontal="center" vertical="top"/>
      <protection locked="0"/>
    </xf>
    <xf numFmtId="0" fontId="13" fillId="22" borderId="2" xfId="5" applyFont="1" applyFill="1" applyBorder="1" applyAlignment="1" applyProtection="1">
      <alignment vertical="top" wrapText="1"/>
      <protection locked="0"/>
    </xf>
    <xf numFmtId="0" fontId="13" fillId="0" borderId="0" xfId="0" applyFont="1" applyAlignment="1" applyProtection="1"/>
    <xf numFmtId="0" fontId="0" fillId="0" borderId="0" xfId="0" applyProtection="1"/>
    <xf numFmtId="0" fontId="0" fillId="0" borderId="0" xfId="0" applyAlignment="1" applyProtection="1">
      <alignment vertical="center" wrapText="1"/>
    </xf>
    <xf numFmtId="0" fontId="10" fillId="19" borderId="7" xfId="0" applyFont="1" applyFill="1" applyBorder="1" applyAlignment="1" applyProtection="1">
      <alignment horizontal="right" vertical="center" wrapText="1"/>
    </xf>
    <xf numFmtId="0" fontId="10" fillId="19" borderId="3" xfId="0" applyFont="1" applyFill="1" applyBorder="1" applyAlignment="1" applyProtection="1">
      <alignment horizontal="right" vertical="center" wrapText="1"/>
    </xf>
    <xf numFmtId="0" fontId="10" fillId="19" borderId="2" xfId="0" applyFont="1" applyFill="1" applyBorder="1" applyAlignment="1" applyProtection="1">
      <alignment horizontal="right" vertical="center" wrapText="1"/>
    </xf>
    <xf numFmtId="0" fontId="10" fillId="19" borderId="12" xfId="0" applyFont="1" applyFill="1" applyBorder="1" applyAlignment="1" applyProtection="1">
      <alignment horizontal="right" vertical="center" wrapText="1"/>
    </xf>
    <xf numFmtId="0" fontId="11" fillId="0" borderId="0" xfId="0" applyFont="1" applyProtection="1"/>
    <xf numFmtId="0" fontId="0" fillId="10" borderId="24" xfId="0" applyFill="1" applyBorder="1" applyProtection="1"/>
    <xf numFmtId="0" fontId="4" fillId="10" borderId="26" xfId="0" applyFont="1" applyFill="1" applyBorder="1" applyAlignment="1" applyProtection="1">
      <alignment horizontal="right"/>
    </xf>
    <xf numFmtId="0" fontId="4" fillId="0" borderId="0" xfId="0" applyFont="1" applyProtection="1"/>
    <xf numFmtId="0" fontId="0" fillId="10" borderId="27" xfId="0" applyFill="1" applyBorder="1" applyProtection="1"/>
    <xf numFmtId="0" fontId="9" fillId="12" borderId="2" xfId="0" applyFont="1" applyFill="1" applyBorder="1" applyAlignment="1" applyProtection="1">
      <alignment horizontal="right"/>
    </xf>
    <xf numFmtId="0" fontId="4" fillId="16" borderId="51" xfId="0" applyFont="1" applyFill="1" applyBorder="1" applyAlignment="1" applyProtection="1">
      <alignment horizontal="right" vertical="center"/>
    </xf>
    <xf numFmtId="0" fontId="4" fillId="16" borderId="53" xfId="0" applyFont="1" applyFill="1" applyBorder="1" applyAlignment="1" applyProtection="1">
      <alignment horizontal="right" vertical="center"/>
    </xf>
    <xf numFmtId="0" fontId="4" fillId="0" borderId="2" xfId="5" applyNumberFormat="1" applyBorder="1" applyAlignment="1" applyProtection="1">
      <alignment horizontal="center" vertical="center"/>
    </xf>
    <xf numFmtId="0" fontId="4" fillId="11" borderId="51" xfId="0" applyFont="1" applyFill="1" applyBorder="1" applyAlignment="1" applyProtection="1">
      <alignment horizontal="right" vertical="center"/>
    </xf>
    <xf numFmtId="0" fontId="4" fillId="11" borderId="53" xfId="0" applyFont="1" applyFill="1" applyBorder="1" applyAlignment="1" applyProtection="1">
      <alignment horizontal="right" vertical="center"/>
    </xf>
    <xf numFmtId="0" fontId="4" fillId="0" borderId="51" xfId="0" applyFont="1" applyBorder="1" applyAlignment="1" applyProtection="1">
      <alignment horizontal="right" vertical="center"/>
    </xf>
    <xf numFmtId="0" fontId="8" fillId="13" borderId="71" xfId="0" applyFont="1" applyFill="1" applyBorder="1" applyAlignment="1" applyProtection="1">
      <alignment horizontal="center" vertical="center" wrapText="1"/>
    </xf>
    <xf numFmtId="0" fontId="8" fillId="13" borderId="50" xfId="0" applyFont="1" applyFill="1" applyBorder="1" applyAlignment="1" applyProtection="1">
      <alignment horizontal="center" vertical="center" wrapText="1"/>
    </xf>
    <xf numFmtId="0" fontId="4" fillId="0" borderId="72" xfId="0" applyFont="1" applyFill="1" applyBorder="1" applyAlignment="1" applyProtection="1">
      <alignment horizontal="center" vertical="center" wrapText="1"/>
    </xf>
    <xf numFmtId="167" fontId="4" fillId="0" borderId="72" xfId="0" applyNumberFormat="1" applyFont="1" applyFill="1" applyBorder="1" applyAlignment="1" applyProtection="1">
      <alignment horizontal="center" vertical="center" wrapText="1"/>
    </xf>
    <xf numFmtId="167" fontId="4" fillId="0" borderId="52" xfId="0" applyNumberFormat="1" applyFont="1" applyFill="1" applyBorder="1" applyAlignment="1" applyProtection="1">
      <alignment horizontal="center" vertical="center" wrapText="1"/>
    </xf>
    <xf numFmtId="0" fontId="4" fillId="16" borderId="52" xfId="0" applyFont="1" applyFill="1" applyBorder="1" applyAlignment="1" applyProtection="1">
      <alignment horizontal="center"/>
    </xf>
    <xf numFmtId="0" fontId="8" fillId="13" borderId="72" xfId="0" applyFont="1" applyFill="1" applyBorder="1" applyAlignment="1" applyProtection="1">
      <alignment horizontal="center" vertical="center" wrapText="1"/>
    </xf>
    <xf numFmtId="0" fontId="8" fillId="13" borderId="52" xfId="0" applyFont="1" applyFill="1" applyBorder="1" applyAlignment="1" applyProtection="1">
      <alignment horizontal="center" vertical="center" wrapText="1"/>
    </xf>
    <xf numFmtId="0" fontId="0" fillId="0" borderId="52" xfId="0" applyNumberFormat="1" applyBorder="1" applyAlignment="1" applyProtection="1">
      <alignment horizontal="center"/>
    </xf>
    <xf numFmtId="0" fontId="4" fillId="0" borderId="73" xfId="0" applyFont="1" applyFill="1" applyBorder="1" applyAlignment="1" applyProtection="1">
      <alignment horizontal="center" vertical="center" wrapText="1"/>
    </xf>
    <xf numFmtId="0" fontId="4" fillId="0" borderId="74" xfId="0" applyFont="1" applyFill="1" applyBorder="1" applyAlignment="1" applyProtection="1">
      <alignment horizontal="center" vertical="center" wrapText="1"/>
    </xf>
    <xf numFmtId="169" fontId="0" fillId="11" borderId="52" xfId="0" applyNumberFormat="1" applyFill="1" applyBorder="1" applyAlignment="1" applyProtection="1">
      <alignment horizontal="center" vertical="center"/>
      <protection locked="0"/>
    </xf>
    <xf numFmtId="169" fontId="0" fillId="0" borderId="52" xfId="0" applyNumberFormat="1" applyBorder="1" applyAlignment="1" applyProtection="1">
      <alignment horizontal="center" vertical="center"/>
      <protection locked="0"/>
    </xf>
    <xf numFmtId="169" fontId="4" fillId="16" borderId="52" xfId="0" applyNumberFormat="1" applyFont="1" applyFill="1" applyBorder="1" applyAlignment="1" applyProtection="1">
      <alignment horizontal="center" vertical="center"/>
      <protection locked="0"/>
    </xf>
    <xf numFmtId="169" fontId="4" fillId="11" borderId="54" xfId="0" applyNumberFormat="1" applyFont="1" applyFill="1" applyBorder="1" applyAlignment="1" applyProtection="1">
      <alignment horizontal="center" vertical="center"/>
      <protection locked="0"/>
    </xf>
    <xf numFmtId="0" fontId="4" fillId="21" borderId="2" xfId="5" applyNumberFormat="1" applyFill="1" applyBorder="1" applyAlignment="1" applyProtection="1">
      <alignment horizontal="center" vertical="center"/>
      <protection locked="0"/>
    </xf>
    <xf numFmtId="170" fontId="4" fillId="21" borderId="2" xfId="1" applyNumberFormat="1" applyFont="1" applyFill="1" applyBorder="1" applyAlignment="1" applyProtection="1">
      <alignment horizontal="center" vertical="center"/>
      <protection locked="0"/>
    </xf>
    <xf numFmtId="0" fontId="16" fillId="2" borderId="0" xfId="5" applyFont="1" applyFill="1" applyAlignment="1" applyProtection="1">
      <alignment vertical="center"/>
    </xf>
    <xf numFmtId="0" fontId="19" fillId="22" borderId="2" xfId="5" applyFont="1" applyFill="1" applyBorder="1" applyAlignment="1" applyProtection="1">
      <alignment horizontal="center" vertical="center"/>
    </xf>
    <xf numFmtId="0" fontId="19" fillId="22" borderId="2" xfId="5" applyFont="1" applyFill="1" applyBorder="1" applyAlignment="1" applyProtection="1">
      <alignment horizontal="center" vertical="center" wrapText="1"/>
    </xf>
    <xf numFmtId="0" fontId="13" fillId="22" borderId="2" xfId="5" applyFont="1" applyFill="1" applyBorder="1" applyAlignment="1" applyProtection="1">
      <alignment horizontal="center" vertical="top" wrapText="1"/>
    </xf>
    <xf numFmtId="0" fontId="13" fillId="22" borderId="2" xfId="5" applyFont="1" applyFill="1" applyBorder="1" applyAlignment="1" applyProtection="1">
      <alignment horizontal="left" vertical="center" wrapText="1"/>
    </xf>
    <xf numFmtId="0" fontId="13" fillId="22" borderId="2" xfId="5" applyFont="1" applyFill="1" applyBorder="1" applyAlignment="1" applyProtection="1">
      <alignment horizontal="left" vertical="top" wrapText="1"/>
    </xf>
    <xf numFmtId="0" fontId="0" fillId="0" borderId="0" xfId="0" applyFill="1" applyProtection="1"/>
    <xf numFmtId="0" fontId="0" fillId="16" borderId="0" xfId="0" applyFill="1" applyProtection="1"/>
    <xf numFmtId="165" fontId="4" fillId="0" borderId="52" xfId="0" applyNumberFormat="1" applyFont="1" applyFill="1" applyBorder="1" applyAlignment="1" applyProtection="1">
      <alignment horizontal="center" vertical="center"/>
      <protection locked="0"/>
    </xf>
    <xf numFmtId="166" fontId="4" fillId="0" borderId="54" xfId="0" applyNumberFormat="1" applyFont="1" applyFill="1" applyBorder="1" applyAlignment="1" applyProtection="1">
      <alignment horizontal="center" vertical="center"/>
      <protection locked="0"/>
    </xf>
    <xf numFmtId="165" fontId="4" fillId="23" borderId="52" xfId="0" applyNumberFormat="1" applyFont="1" applyFill="1" applyBorder="1" applyAlignment="1" applyProtection="1">
      <alignment horizontal="center" vertical="center"/>
      <protection locked="0"/>
    </xf>
    <xf numFmtId="166" fontId="4" fillId="23" borderId="54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/>
    <xf numFmtId="0" fontId="20" fillId="0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6" fillId="0" borderId="0" xfId="0" applyFont="1" applyFill="1" applyAlignment="1">
      <alignment horizontal="center"/>
    </xf>
    <xf numFmtId="168" fontId="16" fillId="0" borderId="0" xfId="0" applyNumberFormat="1" applyFont="1" applyAlignment="1">
      <alignment horizontal="center" vertical="center"/>
    </xf>
    <xf numFmtId="167" fontId="21" fillId="6" borderId="10" xfId="0" applyNumberFormat="1" applyFont="1" applyFill="1" applyBorder="1" applyAlignment="1">
      <alignment horizontal="center" vertical="center"/>
    </xf>
    <xf numFmtId="165" fontId="16" fillId="0" borderId="10" xfId="0" applyNumberFormat="1" applyFont="1" applyFill="1" applyBorder="1" applyAlignment="1">
      <alignment horizontal="center" vertical="center"/>
    </xf>
    <xf numFmtId="166" fontId="16" fillId="0" borderId="10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left"/>
    </xf>
    <xf numFmtId="165" fontId="16" fillId="6" borderId="10" xfId="0" applyNumberFormat="1" applyFont="1" applyFill="1" applyBorder="1" applyAlignment="1">
      <alignment horizontal="center" vertical="center"/>
    </xf>
    <xf numFmtId="166" fontId="16" fillId="6" borderId="10" xfId="0" applyNumberFormat="1" applyFont="1" applyFill="1" applyBorder="1" applyAlignment="1">
      <alignment horizontal="center" vertical="center"/>
    </xf>
    <xf numFmtId="166" fontId="16" fillId="0" borderId="13" xfId="0" applyNumberFormat="1" applyFont="1" applyFill="1" applyBorder="1" applyAlignment="1">
      <alignment horizontal="center" vertical="center"/>
    </xf>
    <xf numFmtId="0" fontId="20" fillId="17" borderId="48" xfId="0" applyFont="1" applyFill="1" applyBorder="1" applyAlignment="1">
      <alignment vertical="center"/>
    </xf>
    <xf numFmtId="0" fontId="20" fillId="17" borderId="36" xfId="0" applyFont="1" applyFill="1" applyBorder="1" applyAlignment="1">
      <alignment vertical="center"/>
    </xf>
    <xf numFmtId="0" fontId="16" fillId="10" borderId="55" xfId="0" applyFont="1" applyFill="1" applyBorder="1" applyAlignment="1">
      <alignment vertical="center"/>
    </xf>
    <xf numFmtId="0" fontId="16" fillId="10" borderId="56" xfId="0" applyFont="1" applyFill="1" applyBorder="1" applyAlignment="1">
      <alignment vertical="center"/>
    </xf>
    <xf numFmtId="169" fontId="16" fillId="10" borderId="13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Fill="1" applyAlignment="1">
      <alignment horizontal="center"/>
    </xf>
    <xf numFmtId="168" fontId="22" fillId="0" borderId="0" xfId="0" applyNumberFormat="1" applyFont="1" applyAlignment="1">
      <alignment horizontal="center" vertical="center"/>
    </xf>
    <xf numFmtId="0" fontId="22" fillId="0" borderId="0" xfId="0" applyFont="1" applyAlignment="1"/>
    <xf numFmtId="0" fontId="16" fillId="0" borderId="0" xfId="0" applyFont="1" applyAlignment="1">
      <alignment horizontal="center" vertical="center" wrapText="1"/>
    </xf>
    <xf numFmtId="0" fontId="16" fillId="4" borderId="31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49" fontId="16" fillId="2" borderId="17" xfId="0" applyNumberFormat="1" applyFont="1" applyFill="1" applyBorder="1" applyAlignment="1">
      <alignment horizontal="center" vertical="center" textRotation="90" wrapText="1"/>
    </xf>
    <xf numFmtId="0" fontId="16" fillId="2" borderId="18" xfId="0" applyFont="1" applyFill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6" fillId="15" borderId="17" xfId="0" applyFont="1" applyFill="1" applyBorder="1" applyAlignment="1">
      <alignment horizontal="center" vertical="center" wrapText="1"/>
    </xf>
    <xf numFmtId="0" fontId="16" fillId="15" borderId="18" xfId="0" applyFont="1" applyFill="1" applyBorder="1" applyAlignment="1">
      <alignment horizontal="center" vertical="center" wrapText="1"/>
    </xf>
    <xf numFmtId="0" fontId="16" fillId="15" borderId="47" xfId="0" applyFont="1" applyFill="1" applyBorder="1" applyAlignment="1">
      <alignment horizontal="center" vertical="center" wrapText="1"/>
    </xf>
    <xf numFmtId="0" fontId="16" fillId="3" borderId="28" xfId="0" applyFont="1" applyFill="1" applyBorder="1" applyAlignment="1">
      <alignment horizontal="center" vertical="center" wrapText="1"/>
    </xf>
    <xf numFmtId="0" fontId="16" fillId="4" borderId="30" xfId="0" applyFont="1" applyFill="1" applyBorder="1" applyAlignment="1">
      <alignment horizontal="center" vertical="center" wrapText="1"/>
    </xf>
    <xf numFmtId="0" fontId="16" fillId="9" borderId="17" xfId="0" applyFont="1" applyFill="1" applyBorder="1" applyAlignment="1">
      <alignment horizontal="center" vertical="center" wrapText="1"/>
    </xf>
    <xf numFmtId="0" fontId="16" fillId="9" borderId="19" xfId="0" applyFont="1" applyFill="1" applyBorder="1" applyAlignment="1">
      <alignment horizontal="center" vertical="center" wrapText="1"/>
    </xf>
    <xf numFmtId="0" fontId="16" fillId="20" borderId="17" xfId="0" applyFont="1" applyFill="1" applyBorder="1" applyAlignment="1">
      <alignment horizontal="center" vertical="center" wrapText="1"/>
    </xf>
    <xf numFmtId="0" fontId="16" fillId="20" borderId="19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right"/>
    </xf>
    <xf numFmtId="0" fontId="16" fillId="0" borderId="0" xfId="0" applyFont="1" applyFill="1" applyBorder="1" applyAlignment="1">
      <alignment horizontal="center" vertical="center"/>
    </xf>
    <xf numFmtId="165" fontId="16" fillId="0" borderId="0" xfId="0" applyNumberFormat="1" applyFont="1" applyFill="1" applyBorder="1" applyAlignment="1">
      <alignment horizontal="center" vertical="center"/>
    </xf>
    <xf numFmtId="166" fontId="16" fillId="15" borderId="57" xfId="0" applyNumberFormat="1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15" borderId="57" xfId="0" applyFont="1" applyFill="1" applyBorder="1" applyAlignment="1">
      <alignment horizontal="center" vertical="center" wrapText="1"/>
    </xf>
    <xf numFmtId="0" fontId="16" fillId="4" borderId="57" xfId="0" applyFont="1" applyFill="1" applyBorder="1" applyAlignment="1">
      <alignment horizontal="center" vertical="center" wrapText="1"/>
    </xf>
    <xf numFmtId="0" fontId="16" fillId="0" borderId="0" xfId="0" applyFont="1"/>
    <xf numFmtId="9" fontId="16" fillId="0" borderId="0" xfId="1" applyFont="1" applyBorder="1"/>
    <xf numFmtId="169" fontId="16" fillId="10" borderId="10" xfId="0" applyNumberFormat="1" applyFont="1" applyFill="1" applyBorder="1" applyAlignment="1">
      <alignment horizontal="center" vertical="center"/>
    </xf>
    <xf numFmtId="169" fontId="16" fillId="0" borderId="13" xfId="0" applyNumberFormat="1" applyFont="1" applyFill="1" applyBorder="1" applyAlignment="1">
      <alignment horizontal="center" vertical="center"/>
    </xf>
    <xf numFmtId="0" fontId="16" fillId="0" borderId="0" xfId="0" applyFont="1" applyFill="1"/>
    <xf numFmtId="0" fontId="16" fillId="0" borderId="0" xfId="0" applyFont="1" applyFill="1" applyBorder="1" applyAlignment="1">
      <alignment horizontal="right" vertical="center"/>
    </xf>
    <xf numFmtId="0" fontId="16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right" vertical="center" wrapText="1"/>
    </xf>
    <xf numFmtId="49" fontId="16" fillId="2" borderId="17" xfId="0" applyNumberFormat="1" applyFont="1" applyFill="1" applyBorder="1" applyAlignment="1">
      <alignment horizontal="center" vertical="center" textRotation="90"/>
    </xf>
    <xf numFmtId="0" fontId="16" fillId="2" borderId="18" xfId="0" applyFont="1" applyFill="1" applyBorder="1" applyAlignment="1">
      <alignment horizontal="center" vertical="center"/>
    </xf>
    <xf numFmtId="0" fontId="16" fillId="2" borderId="47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NumberFormat="1" applyFont="1" applyFill="1" applyAlignment="1">
      <alignment horizontal="center" vertical="center"/>
    </xf>
    <xf numFmtId="2" fontId="16" fillId="0" borderId="0" xfId="0" applyNumberFormat="1" applyFont="1" applyFill="1" applyAlignment="1">
      <alignment horizontal="center" vertical="center"/>
    </xf>
    <xf numFmtId="2" fontId="16" fillId="0" borderId="0" xfId="0" applyNumberFormat="1" applyFont="1" applyFill="1" applyAlignment="1">
      <alignment horizontal="center" vertical="center" wrapText="1"/>
    </xf>
    <xf numFmtId="0" fontId="16" fillId="15" borderId="19" xfId="0" applyFont="1" applyFill="1" applyBorder="1" applyAlignment="1">
      <alignment horizontal="center" vertical="center" wrapText="1"/>
    </xf>
    <xf numFmtId="0" fontId="16" fillId="3" borderId="75" xfId="0" applyFont="1" applyFill="1" applyBorder="1" applyAlignment="1">
      <alignment horizontal="center" vertical="center" wrapText="1"/>
    </xf>
    <xf numFmtId="9" fontId="16" fillId="3" borderId="18" xfId="1" applyFont="1" applyFill="1" applyBorder="1" applyAlignment="1">
      <alignment horizontal="center" vertical="center" wrapText="1"/>
    </xf>
    <xf numFmtId="0" fontId="16" fillId="9" borderId="20" xfId="0" applyFont="1" applyFill="1" applyBorder="1" applyAlignment="1">
      <alignment horizontal="center" vertical="center" wrapText="1"/>
    </xf>
    <xf numFmtId="0" fontId="16" fillId="9" borderId="62" xfId="0" applyFont="1" applyFill="1" applyBorder="1" applyAlignment="1">
      <alignment horizontal="center" vertical="center" wrapText="1"/>
    </xf>
    <xf numFmtId="0" fontId="16" fillId="2" borderId="82" xfId="0" applyFont="1" applyFill="1" applyBorder="1" applyAlignment="1">
      <alignment horizontal="center" vertical="center" wrapText="1"/>
    </xf>
    <xf numFmtId="0" fontId="16" fillId="2" borderId="83" xfId="0" applyFont="1" applyFill="1" applyBorder="1" applyAlignment="1">
      <alignment horizontal="center" vertical="center" wrapText="1"/>
    </xf>
    <xf numFmtId="0" fontId="16" fillId="15" borderId="23" xfId="0" applyFont="1" applyFill="1" applyBorder="1" applyAlignment="1">
      <alignment horizontal="center" vertical="center" wrapText="1"/>
    </xf>
    <xf numFmtId="0" fontId="16" fillId="15" borderId="84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18" xfId="0" applyFont="1" applyFill="1" applyBorder="1" applyAlignment="1">
      <alignment horizontal="center" vertical="center" wrapText="1"/>
    </xf>
    <xf numFmtId="0" fontId="16" fillId="0" borderId="0" xfId="0" applyNumberFormat="1" applyFont="1"/>
    <xf numFmtId="164" fontId="16" fillId="0" borderId="0" xfId="4" applyNumberFormat="1" applyFont="1"/>
    <xf numFmtId="168" fontId="16" fillId="0" borderId="0" xfId="0" applyNumberFormat="1" applyFont="1"/>
    <xf numFmtId="2" fontId="16" fillId="0" borderId="0" xfId="0" applyNumberFormat="1" applyFont="1"/>
    <xf numFmtId="0" fontId="25" fillId="16" borderId="32" xfId="0" applyFont="1" applyFill="1" applyBorder="1" applyAlignment="1">
      <alignment horizontal="right" vertical="center"/>
    </xf>
    <xf numFmtId="0" fontId="25" fillId="16" borderId="33" xfId="0" applyFont="1" applyFill="1" applyBorder="1" applyAlignment="1">
      <alignment horizontal="right" vertical="center"/>
    </xf>
    <xf numFmtId="169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Border="1"/>
    <xf numFmtId="0" fontId="26" fillId="0" borderId="0" xfId="0" applyFont="1" applyFill="1" applyBorder="1" applyAlignment="1">
      <alignment horizontal="center" vertical="center" textRotation="90"/>
    </xf>
    <xf numFmtId="0" fontId="16" fillId="0" borderId="0" xfId="0" applyNumberFormat="1" applyFont="1" applyBorder="1"/>
    <xf numFmtId="168" fontId="16" fillId="0" borderId="0" xfId="0" applyNumberFormat="1" applyFont="1" applyFill="1" applyBorder="1" applyAlignment="1">
      <alignment horizontal="right" vertical="center"/>
    </xf>
    <xf numFmtId="0" fontId="16" fillId="0" borderId="37" xfId="0" applyFont="1" applyBorder="1"/>
    <xf numFmtId="0" fontId="26" fillId="0" borderId="37" xfId="0" applyFont="1" applyFill="1" applyBorder="1" applyAlignment="1">
      <alignment horizontal="center" vertical="center" textRotation="90"/>
    </xf>
    <xf numFmtId="0" fontId="16" fillId="0" borderId="37" xfId="0" applyFont="1" applyFill="1" applyBorder="1" applyAlignment="1">
      <alignment horizontal="right" vertical="center"/>
    </xf>
    <xf numFmtId="0" fontId="16" fillId="9" borderId="28" xfId="0" applyFont="1" applyFill="1" applyBorder="1" applyAlignment="1">
      <alignment horizontal="center" vertical="center" wrapText="1"/>
    </xf>
    <xf numFmtId="167" fontId="21" fillId="6" borderId="5" xfId="0" applyNumberFormat="1" applyFont="1" applyFill="1" applyBorder="1" applyAlignment="1">
      <alignment horizontal="center" vertical="center"/>
    </xf>
    <xf numFmtId="166" fontId="16" fillId="0" borderId="4" xfId="0" applyNumberFormat="1" applyFont="1" applyFill="1" applyBorder="1" applyAlignment="1">
      <alignment horizontal="center" vertical="center"/>
    </xf>
    <xf numFmtId="0" fontId="16" fillId="0" borderId="0" xfId="5" applyFont="1"/>
    <xf numFmtId="169" fontId="16" fillId="16" borderId="10" xfId="0" applyNumberFormat="1" applyFont="1" applyFill="1" applyBorder="1" applyAlignment="1">
      <alignment horizontal="center" vertical="center"/>
    </xf>
    <xf numFmtId="0" fontId="28" fillId="12" borderId="2" xfId="0" applyFont="1" applyFill="1" applyBorder="1" applyAlignment="1">
      <alignment horizontal="right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/>
    <xf numFmtId="0" fontId="28" fillId="12" borderId="68" xfId="5" applyFont="1" applyFill="1" applyBorder="1" applyAlignment="1">
      <alignment horizontal="center" vertical="center"/>
    </xf>
    <xf numFmtId="0" fontId="16" fillId="0" borderId="68" xfId="0" applyFont="1" applyBorder="1" applyAlignment="1"/>
    <xf numFmtId="0" fontId="28" fillId="12" borderId="39" xfId="5" applyFont="1" applyFill="1" applyBorder="1" applyAlignment="1">
      <alignment horizontal="center" vertical="center"/>
    </xf>
    <xf numFmtId="0" fontId="16" fillId="0" borderId="2" xfId="5" applyNumberFormat="1" applyFont="1" applyBorder="1" applyAlignment="1">
      <alignment horizontal="center" vertical="center"/>
    </xf>
    <xf numFmtId="170" fontId="16" fillId="0" borderId="2" xfId="1" applyNumberFormat="1" applyFont="1" applyBorder="1" applyAlignment="1">
      <alignment horizontal="center" vertical="center"/>
    </xf>
    <xf numFmtId="170" fontId="16" fillId="0" borderId="2" xfId="1" applyNumberFormat="1" applyFont="1" applyBorder="1"/>
    <xf numFmtId="43" fontId="16" fillId="0" borderId="0" xfId="4" applyFont="1"/>
    <xf numFmtId="0" fontId="20" fillId="0" borderId="0" xfId="0" applyFont="1" applyFill="1" applyBorder="1" applyAlignment="1">
      <alignment vertical="center" textRotation="90" wrapText="1"/>
    </xf>
    <xf numFmtId="0" fontId="16" fillId="0" borderId="0" xfId="5" applyFont="1" applyAlignment="1">
      <alignment vertical="center"/>
    </xf>
    <xf numFmtId="0" fontId="16" fillId="15" borderId="63" xfId="0" applyFont="1" applyFill="1" applyBorder="1" applyAlignment="1">
      <alignment horizontal="center" vertical="center" wrapText="1"/>
    </xf>
    <xf numFmtId="0" fontId="16" fillId="15" borderId="38" xfId="0" applyFont="1" applyFill="1" applyBorder="1" applyAlignment="1">
      <alignment horizontal="center" vertical="center" wrapText="1"/>
    </xf>
    <xf numFmtId="0" fontId="16" fillId="15" borderId="70" xfId="0" applyFont="1" applyFill="1" applyBorder="1" applyAlignment="1">
      <alignment horizontal="center" vertical="center" wrapText="1"/>
    </xf>
    <xf numFmtId="0" fontId="16" fillId="15" borderId="4" xfId="0" applyFont="1" applyFill="1" applyBorder="1" applyAlignment="1">
      <alignment horizontal="center" vertical="center" wrapText="1"/>
    </xf>
    <xf numFmtId="0" fontId="29" fillId="3" borderId="62" xfId="0" applyFont="1" applyFill="1" applyBorder="1" applyAlignment="1">
      <alignment horizontal="center" vertical="center" wrapText="1"/>
    </xf>
    <xf numFmtId="0" fontId="16" fillId="0" borderId="0" xfId="5" applyFont="1" applyAlignment="1">
      <alignment vertical="center" wrapText="1"/>
    </xf>
    <xf numFmtId="0" fontId="16" fillId="3" borderId="31" xfId="0" applyFont="1" applyFill="1" applyBorder="1" applyAlignment="1">
      <alignment horizontal="center" vertical="center" wrapText="1"/>
    </xf>
    <xf numFmtId="0" fontId="16" fillId="3" borderId="57" xfId="0" applyFont="1" applyFill="1" applyBorder="1" applyAlignment="1">
      <alignment horizontal="center" vertical="center" wrapText="1"/>
    </xf>
    <xf numFmtId="0" fontId="16" fillId="0" borderId="0" xfId="0" applyFont="1" applyProtection="1"/>
    <xf numFmtId="0" fontId="16" fillId="0" borderId="0" xfId="0" applyFont="1" applyAlignment="1" applyProtection="1">
      <alignment horizontal="center"/>
    </xf>
    <xf numFmtId="9" fontId="16" fillId="0" borderId="0" xfId="1" applyFont="1" applyBorder="1" applyProtection="1"/>
    <xf numFmtId="167" fontId="21" fillId="6" borderId="10" xfId="0" applyNumberFormat="1" applyFont="1" applyFill="1" applyBorder="1" applyAlignment="1" applyProtection="1">
      <alignment horizontal="center" vertical="center"/>
    </xf>
    <xf numFmtId="165" fontId="16" fillId="0" borderId="10" xfId="0" applyNumberFormat="1" applyFont="1" applyFill="1" applyBorder="1" applyAlignment="1" applyProtection="1">
      <alignment horizontal="center" vertical="center"/>
    </xf>
    <xf numFmtId="166" fontId="16" fillId="0" borderId="10" xfId="0" applyNumberFormat="1" applyFont="1" applyFill="1" applyBorder="1" applyAlignment="1" applyProtection="1">
      <alignment horizontal="center" vertical="center"/>
    </xf>
    <xf numFmtId="165" fontId="16" fillId="6" borderId="10" xfId="0" applyNumberFormat="1" applyFont="1" applyFill="1" applyBorder="1" applyAlignment="1" applyProtection="1">
      <alignment horizontal="center" vertical="center"/>
    </xf>
    <xf numFmtId="166" fontId="16" fillId="6" borderId="10" xfId="0" applyNumberFormat="1" applyFont="1" applyFill="1" applyBorder="1" applyAlignment="1" applyProtection="1">
      <alignment horizontal="center" vertical="center"/>
    </xf>
    <xf numFmtId="166" fontId="16" fillId="0" borderId="13" xfId="0" applyNumberFormat="1" applyFont="1" applyFill="1" applyBorder="1" applyAlignment="1" applyProtection="1">
      <alignment horizontal="center" vertical="center"/>
    </xf>
    <xf numFmtId="169" fontId="16" fillId="10" borderId="10" xfId="0" applyNumberFormat="1" applyFont="1" applyFill="1" applyBorder="1" applyAlignment="1" applyProtection="1">
      <alignment horizontal="center" vertical="center"/>
    </xf>
    <xf numFmtId="169" fontId="16" fillId="0" borderId="13" xfId="0" applyNumberFormat="1" applyFont="1" applyFill="1" applyBorder="1" applyAlignment="1" applyProtection="1">
      <alignment horizontal="center" vertical="center"/>
    </xf>
    <xf numFmtId="0" fontId="16" fillId="0" borderId="0" xfId="0" applyFont="1" applyFill="1" applyProtection="1"/>
    <xf numFmtId="0" fontId="16" fillId="0" borderId="0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right" vertical="center"/>
    </xf>
    <xf numFmtId="0" fontId="16" fillId="0" borderId="0" xfId="0" applyFont="1" applyFill="1" applyAlignment="1" applyProtection="1">
      <alignment wrapText="1"/>
    </xf>
    <xf numFmtId="0" fontId="16" fillId="0" borderId="0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right" vertical="center" wrapText="1"/>
    </xf>
    <xf numFmtId="49" fontId="16" fillId="2" borderId="17" xfId="0" applyNumberFormat="1" applyFont="1" applyFill="1" applyBorder="1" applyAlignment="1" applyProtection="1">
      <alignment horizontal="center" vertical="center" textRotation="90"/>
    </xf>
    <xf numFmtId="0" fontId="16" fillId="2" borderId="18" xfId="0" applyFont="1" applyFill="1" applyBorder="1" applyAlignment="1" applyProtection="1">
      <alignment horizontal="center" vertical="center"/>
    </xf>
    <xf numFmtId="0" fontId="16" fillId="2" borderId="18" xfId="0" applyFont="1" applyFill="1" applyBorder="1" applyAlignment="1" applyProtection="1">
      <alignment horizontal="center" vertical="center" wrapText="1"/>
    </xf>
    <xf numFmtId="0" fontId="16" fillId="2" borderId="19" xfId="0" applyFont="1" applyFill="1" applyBorder="1" applyAlignment="1" applyProtection="1">
      <alignment horizontal="center" vertical="center" wrapText="1"/>
    </xf>
    <xf numFmtId="0" fontId="16" fillId="2" borderId="0" xfId="0" applyFont="1" applyFill="1" applyAlignment="1" applyProtection="1">
      <alignment horizontal="center" vertical="center"/>
    </xf>
    <xf numFmtId="0" fontId="30" fillId="22" borderId="0" xfId="5" applyFont="1" applyFill="1" applyAlignment="1" applyProtection="1">
      <alignment vertical="center"/>
    </xf>
    <xf numFmtId="0" fontId="30" fillId="22" borderId="0" xfId="5" applyFont="1" applyFill="1" applyAlignment="1" applyProtection="1">
      <alignment vertical="center" wrapText="1"/>
    </xf>
    <xf numFmtId="2" fontId="13" fillId="2" borderId="18" xfId="0" applyNumberFormat="1" applyFont="1" applyFill="1" applyBorder="1" applyAlignment="1">
      <alignment horizontal="center" vertical="center"/>
    </xf>
    <xf numFmtId="2" fontId="31" fillId="2" borderId="18" xfId="0" applyNumberFormat="1" applyFont="1" applyFill="1" applyBorder="1" applyAlignment="1">
      <alignment horizontal="center" vertical="center"/>
    </xf>
    <xf numFmtId="0" fontId="16" fillId="3" borderId="23" xfId="0" applyFont="1" applyFill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 wrapText="1"/>
    </xf>
    <xf numFmtId="0" fontId="16" fillId="9" borderId="23" xfId="0" applyFont="1" applyFill="1" applyBorder="1" applyAlignment="1">
      <alignment horizontal="center" vertical="center" wrapText="1"/>
    </xf>
    <xf numFmtId="0" fontId="16" fillId="0" borderId="0" xfId="1" applyNumberFormat="1" applyFont="1" applyAlignment="1">
      <alignment horizontal="center"/>
    </xf>
    <xf numFmtId="9" fontId="16" fillId="0" borderId="0" xfId="1" applyFont="1" applyAlignment="1">
      <alignment horizontal="center"/>
    </xf>
    <xf numFmtId="164" fontId="16" fillId="0" borderId="0" xfId="4" applyNumberFormat="1" applyFont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2" fontId="16" fillId="0" borderId="0" xfId="0" applyNumberFormat="1" applyFont="1" applyAlignment="1">
      <alignment horizontal="center" vertical="center" wrapText="1"/>
    </xf>
    <xf numFmtId="0" fontId="16" fillId="0" borderId="16" xfId="0" applyFont="1" applyFill="1" applyBorder="1" applyAlignment="1">
      <alignment vertical="center"/>
    </xf>
    <xf numFmtId="0" fontId="16" fillId="0" borderId="15" xfId="0" applyFont="1" applyFill="1" applyBorder="1" applyAlignment="1">
      <alignment vertical="center"/>
    </xf>
    <xf numFmtId="0" fontId="16" fillId="6" borderId="16" xfId="0" applyFont="1" applyFill="1" applyBorder="1" applyAlignment="1">
      <alignment vertical="center"/>
    </xf>
    <xf numFmtId="0" fontId="16" fillId="6" borderId="15" xfId="0" applyFont="1" applyFill="1" applyBorder="1" applyAlignment="1">
      <alignment vertical="center"/>
    </xf>
    <xf numFmtId="0" fontId="16" fillId="0" borderId="20" xfId="0" applyFont="1" applyFill="1" applyBorder="1" applyAlignment="1">
      <alignment vertical="center"/>
    </xf>
    <xf numFmtId="0" fontId="16" fillId="0" borderId="0" xfId="0" quotePrefix="1" applyFont="1" applyAlignment="1"/>
    <xf numFmtId="0" fontId="16" fillId="3" borderId="17" xfId="0" applyFont="1" applyFill="1" applyBorder="1" applyAlignment="1">
      <alignment horizontal="center" vertical="center" wrapText="1"/>
    </xf>
    <xf numFmtId="0" fontId="16" fillId="3" borderId="18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49" fontId="13" fillId="22" borderId="2" xfId="5" quotePrefix="1" applyNumberFormat="1" applyFont="1" applyFill="1" applyBorder="1" applyAlignment="1" applyProtection="1">
      <alignment horizontal="center" vertical="top"/>
    </xf>
    <xf numFmtId="0" fontId="4" fillId="16" borderId="54" xfId="0" applyFont="1" applyFill="1" applyBorder="1" applyAlignment="1" applyProtection="1">
      <alignment horizontal="center"/>
    </xf>
    <xf numFmtId="171" fontId="4" fillId="0" borderId="72" xfId="0" applyNumberFormat="1" applyFont="1" applyFill="1" applyBorder="1" applyAlignment="1" applyProtection="1">
      <alignment horizontal="center" vertical="center" wrapText="1"/>
    </xf>
    <xf numFmtId="171" fontId="4" fillId="0" borderId="73" xfId="0" applyNumberFormat="1" applyFont="1" applyFill="1" applyBorder="1" applyAlignment="1" applyProtection="1">
      <alignment horizontal="center" vertical="center" wrapText="1"/>
    </xf>
    <xf numFmtId="0" fontId="4" fillId="0" borderId="52" xfId="0" applyNumberFormat="1" applyFont="1" applyBorder="1" applyAlignment="1" applyProtection="1">
      <alignment horizontal="center"/>
    </xf>
    <xf numFmtId="0" fontId="16" fillId="9" borderId="86" xfId="0" applyFont="1" applyFill="1" applyBorder="1" applyAlignment="1">
      <alignment horizontal="center" vertical="center" wrapText="1"/>
    </xf>
    <xf numFmtId="0" fontId="16" fillId="9" borderId="19" xfId="0" applyFont="1" applyFill="1" applyBorder="1" applyAlignment="1">
      <alignment horizontal="center" vertical="center" wrapText="1"/>
    </xf>
    <xf numFmtId="0" fontId="16" fillId="15" borderId="17" xfId="0" applyFont="1" applyFill="1" applyBorder="1" applyAlignment="1" applyProtection="1">
      <alignment horizontal="center" vertical="center" wrapText="1"/>
    </xf>
    <xf numFmtId="0" fontId="16" fillId="15" borderId="18" xfId="0" applyFont="1" applyFill="1" applyBorder="1" applyAlignment="1" applyProtection="1">
      <alignment horizontal="center" vertical="center" wrapText="1"/>
    </xf>
    <xf numFmtId="9" fontId="16" fillId="15" borderId="19" xfId="1" applyFont="1" applyFill="1" applyBorder="1" applyAlignment="1" applyProtection="1">
      <alignment horizontal="center" vertical="center" wrapText="1"/>
    </xf>
    <xf numFmtId="0" fontId="16" fillId="14" borderId="17" xfId="0" applyFont="1" applyFill="1" applyBorder="1" applyAlignment="1" applyProtection="1">
      <alignment horizontal="center" vertical="center" wrapText="1"/>
    </xf>
    <xf numFmtId="0" fontId="16" fillId="14" borderId="19" xfId="0" applyFont="1" applyFill="1" applyBorder="1" applyAlignment="1" applyProtection="1">
      <alignment horizontal="center" vertical="center" wrapText="1"/>
    </xf>
    <xf numFmtId="0" fontId="16" fillId="3" borderId="17" xfId="0" applyFont="1" applyFill="1" applyBorder="1" applyAlignment="1" applyProtection="1">
      <alignment horizontal="center" vertical="center" wrapText="1"/>
    </xf>
    <xf numFmtId="0" fontId="16" fillId="3" borderId="18" xfId="0" applyFont="1" applyFill="1" applyBorder="1" applyAlignment="1" applyProtection="1">
      <alignment horizontal="center" vertical="center" wrapText="1"/>
    </xf>
    <xf numFmtId="9" fontId="16" fillId="3" borderId="19" xfId="1" applyFont="1" applyFill="1" applyBorder="1" applyAlignment="1" applyProtection="1">
      <alignment horizontal="center" vertical="center" wrapText="1"/>
    </xf>
    <xf numFmtId="0" fontId="16" fillId="9" borderId="17" xfId="0" applyFont="1" applyFill="1" applyBorder="1" applyAlignment="1" applyProtection="1">
      <alignment horizontal="center" vertical="center" wrapText="1"/>
    </xf>
    <xf numFmtId="0" fontId="16" fillId="9" borderId="19" xfId="0" applyFont="1" applyFill="1" applyBorder="1" applyAlignment="1" applyProtection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2" fontId="13" fillId="2" borderId="17" xfId="0" applyNumberFormat="1" applyFont="1" applyFill="1" applyBorder="1" applyAlignment="1">
      <alignment horizontal="center" vertical="center"/>
    </xf>
    <xf numFmtId="2" fontId="13" fillId="2" borderId="19" xfId="0" applyNumberFormat="1" applyFont="1" applyFill="1" applyBorder="1" applyAlignment="1">
      <alignment horizontal="center" vertical="center"/>
    </xf>
    <xf numFmtId="0" fontId="4" fillId="0" borderId="0" xfId="0" applyFont="1"/>
    <xf numFmtId="49" fontId="13" fillId="16" borderId="2" xfId="5" quotePrefix="1" applyNumberFormat="1" applyFont="1" applyFill="1" applyBorder="1" applyAlignment="1" applyProtection="1">
      <alignment horizontal="center" vertical="top"/>
    </xf>
    <xf numFmtId="0" fontId="22" fillId="0" borderId="0" xfId="0" applyFont="1" applyBorder="1" applyAlignment="1"/>
    <xf numFmtId="0" fontId="16" fillId="0" borderId="0" xfId="0" applyFont="1" applyBorder="1" applyAlignment="1">
      <alignment vertical="center" wrapText="1"/>
    </xf>
    <xf numFmtId="0" fontId="37" fillId="0" borderId="0" xfId="0" applyFont="1" applyBorder="1" applyAlignment="1">
      <alignment vertical="center"/>
    </xf>
    <xf numFmtId="0" fontId="37" fillId="0" borderId="0" xfId="0" applyFont="1" applyBorder="1" applyAlignment="1"/>
    <xf numFmtId="49" fontId="16" fillId="2" borderId="17" xfId="0" applyNumberFormat="1" applyFont="1" applyFill="1" applyBorder="1" applyAlignment="1">
      <alignment horizontal="center" vertical="center" wrapText="1"/>
    </xf>
    <xf numFmtId="0" fontId="38" fillId="24" borderId="19" xfId="0" applyFont="1" applyFill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2" xfId="3">
      <alignment horizontal="center" vertical="center" wrapText="1"/>
    </xf>
    <xf numFmtId="9" fontId="4" fillId="0" borderId="2" xfId="3" applyNumberFormat="1">
      <alignment horizontal="center" vertical="center" wrapText="1"/>
    </xf>
    <xf numFmtId="169" fontId="4" fillId="0" borderId="2" xfId="3" applyNumberFormat="1">
      <alignment horizontal="center" vertical="center" wrapText="1"/>
    </xf>
    <xf numFmtId="164" fontId="4" fillId="0" borderId="2" xfId="3" applyNumberFormat="1" applyFill="1">
      <alignment horizontal="center" vertical="center" wrapText="1"/>
    </xf>
    <xf numFmtId="0" fontId="4" fillId="0" borderId="2" xfId="3" applyNumberFormat="1" applyFill="1">
      <alignment horizontal="center" vertical="center" wrapText="1"/>
    </xf>
    <xf numFmtId="0" fontId="4" fillId="0" borderId="2" xfId="3" applyFill="1">
      <alignment horizontal="center" vertical="center" wrapText="1"/>
    </xf>
    <xf numFmtId="0" fontId="16" fillId="0" borderId="0" xfId="0" applyFont="1" applyAlignment="1" applyProtection="1">
      <alignment wrapText="1"/>
    </xf>
    <xf numFmtId="172" fontId="16" fillId="0" borderId="6" xfId="0" applyNumberFormat="1" applyFont="1" applyBorder="1" applyAlignment="1">
      <alignment horizontal="center" vertical="center"/>
    </xf>
    <xf numFmtId="0" fontId="16" fillId="0" borderId="89" xfId="0" applyFont="1" applyBorder="1" applyAlignment="1">
      <alignment horizontal="center" vertical="center"/>
    </xf>
    <xf numFmtId="169" fontId="16" fillId="0" borderId="8" xfId="0" applyNumberFormat="1" applyFont="1" applyBorder="1" applyAlignment="1">
      <alignment horizontal="center" vertical="center"/>
    </xf>
    <xf numFmtId="0" fontId="16" fillId="0" borderId="0" xfId="0" applyFont="1" applyAlignment="1">
      <alignment wrapText="1"/>
    </xf>
    <xf numFmtId="164" fontId="4" fillId="0" borderId="2" xfId="3" applyNumberFormat="1">
      <alignment horizontal="center" vertical="center" wrapText="1"/>
    </xf>
    <xf numFmtId="0" fontId="4" fillId="0" borderId="2" xfId="3" applyNumberFormat="1">
      <alignment horizontal="center" vertical="center" wrapText="1"/>
    </xf>
    <xf numFmtId="168" fontId="4" fillId="0" borderId="2" xfId="3" applyNumberFormat="1" applyFill="1">
      <alignment horizontal="center" vertical="center" wrapText="1"/>
    </xf>
    <xf numFmtId="2" fontId="4" fillId="0" borderId="2" xfId="3" applyNumberFormat="1" applyFill="1">
      <alignment horizontal="center" vertical="center" wrapText="1"/>
    </xf>
    <xf numFmtId="169" fontId="4" fillId="0" borderId="2" xfId="3" applyNumberFormat="1" applyFill="1">
      <alignment horizontal="center" vertical="center" wrapText="1"/>
    </xf>
    <xf numFmtId="3" fontId="4" fillId="0" borderId="2" xfId="3" applyNumberFormat="1">
      <alignment horizontal="center" vertical="center" wrapText="1"/>
    </xf>
    <xf numFmtId="168" fontId="4" fillId="0" borderId="2" xfId="3" applyNumberFormat="1">
      <alignment horizontal="center" vertical="center" wrapText="1"/>
    </xf>
    <xf numFmtId="0" fontId="4" fillId="0" borderId="2" xfId="3" applyFill="1" applyBorder="1">
      <alignment horizontal="center" vertical="center" wrapText="1"/>
    </xf>
    <xf numFmtId="0" fontId="4" fillId="0" borderId="2" xfId="3" applyBorder="1">
      <alignment horizontal="center" vertical="center" wrapText="1"/>
    </xf>
    <xf numFmtId="9" fontId="4" fillId="0" borderId="2" xfId="3" applyNumberFormat="1" applyBorder="1">
      <alignment horizontal="center" vertical="center" wrapText="1"/>
    </xf>
    <xf numFmtId="0" fontId="4" fillId="0" borderId="7" xfId="3" applyFill="1" applyBorder="1">
      <alignment horizontal="center" vertical="center" wrapText="1"/>
    </xf>
    <xf numFmtId="9" fontId="4" fillId="0" borderId="7" xfId="3" applyNumberFormat="1" applyBorder="1">
      <alignment horizontal="center" vertical="center" wrapText="1"/>
    </xf>
    <xf numFmtId="168" fontId="4" fillId="0" borderId="2" xfId="3" applyNumberFormat="1" applyBorder="1">
      <alignment horizontal="center" vertical="center" wrapText="1"/>
    </xf>
    <xf numFmtId="0" fontId="4" fillId="0" borderId="7" xfId="3" applyBorder="1">
      <alignment horizontal="center" vertical="center" wrapText="1"/>
    </xf>
    <xf numFmtId="169" fontId="4" fillId="0" borderId="7" xfId="3" applyNumberFormat="1" applyBorder="1">
      <alignment horizontal="center" vertical="center" wrapText="1"/>
    </xf>
    <xf numFmtId="164" fontId="4" fillId="0" borderId="7" xfId="3" applyNumberFormat="1" applyFill="1" applyBorder="1">
      <alignment horizontal="center" vertical="center" wrapText="1"/>
    </xf>
    <xf numFmtId="0" fontId="4" fillId="0" borderId="7" xfId="3" applyNumberFormat="1" applyFill="1" applyBorder="1">
      <alignment horizontal="center" vertical="center" wrapText="1"/>
    </xf>
    <xf numFmtId="0" fontId="4" fillId="0" borderId="8" xfId="3" applyFill="1" applyBorder="1">
      <alignment horizontal="center" vertical="center" wrapText="1"/>
    </xf>
    <xf numFmtId="169" fontId="4" fillId="0" borderId="2" xfId="3" applyNumberFormat="1" applyBorder="1">
      <alignment horizontal="center" vertical="center" wrapText="1"/>
    </xf>
    <xf numFmtId="164" fontId="4" fillId="0" borderId="2" xfId="3" applyNumberFormat="1" applyFill="1" applyBorder="1">
      <alignment horizontal="center" vertical="center" wrapText="1"/>
    </xf>
    <xf numFmtId="0" fontId="4" fillId="0" borderId="2" xfId="3" applyNumberFormat="1" applyFill="1" applyBorder="1">
      <alignment horizontal="center" vertical="center" wrapText="1"/>
    </xf>
    <xf numFmtId="0" fontId="4" fillId="0" borderId="10" xfId="3" applyFill="1" applyBorder="1">
      <alignment horizontal="center" vertical="center" wrapText="1"/>
    </xf>
    <xf numFmtId="0" fontId="4" fillId="0" borderId="12" xfId="3" applyBorder="1">
      <alignment horizontal="center" vertical="center" wrapText="1"/>
    </xf>
    <xf numFmtId="169" fontId="4" fillId="0" borderId="12" xfId="3" applyNumberFormat="1" applyBorder="1">
      <alignment horizontal="center" vertical="center" wrapText="1"/>
    </xf>
    <xf numFmtId="9" fontId="4" fillId="0" borderId="12" xfId="3" applyNumberFormat="1" applyBorder="1">
      <alignment horizontal="center" vertical="center" wrapText="1"/>
    </xf>
    <xf numFmtId="164" fontId="4" fillId="0" borderId="12" xfId="3" applyNumberFormat="1" applyFill="1" applyBorder="1">
      <alignment horizontal="center" vertical="center" wrapText="1"/>
    </xf>
    <xf numFmtId="0" fontId="4" fillId="0" borderId="12" xfId="3" applyNumberFormat="1" applyFill="1" applyBorder="1">
      <alignment horizontal="center" vertical="center" wrapText="1"/>
    </xf>
    <xf numFmtId="0" fontId="4" fillId="0" borderId="13" xfId="3" applyFill="1" applyBorder="1">
      <alignment horizontal="center" vertical="center" wrapText="1"/>
    </xf>
    <xf numFmtId="3" fontId="4" fillId="0" borderId="7" xfId="3" applyNumberFormat="1" applyBorder="1">
      <alignment horizontal="center" vertical="center" wrapText="1"/>
    </xf>
    <xf numFmtId="3" fontId="4" fillId="0" borderId="2" xfId="3" applyNumberFormat="1" applyBorder="1">
      <alignment horizontal="center" vertical="center" wrapText="1"/>
    </xf>
    <xf numFmtId="3" fontId="4" fillId="0" borderId="12" xfId="3" applyNumberFormat="1" applyBorder="1">
      <alignment horizontal="center" vertical="center" wrapText="1"/>
    </xf>
    <xf numFmtId="168" fontId="4" fillId="0" borderId="2" xfId="3" applyNumberFormat="1" applyFill="1" applyBorder="1">
      <alignment horizontal="center" vertical="center" wrapText="1"/>
    </xf>
    <xf numFmtId="168" fontId="4" fillId="0" borderId="7" xfId="3" applyNumberFormat="1" applyFill="1" applyBorder="1">
      <alignment horizontal="center" vertical="center" wrapText="1"/>
    </xf>
    <xf numFmtId="0" fontId="4" fillId="0" borderId="12" xfId="3" applyFill="1" applyBorder="1">
      <alignment horizontal="center" vertical="center" wrapText="1"/>
    </xf>
    <xf numFmtId="164" fontId="4" fillId="0" borderId="2" xfId="3" applyNumberFormat="1" applyBorder="1">
      <alignment horizontal="center" vertical="center" wrapText="1"/>
    </xf>
    <xf numFmtId="174" fontId="4" fillId="0" borderId="2" xfId="3" applyNumberFormat="1" applyBorder="1">
      <alignment horizontal="center" vertical="center" wrapText="1"/>
    </xf>
    <xf numFmtId="2" fontId="4" fillId="0" borderId="2" xfId="3" applyNumberFormat="1" applyBorder="1">
      <alignment horizontal="center" vertical="center" wrapText="1"/>
    </xf>
    <xf numFmtId="0" fontId="4" fillId="0" borderId="10" xfId="3" applyNumberFormat="1" applyBorder="1">
      <alignment horizontal="center" vertical="center" wrapText="1"/>
    </xf>
    <xf numFmtId="173" fontId="4" fillId="0" borderId="7" xfId="3" applyNumberFormat="1" applyBorder="1">
      <alignment horizontal="center" vertical="center" wrapText="1"/>
    </xf>
    <xf numFmtId="164" fontId="4" fillId="0" borderId="7" xfId="3" applyNumberFormat="1" applyBorder="1">
      <alignment horizontal="center" vertical="center" wrapText="1"/>
    </xf>
    <xf numFmtId="174" fontId="4" fillId="0" borderId="7" xfId="3" applyNumberFormat="1" applyBorder="1">
      <alignment horizontal="center" vertical="center" wrapText="1"/>
    </xf>
    <xf numFmtId="2" fontId="4" fillId="0" borderId="7" xfId="3" applyNumberFormat="1" applyBorder="1">
      <alignment horizontal="center" vertical="center" wrapText="1"/>
    </xf>
    <xf numFmtId="0" fontId="4" fillId="0" borderId="8" xfId="3" applyNumberFormat="1" applyBorder="1">
      <alignment horizontal="center" vertical="center" wrapText="1"/>
    </xf>
    <xf numFmtId="173" fontId="4" fillId="0" borderId="2" xfId="3" applyNumberFormat="1" applyBorder="1">
      <alignment horizontal="center" vertical="center" wrapText="1"/>
    </xf>
    <xf numFmtId="173" fontId="4" fillId="0" borderId="12" xfId="3" applyNumberFormat="1" applyBorder="1">
      <alignment horizontal="center" vertical="center" wrapText="1"/>
    </xf>
    <xf numFmtId="174" fontId="4" fillId="0" borderId="12" xfId="3" applyNumberFormat="1" applyBorder="1">
      <alignment horizontal="center" vertical="center" wrapText="1"/>
    </xf>
    <xf numFmtId="2" fontId="4" fillId="0" borderId="12" xfId="3" applyNumberFormat="1" applyBorder="1">
      <alignment horizontal="center" vertical="center" wrapText="1"/>
    </xf>
    <xf numFmtId="164" fontId="4" fillId="0" borderId="12" xfId="3" applyNumberFormat="1" applyBorder="1">
      <alignment horizontal="center" vertical="center" wrapText="1"/>
    </xf>
    <xf numFmtId="0" fontId="4" fillId="0" borderId="13" xfId="3" applyNumberFormat="1" applyBorder="1">
      <alignment horizontal="center" vertical="center" wrapText="1"/>
    </xf>
    <xf numFmtId="167" fontId="4" fillId="0" borderId="7" xfId="3" applyNumberFormat="1" applyFill="1" applyBorder="1">
      <alignment horizontal="center" vertical="center" wrapText="1"/>
    </xf>
    <xf numFmtId="167" fontId="4" fillId="0" borderId="2" xfId="3" applyNumberFormat="1" applyFill="1" applyBorder="1">
      <alignment horizontal="center" vertical="center" wrapText="1"/>
    </xf>
    <xf numFmtId="167" fontId="4" fillId="0" borderId="12" xfId="3" applyNumberFormat="1" applyFill="1" applyBorder="1">
      <alignment horizontal="center" vertical="center" wrapText="1"/>
    </xf>
    <xf numFmtId="0" fontId="6" fillId="27" borderId="7" xfId="2" applyFill="1" applyBorder="1" applyAlignment="1">
      <alignment horizontal="center" vertical="center" wrapText="1"/>
    </xf>
    <xf numFmtId="0" fontId="6" fillId="9" borderId="2" xfId="2" applyFill="1" applyBorder="1" applyAlignment="1">
      <alignment horizontal="center" vertical="center" wrapText="1"/>
    </xf>
    <xf numFmtId="0" fontId="6" fillId="4" borderId="2" xfId="2" applyFill="1" applyBorder="1" applyAlignment="1">
      <alignment horizontal="center" vertical="center" wrapText="1"/>
    </xf>
    <xf numFmtId="0" fontId="6" fillId="26" borderId="2" xfId="2" applyFill="1" applyAlignment="1">
      <alignment horizontal="center" vertical="center" wrapText="1"/>
    </xf>
    <xf numFmtId="0" fontId="6" fillId="25" borderId="7" xfId="2" applyFill="1" applyBorder="1" applyAlignment="1">
      <alignment horizontal="center" vertical="center" wrapText="1"/>
    </xf>
    <xf numFmtId="0" fontId="16" fillId="0" borderId="2" xfId="0" applyNumberFormat="1" applyFont="1" applyFill="1" applyBorder="1" applyAlignment="1">
      <alignment horizontal="center" vertical="center"/>
    </xf>
    <xf numFmtId="0" fontId="6" fillId="25" borderId="57" xfId="0" applyFont="1" applyFill="1" applyBorder="1" applyAlignment="1">
      <alignment horizontal="center" vertical="center" wrapText="1"/>
    </xf>
    <xf numFmtId="0" fontId="6" fillId="9" borderId="57" xfId="2" applyFill="1" applyBorder="1" applyAlignment="1">
      <alignment horizontal="center" vertical="center" wrapText="1"/>
    </xf>
    <xf numFmtId="0" fontId="6" fillId="27" borderId="57" xfId="2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4" borderId="2" xfId="2" applyFill="1" applyAlignment="1">
      <alignment horizontal="center" vertical="center" wrapText="1"/>
    </xf>
    <xf numFmtId="0" fontId="6" fillId="9" borderId="2" xfId="2" applyFill="1" applyAlignment="1">
      <alignment horizontal="center" vertical="center" wrapText="1"/>
    </xf>
    <xf numFmtId="0" fontId="6" fillId="27" borderId="2" xfId="2" applyFill="1" applyAlignment="1">
      <alignment horizontal="center" vertical="center" wrapText="1"/>
    </xf>
    <xf numFmtId="0" fontId="6" fillId="26" borderId="18" xfId="2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164" fontId="16" fillId="0" borderId="17" xfId="4" applyNumberFormat="1" applyFont="1" applyBorder="1" applyAlignment="1">
      <alignment horizontal="center" vertical="center"/>
    </xf>
    <xf numFmtId="168" fontId="16" fillId="0" borderId="19" xfId="0" applyNumberFormat="1" applyFont="1" applyFill="1" applyBorder="1" applyAlignment="1">
      <alignment horizontal="center" vertical="center" wrapText="1"/>
    </xf>
    <xf numFmtId="0" fontId="15" fillId="22" borderId="79" xfId="5" applyFont="1" applyFill="1" applyBorder="1" applyAlignment="1" applyProtection="1">
      <alignment horizontal="center" vertical="center"/>
    </xf>
    <xf numFmtId="0" fontId="15" fillId="22" borderId="81" xfId="5" applyFont="1" applyFill="1" applyBorder="1" applyAlignment="1" applyProtection="1">
      <alignment horizontal="center" vertical="center"/>
    </xf>
    <xf numFmtId="0" fontId="15" fillId="22" borderId="80" xfId="5" applyFont="1" applyFill="1" applyBorder="1" applyAlignment="1" applyProtection="1">
      <alignment horizontal="center" vertical="center"/>
    </xf>
    <xf numFmtId="14" fontId="13" fillId="22" borderId="1" xfId="5" applyNumberFormat="1" applyFont="1" applyFill="1" applyBorder="1" applyAlignment="1" applyProtection="1">
      <alignment horizontal="center" vertical="top"/>
    </xf>
    <xf numFmtId="14" fontId="13" fillId="22" borderId="3" xfId="5" applyNumberFormat="1" applyFont="1" applyFill="1" applyBorder="1" applyAlignment="1" applyProtection="1">
      <alignment horizontal="center" vertical="top"/>
    </xf>
    <xf numFmtId="0" fontId="13" fillId="22" borderId="1" xfId="5" applyFont="1" applyFill="1" applyBorder="1" applyAlignment="1" applyProtection="1">
      <alignment horizontal="center" vertical="top" wrapText="1"/>
    </xf>
    <xf numFmtId="0" fontId="13" fillId="22" borderId="3" xfId="5" applyFont="1" applyFill="1" applyBorder="1" applyAlignment="1" applyProtection="1">
      <alignment horizontal="center" vertical="top" wrapText="1"/>
    </xf>
    <xf numFmtId="0" fontId="12" fillId="8" borderId="49" xfId="0" applyFont="1" applyFill="1" applyBorder="1" applyAlignment="1" applyProtection="1">
      <alignment horizontal="center" vertical="center" wrapText="1"/>
    </xf>
    <xf numFmtId="0" fontId="12" fillId="8" borderId="51" xfId="0" applyFont="1" applyFill="1" applyBorder="1" applyAlignment="1" applyProtection="1">
      <alignment horizontal="center" vertical="center" wrapText="1"/>
    </xf>
    <xf numFmtId="0" fontId="12" fillId="8" borderId="53" xfId="0" applyFont="1" applyFill="1" applyBorder="1" applyAlignment="1" applyProtection="1">
      <alignment horizontal="center" vertical="center" wrapText="1"/>
    </xf>
    <xf numFmtId="0" fontId="12" fillId="18" borderId="22" xfId="0" applyFont="1" applyFill="1" applyBorder="1" applyAlignment="1" applyProtection="1">
      <alignment horizontal="center" vertical="center" wrapText="1"/>
    </xf>
    <xf numFmtId="0" fontId="12" fillId="18" borderId="23" xfId="0" applyFont="1" applyFill="1" applyBorder="1" applyAlignment="1" applyProtection="1">
      <alignment horizontal="center" vertical="center" wrapText="1"/>
    </xf>
    <xf numFmtId="0" fontId="12" fillId="18" borderId="20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9" fillId="12" borderId="30" xfId="0" applyFont="1" applyFill="1" applyBorder="1" applyAlignment="1" applyProtection="1">
      <alignment horizontal="center" vertical="center"/>
    </xf>
    <xf numFmtId="0" fontId="9" fillId="12" borderId="29" xfId="0" applyFont="1" applyFill="1" applyBorder="1" applyAlignment="1" applyProtection="1">
      <alignment horizontal="center" vertical="center"/>
    </xf>
    <xf numFmtId="0" fontId="4" fillId="16" borderId="49" xfId="0" applyFont="1" applyFill="1" applyBorder="1" applyAlignment="1" applyProtection="1">
      <alignment horizontal="center" vertical="center"/>
    </xf>
    <xf numFmtId="0" fontId="4" fillId="16" borderId="50" xfId="0" applyFont="1" applyFill="1" applyBorder="1" applyAlignment="1" applyProtection="1">
      <alignment horizontal="center" vertical="center"/>
    </xf>
    <xf numFmtId="0" fontId="4" fillId="11" borderId="49" xfId="0" applyFont="1" applyFill="1" applyBorder="1" applyAlignment="1" applyProtection="1">
      <alignment horizontal="center" vertical="center"/>
    </xf>
    <xf numFmtId="0" fontId="4" fillId="11" borderId="50" xfId="0" applyFont="1" applyFill="1" applyBorder="1" applyAlignment="1" applyProtection="1">
      <alignment horizontal="center" vertical="center"/>
    </xf>
    <xf numFmtId="0" fontId="9" fillId="12" borderId="65" xfId="0" applyFont="1" applyFill="1" applyBorder="1" applyAlignment="1" applyProtection="1">
      <alignment horizontal="center" vertical="center"/>
    </xf>
    <xf numFmtId="0" fontId="9" fillId="12" borderId="66" xfId="0" applyFont="1" applyFill="1" applyBorder="1" applyAlignment="1" applyProtection="1">
      <alignment horizontal="center" vertical="center"/>
    </xf>
    <xf numFmtId="0" fontId="12" fillId="12" borderId="24" xfId="0" applyFont="1" applyFill="1" applyBorder="1" applyAlignment="1" applyProtection="1">
      <alignment horizontal="center" vertical="center"/>
    </xf>
    <xf numFmtId="0" fontId="12" fillId="12" borderId="26" xfId="0" applyFont="1" applyFill="1" applyBorder="1" applyAlignment="1" applyProtection="1">
      <alignment horizontal="center" vertical="center"/>
    </xf>
    <xf numFmtId="0" fontId="12" fillId="12" borderId="27" xfId="0" applyFont="1" applyFill="1" applyBorder="1" applyAlignment="1" applyProtection="1">
      <alignment horizontal="center" vertical="center"/>
    </xf>
    <xf numFmtId="0" fontId="12" fillId="7" borderId="31" xfId="0" applyFont="1" applyFill="1" applyBorder="1" applyAlignment="1" applyProtection="1">
      <alignment horizontal="center" vertical="center"/>
    </xf>
    <xf numFmtId="0" fontId="12" fillId="7" borderId="32" xfId="0" applyFont="1" applyFill="1" applyBorder="1" applyAlignment="1" applyProtection="1">
      <alignment horizontal="center" vertical="center"/>
    </xf>
    <xf numFmtId="0" fontId="12" fillId="7" borderId="33" xfId="0" applyFont="1" applyFill="1" applyBorder="1" applyAlignment="1" applyProtection="1">
      <alignment horizontal="center" vertical="center"/>
    </xf>
    <xf numFmtId="167" fontId="4" fillId="0" borderId="25" xfId="0" applyNumberFormat="1" applyFont="1" applyFill="1" applyBorder="1" applyAlignment="1" applyProtection="1">
      <alignment horizontal="center" vertical="center"/>
      <protection locked="0"/>
    </xf>
    <xf numFmtId="167" fontId="4" fillId="0" borderId="14" xfId="0" applyNumberFormat="1" applyFont="1" applyFill="1" applyBorder="1" applyAlignment="1" applyProtection="1">
      <alignment horizontal="center" vertical="center"/>
      <protection locked="0"/>
    </xf>
    <xf numFmtId="167" fontId="4" fillId="0" borderId="34" xfId="0" applyNumberFormat="1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14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9" fillId="12" borderId="2" xfId="5" applyFont="1" applyFill="1" applyBorder="1" applyAlignment="1" applyProtection="1">
      <alignment horizontal="center" vertical="center" wrapText="1"/>
    </xf>
    <xf numFmtId="0" fontId="9" fillId="12" borderId="2" xfId="5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left"/>
    </xf>
    <xf numFmtId="0" fontId="6" fillId="0" borderId="59" xfId="0" applyFont="1" applyBorder="1" applyAlignment="1" applyProtection="1">
      <alignment horizontal="center"/>
    </xf>
    <xf numFmtId="0" fontId="9" fillId="12" borderId="2" xfId="0" applyFont="1" applyFill="1" applyBorder="1" applyAlignment="1" applyProtection="1">
      <alignment horizontal="center" vertical="center" textRotation="90"/>
    </xf>
    <xf numFmtId="0" fontId="16" fillId="9" borderId="28" xfId="0" applyFont="1" applyFill="1" applyBorder="1" applyAlignment="1" applyProtection="1">
      <alignment horizontal="center" vertical="center" wrapText="1"/>
    </xf>
    <xf numFmtId="0" fontId="16" fillId="9" borderId="29" xfId="0" applyFont="1" applyFill="1" applyBorder="1" applyAlignment="1" applyProtection="1">
      <alignment horizontal="center" vertical="center" wrapText="1"/>
    </xf>
    <xf numFmtId="166" fontId="20" fillId="3" borderId="28" xfId="0" applyNumberFormat="1" applyFont="1" applyFill="1" applyBorder="1" applyAlignment="1" applyProtection="1">
      <alignment horizontal="center" vertical="center" wrapText="1"/>
    </xf>
    <xf numFmtId="166" fontId="20" fillId="15" borderId="30" xfId="0" applyNumberFormat="1" applyFont="1" applyFill="1" applyBorder="1" applyAlignment="1" applyProtection="1">
      <alignment horizontal="center" vertical="center" wrapText="1"/>
    </xf>
    <xf numFmtId="166" fontId="20" fillId="15" borderId="28" xfId="0" applyNumberFormat="1" applyFont="1" applyFill="1" applyBorder="1" applyAlignment="1" applyProtection="1">
      <alignment horizontal="center" vertical="center" wrapText="1"/>
    </xf>
    <xf numFmtId="166" fontId="20" fillId="15" borderId="29" xfId="0" applyNumberFormat="1" applyFont="1" applyFill="1" applyBorder="1" applyAlignment="1" applyProtection="1">
      <alignment horizontal="center" vertical="center" wrapText="1"/>
    </xf>
    <xf numFmtId="0" fontId="16" fillId="14" borderId="30" xfId="0" applyFont="1" applyFill="1" applyBorder="1" applyAlignment="1" applyProtection="1">
      <alignment horizontal="center" vertical="center" wrapText="1"/>
    </xf>
    <xf numFmtId="0" fontId="16" fillId="14" borderId="29" xfId="0" applyFont="1" applyFill="1" applyBorder="1" applyAlignment="1" applyProtection="1">
      <alignment horizontal="center" vertical="center" wrapText="1"/>
    </xf>
    <xf numFmtId="0" fontId="16" fillId="0" borderId="9" xfId="0" applyFont="1" applyFill="1" applyBorder="1" applyAlignment="1" applyProtection="1">
      <alignment horizontal="center" vertical="center"/>
    </xf>
    <xf numFmtId="0" fontId="16" fillId="6" borderId="9" xfId="0" applyFont="1" applyFill="1" applyBorder="1" applyAlignment="1" applyProtection="1">
      <alignment horizontal="center" vertical="center"/>
    </xf>
    <xf numFmtId="0" fontId="16" fillId="0" borderId="11" xfId="0" applyFont="1" applyFill="1" applyBorder="1" applyAlignment="1" applyProtection="1">
      <alignment horizontal="center" vertical="center"/>
    </xf>
    <xf numFmtId="0" fontId="16" fillId="0" borderId="2" xfId="0" applyFont="1" applyFill="1" applyBorder="1" applyAlignment="1" applyProtection="1">
      <alignment horizontal="right" vertical="center"/>
    </xf>
    <xf numFmtId="0" fontId="16" fillId="0" borderId="12" xfId="0" applyFont="1" applyFill="1" applyBorder="1" applyAlignment="1" applyProtection="1">
      <alignment horizontal="right" vertical="center"/>
    </xf>
    <xf numFmtId="0" fontId="16" fillId="6" borderId="2" xfId="0" applyFont="1" applyFill="1" applyBorder="1" applyAlignment="1" applyProtection="1">
      <alignment horizontal="right" vertical="center"/>
    </xf>
    <xf numFmtId="0" fontId="20" fillId="17" borderId="6" xfId="0" applyFont="1" applyFill="1" applyBorder="1" applyAlignment="1" applyProtection="1">
      <alignment horizontal="center" vertical="center"/>
    </xf>
    <xf numFmtId="0" fontId="20" fillId="17" borderId="7" xfId="0" applyFont="1" applyFill="1" applyBorder="1" applyAlignment="1" applyProtection="1">
      <alignment horizontal="center" vertical="center"/>
    </xf>
    <xf numFmtId="0" fontId="20" fillId="17" borderId="8" xfId="0" applyFont="1" applyFill="1" applyBorder="1" applyAlignment="1" applyProtection="1">
      <alignment horizontal="center" vertical="center"/>
    </xf>
    <xf numFmtId="0" fontId="16" fillId="10" borderId="45" xfId="0" applyFont="1" applyFill="1" applyBorder="1" applyAlignment="1" applyProtection="1">
      <alignment horizontal="right" vertical="center"/>
    </xf>
    <xf numFmtId="0" fontId="16" fillId="10" borderId="42" xfId="0" applyFont="1" applyFill="1" applyBorder="1" applyAlignment="1" applyProtection="1">
      <alignment horizontal="right" vertical="center"/>
    </xf>
    <xf numFmtId="0" fontId="16" fillId="10" borderId="43" xfId="0" applyFont="1" applyFill="1" applyBorder="1" applyAlignment="1" applyProtection="1">
      <alignment horizontal="right" vertical="center"/>
    </xf>
    <xf numFmtId="0" fontId="16" fillId="0" borderId="46" xfId="0" applyFont="1" applyFill="1" applyBorder="1" applyAlignment="1" applyProtection="1">
      <alignment horizontal="right" vertical="center"/>
    </xf>
    <xf numFmtId="0" fontId="16" fillId="0" borderId="55" xfId="0" applyFont="1" applyFill="1" applyBorder="1" applyAlignment="1" applyProtection="1">
      <alignment horizontal="right" vertical="center"/>
    </xf>
    <xf numFmtId="0" fontId="16" fillId="0" borderId="56" xfId="0" applyFont="1" applyFill="1" applyBorder="1" applyAlignment="1" applyProtection="1">
      <alignment horizontal="right" vertical="center"/>
    </xf>
    <xf numFmtId="0" fontId="41" fillId="0" borderId="7" xfId="3" applyFont="1" applyFill="1" applyBorder="1">
      <alignment horizontal="center" vertical="center" wrapText="1"/>
    </xf>
    <xf numFmtId="0" fontId="41" fillId="0" borderId="2" xfId="3" applyFont="1" applyFill="1" applyBorder="1">
      <alignment horizontal="center" vertical="center" wrapText="1"/>
    </xf>
    <xf numFmtId="0" fontId="6" fillId="25" borderId="2" xfId="2" applyFill="1" applyBorder="1" applyAlignment="1">
      <alignment horizontal="center" vertical="center" wrapText="1"/>
    </xf>
    <xf numFmtId="0" fontId="6" fillId="25" borderId="12" xfId="2" applyFill="1" applyBorder="1" applyAlignment="1">
      <alignment horizontal="center" vertical="center" wrapText="1"/>
    </xf>
    <xf numFmtId="0" fontId="20" fillId="5" borderId="6" xfId="0" applyFont="1" applyFill="1" applyBorder="1" applyAlignment="1" applyProtection="1">
      <alignment horizontal="center"/>
    </xf>
    <xf numFmtId="0" fontId="20" fillId="5" borderId="7" xfId="0" applyFont="1" applyFill="1" applyBorder="1" applyAlignment="1" applyProtection="1">
      <alignment horizontal="center"/>
    </xf>
    <xf numFmtId="0" fontId="20" fillId="5" borderId="8" xfId="0" applyFont="1" applyFill="1" applyBorder="1" applyAlignment="1" applyProtection="1">
      <alignment horizontal="center"/>
    </xf>
    <xf numFmtId="0" fontId="20" fillId="0" borderId="24" xfId="0" applyFont="1" applyFill="1" applyBorder="1" applyAlignment="1" applyProtection="1">
      <alignment horizontal="center" vertical="center" textRotation="90"/>
    </xf>
    <xf numFmtId="0" fontId="20" fillId="0" borderId="26" xfId="0" applyFont="1" applyFill="1" applyBorder="1" applyAlignment="1" applyProtection="1">
      <alignment horizontal="center" vertical="center" textRotation="90"/>
    </xf>
    <xf numFmtId="0" fontId="20" fillId="0" borderId="27" xfId="0" applyFont="1" applyFill="1" applyBorder="1" applyAlignment="1" applyProtection="1">
      <alignment horizontal="center" vertical="center" textRotation="90"/>
    </xf>
    <xf numFmtId="0" fontId="21" fillId="6" borderId="9" xfId="0" applyFont="1" applyFill="1" applyBorder="1" applyAlignment="1" applyProtection="1">
      <alignment horizontal="right" vertical="center"/>
    </xf>
    <xf numFmtId="0" fontId="21" fillId="6" borderId="2" xfId="0" applyFont="1" applyFill="1" applyBorder="1" applyAlignment="1" applyProtection="1">
      <alignment horizontal="right" vertical="center"/>
    </xf>
    <xf numFmtId="0" fontId="6" fillId="27" borderId="82" xfId="2" applyFill="1" applyBorder="1" applyAlignment="1">
      <alignment horizontal="center" vertical="center" wrapText="1"/>
    </xf>
    <xf numFmtId="0" fontId="6" fillId="27" borderId="84" xfId="2" applyFill="1" applyBorder="1" applyAlignment="1">
      <alignment horizontal="center" vertical="center" wrapText="1"/>
    </xf>
    <xf numFmtId="0" fontId="6" fillId="27" borderId="3" xfId="2" applyFill="1" applyBorder="1" applyAlignment="1">
      <alignment horizontal="center" vertical="center" wrapText="1"/>
    </xf>
    <xf numFmtId="0" fontId="6" fillId="9" borderId="1" xfId="2" applyFill="1" applyBorder="1" applyAlignment="1">
      <alignment horizontal="center" vertical="center" wrapText="1"/>
    </xf>
    <xf numFmtId="0" fontId="6" fillId="9" borderId="3" xfId="2" applyFill="1" applyBorder="1" applyAlignment="1">
      <alignment horizontal="center" vertical="center" wrapText="1"/>
    </xf>
    <xf numFmtId="0" fontId="6" fillId="4" borderId="1" xfId="2" applyFill="1" applyBorder="1" applyAlignment="1">
      <alignment horizontal="center" vertical="center" wrapText="1"/>
    </xf>
    <xf numFmtId="0" fontId="6" fillId="4" borderId="84" xfId="2" applyFill="1" applyBorder="1" applyAlignment="1">
      <alignment horizontal="center" vertical="center" wrapText="1"/>
    </xf>
    <xf numFmtId="0" fontId="6" fillId="4" borderId="3" xfId="2" applyFill="1" applyBorder="1" applyAlignment="1">
      <alignment horizontal="center" vertical="center" wrapText="1"/>
    </xf>
    <xf numFmtId="0" fontId="16" fillId="0" borderId="41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16" fillId="0" borderId="56" xfId="0" applyFont="1" applyFill="1" applyBorder="1" applyAlignment="1">
      <alignment horizontal="center" vertical="center"/>
    </xf>
    <xf numFmtId="0" fontId="20" fillId="0" borderId="31" xfId="0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/>
    </xf>
    <xf numFmtId="0" fontId="20" fillId="5" borderId="48" xfId="0" applyFont="1" applyFill="1" applyBorder="1" applyAlignment="1">
      <alignment horizontal="center"/>
    </xf>
    <xf numFmtId="0" fontId="20" fillId="5" borderId="36" xfId="0" applyFont="1" applyFill="1" applyBorder="1" applyAlignment="1">
      <alignment horizontal="center"/>
    </xf>
    <xf numFmtId="0" fontId="21" fillId="6" borderId="42" xfId="0" applyFont="1" applyFill="1" applyBorder="1" applyAlignment="1">
      <alignment horizontal="center" vertical="center"/>
    </xf>
    <xf numFmtId="0" fontId="21" fillId="6" borderId="43" xfId="0" applyFont="1" applyFill="1" applyBorder="1" applyAlignment="1">
      <alignment horizontal="center" vertical="center"/>
    </xf>
    <xf numFmtId="0" fontId="16" fillId="0" borderId="63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6" borderId="63" xfId="0" applyFont="1" applyFill="1" applyBorder="1" applyAlignment="1">
      <alignment horizontal="center" vertical="center"/>
    </xf>
    <xf numFmtId="0" fontId="16" fillId="6" borderId="40" xfId="0" applyFont="1" applyFill="1" applyBorder="1" applyAlignment="1">
      <alignment horizontal="center" vertical="center"/>
    </xf>
    <xf numFmtId="0" fontId="16" fillId="6" borderId="41" xfId="0" applyFont="1" applyFill="1" applyBorder="1" applyAlignment="1">
      <alignment horizontal="center" vertical="center"/>
    </xf>
    <xf numFmtId="0" fontId="16" fillId="6" borderId="43" xfId="0" applyFont="1" applyFill="1" applyBorder="1" applyAlignment="1">
      <alignment horizontal="center" vertical="center"/>
    </xf>
    <xf numFmtId="0" fontId="16" fillId="0" borderId="64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166" fontId="16" fillId="15" borderId="24" xfId="0" applyNumberFormat="1" applyFont="1" applyFill="1" applyBorder="1" applyAlignment="1">
      <alignment horizontal="center" vertical="center" wrapText="1"/>
    </xf>
    <xf numFmtId="166" fontId="16" fillId="15" borderId="21" xfId="0" applyNumberFormat="1" applyFont="1" applyFill="1" applyBorder="1" applyAlignment="1">
      <alignment horizontal="center" vertical="center" wrapText="1"/>
    </xf>
    <xf numFmtId="166" fontId="16" fillId="15" borderId="25" xfId="0" applyNumberFormat="1" applyFont="1" applyFill="1" applyBorder="1" applyAlignment="1">
      <alignment horizontal="center" vertical="center" wrapText="1"/>
    </xf>
    <xf numFmtId="0" fontId="16" fillId="15" borderId="77" xfId="0" applyFont="1" applyFill="1" applyBorder="1" applyAlignment="1">
      <alignment horizontal="center" vertical="center" wrapText="1"/>
    </xf>
    <xf numFmtId="0" fontId="16" fillId="15" borderId="78" xfId="0" applyFont="1" applyFill="1" applyBorder="1" applyAlignment="1">
      <alignment horizontal="center" vertical="center" wrapText="1"/>
    </xf>
    <xf numFmtId="0" fontId="20" fillId="5" borderId="35" xfId="0" applyFont="1" applyFill="1" applyBorder="1" applyAlignment="1">
      <alignment horizontal="center"/>
    </xf>
    <xf numFmtId="0" fontId="20" fillId="17" borderId="35" xfId="0" applyFont="1" applyFill="1" applyBorder="1" applyAlignment="1">
      <alignment horizontal="center" vertical="center"/>
    </xf>
    <xf numFmtId="0" fontId="20" fillId="17" borderId="48" xfId="0" applyFont="1" applyFill="1" applyBorder="1" applyAlignment="1">
      <alignment horizontal="center" vertical="center"/>
    </xf>
    <xf numFmtId="0" fontId="20" fillId="17" borderId="36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21" fillId="6" borderId="61" xfId="0" applyFont="1" applyFill="1" applyBorder="1" applyAlignment="1">
      <alignment horizontal="center" vertical="center"/>
    </xf>
    <xf numFmtId="0" fontId="21" fillId="6" borderId="59" xfId="0" applyFont="1" applyFill="1" applyBorder="1" applyAlignment="1">
      <alignment horizontal="center" vertical="center"/>
    </xf>
    <xf numFmtId="0" fontId="21" fillId="6" borderId="40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/>
    </xf>
    <xf numFmtId="0" fontId="28" fillId="12" borderId="2" xfId="5" applyFont="1" applyFill="1" applyBorder="1" applyAlignment="1">
      <alignment horizontal="center" vertical="center" wrapText="1"/>
    </xf>
    <xf numFmtId="0" fontId="28" fillId="12" borderId="2" xfId="5" applyFont="1" applyFill="1" applyBorder="1" applyAlignment="1">
      <alignment horizontal="center" vertical="center"/>
    </xf>
    <xf numFmtId="0" fontId="16" fillId="10" borderId="9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27" fillId="16" borderId="9" xfId="5" applyFont="1" applyFill="1" applyBorder="1" applyAlignment="1">
      <alignment horizontal="center"/>
    </xf>
    <xf numFmtId="0" fontId="27" fillId="16" borderId="2" xfId="5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 vertical="center"/>
    </xf>
    <xf numFmtId="0" fontId="16" fillId="15" borderId="42" xfId="0" applyFont="1" applyFill="1" applyBorder="1" applyAlignment="1">
      <alignment horizontal="center" vertical="center" wrapText="1"/>
    </xf>
    <xf numFmtId="0" fontId="16" fillId="15" borderId="76" xfId="0" applyFont="1" applyFill="1" applyBorder="1" applyAlignment="1">
      <alignment horizontal="center" vertical="center" wrapText="1"/>
    </xf>
    <xf numFmtId="0" fontId="16" fillId="15" borderId="69" xfId="0" applyFont="1" applyFill="1" applyBorder="1" applyAlignment="1">
      <alignment horizontal="center" vertical="center" wrapText="1"/>
    </xf>
    <xf numFmtId="0" fontId="16" fillId="15" borderId="10" xfId="0" applyFont="1" applyFill="1" applyBorder="1" applyAlignment="1">
      <alignment horizontal="center" vertical="center" wrapText="1"/>
    </xf>
    <xf numFmtId="0" fontId="20" fillId="0" borderId="26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left"/>
    </xf>
    <xf numFmtId="0" fontId="16" fillId="0" borderId="42" xfId="0" applyFont="1" applyBorder="1" applyAlignment="1">
      <alignment horizontal="left"/>
    </xf>
    <xf numFmtId="0" fontId="16" fillId="0" borderId="43" xfId="0" applyFont="1" applyBorder="1" applyAlignment="1">
      <alignment horizontal="left"/>
    </xf>
    <xf numFmtId="0" fontId="28" fillId="12" borderId="2" xfId="0" applyFont="1" applyFill="1" applyBorder="1" applyAlignment="1">
      <alignment horizontal="center" vertical="center" textRotation="90"/>
    </xf>
    <xf numFmtId="0" fontId="27" fillId="10" borderId="11" xfId="0" applyFont="1" applyFill="1" applyBorder="1" applyAlignment="1">
      <alignment horizontal="center" vertical="center"/>
    </xf>
    <xf numFmtId="0" fontId="27" fillId="10" borderId="12" xfId="0" applyFont="1" applyFill="1" applyBorder="1" applyAlignment="1">
      <alignment horizontal="center" vertical="center"/>
    </xf>
    <xf numFmtId="0" fontId="16" fillId="0" borderId="67" xfId="0" applyFont="1" applyFill="1" applyBorder="1" applyAlignment="1">
      <alignment horizontal="center" vertical="center"/>
    </xf>
    <xf numFmtId="0" fontId="43" fillId="0" borderId="88" xfId="0" applyFont="1" applyFill="1" applyBorder="1" applyAlignment="1">
      <alignment horizontal="center" vertical="center"/>
    </xf>
    <xf numFmtId="0" fontId="43" fillId="0" borderId="48" xfId="0" applyFont="1" applyFill="1" applyBorder="1" applyAlignment="1">
      <alignment horizontal="center" vertical="center"/>
    </xf>
    <xf numFmtId="0" fontId="43" fillId="0" borderId="36" xfId="0" applyFont="1" applyFill="1" applyBorder="1" applyAlignment="1">
      <alignment horizontal="center" vertical="center"/>
    </xf>
    <xf numFmtId="0" fontId="16" fillId="9" borderId="36" xfId="0" applyFont="1" applyFill="1" applyBorder="1" applyAlignment="1">
      <alignment horizontal="center" vertical="center" wrapText="1"/>
    </xf>
    <xf numFmtId="0" fontId="16" fillId="9" borderId="87" xfId="0" applyFont="1" applyFill="1" applyBorder="1" applyAlignment="1">
      <alignment horizontal="center" vertical="center" wrapText="1"/>
    </xf>
    <xf numFmtId="0" fontId="16" fillId="3" borderId="43" xfId="0" applyFont="1" applyFill="1" applyBorder="1" applyAlignment="1">
      <alignment horizontal="center" vertical="center" wrapText="1"/>
    </xf>
    <xf numFmtId="0" fontId="16" fillId="3" borderId="56" xfId="0" applyFont="1" applyFill="1" applyBorder="1" applyAlignment="1">
      <alignment horizontal="center" vertical="center" wrapText="1"/>
    </xf>
    <xf numFmtId="166" fontId="16" fillId="3" borderId="35" xfId="0" applyNumberFormat="1" applyFont="1" applyFill="1" applyBorder="1" applyAlignment="1">
      <alignment horizontal="center" vertical="center" wrapText="1"/>
    </xf>
    <xf numFmtId="166" fontId="16" fillId="3" borderId="48" xfId="0" applyNumberFormat="1" applyFont="1" applyFill="1" applyBorder="1" applyAlignment="1">
      <alignment horizontal="center" vertical="center" wrapText="1"/>
    </xf>
    <xf numFmtId="166" fontId="16" fillId="3" borderId="36" xfId="0" applyNumberFormat="1" applyFont="1" applyFill="1" applyBorder="1" applyAlignment="1">
      <alignment horizontal="center" vertical="center" wrapText="1"/>
    </xf>
    <xf numFmtId="0" fontId="16" fillId="9" borderId="60" xfId="0" applyFont="1" applyFill="1" applyBorder="1" applyAlignment="1">
      <alignment horizontal="center" vertical="center" wrapText="1"/>
    </xf>
    <xf numFmtId="0" fontId="16" fillId="9" borderId="58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6" fillId="6" borderId="16" xfId="0" applyFont="1" applyFill="1" applyBorder="1" applyAlignment="1">
      <alignment horizontal="center" vertical="center"/>
    </xf>
    <xf numFmtId="0" fontId="16" fillId="6" borderId="15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21" fillId="6" borderId="45" xfId="0" applyFont="1" applyFill="1" applyBorder="1" applyAlignment="1">
      <alignment horizontal="center" vertical="center"/>
    </xf>
    <xf numFmtId="0" fontId="6" fillId="4" borderId="31" xfId="2" applyFill="1" applyBorder="1" applyAlignment="1">
      <alignment horizontal="center" vertical="center" wrapText="1"/>
    </xf>
    <xf numFmtId="0" fontId="6" fillId="4" borderId="32" xfId="2" applyFill="1" applyBorder="1" applyAlignment="1">
      <alignment horizontal="center" vertical="center" wrapText="1"/>
    </xf>
    <xf numFmtId="0" fontId="6" fillId="4" borderId="33" xfId="2" applyFill="1" applyBorder="1" applyAlignment="1">
      <alignment horizontal="center" vertical="center" wrapText="1"/>
    </xf>
    <xf numFmtId="0" fontId="16" fillId="9" borderId="17" xfId="0" applyFont="1" applyFill="1" applyBorder="1" applyAlignment="1">
      <alignment horizontal="center" vertical="center" wrapText="1"/>
    </xf>
    <xf numFmtId="0" fontId="16" fillId="9" borderId="19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 wrapText="1"/>
    </xf>
    <xf numFmtId="0" fontId="16" fillId="3" borderId="18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6" fillId="3" borderId="85" xfId="0" applyFont="1" applyFill="1" applyBorder="1" applyAlignment="1">
      <alignment horizontal="center" vertical="center" wrapText="1"/>
    </xf>
    <xf numFmtId="0" fontId="16" fillId="3" borderId="64" xfId="0" applyFont="1" applyFill="1" applyBorder="1" applyAlignment="1">
      <alignment horizontal="center" vertical="center" wrapText="1"/>
    </xf>
    <xf numFmtId="166" fontId="16" fillId="15" borderId="30" xfId="0" applyNumberFormat="1" applyFont="1" applyFill="1" applyBorder="1" applyAlignment="1">
      <alignment horizontal="center" vertical="center" wrapText="1"/>
    </xf>
    <xf numFmtId="166" fontId="16" fillId="15" borderId="28" xfId="0" applyNumberFormat="1" applyFont="1" applyFill="1" applyBorder="1" applyAlignment="1">
      <alignment horizontal="center" vertical="center" wrapText="1"/>
    </xf>
    <xf numFmtId="166" fontId="16" fillId="15" borderId="29" xfId="0" applyNumberFormat="1" applyFont="1" applyFill="1" applyBorder="1" applyAlignment="1">
      <alignment horizontal="center" vertical="center" wrapText="1"/>
    </xf>
    <xf numFmtId="0" fontId="16" fillId="15" borderId="47" xfId="0" applyFont="1" applyFill="1" applyBorder="1" applyAlignment="1">
      <alignment horizontal="center" vertical="center" wrapText="1"/>
    </xf>
    <xf numFmtId="0" fontId="16" fillId="15" borderId="75" xfId="0" applyFont="1" applyFill="1" applyBorder="1" applyAlignment="1">
      <alignment horizontal="center" vertical="center" wrapText="1"/>
    </xf>
    <xf numFmtId="0" fontId="16" fillId="9" borderId="30" xfId="0" applyFont="1" applyFill="1" applyBorder="1" applyAlignment="1">
      <alignment horizontal="center" vertical="center" wrapText="1"/>
    </xf>
    <xf numFmtId="0" fontId="16" fillId="9" borderId="29" xfId="0" applyFont="1" applyFill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/>
    </xf>
    <xf numFmtId="0" fontId="16" fillId="10" borderId="45" xfId="0" applyFont="1" applyFill="1" applyBorder="1" applyAlignment="1">
      <alignment horizontal="center" vertical="center"/>
    </xf>
    <xf numFmtId="0" fontId="16" fillId="10" borderId="42" xfId="0" applyFont="1" applyFill="1" applyBorder="1" applyAlignment="1">
      <alignment horizontal="center" vertical="center"/>
    </xf>
    <xf numFmtId="0" fontId="16" fillId="10" borderId="43" xfId="0" applyFont="1" applyFill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horizontal="center" vertical="center"/>
    </xf>
    <xf numFmtId="0" fontId="6" fillId="4" borderId="2" xfId="2" applyFill="1" applyBorder="1" applyAlignment="1">
      <alignment horizontal="center" vertical="center" wrapText="1"/>
    </xf>
    <xf numFmtId="0" fontId="4" fillId="28" borderId="2" xfId="3" applyFill="1">
      <alignment horizontal="center" vertical="center" wrapText="1"/>
    </xf>
    <xf numFmtId="0" fontId="6" fillId="27" borderId="2" xfId="2" applyFill="1" applyBorder="1" applyAlignment="1">
      <alignment horizontal="center" vertical="center" wrapText="1"/>
    </xf>
    <xf numFmtId="0" fontId="6" fillId="27" borderId="1" xfId="2" applyFill="1" applyBorder="1" applyAlignment="1">
      <alignment horizontal="center" vertical="center" wrapText="1"/>
    </xf>
    <xf numFmtId="0" fontId="6" fillId="27" borderId="12" xfId="2" applyFill="1" applyBorder="1" applyAlignment="1">
      <alignment horizontal="center" vertical="center" wrapText="1"/>
    </xf>
    <xf numFmtId="0" fontId="20" fillId="16" borderId="31" xfId="0" applyFont="1" applyFill="1" applyBorder="1" applyAlignment="1">
      <alignment horizontal="center" vertical="center" textRotation="90"/>
    </xf>
    <xf numFmtId="0" fontId="20" fillId="16" borderId="32" xfId="0" applyFont="1" applyFill="1" applyBorder="1" applyAlignment="1">
      <alignment horizontal="center" vertical="center" textRotation="90"/>
    </xf>
    <xf numFmtId="166" fontId="16" fillId="15" borderId="30" xfId="0" applyNumberFormat="1" applyFont="1" applyFill="1" applyBorder="1" applyAlignment="1">
      <alignment horizontal="center" vertical="center"/>
    </xf>
    <xf numFmtId="166" fontId="16" fillId="15" borderId="28" xfId="0" applyNumberFormat="1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 textRotation="90"/>
    </xf>
    <xf numFmtId="0" fontId="20" fillId="0" borderId="26" xfId="0" applyFont="1" applyFill="1" applyBorder="1" applyAlignment="1">
      <alignment horizontal="center" vertical="center" textRotation="90"/>
    </xf>
    <xf numFmtId="0" fontId="20" fillId="0" borderId="27" xfId="0" applyFont="1" applyFill="1" applyBorder="1" applyAlignment="1">
      <alignment horizontal="center" vertical="center" textRotation="90"/>
    </xf>
    <xf numFmtId="0" fontId="16" fillId="0" borderId="42" xfId="0" applyFont="1" applyFill="1" applyBorder="1" applyAlignment="1">
      <alignment horizontal="center" vertical="center"/>
    </xf>
    <xf numFmtId="0" fontId="16" fillId="6" borderId="42" xfId="0" applyFont="1" applyFill="1" applyBorder="1" applyAlignment="1">
      <alignment horizontal="center" vertical="center"/>
    </xf>
    <xf numFmtId="0" fontId="6" fillId="25" borderId="2" xfId="2" applyFill="1" applyAlignment="1">
      <alignment horizontal="center" vertical="center" wrapText="1"/>
    </xf>
    <xf numFmtId="0" fontId="41" fillId="0" borderId="41" xfId="3" applyFont="1" applyFill="1" applyBorder="1" applyAlignment="1">
      <alignment horizontal="center" vertical="center" wrapText="1"/>
    </xf>
    <xf numFmtId="0" fontId="41" fillId="0" borderId="42" xfId="3" applyFont="1" applyFill="1" applyBorder="1" applyAlignment="1">
      <alignment horizontal="center" vertical="center" wrapText="1"/>
    </xf>
    <xf numFmtId="0" fontId="41" fillId="0" borderId="43" xfId="3" applyFont="1" applyFill="1" applyBorder="1" applyAlignment="1">
      <alignment horizontal="center" vertical="center" wrapText="1"/>
    </xf>
    <xf numFmtId="166" fontId="16" fillId="15" borderId="24" xfId="0" applyNumberFormat="1" applyFont="1" applyFill="1" applyBorder="1" applyAlignment="1">
      <alignment horizontal="center" vertical="center"/>
    </xf>
    <xf numFmtId="166" fontId="16" fillId="15" borderId="21" xfId="0" applyNumberFormat="1" applyFont="1" applyFill="1" applyBorder="1" applyAlignment="1">
      <alignment horizontal="center" vertical="center"/>
    </xf>
    <xf numFmtId="166" fontId="16" fillId="15" borderId="25" xfId="0" applyNumberFormat="1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right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right" vertical="center"/>
    </xf>
    <xf numFmtId="0" fontId="16" fillId="0" borderId="12" xfId="0" applyFont="1" applyFill="1" applyBorder="1" applyAlignment="1">
      <alignment horizontal="right" vertical="center"/>
    </xf>
    <xf numFmtId="0" fontId="20" fillId="17" borderId="6" xfId="0" applyFont="1" applyFill="1" applyBorder="1" applyAlignment="1">
      <alignment horizontal="center" vertical="center"/>
    </xf>
    <xf numFmtId="0" fontId="20" fillId="17" borderId="7" xfId="0" applyFont="1" applyFill="1" applyBorder="1" applyAlignment="1">
      <alignment horizontal="center" vertical="center"/>
    </xf>
    <xf numFmtId="0" fontId="20" fillId="17" borderId="8" xfId="0" applyFont="1" applyFill="1" applyBorder="1" applyAlignment="1">
      <alignment horizontal="center" vertical="center"/>
    </xf>
    <xf numFmtId="0" fontId="16" fillId="0" borderId="46" xfId="0" applyFont="1" applyFill="1" applyBorder="1" applyAlignment="1">
      <alignment horizontal="right" vertical="center"/>
    </xf>
    <xf numFmtId="0" fontId="16" fillId="0" borderId="55" xfId="0" applyFont="1" applyFill="1" applyBorder="1" applyAlignment="1">
      <alignment horizontal="right" vertical="center"/>
    </xf>
    <xf numFmtId="0" fontId="16" fillId="0" borderId="56" xfId="0" applyFont="1" applyFill="1" applyBorder="1" applyAlignment="1">
      <alignment horizontal="right" vertical="center"/>
    </xf>
    <xf numFmtId="0" fontId="16" fillId="9" borderId="24" xfId="0" applyFont="1" applyFill="1" applyBorder="1" applyAlignment="1">
      <alignment horizontal="center" vertical="center" wrapText="1"/>
    </xf>
    <xf numFmtId="0" fontId="16" fillId="9" borderId="25" xfId="0" applyFont="1" applyFill="1" applyBorder="1" applyAlignment="1">
      <alignment horizontal="center" vertical="center" wrapText="1"/>
    </xf>
    <xf numFmtId="166" fontId="16" fillId="3" borderId="24" xfId="0" applyNumberFormat="1" applyFont="1" applyFill="1" applyBorder="1" applyAlignment="1">
      <alignment horizontal="center" vertical="center" wrapText="1"/>
    </xf>
    <xf numFmtId="166" fontId="16" fillId="3" borderId="25" xfId="0" applyNumberFormat="1" applyFont="1" applyFill="1" applyBorder="1" applyAlignment="1">
      <alignment horizontal="center" vertical="center" wrapText="1"/>
    </xf>
    <xf numFmtId="0" fontId="16" fillId="14" borderId="31" xfId="0" applyFont="1" applyFill="1" applyBorder="1" applyAlignment="1">
      <alignment horizontal="center" vertical="center" wrapText="1"/>
    </xf>
    <xf numFmtId="0" fontId="16" fillId="14" borderId="34" xfId="0" applyFont="1" applyFill="1" applyBorder="1" applyAlignment="1">
      <alignment horizontal="center" vertical="center" wrapText="1"/>
    </xf>
    <xf numFmtId="0" fontId="20" fillId="5" borderId="6" xfId="0" applyFont="1" applyFill="1" applyBorder="1" applyAlignment="1">
      <alignment horizontal="center"/>
    </xf>
    <xf numFmtId="0" fontId="20" fillId="5" borderId="7" xfId="0" applyFont="1" applyFill="1" applyBorder="1" applyAlignment="1">
      <alignment horizontal="center"/>
    </xf>
    <xf numFmtId="0" fontId="20" fillId="5" borderId="8" xfId="0" applyFont="1" applyFill="1" applyBorder="1" applyAlignment="1">
      <alignment horizontal="center"/>
    </xf>
    <xf numFmtId="0" fontId="21" fillId="6" borderId="9" xfId="0" applyFont="1" applyFill="1" applyBorder="1" applyAlignment="1">
      <alignment horizontal="right" vertical="center"/>
    </xf>
    <xf numFmtId="0" fontId="21" fillId="6" borderId="2" xfId="0" applyFont="1" applyFill="1" applyBorder="1" applyAlignment="1">
      <alignment horizontal="right" vertical="center"/>
    </xf>
    <xf numFmtId="0" fontId="16" fillId="6" borderId="9" xfId="0" applyFont="1" applyFill="1" applyBorder="1" applyAlignment="1">
      <alignment horizontal="center" vertical="center"/>
    </xf>
    <xf numFmtId="0" fontId="16" fillId="20" borderId="24" xfId="0" applyFont="1" applyFill="1" applyBorder="1" applyAlignment="1">
      <alignment horizontal="center" vertical="center" wrapText="1"/>
    </xf>
    <xf numFmtId="0" fontId="16" fillId="20" borderId="25" xfId="0" applyFont="1" applyFill="1" applyBorder="1" applyAlignment="1">
      <alignment horizontal="center" vertical="center" wrapText="1"/>
    </xf>
    <xf numFmtId="0" fontId="20" fillId="20" borderId="24" xfId="0" applyFont="1" applyFill="1" applyBorder="1" applyAlignment="1">
      <alignment horizontal="center" vertical="center" wrapText="1"/>
    </xf>
    <xf numFmtId="0" fontId="6" fillId="26" borderId="7" xfId="2" applyFill="1" applyBorder="1" applyAlignment="1">
      <alignment horizontal="center" vertical="center" wrapText="1"/>
    </xf>
    <xf numFmtId="0" fontId="6" fillId="26" borderId="2" xfId="2" applyFill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 wrapText="1"/>
    </xf>
    <xf numFmtId="0" fontId="16" fillId="3" borderId="28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 wrapText="1"/>
    </xf>
    <xf numFmtId="0" fontId="43" fillId="0" borderId="47" xfId="0" applyFont="1" applyFill="1" applyBorder="1" applyAlignment="1">
      <alignment horizontal="center" vertical="center"/>
    </xf>
    <xf numFmtId="0" fontId="43" fillId="0" borderId="28" xfId="0" applyFont="1" applyFill="1" applyBorder="1" applyAlignment="1">
      <alignment horizontal="center" vertical="center"/>
    </xf>
    <xf numFmtId="0" fontId="43" fillId="0" borderId="75" xfId="0" applyFont="1" applyFill="1" applyBorder="1" applyAlignment="1">
      <alignment horizontal="center" vertical="center"/>
    </xf>
  </cellXfs>
  <cellStyles count="20">
    <cellStyle name="??" xfId="6"/>
    <cellStyle name="Lien hypertexte" xfId="7" builtinId="8"/>
    <cellStyle name="Milliers" xfId="4" builtinId="3"/>
    <cellStyle name="Milliers 2" xfId="15"/>
    <cellStyle name="Normal" xfId="0" builtinId="0"/>
    <cellStyle name="Normal 2" xfId="5"/>
    <cellStyle name="Normal 3" xfId="8"/>
    <cellStyle name="Normal 4" xfId="9"/>
    <cellStyle name="Normal 5" xfId="10"/>
    <cellStyle name="Normal 6" xfId="17"/>
    <cellStyle name="Pourcentage" xfId="1" builtinId="5"/>
    <cellStyle name="Pourcentage 2" xfId="11"/>
    <cellStyle name="Pourcentage 3" xfId="12"/>
    <cellStyle name="Pourcentage 4" xfId="13"/>
    <cellStyle name="Pourcentage 4 2" xfId="14"/>
    <cellStyle name="Style CARTE" xfId="2"/>
    <cellStyle name="Style Carte 2" xfId="16"/>
    <cellStyle name="Style COMPO" xfId="3"/>
    <cellStyle name="Style COMPO 2" xfId="19"/>
    <cellStyle name="Style COMPO 3" xfId="18"/>
  </cellStyles>
  <dxfs count="39">
    <dxf>
      <font>
        <b/>
        <i val="0"/>
        <strike val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strike val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strike val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00FF7D"/>
      <color rgb="FFA3FFA3"/>
      <color rgb="FFDDFFDD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473449</xdr:colOff>
      <xdr:row>12</xdr:row>
      <xdr:rowOff>0</xdr:rowOff>
    </xdr:from>
    <xdr:to>
      <xdr:col>8</xdr:col>
      <xdr:colOff>237407</xdr:colOff>
      <xdr:row>12</xdr:row>
      <xdr:rowOff>0</xdr:rowOff>
    </xdr:to>
    <xdr:sp macro="" textlink="">
      <xdr:nvSpPr>
        <xdr:cNvPr id="2" name="ZoneTexte 1"/>
        <xdr:cNvSpPr txBox="1"/>
      </xdr:nvSpPr>
      <xdr:spPr>
        <a:xfrm>
          <a:off x="4131049" y="1862417"/>
          <a:ext cx="4535983" cy="6014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No</a:t>
          </a:r>
          <a:r>
            <a:rPr lang="fr-FR" sz="1600" b="1" baseline="0">
              <a:solidFill>
                <a:srgbClr val="FF0000"/>
              </a:solidFill>
            </a:rPr>
            <a:t> </a:t>
          </a:r>
          <a:r>
            <a:rPr lang="fr-FR" sz="1600" b="1">
              <a:solidFill>
                <a:srgbClr val="FF0000"/>
              </a:solidFill>
            </a:rPr>
            <a:t>Switch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15</xdr:row>
          <xdr:rowOff>152400</xdr:rowOff>
        </xdr:from>
        <xdr:to>
          <xdr:col>3</xdr:col>
          <xdr:colOff>276225</xdr:colOff>
          <xdr:row>20</xdr:row>
          <xdr:rowOff>38100</xdr:rowOff>
        </xdr:to>
        <xdr:sp macro="" textlink="">
          <xdr:nvSpPr>
            <xdr:cNvPr id="63489" name="Button 1" hidden="1">
              <a:extLst>
                <a:ext uri="{63B3BB69-23CF-44E3-9099-C40C66FF867C}">
                  <a14:compatExt spid="_x0000_s6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Annexe Word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0</xdr:colOff>
      <xdr:row>0</xdr:row>
      <xdr:rowOff>161924</xdr:rowOff>
    </xdr:from>
    <xdr:ext cx="4314825" cy="828676"/>
    <xdr:sp macro="" textlink="">
      <xdr:nvSpPr>
        <xdr:cNvPr id="2" name="ZoneTexte 1"/>
        <xdr:cNvSpPr txBox="1"/>
      </xdr:nvSpPr>
      <xdr:spPr>
        <a:xfrm>
          <a:off x="762000" y="161924"/>
          <a:ext cx="4314825" cy="828676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Avant de lancer la mise en page, il faut désactiver la fonction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«Copier sans afficher le Presse-papiers office ».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cela n’est pas fait, la mise en page sera incomplète.</a:t>
          </a:r>
          <a:endParaRPr lang="fr-FR" sz="1100"/>
        </a:p>
      </xdr:txBody>
    </xdr:sp>
    <xdr:clientData/>
  </xdr:oneCellAnchor>
  <xdr:twoCellAnchor editAs="oneCell">
    <xdr:from>
      <xdr:col>7</xdr:col>
      <xdr:colOff>0</xdr:colOff>
      <xdr:row>0</xdr:row>
      <xdr:rowOff>152400</xdr:rowOff>
    </xdr:from>
    <xdr:to>
      <xdr:col>12</xdr:col>
      <xdr:colOff>152400</xdr:colOff>
      <xdr:row>27</xdr:row>
      <xdr:rowOff>133350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52400"/>
          <a:ext cx="3962400" cy="435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144"/>
  <sheetViews>
    <sheetView tabSelected="1" topLeftCell="E1" zoomScale="75" zoomScaleNormal="75" workbookViewId="0">
      <selection activeCell="K5" sqref="K5"/>
    </sheetView>
  </sheetViews>
  <sheetFormatPr baseColWidth="10" defaultRowHeight="14.25" x14ac:dyDescent="0.2"/>
  <cols>
    <col min="1" max="2" width="14.28515625" style="44" customWidth="1"/>
    <col min="3" max="3" width="20.140625" style="44" customWidth="1"/>
    <col min="4" max="4" width="72.7109375" style="44" bestFit="1" customWidth="1"/>
    <col min="5" max="5" width="11.42578125" style="44"/>
    <col min="6" max="6" width="10.5703125" style="44" customWidth="1"/>
    <col min="7" max="7" width="18.85546875" style="44" customWidth="1"/>
    <col min="8" max="8" width="14.28515625" style="44" customWidth="1"/>
    <col min="9" max="9" width="108.85546875" style="44" customWidth="1"/>
    <col min="10" max="256" width="11.42578125" style="44"/>
    <col min="257" max="258" width="14.28515625" style="44" customWidth="1"/>
    <col min="259" max="259" width="20.140625" style="44" customWidth="1"/>
    <col min="260" max="260" width="46.7109375" style="44" bestFit="1" customWidth="1"/>
    <col min="261" max="512" width="11.42578125" style="44"/>
    <col min="513" max="514" width="14.28515625" style="44" customWidth="1"/>
    <col min="515" max="515" width="20.140625" style="44" customWidth="1"/>
    <col min="516" max="516" width="46.7109375" style="44" bestFit="1" customWidth="1"/>
    <col min="517" max="768" width="11.42578125" style="44"/>
    <col min="769" max="770" width="14.28515625" style="44" customWidth="1"/>
    <col min="771" max="771" width="20.140625" style="44" customWidth="1"/>
    <col min="772" max="772" width="46.7109375" style="44" bestFit="1" customWidth="1"/>
    <col min="773" max="1024" width="11.42578125" style="44"/>
    <col min="1025" max="1026" width="14.28515625" style="44" customWidth="1"/>
    <col min="1027" max="1027" width="20.140625" style="44" customWidth="1"/>
    <col min="1028" max="1028" width="46.7109375" style="44" bestFit="1" customWidth="1"/>
    <col min="1029" max="1280" width="11.42578125" style="44"/>
    <col min="1281" max="1282" width="14.28515625" style="44" customWidth="1"/>
    <col min="1283" max="1283" width="20.140625" style="44" customWidth="1"/>
    <col min="1284" max="1284" width="46.7109375" style="44" bestFit="1" customWidth="1"/>
    <col min="1285" max="1536" width="11.42578125" style="44"/>
    <col min="1537" max="1538" width="14.28515625" style="44" customWidth="1"/>
    <col min="1539" max="1539" width="20.140625" style="44" customWidth="1"/>
    <col min="1540" max="1540" width="46.7109375" style="44" bestFit="1" customWidth="1"/>
    <col min="1541" max="1792" width="11.42578125" style="44"/>
    <col min="1793" max="1794" width="14.28515625" style="44" customWidth="1"/>
    <col min="1795" max="1795" width="20.140625" style="44" customWidth="1"/>
    <col min="1796" max="1796" width="46.7109375" style="44" bestFit="1" customWidth="1"/>
    <col min="1797" max="2048" width="11.42578125" style="44"/>
    <col min="2049" max="2050" width="14.28515625" style="44" customWidth="1"/>
    <col min="2051" max="2051" width="20.140625" style="44" customWidth="1"/>
    <col min="2052" max="2052" width="46.7109375" style="44" bestFit="1" customWidth="1"/>
    <col min="2053" max="2304" width="11.42578125" style="44"/>
    <col min="2305" max="2306" width="14.28515625" style="44" customWidth="1"/>
    <col min="2307" max="2307" width="20.140625" style="44" customWidth="1"/>
    <col min="2308" max="2308" width="46.7109375" style="44" bestFit="1" customWidth="1"/>
    <col min="2309" max="2560" width="11.42578125" style="44"/>
    <col min="2561" max="2562" width="14.28515625" style="44" customWidth="1"/>
    <col min="2563" max="2563" width="20.140625" style="44" customWidth="1"/>
    <col min="2564" max="2564" width="46.7109375" style="44" bestFit="1" customWidth="1"/>
    <col min="2565" max="2816" width="11.42578125" style="44"/>
    <col min="2817" max="2818" width="14.28515625" style="44" customWidth="1"/>
    <col min="2819" max="2819" width="20.140625" style="44" customWidth="1"/>
    <col min="2820" max="2820" width="46.7109375" style="44" bestFit="1" customWidth="1"/>
    <col min="2821" max="3072" width="11.42578125" style="44"/>
    <col min="3073" max="3074" width="14.28515625" style="44" customWidth="1"/>
    <col min="3075" max="3075" width="20.140625" style="44" customWidth="1"/>
    <col min="3076" max="3076" width="46.7109375" style="44" bestFit="1" customWidth="1"/>
    <col min="3077" max="3328" width="11.42578125" style="44"/>
    <col min="3329" max="3330" width="14.28515625" style="44" customWidth="1"/>
    <col min="3331" max="3331" width="20.140625" style="44" customWidth="1"/>
    <col min="3332" max="3332" width="46.7109375" style="44" bestFit="1" customWidth="1"/>
    <col min="3333" max="3584" width="11.42578125" style="44"/>
    <col min="3585" max="3586" width="14.28515625" style="44" customWidth="1"/>
    <col min="3587" max="3587" width="20.140625" style="44" customWidth="1"/>
    <col min="3588" max="3588" width="46.7109375" style="44" bestFit="1" customWidth="1"/>
    <col min="3589" max="3840" width="11.42578125" style="44"/>
    <col min="3841" max="3842" width="14.28515625" style="44" customWidth="1"/>
    <col min="3843" max="3843" width="20.140625" style="44" customWidth="1"/>
    <col min="3844" max="3844" width="46.7109375" style="44" bestFit="1" customWidth="1"/>
    <col min="3845" max="4096" width="11.42578125" style="44"/>
    <col min="4097" max="4098" width="14.28515625" style="44" customWidth="1"/>
    <col min="4099" max="4099" width="20.140625" style="44" customWidth="1"/>
    <col min="4100" max="4100" width="46.7109375" style="44" bestFit="1" customWidth="1"/>
    <col min="4101" max="4352" width="11.42578125" style="44"/>
    <col min="4353" max="4354" width="14.28515625" style="44" customWidth="1"/>
    <col min="4355" max="4355" width="20.140625" style="44" customWidth="1"/>
    <col min="4356" max="4356" width="46.7109375" style="44" bestFit="1" customWidth="1"/>
    <col min="4357" max="4608" width="11.42578125" style="44"/>
    <col min="4609" max="4610" width="14.28515625" style="44" customWidth="1"/>
    <col min="4611" max="4611" width="20.140625" style="44" customWidth="1"/>
    <col min="4612" max="4612" width="46.7109375" style="44" bestFit="1" customWidth="1"/>
    <col min="4613" max="4864" width="11.42578125" style="44"/>
    <col min="4865" max="4866" width="14.28515625" style="44" customWidth="1"/>
    <col min="4867" max="4867" width="20.140625" style="44" customWidth="1"/>
    <col min="4868" max="4868" width="46.7109375" style="44" bestFit="1" customWidth="1"/>
    <col min="4869" max="5120" width="11.42578125" style="44"/>
    <col min="5121" max="5122" width="14.28515625" style="44" customWidth="1"/>
    <col min="5123" max="5123" width="20.140625" style="44" customWidth="1"/>
    <col min="5124" max="5124" width="46.7109375" style="44" bestFit="1" customWidth="1"/>
    <col min="5125" max="5376" width="11.42578125" style="44"/>
    <col min="5377" max="5378" width="14.28515625" style="44" customWidth="1"/>
    <col min="5379" max="5379" width="20.140625" style="44" customWidth="1"/>
    <col min="5380" max="5380" width="46.7109375" style="44" bestFit="1" customWidth="1"/>
    <col min="5381" max="5632" width="11.42578125" style="44"/>
    <col min="5633" max="5634" width="14.28515625" style="44" customWidth="1"/>
    <col min="5635" max="5635" width="20.140625" style="44" customWidth="1"/>
    <col min="5636" max="5636" width="46.7109375" style="44" bestFit="1" customWidth="1"/>
    <col min="5637" max="5888" width="11.42578125" style="44"/>
    <col min="5889" max="5890" width="14.28515625" style="44" customWidth="1"/>
    <col min="5891" max="5891" width="20.140625" style="44" customWidth="1"/>
    <col min="5892" max="5892" width="46.7109375" style="44" bestFit="1" customWidth="1"/>
    <col min="5893" max="6144" width="11.42578125" style="44"/>
    <col min="6145" max="6146" width="14.28515625" style="44" customWidth="1"/>
    <col min="6147" max="6147" width="20.140625" style="44" customWidth="1"/>
    <col min="6148" max="6148" width="46.7109375" style="44" bestFit="1" customWidth="1"/>
    <col min="6149" max="6400" width="11.42578125" style="44"/>
    <col min="6401" max="6402" width="14.28515625" style="44" customWidth="1"/>
    <col min="6403" max="6403" width="20.140625" style="44" customWidth="1"/>
    <col min="6404" max="6404" width="46.7109375" style="44" bestFit="1" customWidth="1"/>
    <col min="6405" max="6656" width="11.42578125" style="44"/>
    <col min="6657" max="6658" width="14.28515625" style="44" customWidth="1"/>
    <col min="6659" max="6659" width="20.140625" style="44" customWidth="1"/>
    <col min="6660" max="6660" width="46.7109375" style="44" bestFit="1" customWidth="1"/>
    <col min="6661" max="6912" width="11.42578125" style="44"/>
    <col min="6913" max="6914" width="14.28515625" style="44" customWidth="1"/>
    <col min="6915" max="6915" width="20.140625" style="44" customWidth="1"/>
    <col min="6916" max="6916" width="46.7109375" style="44" bestFit="1" customWidth="1"/>
    <col min="6917" max="7168" width="11.42578125" style="44"/>
    <col min="7169" max="7170" width="14.28515625" style="44" customWidth="1"/>
    <col min="7171" max="7171" width="20.140625" style="44" customWidth="1"/>
    <col min="7172" max="7172" width="46.7109375" style="44" bestFit="1" customWidth="1"/>
    <col min="7173" max="7424" width="11.42578125" style="44"/>
    <col min="7425" max="7426" width="14.28515625" style="44" customWidth="1"/>
    <col min="7427" max="7427" width="20.140625" style="44" customWidth="1"/>
    <col min="7428" max="7428" width="46.7109375" style="44" bestFit="1" customWidth="1"/>
    <col min="7429" max="7680" width="11.42578125" style="44"/>
    <col min="7681" max="7682" width="14.28515625" style="44" customWidth="1"/>
    <col min="7683" max="7683" width="20.140625" style="44" customWidth="1"/>
    <col min="7684" max="7684" width="46.7109375" style="44" bestFit="1" customWidth="1"/>
    <col min="7685" max="7936" width="11.42578125" style="44"/>
    <col min="7937" max="7938" width="14.28515625" style="44" customWidth="1"/>
    <col min="7939" max="7939" width="20.140625" style="44" customWidth="1"/>
    <col min="7940" max="7940" width="46.7109375" style="44" bestFit="1" customWidth="1"/>
    <col min="7941" max="8192" width="11.42578125" style="44"/>
    <col min="8193" max="8194" width="14.28515625" style="44" customWidth="1"/>
    <col min="8195" max="8195" width="20.140625" style="44" customWidth="1"/>
    <col min="8196" max="8196" width="46.7109375" style="44" bestFit="1" customWidth="1"/>
    <col min="8197" max="8448" width="11.42578125" style="44"/>
    <col min="8449" max="8450" width="14.28515625" style="44" customWidth="1"/>
    <col min="8451" max="8451" width="20.140625" style="44" customWidth="1"/>
    <col min="8452" max="8452" width="46.7109375" style="44" bestFit="1" customWidth="1"/>
    <col min="8453" max="8704" width="11.42578125" style="44"/>
    <col min="8705" max="8706" width="14.28515625" style="44" customWidth="1"/>
    <col min="8707" max="8707" width="20.140625" style="44" customWidth="1"/>
    <col min="8708" max="8708" width="46.7109375" style="44" bestFit="1" customWidth="1"/>
    <col min="8709" max="8960" width="11.42578125" style="44"/>
    <col min="8961" max="8962" width="14.28515625" style="44" customWidth="1"/>
    <col min="8963" max="8963" width="20.140625" style="44" customWidth="1"/>
    <col min="8964" max="8964" width="46.7109375" style="44" bestFit="1" customWidth="1"/>
    <col min="8965" max="9216" width="11.42578125" style="44"/>
    <col min="9217" max="9218" width="14.28515625" style="44" customWidth="1"/>
    <col min="9219" max="9219" width="20.140625" style="44" customWidth="1"/>
    <col min="9220" max="9220" width="46.7109375" style="44" bestFit="1" customWidth="1"/>
    <col min="9221" max="9472" width="11.42578125" style="44"/>
    <col min="9473" max="9474" width="14.28515625" style="44" customWidth="1"/>
    <col min="9475" max="9475" width="20.140625" style="44" customWidth="1"/>
    <col min="9476" max="9476" width="46.7109375" style="44" bestFit="1" customWidth="1"/>
    <col min="9477" max="9728" width="11.42578125" style="44"/>
    <col min="9729" max="9730" width="14.28515625" style="44" customWidth="1"/>
    <col min="9731" max="9731" width="20.140625" style="44" customWidth="1"/>
    <col min="9732" max="9732" width="46.7109375" style="44" bestFit="1" customWidth="1"/>
    <col min="9733" max="9984" width="11.42578125" style="44"/>
    <col min="9985" max="9986" width="14.28515625" style="44" customWidth="1"/>
    <col min="9987" max="9987" width="20.140625" style="44" customWidth="1"/>
    <col min="9988" max="9988" width="46.7109375" style="44" bestFit="1" customWidth="1"/>
    <col min="9989" max="10240" width="11.42578125" style="44"/>
    <col min="10241" max="10242" width="14.28515625" style="44" customWidth="1"/>
    <col min="10243" max="10243" width="20.140625" style="44" customWidth="1"/>
    <col min="10244" max="10244" width="46.7109375" style="44" bestFit="1" customWidth="1"/>
    <col min="10245" max="10496" width="11.42578125" style="44"/>
    <col min="10497" max="10498" width="14.28515625" style="44" customWidth="1"/>
    <col min="10499" max="10499" width="20.140625" style="44" customWidth="1"/>
    <col min="10500" max="10500" width="46.7109375" style="44" bestFit="1" customWidth="1"/>
    <col min="10501" max="10752" width="11.42578125" style="44"/>
    <col min="10753" max="10754" width="14.28515625" style="44" customWidth="1"/>
    <col min="10755" max="10755" width="20.140625" style="44" customWidth="1"/>
    <col min="10756" max="10756" width="46.7109375" style="44" bestFit="1" customWidth="1"/>
    <col min="10757" max="11008" width="11.42578125" style="44"/>
    <col min="11009" max="11010" width="14.28515625" style="44" customWidth="1"/>
    <col min="11011" max="11011" width="20.140625" style="44" customWidth="1"/>
    <col min="11012" max="11012" width="46.7109375" style="44" bestFit="1" customWidth="1"/>
    <col min="11013" max="11264" width="11.42578125" style="44"/>
    <col min="11265" max="11266" width="14.28515625" style="44" customWidth="1"/>
    <col min="11267" max="11267" width="20.140625" style="44" customWidth="1"/>
    <col min="11268" max="11268" width="46.7109375" style="44" bestFit="1" customWidth="1"/>
    <col min="11269" max="11520" width="11.42578125" style="44"/>
    <col min="11521" max="11522" width="14.28515625" style="44" customWidth="1"/>
    <col min="11523" max="11523" width="20.140625" style="44" customWidth="1"/>
    <col min="11524" max="11524" width="46.7109375" style="44" bestFit="1" customWidth="1"/>
    <col min="11525" max="11776" width="11.42578125" style="44"/>
    <col min="11777" max="11778" width="14.28515625" style="44" customWidth="1"/>
    <col min="11779" max="11779" width="20.140625" style="44" customWidth="1"/>
    <col min="11780" max="11780" width="46.7109375" style="44" bestFit="1" customWidth="1"/>
    <col min="11781" max="12032" width="11.42578125" style="44"/>
    <col min="12033" max="12034" width="14.28515625" style="44" customWidth="1"/>
    <col min="12035" max="12035" width="20.140625" style="44" customWidth="1"/>
    <col min="12036" max="12036" width="46.7109375" style="44" bestFit="1" customWidth="1"/>
    <col min="12037" max="12288" width="11.42578125" style="44"/>
    <col min="12289" max="12290" width="14.28515625" style="44" customWidth="1"/>
    <col min="12291" max="12291" width="20.140625" style="44" customWidth="1"/>
    <col min="12292" max="12292" width="46.7109375" style="44" bestFit="1" customWidth="1"/>
    <col min="12293" max="12544" width="11.42578125" style="44"/>
    <col min="12545" max="12546" width="14.28515625" style="44" customWidth="1"/>
    <col min="12547" max="12547" width="20.140625" style="44" customWidth="1"/>
    <col min="12548" max="12548" width="46.7109375" style="44" bestFit="1" customWidth="1"/>
    <col min="12549" max="12800" width="11.42578125" style="44"/>
    <col min="12801" max="12802" width="14.28515625" style="44" customWidth="1"/>
    <col min="12803" max="12803" width="20.140625" style="44" customWidth="1"/>
    <col min="12804" max="12804" width="46.7109375" style="44" bestFit="1" customWidth="1"/>
    <col min="12805" max="13056" width="11.42578125" style="44"/>
    <col min="13057" max="13058" width="14.28515625" style="44" customWidth="1"/>
    <col min="13059" max="13059" width="20.140625" style="44" customWidth="1"/>
    <col min="13060" max="13060" width="46.7109375" style="44" bestFit="1" customWidth="1"/>
    <col min="13061" max="13312" width="11.42578125" style="44"/>
    <col min="13313" max="13314" width="14.28515625" style="44" customWidth="1"/>
    <col min="13315" max="13315" width="20.140625" style="44" customWidth="1"/>
    <col min="13316" max="13316" width="46.7109375" style="44" bestFit="1" customWidth="1"/>
    <col min="13317" max="13568" width="11.42578125" style="44"/>
    <col min="13569" max="13570" width="14.28515625" style="44" customWidth="1"/>
    <col min="13571" max="13571" width="20.140625" style="44" customWidth="1"/>
    <col min="13572" max="13572" width="46.7109375" style="44" bestFit="1" customWidth="1"/>
    <col min="13573" max="13824" width="11.42578125" style="44"/>
    <col min="13825" max="13826" width="14.28515625" style="44" customWidth="1"/>
    <col min="13827" max="13827" width="20.140625" style="44" customWidth="1"/>
    <col min="13828" max="13828" width="46.7109375" style="44" bestFit="1" customWidth="1"/>
    <col min="13829" max="14080" width="11.42578125" style="44"/>
    <col min="14081" max="14082" width="14.28515625" style="44" customWidth="1"/>
    <col min="14083" max="14083" width="20.140625" style="44" customWidth="1"/>
    <col min="14084" max="14084" width="46.7109375" style="44" bestFit="1" customWidth="1"/>
    <col min="14085" max="14336" width="11.42578125" style="44"/>
    <col min="14337" max="14338" width="14.28515625" style="44" customWidth="1"/>
    <col min="14339" max="14339" width="20.140625" style="44" customWidth="1"/>
    <col min="14340" max="14340" width="46.7109375" style="44" bestFit="1" customWidth="1"/>
    <col min="14341" max="14592" width="11.42578125" style="44"/>
    <col min="14593" max="14594" width="14.28515625" style="44" customWidth="1"/>
    <col min="14595" max="14595" width="20.140625" style="44" customWidth="1"/>
    <col min="14596" max="14596" width="46.7109375" style="44" bestFit="1" customWidth="1"/>
    <col min="14597" max="14848" width="11.42578125" style="44"/>
    <col min="14849" max="14850" width="14.28515625" style="44" customWidth="1"/>
    <col min="14851" max="14851" width="20.140625" style="44" customWidth="1"/>
    <col min="14852" max="14852" width="46.7109375" style="44" bestFit="1" customWidth="1"/>
    <col min="14853" max="15104" width="11.42578125" style="44"/>
    <col min="15105" max="15106" width="14.28515625" style="44" customWidth="1"/>
    <col min="15107" max="15107" width="20.140625" style="44" customWidth="1"/>
    <col min="15108" max="15108" width="46.7109375" style="44" bestFit="1" customWidth="1"/>
    <col min="15109" max="15360" width="11.42578125" style="44"/>
    <col min="15361" max="15362" width="14.28515625" style="44" customWidth="1"/>
    <col min="15363" max="15363" width="20.140625" style="44" customWidth="1"/>
    <col min="15364" max="15364" width="46.7109375" style="44" bestFit="1" customWidth="1"/>
    <col min="15365" max="15616" width="11.42578125" style="44"/>
    <col min="15617" max="15618" width="14.28515625" style="44" customWidth="1"/>
    <col min="15619" max="15619" width="20.140625" style="44" customWidth="1"/>
    <col min="15620" max="15620" width="46.7109375" style="44" bestFit="1" customWidth="1"/>
    <col min="15621" max="15872" width="11.42578125" style="44"/>
    <col min="15873" max="15874" width="14.28515625" style="44" customWidth="1"/>
    <col min="15875" max="15875" width="20.140625" style="44" customWidth="1"/>
    <col min="15876" max="15876" width="46.7109375" style="44" bestFit="1" customWidth="1"/>
    <col min="15877" max="16128" width="11.42578125" style="44"/>
    <col min="16129" max="16130" width="14.28515625" style="44" customWidth="1"/>
    <col min="16131" max="16131" width="20.140625" style="44" customWidth="1"/>
    <col min="16132" max="16132" width="46.7109375" style="44" bestFit="1" customWidth="1"/>
    <col min="16133" max="16384" width="11.42578125" style="44"/>
  </cols>
  <sheetData>
    <row r="1" spans="1:41" ht="15" thickBot="1" x14ac:dyDescent="0.25">
      <c r="A1" s="44" t="s">
        <v>126</v>
      </c>
      <c r="AO1" s="1"/>
    </row>
    <row r="2" spans="1:41" ht="21.75" thickTop="1" thickBot="1" x14ac:dyDescent="0.25">
      <c r="A2" s="329" t="s">
        <v>64</v>
      </c>
      <c r="B2" s="330"/>
      <c r="C2" s="330"/>
      <c r="D2" s="331"/>
      <c r="F2" s="329"/>
      <c r="G2" s="330"/>
      <c r="H2" s="330"/>
      <c r="I2" s="331"/>
      <c r="AO2" s="1"/>
    </row>
    <row r="3" spans="1:41" ht="18" thickTop="1" x14ac:dyDescent="0.2">
      <c r="A3" s="194"/>
      <c r="B3" s="194"/>
      <c r="C3" s="194"/>
      <c r="D3" s="195"/>
      <c r="F3" s="194"/>
      <c r="G3" s="194"/>
      <c r="H3" s="194"/>
      <c r="I3" s="195"/>
      <c r="AO3" s="1"/>
    </row>
    <row r="4" spans="1:41" ht="17.25" x14ac:dyDescent="0.2">
      <c r="A4" s="45" t="s">
        <v>60</v>
      </c>
      <c r="B4" s="45" t="s">
        <v>61</v>
      </c>
      <c r="C4" s="45" t="s">
        <v>62</v>
      </c>
      <c r="D4" s="46" t="s">
        <v>63</v>
      </c>
      <c r="F4" s="45"/>
      <c r="G4" s="45"/>
      <c r="H4" s="45"/>
      <c r="I4" s="46"/>
      <c r="AO4" s="1"/>
    </row>
    <row r="5" spans="1:41" ht="16.5" x14ac:dyDescent="0.2">
      <c r="A5" s="2"/>
      <c r="B5" s="3"/>
      <c r="C5" s="4"/>
      <c r="D5" s="5"/>
      <c r="F5" s="47"/>
      <c r="G5" s="47"/>
      <c r="H5" s="217"/>
      <c r="I5" s="48"/>
      <c r="AO5" s="1"/>
    </row>
    <row r="6" spans="1:41" ht="16.5" x14ac:dyDescent="0.2">
      <c r="A6" s="3"/>
      <c r="B6" s="3"/>
      <c r="C6" s="6"/>
      <c r="D6" s="5"/>
      <c r="F6" s="334"/>
      <c r="G6" s="334"/>
      <c r="H6" s="332"/>
      <c r="I6" s="48"/>
      <c r="AO6" s="1"/>
    </row>
    <row r="7" spans="1:41" ht="16.5" x14ac:dyDescent="0.2">
      <c r="A7" s="3"/>
      <c r="B7" s="3"/>
      <c r="C7" s="6"/>
      <c r="D7" s="5"/>
      <c r="F7" s="335"/>
      <c r="G7" s="335"/>
      <c r="H7" s="333"/>
      <c r="I7" s="48"/>
      <c r="AO7" s="1"/>
    </row>
    <row r="8" spans="1:41" ht="16.5" x14ac:dyDescent="0.2">
      <c r="A8" s="3"/>
      <c r="B8" s="3"/>
      <c r="C8" s="6"/>
      <c r="D8" s="5"/>
      <c r="F8" s="47"/>
      <c r="G8" s="47"/>
      <c r="H8" s="238"/>
      <c r="I8" s="49"/>
      <c r="AO8" s="1"/>
    </row>
    <row r="9" spans="1:41" ht="16.5" x14ac:dyDescent="0.2">
      <c r="A9" s="3"/>
      <c r="B9" s="3"/>
      <c r="C9" s="6"/>
      <c r="D9" s="5"/>
      <c r="F9" s="47"/>
      <c r="G9" s="47"/>
      <c r="H9" s="238"/>
      <c r="I9" s="49"/>
      <c r="AO9" s="1"/>
    </row>
    <row r="10" spans="1:41" ht="16.5" x14ac:dyDescent="0.2">
      <c r="A10" s="7"/>
      <c r="B10" s="7"/>
      <c r="C10" s="7"/>
      <c r="D10" s="5"/>
      <c r="F10" s="47"/>
      <c r="G10" s="47"/>
      <c r="H10" s="238"/>
      <c r="I10" s="49"/>
      <c r="AO10" s="1"/>
    </row>
    <row r="11" spans="1:41" ht="16.5" x14ac:dyDescent="0.2">
      <c r="A11" s="2"/>
      <c r="B11" s="3"/>
      <c r="C11" s="4"/>
      <c r="D11" s="5"/>
      <c r="F11" s="47"/>
      <c r="G11" s="47"/>
      <c r="H11" s="238"/>
      <c r="I11" s="49"/>
      <c r="AO11" s="1"/>
    </row>
    <row r="12" spans="1:41" ht="16.5" x14ac:dyDescent="0.2">
      <c r="A12" s="3"/>
      <c r="B12" s="3"/>
      <c r="C12" s="6"/>
      <c r="D12" s="5"/>
      <c r="F12" s="47"/>
      <c r="G12" s="47"/>
      <c r="H12" s="238"/>
      <c r="I12" s="49"/>
      <c r="AO12" s="1"/>
    </row>
    <row r="13" spans="1:41" ht="16.5" x14ac:dyDescent="0.2">
      <c r="A13" s="3"/>
      <c r="B13" s="3"/>
      <c r="C13" s="6"/>
      <c r="D13" s="5"/>
      <c r="F13" s="47"/>
      <c r="G13" s="47"/>
      <c r="H13" s="238"/>
      <c r="I13" s="49"/>
      <c r="AO13" s="1"/>
    </row>
    <row r="14" spans="1:41" ht="16.5" x14ac:dyDescent="0.2">
      <c r="A14" s="7"/>
      <c r="B14" s="7"/>
      <c r="C14" s="7"/>
      <c r="D14" s="5"/>
      <c r="F14" s="47"/>
      <c r="G14" s="47"/>
      <c r="H14" s="238"/>
      <c r="I14" s="49"/>
      <c r="AO14" s="1"/>
    </row>
    <row r="15" spans="1:41" ht="16.5" x14ac:dyDescent="0.2">
      <c r="A15" s="2"/>
      <c r="B15" s="3"/>
      <c r="C15" s="4"/>
      <c r="D15" s="5"/>
      <c r="AO15" s="1"/>
    </row>
    <row r="16" spans="1:41" ht="16.5" x14ac:dyDescent="0.2">
      <c r="A16" s="3"/>
      <c r="B16" s="3"/>
      <c r="C16" s="6"/>
      <c r="D16" s="5"/>
      <c r="AO16" s="1"/>
    </row>
    <row r="17" spans="1:41" ht="16.5" x14ac:dyDescent="0.2">
      <c r="A17" s="3"/>
      <c r="B17" s="3"/>
      <c r="C17" s="6"/>
      <c r="D17" s="5"/>
      <c r="AO17" s="1"/>
    </row>
    <row r="18" spans="1:41" ht="16.5" x14ac:dyDescent="0.2">
      <c r="A18" s="7"/>
      <c r="B18" s="7"/>
      <c r="C18" s="7"/>
      <c r="D18" s="5"/>
      <c r="AO18" s="1"/>
    </row>
    <row r="19" spans="1:41" ht="16.5" x14ac:dyDescent="0.2">
      <c r="A19" s="2"/>
      <c r="B19" s="3"/>
      <c r="C19" s="4"/>
      <c r="D19" s="5"/>
      <c r="AO19" s="1"/>
    </row>
    <row r="20" spans="1:41" ht="16.5" x14ac:dyDescent="0.2">
      <c r="A20" s="3"/>
      <c r="B20" s="3"/>
      <c r="C20" s="6"/>
      <c r="D20" s="5"/>
      <c r="AO20" s="1"/>
    </row>
    <row r="21" spans="1:41" ht="16.5" x14ac:dyDescent="0.2">
      <c r="A21" s="3"/>
      <c r="B21" s="3"/>
      <c r="C21" s="6"/>
      <c r="D21" s="5"/>
      <c r="AO21" s="1"/>
    </row>
    <row r="22" spans="1:41" ht="16.5" x14ac:dyDescent="0.2">
      <c r="A22" s="7"/>
      <c r="B22" s="7"/>
      <c r="C22" s="7"/>
      <c r="D22" s="5"/>
      <c r="AO22" s="1"/>
    </row>
    <row r="23" spans="1:41" ht="16.5" x14ac:dyDescent="0.2">
      <c r="A23" s="2"/>
      <c r="B23" s="3"/>
      <c r="C23" s="4"/>
      <c r="D23" s="5"/>
      <c r="AO23" s="1"/>
    </row>
    <row r="24" spans="1:41" ht="16.5" x14ac:dyDescent="0.2">
      <c r="A24" s="2"/>
      <c r="B24" s="3"/>
      <c r="C24" s="4"/>
      <c r="D24" s="5"/>
      <c r="AO24" s="1"/>
    </row>
    <row r="25" spans="1:41" ht="16.5" x14ac:dyDescent="0.2">
      <c r="A25" s="3"/>
      <c r="B25" s="3"/>
      <c r="C25" s="6"/>
      <c r="D25" s="5"/>
      <c r="AO25" s="1"/>
    </row>
    <row r="26" spans="1:41" ht="16.5" x14ac:dyDescent="0.2">
      <c r="A26" s="3"/>
      <c r="B26" s="3"/>
      <c r="C26" s="6"/>
      <c r="D26" s="5"/>
      <c r="AO26" s="1"/>
    </row>
    <row r="27" spans="1:41" ht="16.5" x14ac:dyDescent="0.2">
      <c r="A27" s="7"/>
      <c r="B27" s="7"/>
      <c r="C27" s="7"/>
      <c r="D27" s="5"/>
      <c r="AO27" s="1"/>
    </row>
    <row r="28" spans="1:41" x14ac:dyDescent="0.2">
      <c r="AO28" s="1"/>
    </row>
    <row r="29" spans="1:41" x14ac:dyDescent="0.2">
      <c r="AO29" s="1"/>
    </row>
    <row r="30" spans="1:41" x14ac:dyDescent="0.2">
      <c r="AO30" s="1"/>
    </row>
    <row r="31" spans="1:41" x14ac:dyDescent="0.2">
      <c r="AO31" s="1"/>
    </row>
    <row r="32" spans="1:41" x14ac:dyDescent="0.2">
      <c r="AO32" s="1"/>
    </row>
    <row r="33" spans="41:41" x14ac:dyDescent="0.2">
      <c r="AO33" s="1"/>
    </row>
    <row r="34" spans="41:41" x14ac:dyDescent="0.2">
      <c r="AO34" s="1"/>
    </row>
    <row r="35" spans="41:41" x14ac:dyDescent="0.2">
      <c r="AO35" s="1"/>
    </row>
    <row r="36" spans="41:41" x14ac:dyDescent="0.2">
      <c r="AO36" s="1"/>
    </row>
    <row r="37" spans="41:41" x14ac:dyDescent="0.2">
      <c r="AO37" s="1"/>
    </row>
    <row r="38" spans="41:41" x14ac:dyDescent="0.2">
      <c r="AO38" s="1"/>
    </row>
    <row r="39" spans="41:41" x14ac:dyDescent="0.2">
      <c r="AO39" s="1"/>
    </row>
    <row r="40" spans="41:41" x14ac:dyDescent="0.2">
      <c r="AO40" s="1"/>
    </row>
    <row r="41" spans="41:41" x14ac:dyDescent="0.2">
      <c r="AO41" s="1"/>
    </row>
    <row r="42" spans="41:41" x14ac:dyDescent="0.2">
      <c r="AO42" s="1"/>
    </row>
    <row r="43" spans="41:41" x14ac:dyDescent="0.2">
      <c r="AO43" s="1"/>
    </row>
    <row r="44" spans="41:41" x14ac:dyDescent="0.2">
      <c r="AO44" s="1"/>
    </row>
    <row r="45" spans="41:41" x14ac:dyDescent="0.2">
      <c r="AO45" s="1"/>
    </row>
    <row r="46" spans="41:41" x14ac:dyDescent="0.2">
      <c r="AO46" s="1"/>
    </row>
    <row r="47" spans="41:41" x14ac:dyDescent="0.2">
      <c r="AO47" s="1"/>
    </row>
    <row r="48" spans="41:41" x14ac:dyDescent="0.2">
      <c r="AO48" s="1"/>
    </row>
    <row r="49" spans="41:41" x14ac:dyDescent="0.2">
      <c r="AO49" s="1"/>
    </row>
    <row r="50" spans="41:41" x14ac:dyDescent="0.2">
      <c r="AO50" s="1"/>
    </row>
    <row r="51" spans="41:41" x14ac:dyDescent="0.2">
      <c r="AO51" s="1"/>
    </row>
    <row r="52" spans="41:41" x14ac:dyDescent="0.2">
      <c r="AO52" s="1"/>
    </row>
    <row r="53" spans="41:41" x14ac:dyDescent="0.2">
      <c r="AO53" s="1"/>
    </row>
    <row r="54" spans="41:41" x14ac:dyDescent="0.2">
      <c r="AO54" s="1"/>
    </row>
    <row r="55" spans="41:41" x14ac:dyDescent="0.2">
      <c r="AO55" s="1"/>
    </row>
    <row r="56" spans="41:41" x14ac:dyDescent="0.2">
      <c r="AO56" s="1"/>
    </row>
    <row r="57" spans="41:41" x14ac:dyDescent="0.2">
      <c r="AO57" s="1"/>
    </row>
    <row r="58" spans="41:41" x14ac:dyDescent="0.2">
      <c r="AO58" s="1"/>
    </row>
    <row r="59" spans="41:41" x14ac:dyDescent="0.2">
      <c r="AO59" s="1"/>
    </row>
    <row r="60" spans="41:41" x14ac:dyDescent="0.2">
      <c r="AO60" s="1"/>
    </row>
    <row r="61" spans="41:41" x14ac:dyDescent="0.2">
      <c r="AO61" s="1"/>
    </row>
    <row r="62" spans="41:41" x14ac:dyDescent="0.2">
      <c r="AO62" s="1"/>
    </row>
    <row r="63" spans="41:41" x14ac:dyDescent="0.2">
      <c r="AO63" s="1"/>
    </row>
    <row r="64" spans="41:41" x14ac:dyDescent="0.2">
      <c r="AO64" s="1"/>
    </row>
    <row r="65" spans="41:41" x14ac:dyDescent="0.2">
      <c r="AO65" s="1"/>
    </row>
    <row r="66" spans="41:41" x14ac:dyDescent="0.2">
      <c r="AO66" s="1"/>
    </row>
    <row r="67" spans="41:41" x14ac:dyDescent="0.2">
      <c r="AO67" s="1"/>
    </row>
    <row r="68" spans="41:41" x14ac:dyDescent="0.2">
      <c r="AO68" s="1"/>
    </row>
    <row r="69" spans="41:41" x14ac:dyDescent="0.2">
      <c r="AO69" s="1"/>
    </row>
    <row r="70" spans="41:41" x14ac:dyDescent="0.2">
      <c r="AO70" s="1"/>
    </row>
    <row r="71" spans="41:41" x14ac:dyDescent="0.2">
      <c r="AO71" s="1"/>
    </row>
    <row r="72" spans="41:41" x14ac:dyDescent="0.2">
      <c r="AO72" s="1"/>
    </row>
    <row r="73" spans="41:41" x14ac:dyDescent="0.2">
      <c r="AO73" s="1"/>
    </row>
    <row r="74" spans="41:41" x14ac:dyDescent="0.2">
      <c r="AO74" s="1"/>
    </row>
    <row r="75" spans="41:41" x14ac:dyDescent="0.2">
      <c r="AO75" s="1"/>
    </row>
    <row r="76" spans="41:41" x14ac:dyDescent="0.2">
      <c r="AO76" s="1"/>
    </row>
    <row r="77" spans="41:41" x14ac:dyDescent="0.2">
      <c r="AO77" s="1"/>
    </row>
    <row r="78" spans="41:41" x14ac:dyDescent="0.2">
      <c r="AO78" s="1"/>
    </row>
    <row r="79" spans="41:41" x14ac:dyDescent="0.2">
      <c r="AO79" s="1"/>
    </row>
    <row r="80" spans="41:41" x14ac:dyDescent="0.2">
      <c r="AO80" s="1"/>
    </row>
    <row r="81" spans="41:41" x14ac:dyDescent="0.2">
      <c r="AO81" s="1"/>
    </row>
    <row r="82" spans="41:41" x14ac:dyDescent="0.2">
      <c r="AO82" s="1"/>
    </row>
    <row r="83" spans="41:41" x14ac:dyDescent="0.2">
      <c r="AO83" s="1"/>
    </row>
    <row r="84" spans="41:41" x14ac:dyDescent="0.2">
      <c r="AO84" s="1"/>
    </row>
    <row r="85" spans="41:41" x14ac:dyDescent="0.2">
      <c r="AO85" s="1"/>
    </row>
    <row r="86" spans="41:41" x14ac:dyDescent="0.2">
      <c r="AO86" s="1"/>
    </row>
    <row r="87" spans="41:41" x14ac:dyDescent="0.2">
      <c r="AO87" s="1"/>
    </row>
    <row r="88" spans="41:41" x14ac:dyDescent="0.2">
      <c r="AO88" s="1"/>
    </row>
    <row r="89" spans="41:41" x14ac:dyDescent="0.2">
      <c r="AO89" s="1"/>
    </row>
    <row r="90" spans="41:41" x14ac:dyDescent="0.2">
      <c r="AO90" s="1"/>
    </row>
    <row r="91" spans="41:41" x14ac:dyDescent="0.2">
      <c r="AO91" s="1"/>
    </row>
    <row r="92" spans="41:41" x14ac:dyDescent="0.2">
      <c r="AO92" s="1"/>
    </row>
    <row r="93" spans="41:41" x14ac:dyDescent="0.2">
      <c r="AO93" s="1"/>
    </row>
    <row r="94" spans="41:41" x14ac:dyDescent="0.2">
      <c r="AO94" s="1"/>
    </row>
    <row r="95" spans="41:41" x14ac:dyDescent="0.2">
      <c r="AO95" s="1"/>
    </row>
    <row r="96" spans="41:41" x14ac:dyDescent="0.2">
      <c r="AO96" s="1"/>
    </row>
    <row r="97" spans="41:41" x14ac:dyDescent="0.2">
      <c r="AO97" s="1"/>
    </row>
    <row r="98" spans="41:41" x14ac:dyDescent="0.2">
      <c r="AO98" s="1"/>
    </row>
    <row r="99" spans="41:41" x14ac:dyDescent="0.2">
      <c r="AO99" s="1"/>
    </row>
    <row r="100" spans="41:41" x14ac:dyDescent="0.2">
      <c r="AO100" s="1"/>
    </row>
    <row r="101" spans="41:41" x14ac:dyDescent="0.2">
      <c r="AO101" s="1"/>
    </row>
    <row r="102" spans="41:41" x14ac:dyDescent="0.2">
      <c r="AO102" s="1"/>
    </row>
    <row r="103" spans="41:41" x14ac:dyDescent="0.2">
      <c r="AO103" s="1"/>
    </row>
    <row r="104" spans="41:41" x14ac:dyDescent="0.2">
      <c r="AO104" s="1"/>
    </row>
    <row r="105" spans="41:41" x14ac:dyDescent="0.2">
      <c r="AO105" s="1"/>
    </row>
    <row r="106" spans="41:41" x14ac:dyDescent="0.2">
      <c r="AO106" s="1"/>
    </row>
    <row r="107" spans="41:41" x14ac:dyDescent="0.2">
      <c r="AO107" s="1"/>
    </row>
    <row r="108" spans="41:41" x14ac:dyDescent="0.2">
      <c r="AO108" s="1"/>
    </row>
    <row r="109" spans="41:41" x14ac:dyDescent="0.2">
      <c r="AO109" s="1"/>
    </row>
    <row r="110" spans="41:41" x14ac:dyDescent="0.2">
      <c r="AO110" s="1"/>
    </row>
    <row r="111" spans="41:41" x14ac:dyDescent="0.2">
      <c r="AO111" s="1"/>
    </row>
    <row r="112" spans="41:41" x14ac:dyDescent="0.2">
      <c r="AO112" s="1"/>
    </row>
    <row r="113" spans="41:41" x14ac:dyDescent="0.2">
      <c r="AO113" s="1"/>
    </row>
    <row r="114" spans="41:41" x14ac:dyDescent="0.2">
      <c r="AO114" s="1"/>
    </row>
    <row r="115" spans="41:41" x14ac:dyDescent="0.2">
      <c r="AO115" s="1"/>
    </row>
    <row r="116" spans="41:41" x14ac:dyDescent="0.2">
      <c r="AO116" s="1"/>
    </row>
    <row r="117" spans="41:41" x14ac:dyDescent="0.2">
      <c r="AO117" s="1"/>
    </row>
    <row r="118" spans="41:41" x14ac:dyDescent="0.2">
      <c r="AO118" s="1"/>
    </row>
    <row r="119" spans="41:41" x14ac:dyDescent="0.2">
      <c r="AO119" s="1"/>
    </row>
    <row r="120" spans="41:41" x14ac:dyDescent="0.2">
      <c r="AO120" s="1"/>
    </row>
    <row r="121" spans="41:41" x14ac:dyDescent="0.2">
      <c r="AO121" s="1"/>
    </row>
    <row r="122" spans="41:41" x14ac:dyDescent="0.2">
      <c r="AO122" s="1"/>
    </row>
    <row r="123" spans="41:41" x14ac:dyDescent="0.2">
      <c r="AO123" s="1"/>
    </row>
    <row r="124" spans="41:41" x14ac:dyDescent="0.2">
      <c r="AO124" s="1"/>
    </row>
    <row r="125" spans="41:41" x14ac:dyDescent="0.2">
      <c r="AO125" s="1"/>
    </row>
    <row r="126" spans="41:41" x14ac:dyDescent="0.2">
      <c r="AO126" s="1"/>
    </row>
    <row r="127" spans="41:41" x14ac:dyDescent="0.2">
      <c r="AO127" s="1"/>
    </row>
    <row r="128" spans="41:41" x14ac:dyDescent="0.2">
      <c r="AO128" s="1"/>
    </row>
    <row r="129" spans="41:41" x14ac:dyDescent="0.2">
      <c r="AO129" s="1"/>
    </row>
    <row r="130" spans="41:41" x14ac:dyDescent="0.2">
      <c r="AO130" s="1"/>
    </row>
    <row r="131" spans="41:41" x14ac:dyDescent="0.2">
      <c r="AO131" s="1"/>
    </row>
    <row r="132" spans="41:41" x14ac:dyDescent="0.2">
      <c r="AO132" s="1"/>
    </row>
    <row r="133" spans="41:41" x14ac:dyDescent="0.2">
      <c r="AO133" s="1"/>
    </row>
    <row r="134" spans="41:41" x14ac:dyDescent="0.2">
      <c r="AO134" s="1"/>
    </row>
    <row r="135" spans="41:41" x14ac:dyDescent="0.2">
      <c r="AO135" s="1"/>
    </row>
    <row r="136" spans="41:41" x14ac:dyDescent="0.2">
      <c r="AO136" s="1"/>
    </row>
    <row r="137" spans="41:41" x14ac:dyDescent="0.2">
      <c r="AO137" s="1"/>
    </row>
    <row r="138" spans="41:41" x14ac:dyDescent="0.2">
      <c r="AO138" s="1"/>
    </row>
    <row r="139" spans="41:41" x14ac:dyDescent="0.2">
      <c r="AO139" s="1"/>
    </row>
    <row r="140" spans="41:41" x14ac:dyDescent="0.2">
      <c r="AO140" s="1"/>
    </row>
    <row r="141" spans="41:41" x14ac:dyDescent="0.2">
      <c r="AO141" s="1"/>
    </row>
    <row r="142" spans="41:41" x14ac:dyDescent="0.2">
      <c r="AO142" s="1"/>
    </row>
    <row r="143" spans="41:41" x14ac:dyDescent="0.2">
      <c r="AO143" s="1"/>
    </row>
    <row r="144" spans="41:41" x14ac:dyDescent="0.2">
      <c r="AO144" s="1"/>
    </row>
  </sheetData>
  <sheetProtection formatRows="0" insertRows="0" deleteRows="0"/>
  <mergeCells count="5">
    <mergeCell ref="F2:I2"/>
    <mergeCell ref="A2:D2"/>
    <mergeCell ref="H6:H7"/>
    <mergeCell ref="G6:G7"/>
    <mergeCell ref="F6:F7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70C0"/>
  </sheetPr>
  <dimension ref="A1:J45"/>
  <sheetViews>
    <sheetView zoomScale="75" zoomScaleNormal="75" workbookViewId="0">
      <selection activeCell="H39" sqref="H39"/>
    </sheetView>
  </sheetViews>
  <sheetFormatPr baseColWidth="10" defaultRowHeight="14.25" x14ac:dyDescent="0.2"/>
  <cols>
    <col min="1" max="1" width="3.5703125" style="9" customWidth="1"/>
    <col min="2" max="2" width="15.28515625" style="15" customWidth="1"/>
    <col min="3" max="3" width="62.5703125" style="9" bestFit="1" customWidth="1"/>
    <col min="4" max="4" width="21.5703125" style="9" customWidth="1"/>
    <col min="5" max="5" width="22.85546875" style="9" customWidth="1"/>
    <col min="6" max="6" width="8.5703125" style="9" bestFit="1" customWidth="1"/>
    <col min="7" max="9" width="7.140625" style="9" customWidth="1"/>
    <col min="10" max="16384" width="11.42578125" style="9"/>
  </cols>
  <sheetData>
    <row r="1" spans="1:10" ht="15" customHeight="1" thickBot="1" x14ac:dyDescent="0.4">
      <c r="A1" s="8"/>
      <c r="B1" s="8"/>
      <c r="C1" s="8"/>
      <c r="D1" s="8"/>
      <c r="E1" s="8"/>
    </row>
    <row r="2" spans="1:10" s="10" customFormat="1" ht="18.75" customHeight="1" x14ac:dyDescent="0.2">
      <c r="B2" s="339"/>
      <c r="C2" s="11"/>
      <c r="D2" s="361"/>
      <c r="E2" s="362"/>
    </row>
    <row r="3" spans="1:10" s="10" customFormat="1" ht="18.75" customHeight="1" x14ac:dyDescent="0.2">
      <c r="B3" s="340"/>
      <c r="C3" s="12"/>
      <c r="D3" s="342"/>
      <c r="E3" s="343"/>
    </row>
    <row r="4" spans="1:10" s="10" customFormat="1" ht="18.75" customHeight="1" x14ac:dyDescent="0.2">
      <c r="B4" s="340"/>
      <c r="C4" s="13"/>
      <c r="D4" s="342"/>
      <c r="E4" s="343"/>
    </row>
    <row r="5" spans="1:10" s="10" customFormat="1" ht="18.75" customHeight="1" x14ac:dyDescent="0.2">
      <c r="B5" s="340"/>
      <c r="C5" s="13"/>
      <c r="D5" s="363"/>
      <c r="E5" s="343"/>
    </row>
    <row r="6" spans="1:10" s="10" customFormat="1" ht="18.75" customHeight="1" x14ac:dyDescent="0.2">
      <c r="B6" s="340"/>
      <c r="C6" s="13"/>
      <c r="D6" s="342"/>
      <c r="E6" s="343"/>
    </row>
    <row r="7" spans="1:10" s="10" customFormat="1" ht="59.25" customHeight="1" thickBot="1" x14ac:dyDescent="0.25">
      <c r="B7" s="341"/>
      <c r="C7" s="14"/>
      <c r="D7" s="364"/>
      <c r="E7" s="365"/>
    </row>
    <row r="8" spans="1:10" ht="15" thickBot="1" x14ac:dyDescent="0.25"/>
    <row r="9" spans="1:10" ht="12.75" x14ac:dyDescent="0.2">
      <c r="B9" s="355"/>
      <c r="C9" s="16"/>
      <c r="D9" s="358"/>
    </row>
    <row r="10" spans="1:10" ht="12.75" x14ac:dyDescent="0.2">
      <c r="B10" s="356"/>
      <c r="C10" s="17"/>
      <c r="D10" s="359"/>
      <c r="E10" s="18"/>
    </row>
    <row r="11" spans="1:10" ht="13.5" thickBot="1" x14ac:dyDescent="0.25">
      <c r="B11" s="357"/>
      <c r="C11" s="19"/>
      <c r="D11" s="360"/>
      <c r="E11" s="50"/>
    </row>
    <row r="12" spans="1:10" ht="15" thickBot="1" x14ac:dyDescent="0.25"/>
    <row r="13" spans="1:10" ht="13.5" customHeight="1" thickBot="1" x14ac:dyDescent="0.25">
      <c r="B13" s="352"/>
      <c r="C13" s="344"/>
      <c r="D13" s="345"/>
      <c r="E13" s="51"/>
      <c r="F13" s="369"/>
      <c r="G13" s="369"/>
      <c r="H13" s="369"/>
      <c r="I13" s="369"/>
      <c r="J13" s="369"/>
    </row>
    <row r="14" spans="1:10" ht="12.75" customHeight="1" x14ac:dyDescent="0.2">
      <c r="B14" s="353"/>
      <c r="C14" s="346"/>
      <c r="D14" s="347"/>
      <c r="F14" s="20"/>
      <c r="G14" s="368"/>
      <c r="H14" s="368"/>
      <c r="I14" s="368"/>
      <c r="J14" s="368"/>
    </row>
    <row r="15" spans="1:10" ht="12.75" customHeight="1" x14ac:dyDescent="0.2">
      <c r="B15" s="353"/>
      <c r="C15" s="21"/>
      <c r="D15" s="52"/>
      <c r="F15" s="370"/>
      <c r="G15" s="366"/>
      <c r="H15" s="366"/>
      <c r="I15" s="366"/>
      <c r="J15" s="367"/>
    </row>
    <row r="16" spans="1:10" ht="13.5" customHeight="1" thickBot="1" x14ac:dyDescent="0.25">
      <c r="B16" s="353"/>
      <c r="C16" s="22"/>
      <c r="D16" s="53"/>
      <c r="F16" s="370"/>
      <c r="G16" s="366"/>
      <c r="H16" s="366"/>
      <c r="I16" s="366"/>
      <c r="J16" s="367"/>
    </row>
    <row r="17" spans="2:10" ht="12.75" customHeight="1" x14ac:dyDescent="0.2">
      <c r="B17" s="353"/>
      <c r="C17" s="348"/>
      <c r="D17" s="349"/>
      <c r="F17" s="370"/>
      <c r="G17" s="42"/>
      <c r="H17" s="23"/>
      <c r="I17" s="42"/>
      <c r="J17" s="43"/>
    </row>
    <row r="18" spans="2:10" ht="12.75" customHeight="1" x14ac:dyDescent="0.2">
      <c r="B18" s="353"/>
      <c r="C18" s="24"/>
      <c r="D18" s="54"/>
      <c r="F18" s="370"/>
      <c r="G18" s="23"/>
      <c r="H18" s="23"/>
      <c r="I18" s="23"/>
      <c r="J18" s="43"/>
    </row>
    <row r="19" spans="2:10" ht="13.5" customHeight="1" thickBot="1" x14ac:dyDescent="0.25">
      <c r="B19" s="353"/>
      <c r="C19" s="25"/>
      <c r="D19" s="55"/>
      <c r="F19" s="370"/>
      <c r="G19" s="23"/>
      <c r="H19" s="23"/>
      <c r="I19" s="23"/>
      <c r="J19" s="43"/>
    </row>
    <row r="20" spans="2:10" ht="12.75" customHeight="1" x14ac:dyDescent="0.2">
      <c r="B20" s="353"/>
      <c r="C20" s="346"/>
      <c r="D20" s="347"/>
      <c r="F20" s="370"/>
      <c r="G20" s="23"/>
      <c r="H20" s="23"/>
      <c r="I20" s="23"/>
      <c r="J20" s="43"/>
    </row>
    <row r="21" spans="2:10" ht="12.75" customHeight="1" x14ac:dyDescent="0.2">
      <c r="B21" s="353"/>
      <c r="C21" s="21"/>
      <c r="D21" s="52"/>
      <c r="F21" s="370"/>
      <c r="G21" s="23"/>
      <c r="H21" s="23"/>
      <c r="I21" s="23"/>
      <c r="J21" s="43"/>
    </row>
    <row r="22" spans="2:10" ht="13.5" customHeight="1" thickBot="1" x14ac:dyDescent="0.25">
      <c r="B22" s="353"/>
      <c r="C22" s="22"/>
      <c r="D22" s="53"/>
      <c r="F22" s="370"/>
      <c r="G22" s="23"/>
      <c r="H22" s="23"/>
      <c r="I22" s="23"/>
      <c r="J22" s="43"/>
    </row>
    <row r="23" spans="2:10" ht="12.75" customHeight="1" x14ac:dyDescent="0.2">
      <c r="B23" s="353"/>
      <c r="C23" s="350"/>
      <c r="D23" s="351"/>
      <c r="F23" s="370"/>
      <c r="G23" s="23"/>
      <c r="H23" s="23"/>
      <c r="I23" s="23"/>
      <c r="J23" s="43"/>
    </row>
    <row r="24" spans="2:10" ht="12.75" customHeight="1" x14ac:dyDescent="0.2">
      <c r="B24" s="353"/>
      <c r="C24" s="24"/>
      <c r="D24" s="38"/>
      <c r="F24" s="370"/>
      <c r="G24" s="23"/>
      <c r="H24" s="23"/>
      <c r="I24" s="23"/>
      <c r="J24" s="43"/>
    </row>
    <row r="25" spans="2:10" ht="12.75" customHeight="1" x14ac:dyDescent="0.2">
      <c r="B25" s="353"/>
      <c r="C25" s="26"/>
      <c r="D25" s="39"/>
      <c r="F25" s="370"/>
      <c r="G25" s="23"/>
      <c r="H25" s="23"/>
      <c r="I25" s="23"/>
      <c r="J25" s="43"/>
    </row>
    <row r="26" spans="2:10" ht="12.75" customHeight="1" x14ac:dyDescent="0.2">
      <c r="B26" s="353"/>
      <c r="C26" s="24"/>
      <c r="D26" s="38"/>
      <c r="F26" s="370"/>
      <c r="G26" s="23"/>
      <c r="H26" s="23"/>
      <c r="I26" s="23"/>
      <c r="J26" s="43"/>
    </row>
    <row r="27" spans="2:10" ht="13.5" customHeight="1" x14ac:dyDescent="0.2">
      <c r="B27" s="353"/>
      <c r="C27" s="26"/>
      <c r="D27" s="39"/>
      <c r="F27" s="370"/>
      <c r="G27" s="23"/>
      <c r="H27" s="23"/>
      <c r="I27" s="23"/>
      <c r="J27" s="43"/>
    </row>
    <row r="28" spans="2:10" ht="13.5" customHeight="1" x14ac:dyDescent="0.2">
      <c r="B28" s="353"/>
      <c r="C28" s="24"/>
      <c r="D28" s="38"/>
      <c r="F28" s="370"/>
      <c r="G28" s="23"/>
      <c r="H28" s="23"/>
      <c r="I28" s="23"/>
      <c r="J28" s="43"/>
    </row>
    <row r="29" spans="2:10" ht="12.75" x14ac:dyDescent="0.2">
      <c r="B29" s="353"/>
      <c r="C29" s="26"/>
      <c r="D29" s="40"/>
      <c r="F29" s="370"/>
      <c r="G29" s="23"/>
      <c r="H29" s="23"/>
      <c r="I29" s="23"/>
      <c r="J29" s="43"/>
    </row>
    <row r="30" spans="2:10" ht="13.5" thickBot="1" x14ac:dyDescent="0.25">
      <c r="B30" s="354"/>
      <c r="C30" s="25"/>
      <c r="D30" s="41"/>
      <c r="F30" s="370"/>
      <c r="G30" s="23"/>
      <c r="H30" s="23"/>
      <c r="I30" s="23"/>
      <c r="J30" s="43"/>
    </row>
    <row r="31" spans="2:10" ht="15" thickBot="1" x14ac:dyDescent="0.25"/>
    <row r="32" spans="2:10" ht="15" x14ac:dyDescent="0.2">
      <c r="B32" s="336"/>
      <c r="C32" s="27"/>
      <c r="D32" s="27"/>
      <c r="E32" s="28"/>
    </row>
    <row r="33" spans="2:5" ht="15" customHeight="1" x14ac:dyDescent="0.2">
      <c r="B33" s="337"/>
      <c r="C33" s="29"/>
      <c r="D33" s="30"/>
      <c r="E33" s="31"/>
    </row>
    <row r="34" spans="2:5" ht="15" customHeight="1" x14ac:dyDescent="0.2">
      <c r="B34" s="337"/>
      <c r="C34" s="29"/>
      <c r="D34" s="30"/>
      <c r="E34" s="32"/>
    </row>
    <row r="35" spans="2:5" ht="15" customHeight="1" x14ac:dyDescent="0.2">
      <c r="B35" s="337"/>
      <c r="C35" s="29"/>
      <c r="D35" s="30"/>
      <c r="E35" s="32"/>
    </row>
    <row r="36" spans="2:5" ht="15" customHeight="1" x14ac:dyDescent="0.2">
      <c r="B36" s="337"/>
      <c r="C36" s="29"/>
      <c r="D36" s="30"/>
      <c r="E36" s="32"/>
    </row>
    <row r="37" spans="2:5" ht="15" x14ac:dyDescent="0.2">
      <c r="B37" s="337"/>
      <c r="C37" s="33"/>
      <c r="D37" s="33"/>
      <c r="E37" s="34"/>
    </row>
    <row r="38" spans="2:5" ht="15" customHeight="1" x14ac:dyDescent="0.2">
      <c r="B38" s="337"/>
      <c r="C38" s="29"/>
      <c r="D38" s="219"/>
      <c r="E38" s="221"/>
    </row>
    <row r="39" spans="2:5" ht="15" customHeight="1" x14ac:dyDescent="0.2">
      <c r="B39" s="337"/>
      <c r="C39" s="29"/>
      <c r="D39" s="219"/>
      <c r="E39" s="32"/>
    </row>
    <row r="40" spans="2:5" ht="15" customHeight="1" x14ac:dyDescent="0.2">
      <c r="B40" s="337"/>
      <c r="C40" s="29"/>
      <c r="D40" s="219"/>
      <c r="E40" s="35"/>
    </row>
    <row r="41" spans="2:5" ht="12.75" x14ac:dyDescent="0.2">
      <c r="B41" s="337"/>
      <c r="C41" s="29"/>
      <c r="D41" s="219"/>
      <c r="E41" s="32"/>
    </row>
    <row r="42" spans="2:5" ht="12.75" x14ac:dyDescent="0.2">
      <c r="B42" s="337"/>
      <c r="C42" s="29"/>
      <c r="D42" s="219"/>
      <c r="E42" s="32"/>
    </row>
    <row r="43" spans="2:5" ht="12.75" x14ac:dyDescent="0.2">
      <c r="B43" s="337"/>
      <c r="C43" s="29"/>
      <c r="D43" s="219"/>
      <c r="E43" s="32"/>
    </row>
    <row r="44" spans="2:5" ht="13.5" thickBot="1" x14ac:dyDescent="0.25">
      <c r="B44" s="338"/>
      <c r="C44" s="36"/>
      <c r="D44" s="220"/>
      <c r="E44" s="218"/>
    </row>
    <row r="45" spans="2:5" x14ac:dyDescent="0.2">
      <c r="C45" s="37"/>
    </row>
  </sheetData>
  <sheetProtection sheet="1" objects="1" scenarios="1"/>
  <customSheetViews>
    <customSheetView guid="{D9820A12-A1B3-4B5E-9269-F628D77B6202}">
      <selection activeCell="D10" sqref="D10:D12"/>
      <pageMargins left="0.7" right="0.7" top="0.75" bottom="0.75" header="0.3" footer="0.3"/>
      <pageSetup paperSize="9" orientation="portrait" r:id="rId1"/>
    </customSheetView>
  </customSheetViews>
  <mergeCells count="21">
    <mergeCell ref="G15:I16"/>
    <mergeCell ref="J15:J16"/>
    <mergeCell ref="G14:J14"/>
    <mergeCell ref="F13:J13"/>
    <mergeCell ref="F15:F30"/>
    <mergeCell ref="B32:B44"/>
    <mergeCell ref="B2:B7"/>
    <mergeCell ref="D3:E3"/>
    <mergeCell ref="D6:E6"/>
    <mergeCell ref="C13:D13"/>
    <mergeCell ref="C14:D14"/>
    <mergeCell ref="C17:D17"/>
    <mergeCell ref="C20:D20"/>
    <mergeCell ref="C23:D23"/>
    <mergeCell ref="B13:B30"/>
    <mergeCell ref="B9:B11"/>
    <mergeCell ref="D9:D11"/>
    <mergeCell ref="D2:E2"/>
    <mergeCell ref="D4:E4"/>
    <mergeCell ref="D5:E5"/>
    <mergeCell ref="D7:E7"/>
  </mergeCells>
  <conditionalFormatting sqref="D33:E33 D34:D36 D38:D44">
    <cfRule type="cellIs" dxfId="38" priority="121" operator="equal">
      <formula>"N/A"</formula>
    </cfRule>
    <cfRule type="cellIs" dxfId="37" priority="122" operator="greaterThan">
      <formula>$D$9</formula>
    </cfRule>
    <cfRule type="cellIs" dxfId="36" priority="123" operator="lessThan">
      <formula>$D$9</formula>
    </cfRule>
  </conditionalFormatting>
  <dataValidations count="1">
    <dataValidation type="list" allowBlank="1" showInputMessage="1" showErrorMessage="1" sqref="D9:D11">
      <formula1>"10,15,20,25,30,35,40,-,10,11,12,13,14,15,16,17,18,19,20,21,22,23,24,25,26,27,28,29,30,31,32,33,34,35,36,37,38,39,40"</formula1>
    </dataValidation>
  </dataValidations>
  <pageMargins left="0.7" right="0.7" top="0.75" bottom="0.75" header="0.3" footer="0.3"/>
  <pageSetup paperSize="9" orientation="portrait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6"/>
  </sheetPr>
  <dimension ref="A1:O25"/>
  <sheetViews>
    <sheetView zoomScale="55" zoomScaleNormal="55" workbookViewId="0">
      <pane ySplit="15" topLeftCell="A16" activePane="bottomLeft" state="frozen"/>
      <selection activeCell="A36" sqref="A36:A41"/>
      <selection pane="bottomLeft" activeCell="H40" sqref="H40"/>
    </sheetView>
  </sheetViews>
  <sheetFormatPr baseColWidth="10" defaultRowHeight="14.25" outlineLevelRow="1" outlineLevelCol="1" x14ac:dyDescent="0.3"/>
  <cols>
    <col min="1" max="2" width="11.42578125" style="172" customWidth="1"/>
    <col min="3" max="3" width="11.5703125" style="173" customWidth="1"/>
    <col min="4" max="5" width="20" style="173" customWidth="1"/>
    <col min="6" max="7" width="14.28515625" style="173" customWidth="1" outlineLevel="1"/>
    <col min="8" max="8" width="14.28515625" style="174" customWidth="1" outlineLevel="1"/>
    <col min="9" max="10" width="14.28515625" style="173" customWidth="1" outlineLevel="1"/>
    <col min="11" max="11" width="14.28515625" style="174" customWidth="1" outlineLevel="1"/>
    <col min="12" max="15" width="14.28515625" style="173" customWidth="1"/>
    <col min="16" max="16384" width="11.42578125" style="172"/>
  </cols>
  <sheetData>
    <row r="1" spans="1:15" ht="15" hidden="1" outlineLevel="1" thickBot="1" x14ac:dyDescent="0.35"/>
    <row r="2" spans="1:15" hidden="1" outlineLevel="1" x14ac:dyDescent="0.3">
      <c r="C2" s="172"/>
      <c r="D2" s="172"/>
      <c r="E2" s="172"/>
      <c r="F2" s="401" t="s">
        <v>22</v>
      </c>
      <c r="G2" s="398" t="s">
        <v>12</v>
      </c>
      <c r="H2" s="399"/>
      <c r="I2" s="399"/>
      <c r="J2" s="399"/>
      <c r="K2" s="400"/>
      <c r="L2" s="172"/>
      <c r="M2" s="172"/>
      <c r="N2" s="172"/>
      <c r="O2" s="172"/>
    </row>
    <row r="3" spans="1:15" hidden="1" outlineLevel="1" x14ac:dyDescent="0.3">
      <c r="C3" s="172"/>
      <c r="D3" s="172"/>
      <c r="E3" s="172"/>
      <c r="F3" s="402"/>
      <c r="G3" s="404" t="s">
        <v>5</v>
      </c>
      <c r="H3" s="405"/>
      <c r="I3" s="405"/>
      <c r="J3" s="405"/>
      <c r="K3" s="175">
        <f>'Mission Profil &amp; Synthesis'!D9</f>
        <v>0</v>
      </c>
      <c r="L3" s="172"/>
      <c r="M3" s="172"/>
      <c r="N3" s="172"/>
      <c r="O3" s="172"/>
    </row>
    <row r="4" spans="1:15" hidden="1" outlineLevel="1" x14ac:dyDescent="0.3">
      <c r="C4" s="172"/>
      <c r="D4" s="172"/>
      <c r="E4" s="172"/>
      <c r="F4" s="402"/>
      <c r="G4" s="379" t="s">
        <v>1</v>
      </c>
      <c r="H4" s="382" t="s">
        <v>3</v>
      </c>
      <c r="I4" s="382"/>
      <c r="J4" s="382"/>
      <c r="K4" s="176">
        <f>'Mission Profil &amp; Synthesis'!D15</f>
        <v>0</v>
      </c>
      <c r="L4" s="172"/>
      <c r="M4" s="172"/>
      <c r="N4" s="172"/>
      <c r="O4" s="172"/>
    </row>
    <row r="5" spans="1:15" hidden="1" outlineLevel="1" x14ac:dyDescent="0.3">
      <c r="C5" s="172"/>
      <c r="D5" s="172"/>
      <c r="E5" s="172"/>
      <c r="F5" s="402"/>
      <c r="G5" s="379"/>
      <c r="H5" s="382" t="s">
        <v>4</v>
      </c>
      <c r="I5" s="382"/>
      <c r="J5" s="382"/>
      <c r="K5" s="177">
        <f>'Mission Profil &amp; Synthesis'!D16</f>
        <v>0</v>
      </c>
      <c r="L5" s="172"/>
      <c r="M5" s="172"/>
      <c r="N5" s="172"/>
      <c r="O5" s="172"/>
    </row>
    <row r="6" spans="1:15" hidden="1" outlineLevel="1" x14ac:dyDescent="0.3">
      <c r="C6" s="172"/>
      <c r="D6" s="172"/>
      <c r="E6" s="172"/>
      <c r="F6" s="402"/>
      <c r="G6" s="380" t="s">
        <v>0</v>
      </c>
      <c r="H6" s="384" t="s">
        <v>3</v>
      </c>
      <c r="I6" s="384"/>
      <c r="J6" s="384"/>
      <c r="K6" s="178">
        <f>'Mission Profil &amp; Synthesis'!D18</f>
        <v>0</v>
      </c>
      <c r="L6" s="172"/>
      <c r="M6" s="172"/>
      <c r="N6" s="172"/>
      <c r="O6" s="172"/>
    </row>
    <row r="7" spans="1:15" hidden="1" outlineLevel="1" x14ac:dyDescent="0.3">
      <c r="C7" s="172"/>
      <c r="D7" s="172"/>
      <c r="E7" s="172"/>
      <c r="F7" s="402"/>
      <c r="G7" s="380"/>
      <c r="H7" s="384" t="s">
        <v>4</v>
      </c>
      <c r="I7" s="384"/>
      <c r="J7" s="384"/>
      <c r="K7" s="179">
        <f>'Mission Profil &amp; Synthesis'!D19</f>
        <v>0</v>
      </c>
      <c r="L7" s="172"/>
      <c r="M7" s="172"/>
      <c r="N7" s="172"/>
      <c r="O7" s="172"/>
    </row>
    <row r="8" spans="1:15" hidden="1" outlineLevel="1" x14ac:dyDescent="0.3">
      <c r="C8" s="172"/>
      <c r="D8" s="172"/>
      <c r="E8" s="172"/>
      <c r="F8" s="402"/>
      <c r="G8" s="379" t="s">
        <v>2</v>
      </c>
      <c r="H8" s="382" t="s">
        <v>3</v>
      </c>
      <c r="I8" s="382"/>
      <c r="J8" s="382"/>
      <c r="K8" s="176">
        <f>'Mission Profil &amp; Synthesis'!D21</f>
        <v>0</v>
      </c>
      <c r="L8" s="172"/>
      <c r="M8" s="172"/>
      <c r="N8" s="172"/>
      <c r="O8" s="172"/>
    </row>
    <row r="9" spans="1:15" ht="15" hidden="1" outlineLevel="1" thickBot="1" x14ac:dyDescent="0.35">
      <c r="C9" s="172"/>
      <c r="D9" s="172"/>
      <c r="E9" s="172"/>
      <c r="F9" s="402"/>
      <c r="G9" s="381"/>
      <c r="H9" s="383" t="s">
        <v>4</v>
      </c>
      <c r="I9" s="383"/>
      <c r="J9" s="383"/>
      <c r="K9" s="180">
        <f>'Mission Profil &amp; Synthesis'!D22</f>
        <v>0</v>
      </c>
      <c r="L9" s="172"/>
      <c r="M9" s="172"/>
      <c r="N9" s="172"/>
      <c r="O9" s="172"/>
    </row>
    <row r="10" spans="1:15" hidden="1" outlineLevel="1" x14ac:dyDescent="0.3">
      <c r="C10" s="172"/>
      <c r="D10" s="172"/>
      <c r="E10" s="172"/>
      <c r="F10" s="402"/>
      <c r="G10" s="385">
        <f>'Mission Profil &amp; Synthesis'!C23</f>
        <v>0</v>
      </c>
      <c r="H10" s="386"/>
      <c r="I10" s="386"/>
      <c r="J10" s="386"/>
      <c r="K10" s="387"/>
      <c r="L10" s="172"/>
      <c r="M10" s="172"/>
      <c r="N10" s="172"/>
      <c r="O10" s="172"/>
    </row>
    <row r="11" spans="1:15" hidden="1" outlineLevel="1" x14ac:dyDescent="0.3">
      <c r="C11" s="172"/>
      <c r="D11" s="172"/>
      <c r="E11" s="172"/>
      <c r="F11" s="402"/>
      <c r="G11" s="388" t="s">
        <v>118</v>
      </c>
      <c r="H11" s="389"/>
      <c r="I11" s="389"/>
      <c r="J11" s="390"/>
      <c r="K11" s="181">
        <f>'Mission Profil &amp; Synthesis'!D24</f>
        <v>0</v>
      </c>
      <c r="L11" s="172"/>
      <c r="M11" s="172"/>
      <c r="N11" s="172"/>
      <c r="O11" s="172"/>
    </row>
    <row r="12" spans="1:15" ht="15" hidden="1" outlineLevel="1" thickBot="1" x14ac:dyDescent="0.35">
      <c r="C12" s="172"/>
      <c r="D12" s="172"/>
      <c r="E12" s="172"/>
      <c r="F12" s="403"/>
      <c r="G12" s="391" t="s">
        <v>100</v>
      </c>
      <c r="H12" s="392"/>
      <c r="I12" s="392"/>
      <c r="J12" s="393"/>
      <c r="K12" s="182">
        <f>'Mission Profil &amp; Synthesis'!D25</f>
        <v>0</v>
      </c>
      <c r="L12" s="172"/>
      <c r="M12" s="172"/>
      <c r="N12" s="172"/>
      <c r="O12" s="172"/>
    </row>
    <row r="13" spans="1:15" s="183" customFormat="1" ht="15" collapsed="1" thickBot="1" x14ac:dyDescent="0.35">
      <c r="B13" s="184"/>
      <c r="C13" s="184"/>
      <c r="D13" s="185"/>
      <c r="E13" s="185"/>
      <c r="L13" s="185"/>
      <c r="M13" s="185"/>
      <c r="N13" s="185"/>
      <c r="O13" s="185"/>
    </row>
    <row r="14" spans="1:15" s="186" customFormat="1" ht="45" customHeight="1" thickBot="1" x14ac:dyDescent="0.35">
      <c r="B14" s="187"/>
      <c r="C14" s="187"/>
      <c r="D14" s="188"/>
      <c r="E14" s="188"/>
      <c r="F14" s="374" t="s">
        <v>6</v>
      </c>
      <c r="G14" s="375"/>
      <c r="H14" s="376"/>
      <c r="I14" s="373" t="s">
        <v>9</v>
      </c>
      <c r="J14" s="373"/>
      <c r="K14" s="373"/>
      <c r="L14" s="377" t="s">
        <v>10</v>
      </c>
      <c r="M14" s="378"/>
      <c r="N14" s="371" t="s">
        <v>97</v>
      </c>
      <c r="O14" s="372"/>
    </row>
    <row r="15" spans="1:15" s="193" customFormat="1" ht="90" customHeight="1" thickBot="1" x14ac:dyDescent="0.25">
      <c r="A15" s="189" t="s">
        <v>8</v>
      </c>
      <c r="B15" s="190" t="s">
        <v>14</v>
      </c>
      <c r="C15" s="191" t="s">
        <v>117</v>
      </c>
      <c r="D15" s="191" t="s">
        <v>15</v>
      </c>
      <c r="E15" s="192" t="s">
        <v>28</v>
      </c>
      <c r="F15" s="224" t="s">
        <v>16</v>
      </c>
      <c r="G15" s="225" t="s">
        <v>17</v>
      </c>
      <c r="H15" s="226" t="s">
        <v>18</v>
      </c>
      <c r="I15" s="229" t="s">
        <v>7</v>
      </c>
      <c r="J15" s="230" t="s">
        <v>98</v>
      </c>
      <c r="K15" s="231" t="s">
        <v>99</v>
      </c>
      <c r="L15" s="227" t="s">
        <v>39</v>
      </c>
      <c r="M15" s="228" t="s">
        <v>53</v>
      </c>
      <c r="N15" s="232" t="s">
        <v>39</v>
      </c>
      <c r="O15" s="233" t="s">
        <v>53</v>
      </c>
    </row>
    <row r="16" spans="1:15" ht="42.75" x14ac:dyDescent="0.3">
      <c r="A16" s="252" t="s">
        <v>161</v>
      </c>
      <c r="B16" s="309" t="s">
        <v>144</v>
      </c>
      <c r="C16" s="394" t="s">
        <v>145</v>
      </c>
      <c r="D16" s="394"/>
      <c r="E16" s="394"/>
      <c r="F16" s="394"/>
      <c r="G16" s="394"/>
      <c r="H16" s="394"/>
      <c r="I16" s="271">
        <f t="shared" ref="I16:I25" si="0">$K$11</f>
        <v>0</v>
      </c>
      <c r="J16" s="270"/>
      <c r="K16" s="268"/>
      <c r="L16" s="272" t="str">
        <f t="shared" ref="L16:L25" si="1">IF(G16="","-",ROUND(F16*IF(J16="",POWER(2,(G16-I16)/10),POWER(2,(G16+$K$12-J16)/10)),0))</f>
        <v>-</v>
      </c>
      <c r="M16" s="273" t="str">
        <f t="shared" ref="M16:M25" si="2">IF(G16="","-",IF(L16/($K$4*$K$5+$K$6*$K$7+$K$8*$K$9)&gt;50,"&gt;50 years",ROUND(L16/($K$4*$K$5+$K$6*$K$7+$K$8*$K$9),1)))</f>
        <v>-</v>
      </c>
      <c r="N16" s="272" t="str">
        <f t="shared" ref="N16:N25" si="3">IF(OR(K16="",L16="-"),"-",ROUND(F16*K16/H16*IF(J16="",POWER(2,(G16-I16)/10),POWER(2,(G16+5-J16)/10)),0))</f>
        <v>-</v>
      </c>
      <c r="O16" s="274" t="str">
        <f t="shared" ref="O16:O25" si="4">IF(OR(K16="",L16="-"),"-",ROUND(N16/($K$4*$K$5+$K$6*$K$7+$K$8*$K$9),1))</f>
        <v>-</v>
      </c>
    </row>
    <row r="17" spans="1:15" ht="42.75" x14ac:dyDescent="0.3">
      <c r="A17" s="252" t="s">
        <v>161</v>
      </c>
      <c r="B17" s="310" t="s">
        <v>146</v>
      </c>
      <c r="C17" s="395" t="s">
        <v>145</v>
      </c>
      <c r="D17" s="395"/>
      <c r="E17" s="395"/>
      <c r="F17" s="395"/>
      <c r="G17" s="395"/>
      <c r="H17" s="395"/>
      <c r="I17" s="275">
        <f t="shared" si="0"/>
        <v>0</v>
      </c>
      <c r="J17" s="265"/>
      <c r="K17" s="266"/>
      <c r="L17" s="276" t="str">
        <f t="shared" si="1"/>
        <v>-</v>
      </c>
      <c r="M17" s="277" t="str">
        <f t="shared" si="2"/>
        <v>-</v>
      </c>
      <c r="N17" s="276" t="str">
        <f t="shared" si="3"/>
        <v>-</v>
      </c>
      <c r="O17" s="278" t="str">
        <f t="shared" si="4"/>
        <v>-</v>
      </c>
    </row>
    <row r="18" spans="1:15" ht="42.75" x14ac:dyDescent="0.3">
      <c r="A18" s="252" t="s">
        <v>161</v>
      </c>
      <c r="B18" s="311" t="s">
        <v>147</v>
      </c>
      <c r="C18" s="264" t="s">
        <v>148</v>
      </c>
      <c r="D18" s="265" t="s">
        <v>127</v>
      </c>
      <c r="E18" s="265" t="s">
        <v>149</v>
      </c>
      <c r="F18" s="265">
        <v>1000</v>
      </c>
      <c r="G18" s="265">
        <v>85</v>
      </c>
      <c r="H18" s="266">
        <v>0.3</v>
      </c>
      <c r="I18" s="275">
        <f t="shared" si="0"/>
        <v>0</v>
      </c>
      <c r="J18" s="265"/>
      <c r="K18" s="266"/>
      <c r="L18" s="276">
        <f t="shared" si="1"/>
        <v>362039</v>
      </c>
      <c r="M18" s="277" t="e">
        <f t="shared" si="2"/>
        <v>#DIV/0!</v>
      </c>
      <c r="N18" s="276" t="str">
        <f t="shared" si="3"/>
        <v>-</v>
      </c>
      <c r="O18" s="278" t="str">
        <f t="shared" si="4"/>
        <v>-</v>
      </c>
    </row>
    <row r="19" spans="1:15" ht="51" x14ac:dyDescent="0.3">
      <c r="A19" s="252" t="s">
        <v>161</v>
      </c>
      <c r="B19" s="396" t="s">
        <v>150</v>
      </c>
      <c r="C19" s="264" t="s">
        <v>151</v>
      </c>
      <c r="D19" s="265" t="s">
        <v>127</v>
      </c>
      <c r="E19" s="265" t="s">
        <v>152</v>
      </c>
      <c r="F19" s="265">
        <v>10000</v>
      </c>
      <c r="G19" s="265">
        <v>105</v>
      </c>
      <c r="H19" s="266">
        <v>0.3</v>
      </c>
      <c r="I19" s="275">
        <f t="shared" si="0"/>
        <v>0</v>
      </c>
      <c r="J19" s="265"/>
      <c r="K19" s="266"/>
      <c r="L19" s="276">
        <f t="shared" si="1"/>
        <v>14481547</v>
      </c>
      <c r="M19" s="277" t="e">
        <f t="shared" si="2"/>
        <v>#DIV/0!</v>
      </c>
      <c r="N19" s="276" t="str">
        <f t="shared" si="3"/>
        <v>-</v>
      </c>
      <c r="O19" s="278" t="str">
        <f t="shared" si="4"/>
        <v>-</v>
      </c>
    </row>
    <row r="20" spans="1:15" ht="51" x14ac:dyDescent="0.3">
      <c r="A20" s="252" t="s">
        <v>161</v>
      </c>
      <c r="B20" s="396"/>
      <c r="C20" s="264" t="s">
        <v>153</v>
      </c>
      <c r="D20" s="265" t="s">
        <v>127</v>
      </c>
      <c r="E20" s="265" t="s">
        <v>152</v>
      </c>
      <c r="F20" s="265">
        <v>10000</v>
      </c>
      <c r="G20" s="265">
        <v>105</v>
      </c>
      <c r="H20" s="266">
        <v>0.3</v>
      </c>
      <c r="I20" s="275">
        <f t="shared" si="0"/>
        <v>0</v>
      </c>
      <c r="J20" s="265"/>
      <c r="K20" s="266"/>
      <c r="L20" s="276">
        <f t="shared" si="1"/>
        <v>14481547</v>
      </c>
      <c r="M20" s="277" t="e">
        <f t="shared" si="2"/>
        <v>#DIV/0!</v>
      </c>
      <c r="N20" s="276" t="str">
        <f t="shared" si="3"/>
        <v>-</v>
      </c>
      <c r="O20" s="278" t="str">
        <f t="shared" si="4"/>
        <v>-</v>
      </c>
    </row>
    <row r="21" spans="1:15" ht="42.75" x14ac:dyDescent="0.3">
      <c r="A21" s="252" t="s">
        <v>161</v>
      </c>
      <c r="B21" s="396"/>
      <c r="C21" s="264" t="s">
        <v>154</v>
      </c>
      <c r="D21" s="265" t="s">
        <v>127</v>
      </c>
      <c r="E21" s="265" t="s">
        <v>155</v>
      </c>
      <c r="F21" s="265">
        <v>3000</v>
      </c>
      <c r="G21" s="265">
        <v>105</v>
      </c>
      <c r="H21" s="266">
        <v>0.2</v>
      </c>
      <c r="I21" s="275">
        <f t="shared" si="0"/>
        <v>0</v>
      </c>
      <c r="J21" s="265"/>
      <c r="K21" s="266"/>
      <c r="L21" s="276">
        <f t="shared" si="1"/>
        <v>4344464</v>
      </c>
      <c r="M21" s="277" t="e">
        <f t="shared" si="2"/>
        <v>#DIV/0!</v>
      </c>
      <c r="N21" s="276" t="str">
        <f t="shared" si="3"/>
        <v>-</v>
      </c>
      <c r="O21" s="278" t="str">
        <f t="shared" si="4"/>
        <v>-</v>
      </c>
    </row>
    <row r="22" spans="1:15" ht="42.75" x14ac:dyDescent="0.3">
      <c r="A22" s="252" t="s">
        <v>161</v>
      </c>
      <c r="B22" s="396"/>
      <c r="C22" s="264" t="s">
        <v>156</v>
      </c>
      <c r="D22" s="265" t="s">
        <v>127</v>
      </c>
      <c r="E22" s="265" t="s">
        <v>155</v>
      </c>
      <c r="F22" s="265">
        <v>3000</v>
      </c>
      <c r="G22" s="265">
        <v>105</v>
      </c>
      <c r="H22" s="266">
        <v>0.2</v>
      </c>
      <c r="I22" s="275">
        <f t="shared" si="0"/>
        <v>0</v>
      </c>
      <c r="J22" s="265"/>
      <c r="K22" s="266"/>
      <c r="L22" s="276">
        <f t="shared" si="1"/>
        <v>4344464</v>
      </c>
      <c r="M22" s="277" t="e">
        <f t="shared" si="2"/>
        <v>#DIV/0!</v>
      </c>
      <c r="N22" s="276" t="str">
        <f t="shared" si="3"/>
        <v>-</v>
      </c>
      <c r="O22" s="278" t="str">
        <f t="shared" si="4"/>
        <v>-</v>
      </c>
    </row>
    <row r="23" spans="1:15" ht="51" x14ac:dyDescent="0.3">
      <c r="A23" s="252" t="s">
        <v>161</v>
      </c>
      <c r="B23" s="396"/>
      <c r="C23" s="264" t="s">
        <v>157</v>
      </c>
      <c r="D23" s="265" t="s">
        <v>127</v>
      </c>
      <c r="E23" s="265" t="s">
        <v>158</v>
      </c>
      <c r="F23" s="265">
        <v>10000</v>
      </c>
      <c r="G23" s="265">
        <v>105</v>
      </c>
      <c r="H23" s="266">
        <v>0.2</v>
      </c>
      <c r="I23" s="275">
        <f t="shared" si="0"/>
        <v>0</v>
      </c>
      <c r="J23" s="265"/>
      <c r="K23" s="266"/>
      <c r="L23" s="276">
        <f t="shared" si="1"/>
        <v>14481547</v>
      </c>
      <c r="M23" s="277" t="e">
        <f t="shared" si="2"/>
        <v>#DIV/0!</v>
      </c>
      <c r="N23" s="276" t="str">
        <f t="shared" si="3"/>
        <v>-</v>
      </c>
      <c r="O23" s="278" t="str">
        <f t="shared" si="4"/>
        <v>-</v>
      </c>
    </row>
    <row r="24" spans="1:15" ht="51" x14ac:dyDescent="0.3">
      <c r="A24" s="252" t="s">
        <v>161</v>
      </c>
      <c r="B24" s="396"/>
      <c r="C24" s="264" t="s">
        <v>159</v>
      </c>
      <c r="D24" s="265" t="s">
        <v>127</v>
      </c>
      <c r="E24" s="265" t="s">
        <v>158</v>
      </c>
      <c r="F24" s="265">
        <v>10000</v>
      </c>
      <c r="G24" s="265">
        <v>105</v>
      </c>
      <c r="H24" s="266">
        <v>0.2</v>
      </c>
      <c r="I24" s="275">
        <f t="shared" si="0"/>
        <v>0</v>
      </c>
      <c r="J24" s="265"/>
      <c r="K24" s="266"/>
      <c r="L24" s="276">
        <f t="shared" si="1"/>
        <v>14481547</v>
      </c>
      <c r="M24" s="277" t="e">
        <f t="shared" si="2"/>
        <v>#DIV/0!</v>
      </c>
      <c r="N24" s="276" t="str">
        <f t="shared" si="3"/>
        <v>-</v>
      </c>
      <c r="O24" s="278" t="str">
        <f t="shared" si="4"/>
        <v>-</v>
      </c>
    </row>
    <row r="25" spans="1:15" ht="51.75" thickBot="1" x14ac:dyDescent="0.35">
      <c r="A25" s="252" t="s">
        <v>161</v>
      </c>
      <c r="B25" s="397"/>
      <c r="C25" s="290" t="s">
        <v>148</v>
      </c>
      <c r="D25" s="279" t="s">
        <v>127</v>
      </c>
      <c r="E25" s="279" t="s">
        <v>160</v>
      </c>
      <c r="F25" s="279">
        <v>10000</v>
      </c>
      <c r="G25" s="279">
        <v>105</v>
      </c>
      <c r="H25" s="281">
        <v>0.25</v>
      </c>
      <c r="I25" s="280">
        <f t="shared" si="0"/>
        <v>0</v>
      </c>
      <c r="J25" s="279"/>
      <c r="K25" s="281"/>
      <c r="L25" s="282">
        <f t="shared" si="1"/>
        <v>14481547</v>
      </c>
      <c r="M25" s="283" t="e">
        <f t="shared" si="2"/>
        <v>#DIV/0!</v>
      </c>
      <c r="N25" s="282" t="str">
        <f t="shared" si="3"/>
        <v>-</v>
      </c>
      <c r="O25" s="284" t="str">
        <f t="shared" si="4"/>
        <v>-</v>
      </c>
    </row>
  </sheetData>
  <sheetProtection deleteRows="0" selectLockedCells="1"/>
  <protectedRanges>
    <protectedRange password="CCA0" sqref="I26:I64" name="Plage1_7"/>
    <protectedRange password="CCA0" sqref="I16:I25" name="Plage1_1"/>
  </protectedRanges>
  <autoFilter ref="A15:O15"/>
  <customSheetViews>
    <customSheetView guid="{D9820A12-A1B3-4B5E-9269-F628D77B6202}" scale="70" showAutoFilter="1">
      <pane ySplit="15" topLeftCell="A16" activePane="bottomLeft" state="frozen"/>
      <selection pane="bottomLeft" activeCell="M15" sqref="M15:N15"/>
      <pageMargins left="0.78740157499999996" right="0.78740157499999996" top="0.984251969" bottom="0.984251969" header="0.4921259845" footer="0.4921259845"/>
      <pageSetup paperSize="9" orientation="portrait" r:id="rId1"/>
      <headerFooter alignWithMargins="0"/>
      <autoFilter ref="A15:N63"/>
    </customSheetView>
  </customSheetViews>
  <mergeCells count="22">
    <mergeCell ref="C16:H16"/>
    <mergeCell ref="C17:H17"/>
    <mergeCell ref="B19:B25"/>
    <mergeCell ref="G2:K2"/>
    <mergeCell ref="F2:F12"/>
    <mergeCell ref="G3:J3"/>
    <mergeCell ref="N14:O14"/>
    <mergeCell ref="I14:K14"/>
    <mergeCell ref="F14:H14"/>
    <mergeCell ref="L14:M14"/>
    <mergeCell ref="G4:G5"/>
    <mergeCell ref="G6:G7"/>
    <mergeCell ref="G8:G9"/>
    <mergeCell ref="H8:J8"/>
    <mergeCell ref="H9:J9"/>
    <mergeCell ref="H4:J4"/>
    <mergeCell ref="H5:J5"/>
    <mergeCell ref="H6:J6"/>
    <mergeCell ref="H7:J7"/>
    <mergeCell ref="G10:K10"/>
    <mergeCell ref="G11:J11"/>
    <mergeCell ref="G12:J12"/>
  </mergeCells>
  <phoneticPr fontId="0" type="noConversion"/>
  <conditionalFormatting sqref="M16:M17 M19:M25">
    <cfRule type="cellIs" priority="8" stopIfTrue="1" operator="equal">
      <formula>"-"</formula>
    </cfRule>
    <cfRule type="expression" dxfId="35" priority="9">
      <formula>IF($M16&gt;=$K$3, "vrai", "faux")</formula>
    </cfRule>
    <cfRule type="expression" dxfId="34" priority="10">
      <formula>IF($M16&lt;$K$3, "vrai", "faux")</formula>
    </cfRule>
  </conditionalFormatting>
  <conditionalFormatting sqref="O16:O17 O19:O25">
    <cfRule type="cellIs" priority="11" stopIfTrue="1" operator="equal">
      <formula>"-"</formula>
    </cfRule>
    <cfRule type="expression" dxfId="33" priority="12">
      <formula>IF($O16&gt;=$K$3, "vrai", "faux")</formula>
    </cfRule>
    <cfRule type="expression" dxfId="32" priority="13">
      <formula>IF($O16&lt;$K$3, "vrai", "faux")</formula>
    </cfRule>
  </conditionalFormatting>
  <conditionalFormatting sqref="M18">
    <cfRule type="cellIs" priority="2" stopIfTrue="1" operator="equal">
      <formula>"-"</formula>
    </cfRule>
    <cfRule type="expression" dxfId="31" priority="3">
      <formula>IF($M18&gt;=$K$3, "vrai", "faux")</formula>
    </cfRule>
    <cfRule type="expression" dxfId="30" priority="4">
      <formula>IF($M18&lt;$K$3, "vrai", "faux")</formula>
    </cfRule>
  </conditionalFormatting>
  <conditionalFormatting sqref="O18">
    <cfRule type="cellIs" priority="5" stopIfTrue="1" operator="equal">
      <formula>"-"</formula>
    </cfRule>
    <cfRule type="expression" dxfId="29" priority="6">
      <formula>IF($O18&gt;=$K$3, "vrai", "faux")</formula>
    </cfRule>
    <cfRule type="expression" dxfId="28" priority="7">
      <formula>IF($O18&lt;$K$3, "vrai", "faux")</formula>
    </cfRule>
  </conditionalFormatting>
  <conditionalFormatting sqref="I16:I25 L16:O25">
    <cfRule type="expression" dxfId="27" priority="1">
      <formula>NOT(EstUneFormule(I16))</formula>
    </cfRule>
  </conditionalFormatting>
  <pageMargins left="0.78740157499999996" right="0.78740157499999996" top="0.984251969" bottom="0.984251969" header="0.4921259845" footer="0.4921259845"/>
  <pageSetup paperSize="9" orientation="portrait" r:id="rId2"/>
  <headerFooter alignWithMargins="0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</sheetPr>
  <dimension ref="A1:J38"/>
  <sheetViews>
    <sheetView zoomScale="75" zoomScaleNormal="75" workbookViewId="0">
      <pane ySplit="12" topLeftCell="A29" activePane="bottomLeft" state="frozen"/>
      <selection activeCell="A36" sqref="A36:A41"/>
      <selection pane="bottomLeft" activeCell="E44" sqref="E44"/>
    </sheetView>
  </sheetViews>
  <sheetFormatPr baseColWidth="10" defaultRowHeight="14.25" outlineLevelRow="1" x14ac:dyDescent="0.3"/>
  <cols>
    <col min="1" max="2" width="11.5703125" style="56" customWidth="1"/>
    <col min="3" max="3" width="11.5703125" style="58" customWidth="1"/>
    <col min="4" max="5" width="20.140625" style="96" customWidth="1"/>
    <col min="6" max="6" width="17.140625" style="58" customWidth="1"/>
    <col min="7" max="7" width="17.140625" style="59" customWidth="1"/>
    <col min="8" max="8" width="17.140625" style="60" customWidth="1"/>
    <col min="9" max="9" width="17.140625" style="59" customWidth="1"/>
    <col min="10" max="10" width="17.140625" style="61" customWidth="1"/>
    <col min="11" max="16384" width="11.42578125" style="56"/>
  </cols>
  <sheetData>
    <row r="1" spans="1:9" ht="15.75" customHeight="1" thickBot="1" x14ac:dyDescent="0.35">
      <c r="A1" s="58"/>
      <c r="B1" s="58"/>
      <c r="E1" s="57"/>
      <c r="F1" s="97"/>
      <c r="G1" s="97"/>
      <c r="H1" s="98"/>
    </row>
    <row r="2" spans="1:9" ht="15.75" customHeight="1" outlineLevel="1" x14ac:dyDescent="0.3">
      <c r="A2" s="58"/>
      <c r="B2" s="58"/>
      <c r="E2" s="418" t="s">
        <v>22</v>
      </c>
      <c r="F2" s="421" t="s">
        <v>12</v>
      </c>
      <c r="G2" s="421"/>
      <c r="H2" s="421"/>
      <c r="I2" s="422"/>
    </row>
    <row r="3" spans="1:9" ht="15.75" customHeight="1" outlineLevel="1" x14ac:dyDescent="0.3">
      <c r="A3" s="58"/>
      <c r="B3" s="58"/>
      <c r="E3" s="419"/>
      <c r="F3" s="423" t="s">
        <v>5</v>
      </c>
      <c r="G3" s="423"/>
      <c r="H3" s="424"/>
      <c r="I3" s="62">
        <f>'Mission Profil &amp; Synthesis'!$D$9</f>
        <v>0</v>
      </c>
    </row>
    <row r="4" spans="1:9" ht="15.75" customHeight="1" outlineLevel="1" x14ac:dyDescent="0.3">
      <c r="A4" s="58"/>
      <c r="B4" s="58"/>
      <c r="E4" s="419"/>
      <c r="F4" s="425" t="s">
        <v>1</v>
      </c>
      <c r="G4" s="414" t="s">
        <v>3</v>
      </c>
      <c r="H4" s="415"/>
      <c r="I4" s="63">
        <f>'Mission Profil &amp; Synthesis'!$D$15</f>
        <v>0</v>
      </c>
    </row>
    <row r="5" spans="1:9" ht="15.75" customHeight="1" outlineLevel="1" x14ac:dyDescent="0.3">
      <c r="A5" s="58"/>
      <c r="B5" s="58"/>
      <c r="E5" s="419"/>
      <c r="F5" s="426"/>
      <c r="G5" s="414" t="s">
        <v>4</v>
      </c>
      <c r="H5" s="415"/>
      <c r="I5" s="64">
        <f>'Mission Profil &amp; Synthesis'!$D$16</f>
        <v>0</v>
      </c>
    </row>
    <row r="6" spans="1:9" ht="15.75" customHeight="1" outlineLevel="1" x14ac:dyDescent="0.3">
      <c r="A6" s="58"/>
      <c r="B6" s="58"/>
      <c r="E6" s="419"/>
      <c r="F6" s="427" t="s">
        <v>0</v>
      </c>
      <c r="G6" s="429" t="s">
        <v>3</v>
      </c>
      <c r="H6" s="430"/>
      <c r="I6" s="66">
        <f>'Mission Profil &amp; Synthesis'!$D$18</f>
        <v>0</v>
      </c>
    </row>
    <row r="7" spans="1:9" ht="15.75" customHeight="1" outlineLevel="1" x14ac:dyDescent="0.3">
      <c r="A7" s="58"/>
      <c r="B7" s="58"/>
      <c r="E7" s="419"/>
      <c r="F7" s="428"/>
      <c r="G7" s="429" t="s">
        <v>4</v>
      </c>
      <c r="H7" s="430"/>
      <c r="I7" s="67">
        <f>'Mission Profil &amp; Synthesis'!$D$19</f>
        <v>0</v>
      </c>
    </row>
    <row r="8" spans="1:9" ht="15.75" customHeight="1" outlineLevel="1" x14ac:dyDescent="0.3">
      <c r="A8" s="58"/>
      <c r="B8" s="58"/>
      <c r="E8" s="419"/>
      <c r="F8" s="425" t="s">
        <v>2</v>
      </c>
      <c r="G8" s="414" t="s">
        <v>3</v>
      </c>
      <c r="H8" s="415"/>
      <c r="I8" s="63">
        <f>'Mission Profil &amp; Synthesis'!$D$21</f>
        <v>0</v>
      </c>
    </row>
    <row r="9" spans="1:9" ht="15.75" customHeight="1" outlineLevel="1" thickBot="1" x14ac:dyDescent="0.35">
      <c r="A9" s="58"/>
      <c r="B9" s="58"/>
      <c r="E9" s="420"/>
      <c r="F9" s="431"/>
      <c r="G9" s="416" t="s">
        <v>4</v>
      </c>
      <c r="H9" s="417"/>
      <c r="I9" s="68">
        <f>'Mission Profil &amp; Synthesis'!$D$22</f>
        <v>0</v>
      </c>
    </row>
    <row r="10" spans="1:9" ht="15" outlineLevel="1" thickBot="1" x14ac:dyDescent="0.35">
      <c r="A10" s="58"/>
      <c r="B10" s="58"/>
      <c r="D10" s="58"/>
      <c r="E10" s="58"/>
    </row>
    <row r="11" spans="1:9" s="82" customFormat="1" ht="35.25" customHeight="1" thickBot="1" x14ac:dyDescent="0.25">
      <c r="A11" s="80"/>
      <c r="B11" s="80"/>
      <c r="C11" s="80"/>
      <c r="D11" s="80"/>
      <c r="E11" s="80"/>
      <c r="F11" s="99" t="s">
        <v>11</v>
      </c>
      <c r="G11" s="170" t="s">
        <v>9</v>
      </c>
    </row>
    <row r="12" spans="1:9" s="95" customFormat="1" ht="78" customHeight="1" thickBot="1" x14ac:dyDescent="0.25">
      <c r="A12" s="83" t="s">
        <v>8</v>
      </c>
      <c r="B12" s="84" t="s">
        <v>14</v>
      </c>
      <c r="C12" s="84" t="s">
        <v>117</v>
      </c>
      <c r="D12" s="84" t="s">
        <v>15</v>
      </c>
      <c r="E12" s="85" t="s">
        <v>28</v>
      </c>
      <c r="F12" s="101" t="s">
        <v>38</v>
      </c>
      <c r="G12" s="171" t="s">
        <v>37</v>
      </c>
      <c r="H12" s="244" t="s">
        <v>128</v>
      </c>
    </row>
    <row r="13" spans="1:9" ht="42.75" x14ac:dyDescent="0.3">
      <c r="A13" s="256" t="s">
        <v>161</v>
      </c>
      <c r="B13" s="406" t="s">
        <v>144</v>
      </c>
      <c r="C13" s="251" t="s">
        <v>162</v>
      </c>
      <c r="D13" s="246" t="s">
        <v>127</v>
      </c>
      <c r="E13" s="246" t="s">
        <v>163</v>
      </c>
      <c r="F13" s="249">
        <v>100</v>
      </c>
      <c r="G13" s="246" t="s">
        <v>129</v>
      </c>
      <c r="H13" s="251" t="s">
        <v>130</v>
      </c>
    </row>
    <row r="14" spans="1:9" ht="42.75" x14ac:dyDescent="0.3">
      <c r="A14" s="256" t="s">
        <v>161</v>
      </c>
      <c r="B14" s="407"/>
      <c r="C14" s="251" t="s">
        <v>164</v>
      </c>
      <c r="D14" s="246" t="s">
        <v>127</v>
      </c>
      <c r="E14" s="246" t="s">
        <v>163</v>
      </c>
      <c r="F14" s="257">
        <v>100</v>
      </c>
      <c r="G14" s="246" t="s">
        <v>129</v>
      </c>
      <c r="H14" s="251" t="s">
        <v>130</v>
      </c>
    </row>
    <row r="15" spans="1:9" ht="42.75" x14ac:dyDescent="0.3">
      <c r="A15" s="256" t="s">
        <v>161</v>
      </c>
      <c r="B15" s="407"/>
      <c r="C15" s="251" t="s">
        <v>165</v>
      </c>
      <c r="D15" s="246" t="s">
        <v>127</v>
      </c>
      <c r="E15" s="246" t="s">
        <v>163</v>
      </c>
      <c r="F15" s="257">
        <v>100</v>
      </c>
      <c r="G15" s="246" t="s">
        <v>129</v>
      </c>
      <c r="H15" s="251" t="s">
        <v>130</v>
      </c>
    </row>
    <row r="16" spans="1:9" ht="42.75" x14ac:dyDescent="0.3">
      <c r="A16" s="256" t="s">
        <v>161</v>
      </c>
      <c r="B16" s="407"/>
      <c r="C16" s="251" t="s">
        <v>166</v>
      </c>
      <c r="D16" s="246" t="s">
        <v>127</v>
      </c>
      <c r="E16" s="246" t="s">
        <v>163</v>
      </c>
      <c r="F16" s="257">
        <v>100</v>
      </c>
      <c r="G16" s="246" t="s">
        <v>129</v>
      </c>
      <c r="H16" s="251" t="s">
        <v>130</v>
      </c>
    </row>
    <row r="17" spans="1:8" ht="42.75" x14ac:dyDescent="0.3">
      <c r="A17" s="256" t="s">
        <v>161</v>
      </c>
      <c r="B17" s="407"/>
      <c r="C17" s="251" t="s">
        <v>142</v>
      </c>
      <c r="D17" s="246" t="s">
        <v>127</v>
      </c>
      <c r="E17" s="246" t="s">
        <v>163</v>
      </c>
      <c r="F17" s="257">
        <v>100</v>
      </c>
      <c r="G17" s="246" t="s">
        <v>129</v>
      </c>
      <c r="H17" s="251" t="s">
        <v>130</v>
      </c>
    </row>
    <row r="18" spans="1:8" ht="42.75" x14ac:dyDescent="0.3">
      <c r="A18" s="256" t="s">
        <v>161</v>
      </c>
      <c r="B18" s="407"/>
      <c r="C18" s="251" t="s">
        <v>167</v>
      </c>
      <c r="D18" s="246" t="s">
        <v>127</v>
      </c>
      <c r="E18" s="246" t="s">
        <v>163</v>
      </c>
      <c r="F18" s="257">
        <v>100</v>
      </c>
      <c r="G18" s="246" t="s">
        <v>129</v>
      </c>
      <c r="H18" s="251" t="s">
        <v>130</v>
      </c>
    </row>
    <row r="19" spans="1:8" ht="42.75" x14ac:dyDescent="0.3">
      <c r="A19" s="256" t="s">
        <v>161</v>
      </c>
      <c r="B19" s="407"/>
      <c r="C19" s="251" t="s">
        <v>168</v>
      </c>
      <c r="D19" s="246" t="s">
        <v>127</v>
      </c>
      <c r="E19" s="246" t="s">
        <v>163</v>
      </c>
      <c r="F19" s="257">
        <v>100</v>
      </c>
      <c r="G19" s="246" t="s">
        <v>129</v>
      </c>
      <c r="H19" s="251" t="s">
        <v>130</v>
      </c>
    </row>
    <row r="20" spans="1:8" ht="42.75" x14ac:dyDescent="0.3">
      <c r="A20" s="256" t="s">
        <v>161</v>
      </c>
      <c r="B20" s="407"/>
      <c r="C20" s="251" t="s">
        <v>169</v>
      </c>
      <c r="D20" s="246" t="s">
        <v>127</v>
      </c>
      <c r="E20" s="246" t="s">
        <v>163</v>
      </c>
      <c r="F20" s="257">
        <v>100</v>
      </c>
      <c r="G20" s="246" t="s">
        <v>129</v>
      </c>
      <c r="H20" s="251" t="s">
        <v>130</v>
      </c>
    </row>
    <row r="21" spans="1:8" ht="42.75" x14ac:dyDescent="0.3">
      <c r="A21" s="256" t="s">
        <v>161</v>
      </c>
      <c r="B21" s="407"/>
      <c r="C21" s="251" t="s">
        <v>170</v>
      </c>
      <c r="D21" s="246" t="s">
        <v>127</v>
      </c>
      <c r="E21" s="246" t="s">
        <v>171</v>
      </c>
      <c r="F21" s="257">
        <v>100</v>
      </c>
      <c r="G21" s="246" t="s">
        <v>129</v>
      </c>
      <c r="H21" s="251" t="s">
        <v>130</v>
      </c>
    </row>
    <row r="22" spans="1:8" ht="42.75" x14ac:dyDescent="0.3">
      <c r="A22" s="256" t="s">
        <v>161</v>
      </c>
      <c r="B22" s="407"/>
      <c r="C22" s="251" t="s">
        <v>172</v>
      </c>
      <c r="D22" s="246" t="s">
        <v>127</v>
      </c>
      <c r="E22" s="246" t="s">
        <v>173</v>
      </c>
      <c r="F22" s="257">
        <v>200</v>
      </c>
      <c r="G22" s="246" t="s">
        <v>129</v>
      </c>
      <c r="H22" s="251" t="s">
        <v>130</v>
      </c>
    </row>
    <row r="23" spans="1:8" ht="42.75" x14ac:dyDescent="0.3">
      <c r="A23" s="256" t="s">
        <v>161</v>
      </c>
      <c r="B23" s="407"/>
      <c r="C23" s="251" t="s">
        <v>174</v>
      </c>
      <c r="D23" s="246" t="s">
        <v>127</v>
      </c>
      <c r="E23" s="246" t="s">
        <v>175</v>
      </c>
      <c r="F23" s="257">
        <v>200</v>
      </c>
      <c r="G23" s="246" t="s">
        <v>131</v>
      </c>
      <c r="H23" s="251" t="s">
        <v>132</v>
      </c>
    </row>
    <row r="24" spans="1:8" ht="42.75" x14ac:dyDescent="0.3">
      <c r="A24" s="256" t="s">
        <v>161</v>
      </c>
      <c r="B24" s="407"/>
      <c r="C24" s="251" t="s">
        <v>176</v>
      </c>
      <c r="D24" s="246" t="s">
        <v>127</v>
      </c>
      <c r="E24" s="246" t="s">
        <v>175</v>
      </c>
      <c r="F24" s="257">
        <v>200</v>
      </c>
      <c r="G24" s="246" t="s">
        <v>131</v>
      </c>
      <c r="H24" s="251" t="s">
        <v>132</v>
      </c>
    </row>
    <row r="25" spans="1:8" ht="42.75" x14ac:dyDescent="0.3">
      <c r="A25" s="256" t="s">
        <v>161</v>
      </c>
      <c r="B25" s="407"/>
      <c r="C25" s="251" t="s">
        <v>177</v>
      </c>
      <c r="D25" s="246" t="s">
        <v>127</v>
      </c>
      <c r="E25" s="246" t="s">
        <v>178</v>
      </c>
      <c r="F25" s="249">
        <v>50</v>
      </c>
      <c r="G25" s="246" t="s">
        <v>131</v>
      </c>
      <c r="H25" s="251" t="s">
        <v>132</v>
      </c>
    </row>
    <row r="26" spans="1:8" ht="42.75" x14ac:dyDescent="0.3">
      <c r="A26" s="256" t="s">
        <v>161</v>
      </c>
      <c r="B26" s="407"/>
      <c r="C26" s="251" t="s">
        <v>179</v>
      </c>
      <c r="D26" s="246" t="s">
        <v>127</v>
      </c>
      <c r="E26" s="246" t="s">
        <v>178</v>
      </c>
      <c r="F26" s="257">
        <v>50</v>
      </c>
      <c r="G26" s="246" t="s">
        <v>131</v>
      </c>
      <c r="H26" s="251" t="s">
        <v>132</v>
      </c>
    </row>
    <row r="27" spans="1:8" ht="42.75" x14ac:dyDescent="0.3">
      <c r="A27" s="256" t="s">
        <v>161</v>
      </c>
      <c r="B27" s="407"/>
      <c r="C27" s="251" t="s">
        <v>180</v>
      </c>
      <c r="D27" s="246" t="s">
        <v>127</v>
      </c>
      <c r="E27" s="246" t="s">
        <v>181</v>
      </c>
      <c r="F27" s="257">
        <v>50</v>
      </c>
      <c r="G27" s="246" t="s">
        <v>131</v>
      </c>
      <c r="H27" s="251" t="s">
        <v>132</v>
      </c>
    </row>
    <row r="28" spans="1:8" ht="42.75" x14ac:dyDescent="0.3">
      <c r="A28" s="256" t="s">
        <v>161</v>
      </c>
      <c r="B28" s="407"/>
      <c r="C28" s="251" t="s">
        <v>182</v>
      </c>
      <c r="D28" s="246" t="s">
        <v>127</v>
      </c>
      <c r="E28" s="246" t="s">
        <v>181</v>
      </c>
      <c r="F28" s="257">
        <v>50</v>
      </c>
      <c r="G28" s="246" t="s">
        <v>131</v>
      </c>
      <c r="H28" s="251" t="s">
        <v>132</v>
      </c>
    </row>
    <row r="29" spans="1:8" ht="42.75" x14ac:dyDescent="0.3">
      <c r="A29" s="256" t="s">
        <v>161</v>
      </c>
      <c r="B29" s="407"/>
      <c r="C29" s="251" t="s">
        <v>183</v>
      </c>
      <c r="D29" s="246" t="s">
        <v>127</v>
      </c>
      <c r="E29" s="246" t="s">
        <v>181</v>
      </c>
      <c r="F29" s="257">
        <v>50</v>
      </c>
      <c r="G29" s="246" t="s">
        <v>131</v>
      </c>
      <c r="H29" s="251" t="s">
        <v>132</v>
      </c>
    </row>
    <row r="30" spans="1:8" ht="42.75" x14ac:dyDescent="0.3">
      <c r="A30" s="256" t="s">
        <v>161</v>
      </c>
      <c r="B30" s="407"/>
      <c r="C30" s="251" t="s">
        <v>184</v>
      </c>
      <c r="D30" s="246" t="s">
        <v>127</v>
      </c>
      <c r="E30" s="246" t="s">
        <v>185</v>
      </c>
      <c r="F30" s="257" t="s">
        <v>143</v>
      </c>
      <c r="G30" s="246" t="s">
        <v>131</v>
      </c>
      <c r="H30" s="251" t="s">
        <v>132</v>
      </c>
    </row>
    <row r="31" spans="1:8" ht="42.75" x14ac:dyDescent="0.3">
      <c r="A31" s="256" t="s">
        <v>161</v>
      </c>
      <c r="B31" s="408"/>
      <c r="C31" s="251" t="s">
        <v>186</v>
      </c>
      <c r="D31" s="246" t="s">
        <v>127</v>
      </c>
      <c r="E31" s="246" t="s">
        <v>187</v>
      </c>
      <c r="F31" s="257" t="s">
        <v>133</v>
      </c>
      <c r="G31" s="246" t="s">
        <v>131</v>
      </c>
      <c r="H31" s="251" t="s">
        <v>132</v>
      </c>
    </row>
    <row r="32" spans="1:8" ht="42.75" x14ac:dyDescent="0.3">
      <c r="A32" s="256" t="s">
        <v>161</v>
      </c>
      <c r="B32" s="409" t="s">
        <v>146</v>
      </c>
      <c r="C32" s="251" t="s">
        <v>162</v>
      </c>
      <c r="D32" s="246" t="s">
        <v>127</v>
      </c>
      <c r="E32" s="246" t="s">
        <v>188</v>
      </c>
      <c r="F32" s="257">
        <v>100</v>
      </c>
      <c r="G32" s="246" t="s">
        <v>131</v>
      </c>
      <c r="H32" s="251" t="s">
        <v>132</v>
      </c>
    </row>
    <row r="33" spans="1:8" ht="42.75" x14ac:dyDescent="0.3">
      <c r="A33" s="256" t="s">
        <v>161</v>
      </c>
      <c r="B33" s="410"/>
      <c r="C33" s="251" t="s">
        <v>166</v>
      </c>
      <c r="D33" s="246" t="s">
        <v>127</v>
      </c>
      <c r="E33" s="246" t="s">
        <v>189</v>
      </c>
      <c r="F33" s="257">
        <v>50</v>
      </c>
      <c r="G33" s="246" t="s">
        <v>131</v>
      </c>
      <c r="H33" s="251" t="s">
        <v>132</v>
      </c>
    </row>
    <row r="34" spans="1:8" ht="42.75" x14ac:dyDescent="0.3">
      <c r="A34" s="256" t="s">
        <v>161</v>
      </c>
      <c r="B34" s="411" t="s">
        <v>147</v>
      </c>
      <c r="C34" s="251" t="s">
        <v>164</v>
      </c>
      <c r="D34" s="246" t="s">
        <v>127</v>
      </c>
      <c r="E34" s="246" t="s">
        <v>190</v>
      </c>
      <c r="F34" s="257">
        <v>200</v>
      </c>
      <c r="G34" s="246" t="s">
        <v>131</v>
      </c>
      <c r="H34" s="251" t="s">
        <v>132</v>
      </c>
    </row>
    <row r="35" spans="1:8" ht="42.75" x14ac:dyDescent="0.3">
      <c r="A35" s="256" t="s">
        <v>161</v>
      </c>
      <c r="B35" s="412"/>
      <c r="C35" s="251" t="s">
        <v>165</v>
      </c>
      <c r="D35" s="246" t="s">
        <v>127</v>
      </c>
      <c r="E35" s="246" t="s">
        <v>190</v>
      </c>
      <c r="F35" s="257">
        <v>200</v>
      </c>
      <c r="G35" s="246" t="s">
        <v>131</v>
      </c>
      <c r="H35" s="251" t="s">
        <v>132</v>
      </c>
    </row>
    <row r="36" spans="1:8" ht="42.75" x14ac:dyDescent="0.3">
      <c r="A36" s="256" t="s">
        <v>161</v>
      </c>
      <c r="B36" s="413"/>
      <c r="C36" s="251" t="s">
        <v>166</v>
      </c>
      <c r="D36" s="246" t="s">
        <v>127</v>
      </c>
      <c r="E36" s="246" t="s">
        <v>191</v>
      </c>
      <c r="F36" s="257">
        <v>100</v>
      </c>
      <c r="G36" s="246" t="s">
        <v>131</v>
      </c>
      <c r="H36" s="251" t="s">
        <v>132</v>
      </c>
    </row>
    <row r="37" spans="1:8" ht="42.75" x14ac:dyDescent="0.3">
      <c r="A37" s="256" t="s">
        <v>161</v>
      </c>
      <c r="B37" s="396" t="s">
        <v>150</v>
      </c>
      <c r="C37" s="251" t="s">
        <v>192</v>
      </c>
      <c r="D37" s="246" t="s">
        <v>127</v>
      </c>
      <c r="E37" s="246" t="s">
        <v>193</v>
      </c>
      <c r="F37" s="257">
        <v>50</v>
      </c>
      <c r="G37" s="246" t="s">
        <v>131</v>
      </c>
      <c r="H37" s="251" t="s">
        <v>132</v>
      </c>
    </row>
    <row r="38" spans="1:8" ht="42.75" x14ac:dyDescent="0.3">
      <c r="A38" s="256" t="s">
        <v>161</v>
      </c>
      <c r="B38" s="396"/>
      <c r="C38" s="251" t="s">
        <v>194</v>
      </c>
      <c r="D38" s="246" t="s">
        <v>127</v>
      </c>
      <c r="E38" s="246" t="s">
        <v>195</v>
      </c>
      <c r="F38" s="257">
        <v>50</v>
      </c>
      <c r="G38" s="246" t="s">
        <v>131</v>
      </c>
      <c r="H38" s="251" t="s">
        <v>132</v>
      </c>
    </row>
  </sheetData>
  <protectedRanges>
    <protectedRange sqref="D13:E15 D25:E31" name="Plage1_1_3"/>
  </protectedRanges>
  <mergeCells count="16">
    <mergeCell ref="B13:B31"/>
    <mergeCell ref="B32:B33"/>
    <mergeCell ref="B34:B36"/>
    <mergeCell ref="B37:B38"/>
    <mergeCell ref="G8:H8"/>
    <mergeCell ref="G9:H9"/>
    <mergeCell ref="E2:E9"/>
    <mergeCell ref="F2:I2"/>
    <mergeCell ref="F3:H3"/>
    <mergeCell ref="F4:F5"/>
    <mergeCell ref="G4:H4"/>
    <mergeCell ref="G5:H5"/>
    <mergeCell ref="F6:F7"/>
    <mergeCell ref="G6:H6"/>
    <mergeCell ref="G7:H7"/>
    <mergeCell ref="F8:F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6"/>
  </sheetPr>
  <dimension ref="A1:BG36"/>
  <sheetViews>
    <sheetView zoomScale="75" zoomScaleNormal="75" workbookViewId="0">
      <pane ySplit="35" topLeftCell="A36" activePane="bottomLeft" state="frozen"/>
      <selection pane="bottomLeft" activeCell="A37" sqref="A37:A39"/>
    </sheetView>
  </sheetViews>
  <sheetFormatPr baseColWidth="10" defaultRowHeight="14.25" outlineLevelRow="2" x14ac:dyDescent="0.3"/>
  <cols>
    <col min="1" max="2" width="11.5703125" style="56" customWidth="1"/>
    <col min="3" max="3" width="11.5703125" style="58" customWidth="1"/>
    <col min="4" max="6" width="20.140625" style="96" customWidth="1"/>
    <col min="7" max="13" width="14.28515625" style="150" customWidth="1"/>
    <col min="14" max="15" width="20" style="150" customWidth="1"/>
    <col min="16" max="16" width="20.28515625" style="150" bestFit="1" customWidth="1"/>
    <col min="17" max="17" width="18.140625" style="150" bestFit="1" customWidth="1"/>
    <col min="18" max="18" width="15.7109375" style="150" bestFit="1" customWidth="1"/>
    <col min="19" max="19" width="11.42578125" style="150" bestFit="1" customWidth="1"/>
    <col min="20" max="20" width="6.42578125" style="150" bestFit="1" customWidth="1"/>
    <col min="21" max="263" width="11.42578125" style="150"/>
    <col min="264" max="264" width="39.7109375" style="150" bestFit="1" customWidth="1"/>
    <col min="265" max="267" width="11.42578125" style="150"/>
    <col min="268" max="268" width="42.5703125" style="150" bestFit="1" customWidth="1"/>
    <col min="269" max="519" width="11.42578125" style="150"/>
    <col min="520" max="520" width="39.7109375" style="150" bestFit="1" customWidth="1"/>
    <col min="521" max="523" width="11.42578125" style="150"/>
    <col min="524" max="524" width="42.5703125" style="150" bestFit="1" customWidth="1"/>
    <col min="525" max="775" width="11.42578125" style="150"/>
    <col min="776" max="776" width="39.7109375" style="150" bestFit="1" customWidth="1"/>
    <col min="777" max="779" width="11.42578125" style="150"/>
    <col min="780" max="780" width="42.5703125" style="150" bestFit="1" customWidth="1"/>
    <col min="781" max="1031" width="11.42578125" style="150"/>
    <col min="1032" max="1032" width="39.7109375" style="150" bestFit="1" customWidth="1"/>
    <col min="1033" max="1035" width="11.42578125" style="150"/>
    <col min="1036" max="1036" width="42.5703125" style="150" bestFit="1" customWidth="1"/>
    <col min="1037" max="1287" width="11.42578125" style="150"/>
    <col min="1288" max="1288" width="39.7109375" style="150" bestFit="1" customWidth="1"/>
    <col min="1289" max="1291" width="11.42578125" style="150"/>
    <col min="1292" max="1292" width="42.5703125" style="150" bestFit="1" customWidth="1"/>
    <col min="1293" max="1543" width="11.42578125" style="150"/>
    <col min="1544" max="1544" width="39.7109375" style="150" bestFit="1" customWidth="1"/>
    <col min="1545" max="1547" width="11.42578125" style="150"/>
    <col min="1548" max="1548" width="42.5703125" style="150" bestFit="1" customWidth="1"/>
    <col min="1549" max="1799" width="11.42578125" style="150"/>
    <col min="1800" max="1800" width="39.7109375" style="150" bestFit="1" customWidth="1"/>
    <col min="1801" max="1803" width="11.42578125" style="150"/>
    <col min="1804" max="1804" width="42.5703125" style="150" bestFit="1" customWidth="1"/>
    <col min="1805" max="2055" width="11.42578125" style="150"/>
    <col min="2056" max="2056" width="39.7109375" style="150" bestFit="1" customWidth="1"/>
    <col min="2057" max="2059" width="11.42578125" style="150"/>
    <col min="2060" max="2060" width="42.5703125" style="150" bestFit="1" customWidth="1"/>
    <col min="2061" max="2311" width="11.42578125" style="150"/>
    <col min="2312" max="2312" width="39.7109375" style="150" bestFit="1" customWidth="1"/>
    <col min="2313" max="2315" width="11.42578125" style="150"/>
    <col min="2316" max="2316" width="42.5703125" style="150" bestFit="1" customWidth="1"/>
    <col min="2317" max="2567" width="11.42578125" style="150"/>
    <col min="2568" max="2568" width="39.7109375" style="150" bestFit="1" customWidth="1"/>
    <col min="2569" max="2571" width="11.42578125" style="150"/>
    <col min="2572" max="2572" width="42.5703125" style="150" bestFit="1" customWidth="1"/>
    <col min="2573" max="2823" width="11.42578125" style="150"/>
    <col min="2824" max="2824" width="39.7109375" style="150" bestFit="1" customWidth="1"/>
    <col min="2825" max="2827" width="11.42578125" style="150"/>
    <col min="2828" max="2828" width="42.5703125" style="150" bestFit="1" customWidth="1"/>
    <col min="2829" max="3079" width="11.42578125" style="150"/>
    <col min="3080" max="3080" width="39.7109375" style="150" bestFit="1" customWidth="1"/>
    <col min="3081" max="3083" width="11.42578125" style="150"/>
    <col min="3084" max="3084" width="42.5703125" style="150" bestFit="1" customWidth="1"/>
    <col min="3085" max="3335" width="11.42578125" style="150"/>
    <col min="3336" max="3336" width="39.7109375" style="150" bestFit="1" customWidth="1"/>
    <col min="3337" max="3339" width="11.42578125" style="150"/>
    <col min="3340" max="3340" width="42.5703125" style="150" bestFit="1" customWidth="1"/>
    <col min="3341" max="3591" width="11.42578125" style="150"/>
    <col min="3592" max="3592" width="39.7109375" style="150" bestFit="1" customWidth="1"/>
    <col min="3593" max="3595" width="11.42578125" style="150"/>
    <col min="3596" max="3596" width="42.5703125" style="150" bestFit="1" customWidth="1"/>
    <col min="3597" max="3847" width="11.42578125" style="150"/>
    <col min="3848" max="3848" width="39.7109375" style="150" bestFit="1" customWidth="1"/>
    <col min="3849" max="3851" width="11.42578125" style="150"/>
    <col min="3852" max="3852" width="42.5703125" style="150" bestFit="1" customWidth="1"/>
    <col min="3853" max="4103" width="11.42578125" style="150"/>
    <col min="4104" max="4104" width="39.7109375" style="150" bestFit="1" customWidth="1"/>
    <col min="4105" max="4107" width="11.42578125" style="150"/>
    <col min="4108" max="4108" width="42.5703125" style="150" bestFit="1" customWidth="1"/>
    <col min="4109" max="4359" width="11.42578125" style="150"/>
    <col min="4360" max="4360" width="39.7109375" style="150" bestFit="1" customWidth="1"/>
    <col min="4361" max="4363" width="11.42578125" style="150"/>
    <col min="4364" max="4364" width="42.5703125" style="150" bestFit="1" customWidth="1"/>
    <col min="4365" max="4615" width="11.42578125" style="150"/>
    <col min="4616" max="4616" width="39.7109375" style="150" bestFit="1" customWidth="1"/>
    <col min="4617" max="4619" width="11.42578125" style="150"/>
    <col min="4620" max="4620" width="42.5703125" style="150" bestFit="1" customWidth="1"/>
    <col min="4621" max="4871" width="11.42578125" style="150"/>
    <col min="4872" max="4872" width="39.7109375" style="150" bestFit="1" customWidth="1"/>
    <col min="4873" max="4875" width="11.42578125" style="150"/>
    <col min="4876" max="4876" width="42.5703125" style="150" bestFit="1" customWidth="1"/>
    <col min="4877" max="5127" width="11.42578125" style="150"/>
    <col min="5128" max="5128" width="39.7109375" style="150" bestFit="1" customWidth="1"/>
    <col min="5129" max="5131" width="11.42578125" style="150"/>
    <col min="5132" max="5132" width="42.5703125" style="150" bestFit="1" customWidth="1"/>
    <col min="5133" max="5383" width="11.42578125" style="150"/>
    <col min="5384" max="5384" width="39.7109375" style="150" bestFit="1" customWidth="1"/>
    <col min="5385" max="5387" width="11.42578125" style="150"/>
    <col min="5388" max="5388" width="42.5703125" style="150" bestFit="1" customWidth="1"/>
    <col min="5389" max="5639" width="11.42578125" style="150"/>
    <col min="5640" max="5640" width="39.7109375" style="150" bestFit="1" customWidth="1"/>
    <col min="5641" max="5643" width="11.42578125" style="150"/>
    <col min="5644" max="5644" width="42.5703125" style="150" bestFit="1" customWidth="1"/>
    <col min="5645" max="5895" width="11.42578125" style="150"/>
    <col min="5896" max="5896" width="39.7109375" style="150" bestFit="1" customWidth="1"/>
    <col min="5897" max="5899" width="11.42578125" style="150"/>
    <col min="5900" max="5900" width="42.5703125" style="150" bestFit="1" customWidth="1"/>
    <col min="5901" max="6151" width="11.42578125" style="150"/>
    <col min="6152" max="6152" width="39.7109375" style="150" bestFit="1" customWidth="1"/>
    <col min="6153" max="6155" width="11.42578125" style="150"/>
    <col min="6156" max="6156" width="42.5703125" style="150" bestFit="1" customWidth="1"/>
    <col min="6157" max="6407" width="11.42578125" style="150"/>
    <col min="6408" max="6408" width="39.7109375" style="150" bestFit="1" customWidth="1"/>
    <col min="6409" max="6411" width="11.42578125" style="150"/>
    <col min="6412" max="6412" width="42.5703125" style="150" bestFit="1" customWidth="1"/>
    <col min="6413" max="6663" width="11.42578125" style="150"/>
    <col min="6664" max="6664" width="39.7109375" style="150" bestFit="1" customWidth="1"/>
    <col min="6665" max="6667" width="11.42578125" style="150"/>
    <col min="6668" max="6668" width="42.5703125" style="150" bestFit="1" customWidth="1"/>
    <col min="6669" max="6919" width="11.42578125" style="150"/>
    <col min="6920" max="6920" width="39.7109375" style="150" bestFit="1" customWidth="1"/>
    <col min="6921" max="6923" width="11.42578125" style="150"/>
    <col min="6924" max="6924" width="42.5703125" style="150" bestFit="1" customWidth="1"/>
    <col min="6925" max="7175" width="11.42578125" style="150"/>
    <col min="7176" max="7176" width="39.7109375" style="150" bestFit="1" customWidth="1"/>
    <col min="7177" max="7179" width="11.42578125" style="150"/>
    <col min="7180" max="7180" width="42.5703125" style="150" bestFit="1" customWidth="1"/>
    <col min="7181" max="7431" width="11.42578125" style="150"/>
    <col min="7432" max="7432" width="39.7109375" style="150" bestFit="1" customWidth="1"/>
    <col min="7433" max="7435" width="11.42578125" style="150"/>
    <col min="7436" max="7436" width="42.5703125" style="150" bestFit="1" customWidth="1"/>
    <col min="7437" max="7687" width="11.42578125" style="150"/>
    <col min="7688" max="7688" width="39.7109375" style="150" bestFit="1" customWidth="1"/>
    <col min="7689" max="7691" width="11.42578125" style="150"/>
    <col min="7692" max="7692" width="42.5703125" style="150" bestFit="1" customWidth="1"/>
    <col min="7693" max="7943" width="11.42578125" style="150"/>
    <col min="7944" max="7944" width="39.7109375" style="150" bestFit="1" customWidth="1"/>
    <col min="7945" max="7947" width="11.42578125" style="150"/>
    <col min="7948" max="7948" width="42.5703125" style="150" bestFit="1" customWidth="1"/>
    <col min="7949" max="8199" width="11.42578125" style="150"/>
    <col min="8200" max="8200" width="39.7109375" style="150" bestFit="1" customWidth="1"/>
    <col min="8201" max="8203" width="11.42578125" style="150"/>
    <col min="8204" max="8204" width="42.5703125" style="150" bestFit="1" customWidth="1"/>
    <col min="8205" max="8455" width="11.42578125" style="150"/>
    <col min="8456" max="8456" width="39.7109375" style="150" bestFit="1" customWidth="1"/>
    <col min="8457" max="8459" width="11.42578125" style="150"/>
    <col min="8460" max="8460" width="42.5703125" style="150" bestFit="1" customWidth="1"/>
    <col min="8461" max="8711" width="11.42578125" style="150"/>
    <col min="8712" max="8712" width="39.7109375" style="150" bestFit="1" customWidth="1"/>
    <col min="8713" max="8715" width="11.42578125" style="150"/>
    <col min="8716" max="8716" width="42.5703125" style="150" bestFit="1" customWidth="1"/>
    <col min="8717" max="8967" width="11.42578125" style="150"/>
    <col min="8968" max="8968" width="39.7109375" style="150" bestFit="1" customWidth="1"/>
    <col min="8969" max="8971" width="11.42578125" style="150"/>
    <col min="8972" max="8972" width="42.5703125" style="150" bestFit="1" customWidth="1"/>
    <col min="8973" max="9223" width="11.42578125" style="150"/>
    <col min="9224" max="9224" width="39.7109375" style="150" bestFit="1" customWidth="1"/>
    <col min="9225" max="9227" width="11.42578125" style="150"/>
    <col min="9228" max="9228" width="42.5703125" style="150" bestFit="1" customWidth="1"/>
    <col min="9229" max="9479" width="11.42578125" style="150"/>
    <col min="9480" max="9480" width="39.7109375" style="150" bestFit="1" customWidth="1"/>
    <col min="9481" max="9483" width="11.42578125" style="150"/>
    <col min="9484" max="9484" width="42.5703125" style="150" bestFit="1" customWidth="1"/>
    <col min="9485" max="9735" width="11.42578125" style="150"/>
    <col min="9736" max="9736" width="39.7109375" style="150" bestFit="1" customWidth="1"/>
    <col min="9737" max="9739" width="11.42578125" style="150"/>
    <col min="9740" max="9740" width="42.5703125" style="150" bestFit="1" customWidth="1"/>
    <col min="9741" max="9991" width="11.42578125" style="150"/>
    <col min="9992" max="9992" width="39.7109375" style="150" bestFit="1" customWidth="1"/>
    <col min="9993" max="9995" width="11.42578125" style="150"/>
    <col min="9996" max="9996" width="42.5703125" style="150" bestFit="1" customWidth="1"/>
    <col min="9997" max="10247" width="11.42578125" style="150"/>
    <col min="10248" max="10248" width="39.7109375" style="150" bestFit="1" customWidth="1"/>
    <col min="10249" max="10251" width="11.42578125" style="150"/>
    <col min="10252" max="10252" width="42.5703125" style="150" bestFit="1" customWidth="1"/>
    <col min="10253" max="10503" width="11.42578125" style="150"/>
    <col min="10504" max="10504" width="39.7109375" style="150" bestFit="1" customWidth="1"/>
    <col min="10505" max="10507" width="11.42578125" style="150"/>
    <col min="10508" max="10508" width="42.5703125" style="150" bestFit="1" customWidth="1"/>
    <col min="10509" max="10759" width="11.42578125" style="150"/>
    <col min="10760" max="10760" width="39.7109375" style="150" bestFit="1" customWidth="1"/>
    <col min="10761" max="10763" width="11.42578125" style="150"/>
    <col min="10764" max="10764" width="42.5703125" style="150" bestFit="1" customWidth="1"/>
    <col min="10765" max="11015" width="11.42578125" style="150"/>
    <col min="11016" max="11016" width="39.7109375" style="150" bestFit="1" customWidth="1"/>
    <col min="11017" max="11019" width="11.42578125" style="150"/>
    <col min="11020" max="11020" width="42.5703125" style="150" bestFit="1" customWidth="1"/>
    <col min="11021" max="11271" width="11.42578125" style="150"/>
    <col min="11272" max="11272" width="39.7109375" style="150" bestFit="1" customWidth="1"/>
    <col min="11273" max="11275" width="11.42578125" style="150"/>
    <col min="11276" max="11276" width="42.5703125" style="150" bestFit="1" customWidth="1"/>
    <col min="11277" max="11527" width="11.42578125" style="150"/>
    <col min="11528" max="11528" width="39.7109375" style="150" bestFit="1" customWidth="1"/>
    <col min="11529" max="11531" width="11.42578125" style="150"/>
    <col min="11532" max="11532" width="42.5703125" style="150" bestFit="1" customWidth="1"/>
    <col min="11533" max="11783" width="11.42578125" style="150"/>
    <col min="11784" max="11784" width="39.7109375" style="150" bestFit="1" customWidth="1"/>
    <col min="11785" max="11787" width="11.42578125" style="150"/>
    <col min="11788" max="11788" width="42.5703125" style="150" bestFit="1" customWidth="1"/>
    <col min="11789" max="12039" width="11.42578125" style="150"/>
    <col min="12040" max="12040" width="39.7109375" style="150" bestFit="1" customWidth="1"/>
    <col min="12041" max="12043" width="11.42578125" style="150"/>
    <col min="12044" max="12044" width="42.5703125" style="150" bestFit="1" customWidth="1"/>
    <col min="12045" max="12295" width="11.42578125" style="150"/>
    <col min="12296" max="12296" width="39.7109375" style="150" bestFit="1" customWidth="1"/>
    <col min="12297" max="12299" width="11.42578125" style="150"/>
    <col min="12300" max="12300" width="42.5703125" style="150" bestFit="1" customWidth="1"/>
    <col min="12301" max="12551" width="11.42578125" style="150"/>
    <col min="12552" max="12552" width="39.7109375" style="150" bestFit="1" customWidth="1"/>
    <col min="12553" max="12555" width="11.42578125" style="150"/>
    <col min="12556" max="12556" width="42.5703125" style="150" bestFit="1" customWidth="1"/>
    <col min="12557" max="12807" width="11.42578125" style="150"/>
    <col min="12808" max="12808" width="39.7109375" style="150" bestFit="1" customWidth="1"/>
    <col min="12809" max="12811" width="11.42578125" style="150"/>
    <col min="12812" max="12812" width="42.5703125" style="150" bestFit="1" customWidth="1"/>
    <col min="12813" max="13063" width="11.42578125" style="150"/>
    <col min="13064" max="13064" width="39.7109375" style="150" bestFit="1" customWidth="1"/>
    <col min="13065" max="13067" width="11.42578125" style="150"/>
    <col min="13068" max="13068" width="42.5703125" style="150" bestFit="1" customWidth="1"/>
    <col min="13069" max="13319" width="11.42578125" style="150"/>
    <col min="13320" max="13320" width="39.7109375" style="150" bestFit="1" customWidth="1"/>
    <col min="13321" max="13323" width="11.42578125" style="150"/>
    <col min="13324" max="13324" width="42.5703125" style="150" bestFit="1" customWidth="1"/>
    <col min="13325" max="13575" width="11.42578125" style="150"/>
    <col min="13576" max="13576" width="39.7109375" style="150" bestFit="1" customWidth="1"/>
    <col min="13577" max="13579" width="11.42578125" style="150"/>
    <col min="13580" max="13580" width="42.5703125" style="150" bestFit="1" customWidth="1"/>
    <col min="13581" max="13831" width="11.42578125" style="150"/>
    <col min="13832" max="13832" width="39.7109375" style="150" bestFit="1" customWidth="1"/>
    <col min="13833" max="13835" width="11.42578125" style="150"/>
    <col min="13836" max="13836" width="42.5703125" style="150" bestFit="1" customWidth="1"/>
    <col min="13837" max="14087" width="11.42578125" style="150"/>
    <col min="14088" max="14088" width="39.7109375" style="150" bestFit="1" customWidth="1"/>
    <col min="14089" max="14091" width="11.42578125" style="150"/>
    <col min="14092" max="14092" width="42.5703125" style="150" bestFit="1" customWidth="1"/>
    <col min="14093" max="14343" width="11.42578125" style="150"/>
    <col min="14344" max="14344" width="39.7109375" style="150" bestFit="1" customWidth="1"/>
    <col min="14345" max="14347" width="11.42578125" style="150"/>
    <col min="14348" max="14348" width="42.5703125" style="150" bestFit="1" customWidth="1"/>
    <col min="14349" max="14599" width="11.42578125" style="150"/>
    <col min="14600" max="14600" width="39.7109375" style="150" bestFit="1" customWidth="1"/>
    <col min="14601" max="14603" width="11.42578125" style="150"/>
    <col min="14604" max="14604" width="42.5703125" style="150" bestFit="1" customWidth="1"/>
    <col min="14605" max="14855" width="11.42578125" style="150"/>
    <col min="14856" max="14856" width="39.7109375" style="150" bestFit="1" customWidth="1"/>
    <col min="14857" max="14859" width="11.42578125" style="150"/>
    <col min="14860" max="14860" width="42.5703125" style="150" bestFit="1" customWidth="1"/>
    <col min="14861" max="15111" width="11.42578125" style="150"/>
    <col min="15112" max="15112" width="39.7109375" style="150" bestFit="1" customWidth="1"/>
    <col min="15113" max="15115" width="11.42578125" style="150"/>
    <col min="15116" max="15116" width="42.5703125" style="150" bestFit="1" customWidth="1"/>
    <col min="15117" max="15367" width="11.42578125" style="150"/>
    <col min="15368" max="15368" width="39.7109375" style="150" bestFit="1" customWidth="1"/>
    <col min="15369" max="15371" width="11.42578125" style="150"/>
    <col min="15372" max="15372" width="42.5703125" style="150" bestFit="1" customWidth="1"/>
    <col min="15373" max="15623" width="11.42578125" style="150"/>
    <col min="15624" max="15624" width="39.7109375" style="150" bestFit="1" customWidth="1"/>
    <col min="15625" max="15627" width="11.42578125" style="150"/>
    <col min="15628" max="15628" width="42.5703125" style="150" bestFit="1" customWidth="1"/>
    <col min="15629" max="15879" width="11.42578125" style="150"/>
    <col min="15880" max="15880" width="39.7109375" style="150" bestFit="1" customWidth="1"/>
    <col min="15881" max="15883" width="11.42578125" style="150"/>
    <col min="15884" max="15884" width="42.5703125" style="150" bestFit="1" customWidth="1"/>
    <col min="15885" max="16135" width="11.42578125" style="150"/>
    <col min="16136" max="16136" width="39.7109375" style="150" bestFit="1" customWidth="1"/>
    <col min="16137" max="16139" width="11.42578125" style="150"/>
    <col min="16140" max="16140" width="42.5703125" style="150" bestFit="1" customWidth="1"/>
    <col min="16141" max="16384" width="11.42578125" style="150"/>
  </cols>
  <sheetData>
    <row r="1" spans="1:15" s="56" customFormat="1" ht="15.75" customHeight="1" thickBot="1" x14ac:dyDescent="0.35">
      <c r="A1" s="58"/>
      <c r="B1" s="58"/>
      <c r="C1" s="58"/>
      <c r="D1" s="96"/>
      <c r="E1" s="57"/>
      <c r="F1" s="57"/>
      <c r="G1" s="58"/>
      <c r="H1" s="58"/>
      <c r="I1" s="58"/>
      <c r="J1" s="96"/>
      <c r="K1" s="57"/>
      <c r="L1" s="57"/>
      <c r="M1" s="97"/>
      <c r="N1" s="97"/>
      <c r="O1" s="97"/>
    </row>
    <row r="2" spans="1:15" s="56" customFormat="1" ht="15.75" customHeight="1" outlineLevel="1" x14ac:dyDescent="0.3">
      <c r="A2" s="58"/>
      <c r="B2" s="58"/>
      <c r="C2" s="58"/>
      <c r="D2" s="96"/>
      <c r="E2" s="96"/>
      <c r="F2" s="96"/>
      <c r="G2" s="418" t="s">
        <v>22</v>
      </c>
      <c r="H2" s="439" t="s">
        <v>12</v>
      </c>
      <c r="I2" s="421"/>
      <c r="J2" s="421"/>
      <c r="K2" s="421"/>
      <c r="L2" s="422"/>
    </row>
    <row r="3" spans="1:15" s="56" customFormat="1" ht="15.75" customHeight="1" outlineLevel="1" x14ac:dyDescent="0.3">
      <c r="A3" s="58"/>
      <c r="B3" s="58"/>
      <c r="C3" s="58"/>
      <c r="D3" s="96"/>
      <c r="E3" s="96"/>
      <c r="F3" s="96"/>
      <c r="G3" s="419"/>
      <c r="H3" s="445" t="s">
        <v>5</v>
      </c>
      <c r="I3" s="446"/>
      <c r="J3" s="446"/>
      <c r="K3" s="447"/>
      <c r="L3" s="148">
        <f>'Mission Profil &amp; Synthesis'!$D$9</f>
        <v>0</v>
      </c>
    </row>
    <row r="4" spans="1:15" s="56" customFormat="1" ht="15.75" customHeight="1" outlineLevel="1" x14ac:dyDescent="0.3">
      <c r="A4" s="58"/>
      <c r="B4" s="58"/>
      <c r="C4" s="58"/>
      <c r="D4" s="96"/>
      <c r="E4" s="96"/>
      <c r="F4" s="96"/>
      <c r="G4" s="419"/>
      <c r="H4" s="425" t="s">
        <v>1</v>
      </c>
      <c r="I4" s="448" t="s">
        <v>3</v>
      </c>
      <c r="J4" s="448"/>
      <c r="K4" s="448"/>
      <c r="L4" s="63">
        <f>'Mission Profil &amp; Synthesis'!$D$15</f>
        <v>0</v>
      </c>
    </row>
    <row r="5" spans="1:15" s="56" customFormat="1" ht="15.75" customHeight="1" outlineLevel="1" x14ac:dyDescent="0.3">
      <c r="A5" s="58"/>
      <c r="B5" s="58"/>
      <c r="C5" s="58"/>
      <c r="D5" s="96"/>
      <c r="E5" s="96"/>
      <c r="F5" s="96"/>
      <c r="G5" s="419"/>
      <c r="H5" s="426"/>
      <c r="I5" s="448" t="s">
        <v>4</v>
      </c>
      <c r="J5" s="448"/>
      <c r="K5" s="448"/>
      <c r="L5" s="64">
        <f>'Mission Profil &amp; Synthesis'!$D$16</f>
        <v>0</v>
      </c>
    </row>
    <row r="6" spans="1:15" s="56" customFormat="1" ht="15.75" customHeight="1" outlineLevel="1" x14ac:dyDescent="0.3">
      <c r="A6" s="58"/>
      <c r="B6" s="58"/>
      <c r="C6" s="58"/>
      <c r="D6" s="96"/>
      <c r="E6" s="96"/>
      <c r="F6" s="96"/>
      <c r="G6" s="419"/>
      <c r="H6" s="427" t="s">
        <v>0</v>
      </c>
      <c r="I6" s="449" t="s">
        <v>3</v>
      </c>
      <c r="J6" s="449"/>
      <c r="K6" s="449"/>
      <c r="L6" s="66">
        <f>'Mission Profil &amp; Synthesis'!$D$18</f>
        <v>0</v>
      </c>
      <c r="O6" s="213"/>
    </row>
    <row r="7" spans="1:15" s="56" customFormat="1" ht="15.75" customHeight="1" outlineLevel="1" x14ac:dyDescent="0.3">
      <c r="A7" s="58"/>
      <c r="B7" s="58"/>
      <c r="C7" s="58"/>
      <c r="D7" s="96"/>
      <c r="E7" s="96"/>
      <c r="F7" s="96"/>
      <c r="G7" s="419"/>
      <c r="H7" s="428"/>
      <c r="I7" s="449" t="s">
        <v>4</v>
      </c>
      <c r="J7" s="449"/>
      <c r="K7" s="449"/>
      <c r="L7" s="67">
        <f>'Mission Profil &amp; Synthesis'!$D$19</f>
        <v>0</v>
      </c>
    </row>
    <row r="8" spans="1:15" s="56" customFormat="1" ht="15.75" customHeight="1" outlineLevel="1" x14ac:dyDescent="0.3">
      <c r="A8" s="58"/>
      <c r="B8" s="58"/>
      <c r="C8" s="58"/>
      <c r="D8" s="96"/>
      <c r="E8" s="96"/>
      <c r="F8" s="96"/>
      <c r="G8" s="419"/>
      <c r="H8" s="425" t="s">
        <v>2</v>
      </c>
      <c r="I8" s="448" t="s">
        <v>3</v>
      </c>
      <c r="J8" s="448"/>
      <c r="K8" s="448"/>
      <c r="L8" s="63">
        <f>'Mission Profil &amp; Synthesis'!$D$21</f>
        <v>0</v>
      </c>
    </row>
    <row r="9" spans="1:15" s="56" customFormat="1" ht="15.75" customHeight="1" outlineLevel="1" thickBot="1" x14ac:dyDescent="0.35">
      <c r="A9" s="58"/>
      <c r="B9" s="58"/>
      <c r="C9" s="58"/>
      <c r="D9" s="96"/>
      <c r="E9" s="96"/>
      <c r="F9" s="96"/>
      <c r="G9" s="419"/>
      <c r="H9" s="469"/>
      <c r="I9" s="456" t="s">
        <v>4</v>
      </c>
      <c r="J9" s="456"/>
      <c r="K9" s="456"/>
      <c r="L9" s="149">
        <f>'Mission Profil &amp; Synthesis'!$D$22</f>
        <v>0</v>
      </c>
      <c r="O9" s="213"/>
    </row>
    <row r="10" spans="1:15" s="56" customFormat="1" outlineLevel="1" x14ac:dyDescent="0.3">
      <c r="A10" s="58"/>
      <c r="B10" s="58"/>
      <c r="C10" s="58"/>
      <c r="D10" s="96"/>
      <c r="E10" s="96"/>
      <c r="F10" s="96"/>
      <c r="G10" s="461"/>
      <c r="H10" s="440">
        <f>'Mission Profil &amp; Synthesis'!$C$23</f>
        <v>0</v>
      </c>
      <c r="I10" s="441"/>
      <c r="J10" s="441"/>
      <c r="K10" s="441"/>
      <c r="L10" s="442"/>
    </row>
    <row r="11" spans="1:15" outlineLevel="1" x14ac:dyDescent="0.3">
      <c r="A11" s="80"/>
      <c r="B11" s="80"/>
      <c r="C11" s="80"/>
      <c r="G11" s="461"/>
      <c r="H11" s="452" t="s">
        <v>118</v>
      </c>
      <c r="I11" s="453"/>
      <c r="J11" s="453"/>
      <c r="K11" s="453"/>
      <c r="L11" s="105">
        <f>'Mission Profil &amp; Synthesis'!$D$24</f>
        <v>0</v>
      </c>
    </row>
    <row r="12" spans="1:15" outlineLevel="1" x14ac:dyDescent="0.3">
      <c r="G12" s="461"/>
      <c r="H12" s="454" t="s">
        <v>101</v>
      </c>
      <c r="I12" s="455"/>
      <c r="J12" s="455"/>
      <c r="K12" s="455"/>
      <c r="L12" s="151">
        <f>'Mission Profil &amp; Synthesis'!$D$29</f>
        <v>0</v>
      </c>
    </row>
    <row r="13" spans="1:15" ht="15" outlineLevel="1" thickBot="1" x14ac:dyDescent="0.35">
      <c r="G13" s="462"/>
      <c r="H13" s="467" t="s">
        <v>102</v>
      </c>
      <c r="I13" s="468"/>
      <c r="J13" s="468"/>
      <c r="K13" s="468"/>
      <c r="L13" s="73">
        <f>'Mission Profil &amp; Synthesis'!$D$30</f>
        <v>0</v>
      </c>
    </row>
    <row r="14" spans="1:15" x14ac:dyDescent="0.3">
      <c r="A14" s="150"/>
      <c r="B14" s="150"/>
      <c r="C14" s="150"/>
      <c r="E14" s="150"/>
      <c r="F14" s="150"/>
    </row>
    <row r="15" spans="1:15" hidden="1" outlineLevel="2" x14ac:dyDescent="0.3">
      <c r="A15" s="150"/>
      <c r="B15" s="150"/>
      <c r="C15" s="150"/>
      <c r="E15" s="150"/>
      <c r="F15" s="150"/>
      <c r="G15" s="152" t="s">
        <v>43</v>
      </c>
      <c r="H15" s="463">
        <f>'Mission Profil &amp; Synthesis'!G14</f>
        <v>0</v>
      </c>
      <c r="I15" s="464"/>
      <c r="J15" s="464"/>
      <c r="K15" s="465"/>
      <c r="L15" s="153"/>
      <c r="M15" s="154"/>
    </row>
    <row r="16" spans="1:15" hidden="1" outlineLevel="2" x14ac:dyDescent="0.3">
      <c r="A16" s="150"/>
      <c r="B16" s="150"/>
      <c r="C16" s="150"/>
      <c r="E16" s="150"/>
      <c r="F16" s="150"/>
      <c r="G16" s="466" t="s">
        <v>41</v>
      </c>
      <c r="H16" s="450" t="s">
        <v>44</v>
      </c>
      <c r="I16" s="450"/>
      <c r="J16" s="450"/>
      <c r="K16" s="451" t="s">
        <v>42</v>
      </c>
      <c r="L16" s="155"/>
      <c r="M16" s="156"/>
    </row>
    <row r="17" spans="1:14" hidden="1" outlineLevel="2" x14ac:dyDescent="0.3">
      <c r="A17" s="150"/>
      <c r="B17" s="150"/>
      <c r="C17" s="150"/>
      <c r="E17" s="150"/>
      <c r="F17" s="150"/>
      <c r="G17" s="466"/>
      <c r="H17" s="450"/>
      <c r="I17" s="450"/>
      <c r="J17" s="450"/>
      <c r="K17" s="451"/>
      <c r="L17" s="157"/>
    </row>
    <row r="18" spans="1:14" hidden="1" outlineLevel="2" x14ac:dyDescent="0.3">
      <c r="A18" s="150"/>
      <c r="B18" s="150"/>
      <c r="C18" s="150"/>
      <c r="E18" s="150"/>
      <c r="F18" s="150"/>
      <c r="G18" s="466"/>
      <c r="H18" s="158">
        <f>'Mission Profil &amp; Synthesis'!G17</f>
        <v>0</v>
      </c>
      <c r="I18" s="158">
        <f>'Mission Profil &amp; Synthesis'!H17</f>
        <v>0</v>
      </c>
      <c r="J18" s="158">
        <f>'Mission Profil &amp; Synthesis'!I17</f>
        <v>0</v>
      </c>
      <c r="K18" s="159">
        <f>'Mission Profil &amp; Synthesis'!J17</f>
        <v>0</v>
      </c>
      <c r="L18" s="160">
        <f t="shared" ref="L18:L30" si="0">L19+K18</f>
        <v>0</v>
      </c>
    </row>
    <row r="19" spans="1:14" hidden="1" outlineLevel="2" x14ac:dyDescent="0.3">
      <c r="A19" s="150"/>
      <c r="B19" s="150"/>
      <c r="C19" s="150"/>
      <c r="E19" s="150"/>
      <c r="F19" s="150"/>
      <c r="G19" s="466"/>
      <c r="H19" s="158">
        <f>'Mission Profil &amp; Synthesis'!G18</f>
        <v>0</v>
      </c>
      <c r="I19" s="158">
        <f>'Mission Profil &amp; Synthesis'!H18</f>
        <v>0</v>
      </c>
      <c r="J19" s="158">
        <f>'Mission Profil &amp; Synthesis'!I18</f>
        <v>0</v>
      </c>
      <c r="K19" s="159">
        <f>'Mission Profil &amp; Synthesis'!J18</f>
        <v>0</v>
      </c>
      <c r="L19" s="160">
        <f t="shared" si="0"/>
        <v>0</v>
      </c>
    </row>
    <row r="20" spans="1:14" hidden="1" outlineLevel="2" x14ac:dyDescent="0.3">
      <c r="A20" s="150"/>
      <c r="B20" s="150"/>
      <c r="C20" s="150"/>
      <c r="D20" s="150"/>
      <c r="E20" s="150"/>
      <c r="F20" s="150"/>
      <c r="G20" s="466"/>
      <c r="H20" s="158">
        <f>'Mission Profil &amp; Synthesis'!G19</f>
        <v>0</v>
      </c>
      <c r="I20" s="158">
        <f>'Mission Profil &amp; Synthesis'!H19</f>
        <v>0</v>
      </c>
      <c r="J20" s="158">
        <f>'Mission Profil &amp; Synthesis'!I19</f>
        <v>0</v>
      </c>
      <c r="K20" s="159">
        <f>'Mission Profil &amp; Synthesis'!J19</f>
        <v>0</v>
      </c>
      <c r="L20" s="160">
        <f t="shared" si="0"/>
        <v>0</v>
      </c>
    </row>
    <row r="21" spans="1:14" hidden="1" outlineLevel="2" x14ac:dyDescent="0.3">
      <c r="A21" s="150"/>
      <c r="B21" s="150"/>
      <c r="C21" s="150"/>
      <c r="D21" s="150"/>
      <c r="E21" s="150"/>
      <c r="F21" s="150"/>
      <c r="G21" s="466"/>
      <c r="H21" s="158">
        <f>'Mission Profil &amp; Synthesis'!G20</f>
        <v>0</v>
      </c>
      <c r="I21" s="158">
        <f>'Mission Profil &amp; Synthesis'!H20</f>
        <v>0</v>
      </c>
      <c r="J21" s="158">
        <f>'Mission Profil &amp; Synthesis'!I20</f>
        <v>0</v>
      </c>
      <c r="K21" s="159">
        <f>'Mission Profil &amp; Synthesis'!J20</f>
        <v>0</v>
      </c>
      <c r="L21" s="160">
        <f t="shared" si="0"/>
        <v>0</v>
      </c>
    </row>
    <row r="22" spans="1:14" hidden="1" outlineLevel="2" x14ac:dyDescent="0.3">
      <c r="A22" s="150"/>
      <c r="B22" s="150"/>
      <c r="C22" s="150"/>
      <c r="D22" s="150"/>
      <c r="E22" s="150"/>
      <c r="F22" s="150"/>
      <c r="G22" s="466"/>
      <c r="H22" s="158">
        <f>'Mission Profil &amp; Synthesis'!G21</f>
        <v>0</v>
      </c>
      <c r="I22" s="158">
        <f>'Mission Profil &amp; Synthesis'!H21</f>
        <v>0</v>
      </c>
      <c r="J22" s="158">
        <f>'Mission Profil &amp; Synthesis'!I21</f>
        <v>0</v>
      </c>
      <c r="K22" s="159">
        <f>'Mission Profil &amp; Synthesis'!J21</f>
        <v>0</v>
      </c>
      <c r="L22" s="160">
        <f t="shared" si="0"/>
        <v>0</v>
      </c>
    </row>
    <row r="23" spans="1:14" hidden="1" outlineLevel="2" x14ac:dyDescent="0.3">
      <c r="A23" s="150"/>
      <c r="B23" s="150"/>
      <c r="C23" s="150"/>
      <c r="D23" s="150"/>
      <c r="E23" s="150"/>
      <c r="F23" s="150"/>
      <c r="G23" s="466"/>
      <c r="H23" s="158">
        <f>'Mission Profil &amp; Synthesis'!G22</f>
        <v>0</v>
      </c>
      <c r="I23" s="158">
        <f>'Mission Profil &amp; Synthesis'!H22</f>
        <v>0</v>
      </c>
      <c r="J23" s="158">
        <f>'Mission Profil &amp; Synthesis'!I22</f>
        <v>0</v>
      </c>
      <c r="K23" s="159">
        <f>'Mission Profil &amp; Synthesis'!J22</f>
        <v>0</v>
      </c>
      <c r="L23" s="160">
        <f t="shared" si="0"/>
        <v>0</v>
      </c>
    </row>
    <row r="24" spans="1:14" hidden="1" outlineLevel="2" x14ac:dyDescent="0.3">
      <c r="A24" s="150"/>
      <c r="B24" s="150"/>
      <c r="C24" s="150"/>
      <c r="D24" s="150"/>
      <c r="E24" s="150"/>
      <c r="F24" s="150"/>
      <c r="G24" s="466"/>
      <c r="H24" s="158">
        <f>'Mission Profil &amp; Synthesis'!G23</f>
        <v>0</v>
      </c>
      <c r="I24" s="158">
        <f>'Mission Profil &amp; Synthesis'!H23</f>
        <v>0</v>
      </c>
      <c r="J24" s="158">
        <f>'Mission Profil &amp; Synthesis'!I23</f>
        <v>0</v>
      </c>
      <c r="K24" s="159">
        <f>'Mission Profil &amp; Synthesis'!J23</f>
        <v>0</v>
      </c>
      <c r="L24" s="160">
        <f t="shared" si="0"/>
        <v>0</v>
      </c>
    </row>
    <row r="25" spans="1:14" hidden="1" outlineLevel="2" x14ac:dyDescent="0.3">
      <c r="A25" s="150"/>
      <c r="B25" s="150"/>
      <c r="C25" s="150"/>
      <c r="D25" s="150"/>
      <c r="E25" s="150"/>
      <c r="F25" s="150"/>
      <c r="G25" s="466"/>
      <c r="H25" s="158">
        <f>'Mission Profil &amp; Synthesis'!G24</f>
        <v>0</v>
      </c>
      <c r="I25" s="158">
        <f>'Mission Profil &amp; Synthesis'!H24</f>
        <v>0</v>
      </c>
      <c r="J25" s="158">
        <f>'Mission Profil &amp; Synthesis'!I24</f>
        <v>0</v>
      </c>
      <c r="K25" s="159">
        <f>'Mission Profil &amp; Synthesis'!J24</f>
        <v>0</v>
      </c>
      <c r="L25" s="160">
        <f t="shared" si="0"/>
        <v>0</v>
      </c>
    </row>
    <row r="26" spans="1:14" hidden="1" outlineLevel="2" x14ac:dyDescent="0.3">
      <c r="A26" s="150"/>
      <c r="B26" s="150"/>
      <c r="C26" s="150"/>
      <c r="D26" s="150"/>
      <c r="E26" s="150"/>
      <c r="F26" s="150"/>
      <c r="G26" s="466"/>
      <c r="H26" s="158">
        <f>'Mission Profil &amp; Synthesis'!G25</f>
        <v>0</v>
      </c>
      <c r="I26" s="158">
        <f>'Mission Profil &amp; Synthesis'!H25</f>
        <v>0</v>
      </c>
      <c r="J26" s="158">
        <f>'Mission Profil &amp; Synthesis'!I25</f>
        <v>0</v>
      </c>
      <c r="K26" s="159">
        <f>'Mission Profil &amp; Synthesis'!J25</f>
        <v>0</v>
      </c>
      <c r="L26" s="160">
        <f t="shared" si="0"/>
        <v>0</v>
      </c>
    </row>
    <row r="27" spans="1:14" hidden="1" outlineLevel="2" x14ac:dyDescent="0.3">
      <c r="A27" s="150"/>
      <c r="B27" s="150"/>
      <c r="C27" s="150"/>
      <c r="D27" s="150"/>
      <c r="E27" s="150"/>
      <c r="F27" s="150"/>
      <c r="G27" s="466"/>
      <c r="H27" s="158">
        <f>'Mission Profil &amp; Synthesis'!G26</f>
        <v>0</v>
      </c>
      <c r="I27" s="158">
        <f>'Mission Profil &amp; Synthesis'!H26</f>
        <v>0</v>
      </c>
      <c r="J27" s="158">
        <f>'Mission Profil &amp; Synthesis'!I26</f>
        <v>0</v>
      </c>
      <c r="K27" s="159">
        <f>'Mission Profil &amp; Synthesis'!J26</f>
        <v>0</v>
      </c>
      <c r="L27" s="160">
        <f t="shared" si="0"/>
        <v>0</v>
      </c>
    </row>
    <row r="28" spans="1:14" hidden="1" outlineLevel="2" x14ac:dyDescent="0.3">
      <c r="A28" s="150"/>
      <c r="B28" s="150"/>
      <c r="C28" s="150"/>
      <c r="D28" s="150"/>
      <c r="E28" s="150"/>
      <c r="F28" s="150"/>
      <c r="G28" s="466"/>
      <c r="H28" s="158">
        <f>'Mission Profil &amp; Synthesis'!G27</f>
        <v>0</v>
      </c>
      <c r="I28" s="158">
        <f>'Mission Profil &amp; Synthesis'!H27</f>
        <v>0</v>
      </c>
      <c r="J28" s="158">
        <f>'Mission Profil &amp; Synthesis'!I27</f>
        <v>0</v>
      </c>
      <c r="K28" s="159">
        <f>'Mission Profil &amp; Synthesis'!J27</f>
        <v>0</v>
      </c>
      <c r="L28" s="160">
        <f t="shared" si="0"/>
        <v>0</v>
      </c>
      <c r="N28" s="161"/>
    </row>
    <row r="29" spans="1:14" hidden="1" outlineLevel="2" x14ac:dyDescent="0.3">
      <c r="A29" s="150"/>
      <c r="B29" s="150"/>
      <c r="C29" s="150"/>
      <c r="D29" s="150"/>
      <c r="E29" s="150"/>
      <c r="F29" s="150"/>
      <c r="G29" s="466"/>
      <c r="H29" s="158">
        <f>'Mission Profil &amp; Synthesis'!G28</f>
        <v>0</v>
      </c>
      <c r="I29" s="158">
        <f>'Mission Profil &amp; Synthesis'!H28</f>
        <v>0</v>
      </c>
      <c r="J29" s="158">
        <f>'Mission Profil &amp; Synthesis'!I28</f>
        <v>0</v>
      </c>
      <c r="K29" s="159">
        <f>'Mission Profil &amp; Synthesis'!J28</f>
        <v>0</v>
      </c>
      <c r="L29" s="160">
        <f t="shared" si="0"/>
        <v>0</v>
      </c>
    </row>
    <row r="30" spans="1:14" hidden="1" outlineLevel="2" x14ac:dyDescent="0.3">
      <c r="A30" s="150"/>
      <c r="B30" s="150"/>
      <c r="C30" s="150"/>
      <c r="D30" s="150"/>
      <c r="E30" s="150"/>
      <c r="F30" s="150"/>
      <c r="G30" s="466"/>
      <c r="H30" s="158">
        <f>'Mission Profil &amp; Synthesis'!G29</f>
        <v>0</v>
      </c>
      <c r="I30" s="158">
        <f>'Mission Profil &amp; Synthesis'!H29</f>
        <v>0</v>
      </c>
      <c r="J30" s="158">
        <f>'Mission Profil &amp; Synthesis'!I29</f>
        <v>0</v>
      </c>
      <c r="K30" s="159">
        <f>'Mission Profil &amp; Synthesis'!J29</f>
        <v>0</v>
      </c>
      <c r="L30" s="160">
        <f t="shared" si="0"/>
        <v>0</v>
      </c>
      <c r="N30" s="134"/>
    </row>
    <row r="31" spans="1:14" hidden="1" outlineLevel="2" x14ac:dyDescent="0.3">
      <c r="A31" s="162"/>
      <c r="B31" s="162"/>
      <c r="C31" s="110"/>
      <c r="D31" s="110"/>
      <c r="E31" s="110"/>
      <c r="F31" s="110"/>
      <c r="G31" s="466"/>
      <c r="H31" s="158">
        <f>'Mission Profil &amp; Synthesis'!G30</f>
        <v>0</v>
      </c>
      <c r="I31" s="158">
        <f>'Mission Profil &amp; Synthesis'!H30</f>
        <v>0</v>
      </c>
      <c r="J31" s="158">
        <f>'Mission Profil &amp; Synthesis'!I30</f>
        <v>0</v>
      </c>
      <c r="K31" s="159">
        <f>'Mission Profil &amp; Synthesis'!J30</f>
        <v>0</v>
      </c>
      <c r="L31" s="160">
        <f>K31</f>
        <v>0</v>
      </c>
    </row>
    <row r="32" spans="1:14" ht="15" collapsed="1" thickBot="1" x14ac:dyDescent="0.35">
      <c r="A32" s="162"/>
      <c r="B32" s="162"/>
      <c r="C32" s="110"/>
      <c r="D32" s="110"/>
      <c r="E32" s="110"/>
      <c r="F32" s="110"/>
    </row>
    <row r="33" spans="1:59" ht="26.25" customHeight="1" thickBot="1" x14ac:dyDescent="0.35">
      <c r="A33" s="162"/>
      <c r="B33" s="162"/>
      <c r="C33" s="97"/>
      <c r="D33" s="97"/>
      <c r="E33" s="97"/>
      <c r="F33" s="434" t="s">
        <v>11</v>
      </c>
      <c r="G33" s="435"/>
      <c r="H33" s="435"/>
      <c r="I33" s="435"/>
      <c r="J33" s="436"/>
      <c r="K33" s="477" t="s">
        <v>9</v>
      </c>
      <c r="L33" s="478"/>
      <c r="M33" s="479"/>
    </row>
    <row r="34" spans="1:59" s="163" customFormat="1" ht="51.75" customHeight="1" thickBot="1" x14ac:dyDescent="0.25">
      <c r="A34" s="162"/>
      <c r="B34" s="162"/>
      <c r="C34" s="97"/>
      <c r="D34" s="97"/>
      <c r="E34" s="97"/>
      <c r="F34" s="437" t="s">
        <v>57</v>
      </c>
      <c r="G34" s="457" t="s">
        <v>47</v>
      </c>
      <c r="H34" s="458"/>
      <c r="I34" s="459" t="s">
        <v>48</v>
      </c>
      <c r="J34" s="460"/>
      <c r="K34" s="443" t="s">
        <v>58</v>
      </c>
      <c r="L34" s="475" t="s">
        <v>40</v>
      </c>
      <c r="M34" s="131" t="s">
        <v>122</v>
      </c>
      <c r="N34" s="480" t="str">
        <f>CONCATENATE("Fan operational life expectancy
(hours)
at ",$L$11,"°C [Tac]")</f>
        <v>Fan operational life expectancy
(hours)
at 0°C [Tac]</v>
      </c>
      <c r="O34" s="473" t="str">
        <f>CONCATENATE("Fan Life expectancy
(years)
at ",$L$11,"°C [Tac]")</f>
        <v>Fan Life expectancy
(years)
at 0°C [Tac]</v>
      </c>
      <c r="P34" s="432" t="s">
        <v>49</v>
      </c>
      <c r="Q34" s="432" t="s">
        <v>59</v>
      </c>
    </row>
    <row r="35" spans="1:59" s="169" customFormat="1" ht="43.5" thickBot="1" x14ac:dyDescent="0.25">
      <c r="A35" s="83" t="s">
        <v>8</v>
      </c>
      <c r="B35" s="84" t="s">
        <v>14</v>
      </c>
      <c r="C35" s="84" t="s">
        <v>117</v>
      </c>
      <c r="D35" s="84" t="s">
        <v>15</v>
      </c>
      <c r="E35" s="114" t="s">
        <v>28</v>
      </c>
      <c r="F35" s="438"/>
      <c r="G35" s="164" t="s">
        <v>46</v>
      </c>
      <c r="H35" s="165" t="s">
        <v>45</v>
      </c>
      <c r="I35" s="166" t="s">
        <v>46</v>
      </c>
      <c r="J35" s="167" t="s">
        <v>45</v>
      </c>
      <c r="K35" s="444"/>
      <c r="L35" s="476"/>
      <c r="M35" s="168" t="str">
        <f>CONCATENATE("Min value: ",L12+L13+J18,"°C")</f>
        <v>Min value: 0°C</v>
      </c>
      <c r="N35" s="481"/>
      <c r="O35" s="474"/>
      <c r="P35" s="433"/>
      <c r="Q35" s="433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</row>
    <row r="36" spans="1:59" ht="42.75" x14ac:dyDescent="0.3">
      <c r="A36" s="256" t="s">
        <v>161</v>
      </c>
      <c r="B36" s="312"/>
      <c r="C36" s="470" t="s">
        <v>196</v>
      </c>
      <c r="D36" s="471"/>
      <c r="E36" s="471"/>
      <c r="F36" s="471"/>
      <c r="G36" s="471"/>
      <c r="H36" s="471"/>
      <c r="I36" s="471"/>
      <c r="J36" s="472"/>
      <c r="K36" s="253"/>
      <c r="L36" s="254"/>
      <c r="M36" s="255"/>
    </row>
  </sheetData>
  <protectedRanges>
    <protectedRange sqref="D36:E36" name="Plage1_1_2"/>
  </protectedRanges>
  <mergeCells count="32">
    <mergeCell ref="C36:J36"/>
    <mergeCell ref="O34:O35"/>
    <mergeCell ref="P34:P35"/>
    <mergeCell ref="L34:L35"/>
    <mergeCell ref="K33:M33"/>
    <mergeCell ref="N34:N35"/>
    <mergeCell ref="I8:K8"/>
    <mergeCell ref="I9:K9"/>
    <mergeCell ref="G34:H34"/>
    <mergeCell ref="I34:J34"/>
    <mergeCell ref="G2:G13"/>
    <mergeCell ref="H15:K15"/>
    <mergeCell ref="G16:G31"/>
    <mergeCell ref="H13:K13"/>
    <mergeCell ref="H8:H9"/>
    <mergeCell ref="I4:K4"/>
    <mergeCell ref="Q34:Q35"/>
    <mergeCell ref="F33:J33"/>
    <mergeCell ref="F34:F35"/>
    <mergeCell ref="H2:L2"/>
    <mergeCell ref="H10:L10"/>
    <mergeCell ref="K34:K35"/>
    <mergeCell ref="H3:K3"/>
    <mergeCell ref="H4:H5"/>
    <mergeCell ref="H6:H7"/>
    <mergeCell ref="I5:K5"/>
    <mergeCell ref="I6:K6"/>
    <mergeCell ref="I7:K7"/>
    <mergeCell ref="H16:J17"/>
    <mergeCell ref="K16:K17"/>
    <mergeCell ref="H11:K11"/>
    <mergeCell ref="H12:K12"/>
  </mergeCells>
  <dataValidations count="1">
    <dataValidation type="list" allowBlank="1" showInputMessage="1" showErrorMessage="1" sqref="L36">
      <formula1>"Yes,No"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6"/>
  </sheetPr>
  <dimension ref="A1:Z18"/>
  <sheetViews>
    <sheetView zoomScale="75" zoomScaleNormal="75" workbookViewId="0">
      <selection activeCell="E27" sqref="E27"/>
    </sheetView>
  </sheetViews>
  <sheetFormatPr baseColWidth="10" defaultRowHeight="14.25" outlineLevelRow="1" outlineLevelCol="1" x14ac:dyDescent="0.3"/>
  <cols>
    <col min="1" max="2" width="11.5703125" style="56" customWidth="1"/>
    <col min="3" max="3" width="15.28515625" style="58" bestFit="1" customWidth="1"/>
    <col min="4" max="5" width="19.28515625" style="96" customWidth="1"/>
    <col min="6" max="8" width="19.28515625" style="58" customWidth="1" outlineLevel="1"/>
    <col min="9" max="9" width="12.140625" style="58" customWidth="1" outlineLevel="1"/>
    <col min="10" max="10" width="24.42578125" style="58" customWidth="1" outlineLevel="1"/>
    <col min="11" max="11" width="33.85546875" style="58" customWidth="1" outlineLevel="1"/>
    <col min="12" max="12" width="19.28515625" style="58" customWidth="1" outlineLevel="1"/>
    <col min="13" max="13" width="12.28515625" style="59" customWidth="1" outlineLevel="1"/>
    <col min="14" max="16" width="19.28515625" style="59" customWidth="1" outlineLevel="1"/>
    <col min="17" max="17" width="19.28515625" style="60" customWidth="1"/>
    <col min="18" max="18" width="19.28515625" style="59" customWidth="1"/>
    <col min="19" max="19" width="24.28515625" style="61" bestFit="1" customWidth="1"/>
    <col min="20" max="20" width="11.42578125" style="56"/>
    <col min="21" max="21" width="16.42578125" style="56" bestFit="1" customWidth="1"/>
    <col min="22" max="23" width="18.28515625" style="56" bestFit="1" customWidth="1"/>
    <col min="24" max="24" width="16" style="56" bestFit="1" customWidth="1"/>
    <col min="25" max="25" width="16.85546875" style="56" bestFit="1" customWidth="1"/>
    <col min="26" max="16384" width="11.42578125" style="56"/>
  </cols>
  <sheetData>
    <row r="1" spans="1:26" ht="15" outlineLevel="1" thickBot="1" x14ac:dyDescent="0.35">
      <c r="K1" s="59"/>
      <c r="L1" s="59"/>
      <c r="O1" s="60"/>
      <c r="Q1" s="61"/>
      <c r="R1" s="56"/>
      <c r="S1" s="56"/>
    </row>
    <row r="2" spans="1:26" outlineLevel="1" x14ac:dyDescent="0.3">
      <c r="C2" s="56"/>
      <c r="D2" s="56"/>
      <c r="E2" s="56"/>
      <c r="G2" s="418" t="s">
        <v>22</v>
      </c>
      <c r="H2" s="439" t="s">
        <v>12</v>
      </c>
      <c r="I2" s="421"/>
      <c r="J2" s="421"/>
      <c r="K2" s="422"/>
      <c r="L2" s="59"/>
      <c r="O2" s="60"/>
      <c r="Q2" s="61"/>
      <c r="R2" s="56"/>
      <c r="S2" s="56"/>
    </row>
    <row r="3" spans="1:26" outlineLevel="1" x14ac:dyDescent="0.3">
      <c r="C3" s="56"/>
      <c r="D3" s="56"/>
      <c r="E3" s="56"/>
      <c r="G3" s="419"/>
      <c r="H3" s="487" t="s">
        <v>5</v>
      </c>
      <c r="I3" s="423"/>
      <c r="J3" s="424"/>
      <c r="K3" s="62">
        <f>'Mission Profil &amp; Synthesis'!D9</f>
        <v>0</v>
      </c>
      <c r="L3" s="59"/>
      <c r="O3" s="60"/>
      <c r="Q3" s="61"/>
      <c r="R3" s="56"/>
      <c r="S3" s="56"/>
    </row>
    <row r="4" spans="1:26" outlineLevel="1" x14ac:dyDescent="0.3">
      <c r="C4" s="56"/>
      <c r="D4" s="56"/>
      <c r="E4" s="56"/>
      <c r="G4" s="419"/>
      <c r="H4" s="482" t="s">
        <v>1</v>
      </c>
      <c r="I4" s="414" t="s">
        <v>3</v>
      </c>
      <c r="J4" s="415"/>
      <c r="K4" s="63">
        <f>'Mission Profil &amp; Synthesis'!D15</f>
        <v>0</v>
      </c>
      <c r="L4" s="59"/>
      <c r="O4" s="60"/>
      <c r="Q4" s="61"/>
      <c r="R4" s="56"/>
      <c r="S4" s="56"/>
    </row>
    <row r="5" spans="1:26" outlineLevel="1" x14ac:dyDescent="0.3">
      <c r="C5" s="56"/>
      <c r="D5" s="56"/>
      <c r="E5" s="56"/>
      <c r="G5" s="419"/>
      <c r="H5" s="483"/>
      <c r="I5" s="414" t="s">
        <v>4</v>
      </c>
      <c r="J5" s="415"/>
      <c r="K5" s="64">
        <f>'Mission Profil &amp; Synthesis'!D16</f>
        <v>0</v>
      </c>
      <c r="L5" s="59"/>
      <c r="O5" s="60"/>
      <c r="Q5" s="61"/>
      <c r="R5" s="56"/>
      <c r="S5" s="56"/>
    </row>
    <row r="6" spans="1:26" outlineLevel="1" x14ac:dyDescent="0.3">
      <c r="C6" s="56"/>
      <c r="D6" s="56"/>
      <c r="E6" s="56"/>
      <c r="G6" s="419"/>
      <c r="H6" s="484" t="s">
        <v>0</v>
      </c>
      <c r="I6" s="429" t="s">
        <v>3</v>
      </c>
      <c r="J6" s="430"/>
      <c r="K6" s="66">
        <f>'Mission Profil &amp; Synthesis'!D18</f>
        <v>0</v>
      </c>
      <c r="L6" s="59"/>
      <c r="O6" s="60"/>
      <c r="Q6" s="61"/>
      <c r="R6" s="56"/>
      <c r="S6" s="56"/>
    </row>
    <row r="7" spans="1:26" outlineLevel="1" x14ac:dyDescent="0.3">
      <c r="C7" s="56"/>
      <c r="D7" s="56"/>
      <c r="E7" s="56"/>
      <c r="G7" s="419"/>
      <c r="H7" s="485"/>
      <c r="I7" s="429" t="s">
        <v>4</v>
      </c>
      <c r="J7" s="430"/>
      <c r="K7" s="67">
        <f>'Mission Profil &amp; Synthesis'!D19</f>
        <v>0</v>
      </c>
      <c r="L7" s="59"/>
      <c r="O7" s="60"/>
      <c r="Q7" s="61"/>
      <c r="R7" s="56"/>
      <c r="S7" s="56"/>
    </row>
    <row r="8" spans="1:26" outlineLevel="1" x14ac:dyDescent="0.3">
      <c r="C8" s="56"/>
      <c r="D8" s="56"/>
      <c r="E8" s="56"/>
      <c r="G8" s="419"/>
      <c r="H8" s="482" t="s">
        <v>2</v>
      </c>
      <c r="I8" s="414" t="s">
        <v>3</v>
      </c>
      <c r="J8" s="415"/>
      <c r="K8" s="63">
        <f>'Mission Profil &amp; Synthesis'!D21</f>
        <v>0</v>
      </c>
      <c r="L8" s="59"/>
      <c r="O8" s="60"/>
      <c r="Q8" s="61"/>
      <c r="R8" s="56"/>
      <c r="S8" s="56"/>
    </row>
    <row r="9" spans="1:26" ht="15" outlineLevel="1" thickBot="1" x14ac:dyDescent="0.35">
      <c r="C9" s="56"/>
      <c r="D9" s="56"/>
      <c r="E9" s="56"/>
      <c r="G9" s="420"/>
      <c r="H9" s="486"/>
      <c r="I9" s="416" t="s">
        <v>4</v>
      </c>
      <c r="J9" s="417"/>
      <c r="K9" s="68">
        <f>'Mission Profil &amp; Synthesis'!D22</f>
        <v>0</v>
      </c>
      <c r="L9" s="59"/>
      <c r="O9" s="60"/>
      <c r="Q9" s="61"/>
      <c r="R9" s="56"/>
      <c r="S9" s="56"/>
    </row>
    <row r="10" spans="1:26" ht="15" thickBot="1" x14ac:dyDescent="0.35">
      <c r="C10" s="56"/>
      <c r="D10" s="56"/>
      <c r="E10" s="56"/>
      <c r="F10" s="57"/>
      <c r="G10" s="97"/>
      <c r="H10" s="97"/>
      <c r="I10" s="97"/>
      <c r="J10" s="97"/>
      <c r="K10" s="97"/>
    </row>
    <row r="11" spans="1:26" s="82" customFormat="1" ht="15" thickBot="1" x14ac:dyDescent="0.25">
      <c r="A11" s="80"/>
      <c r="B11" s="80"/>
      <c r="C11" s="80"/>
      <c r="D11" s="80"/>
      <c r="E11" s="80"/>
      <c r="F11" s="498" t="s">
        <v>11</v>
      </c>
      <c r="G11" s="499"/>
      <c r="H11" s="499"/>
      <c r="I11" s="499"/>
      <c r="J11" s="499"/>
      <c r="K11" s="500"/>
      <c r="L11" s="493" t="s">
        <v>9</v>
      </c>
      <c r="M11" s="494"/>
      <c r="N11" s="494"/>
      <c r="O11" s="494"/>
      <c r="P11" s="494"/>
      <c r="Q11" s="494"/>
      <c r="R11" s="495"/>
      <c r="S11" s="102" t="s">
        <v>24</v>
      </c>
      <c r="T11" s="491" t="s">
        <v>10</v>
      </c>
      <c r="U11" s="492"/>
    </row>
    <row r="12" spans="1:26" s="95" customFormat="1" ht="114.75" thickBot="1" x14ac:dyDescent="0.25">
      <c r="A12" s="83" t="s">
        <v>8</v>
      </c>
      <c r="B12" s="127" t="s">
        <v>14</v>
      </c>
      <c r="C12" s="127" t="s">
        <v>117</v>
      </c>
      <c r="D12" s="127" t="s">
        <v>15</v>
      </c>
      <c r="E12" s="128" t="s">
        <v>28</v>
      </c>
      <c r="F12" s="129" t="s">
        <v>65</v>
      </c>
      <c r="G12" s="130" t="s">
        <v>31</v>
      </c>
      <c r="H12" s="501" t="s">
        <v>124</v>
      </c>
      <c r="I12" s="502"/>
      <c r="J12" s="87" t="s">
        <v>123</v>
      </c>
      <c r="K12" s="122" t="s">
        <v>125</v>
      </c>
      <c r="L12" s="198" t="s">
        <v>67</v>
      </c>
      <c r="M12" s="496" t="s">
        <v>68</v>
      </c>
      <c r="N12" s="497"/>
      <c r="O12" s="199" t="s">
        <v>69</v>
      </c>
      <c r="P12" s="199" t="s">
        <v>50</v>
      </c>
      <c r="Q12" s="199" t="s">
        <v>52</v>
      </c>
      <c r="R12" s="200" t="s">
        <v>70</v>
      </c>
      <c r="S12" s="81" t="str">
        <f>CONCATENATE("Max number use by operational day for one Byte write. For requirement of ",K3," years")</f>
        <v>Max number use by operational day for one Byte write. For requirement of 0 years</v>
      </c>
      <c r="T12" s="201" t="s">
        <v>66</v>
      </c>
      <c r="U12" s="222" t="s">
        <v>53</v>
      </c>
      <c r="V12" s="234" t="s">
        <v>71</v>
      </c>
      <c r="W12" s="84" t="s">
        <v>72</v>
      </c>
      <c r="X12" s="84" t="s">
        <v>73</v>
      </c>
      <c r="Y12" s="84" t="s">
        <v>74</v>
      </c>
      <c r="Z12" s="85" t="s">
        <v>36</v>
      </c>
    </row>
    <row r="13" spans="1:26" ht="51.75" thickBot="1" x14ac:dyDescent="0.35">
      <c r="A13" s="256" t="s">
        <v>161</v>
      </c>
      <c r="B13" s="315" t="s">
        <v>150</v>
      </c>
      <c r="C13" s="267" t="s">
        <v>208</v>
      </c>
      <c r="D13" s="270" t="s">
        <v>134</v>
      </c>
      <c r="E13" s="270" t="s">
        <v>209</v>
      </c>
      <c r="F13" s="296">
        <v>1000000</v>
      </c>
      <c r="G13" s="306">
        <v>100</v>
      </c>
      <c r="H13" s="285"/>
      <c r="I13" s="295" t="s">
        <v>136</v>
      </c>
      <c r="J13" s="296"/>
      <c r="K13" s="295" t="str">
        <f>IF(I13="Byte",IF(I13="Byte",CONCATENATE(ROUND(H13*J13/(1024*1024),0)," MByte or ",ROUND(H13*J13/(1024),0)," KByte or ",ROUND(H13*J13,0)," Byte",)),IF(I13="Kilo Byte",IF(I13="Kilo Byte",CONCATENATE(ROUND(H13*J13/(1024),0)," MByte or ",ROUND(H13*J13,0)," KByte",)),IF(I13="Mega Byte",IF(I13="Mega Byte",CONCATENATE(ROUND(H13*J13,0)," MByte",)))))</f>
        <v>0 MByte or 0 KByte or 0 Byte</v>
      </c>
      <c r="L13" s="270"/>
      <c r="M13" s="270"/>
      <c r="N13" s="270" t="s">
        <v>137</v>
      </c>
      <c r="O13" s="296"/>
      <c r="P13" s="270" t="s">
        <v>140</v>
      </c>
      <c r="Q13" s="270" t="s">
        <v>138</v>
      </c>
      <c r="R13" s="270" t="s">
        <v>139</v>
      </c>
      <c r="S13" s="270" t="e">
        <f t="shared" ref="S13:S18" si="0">IF(F13="","-",TRUNC($F13/($K$3*($K$4+$K$6+$K$8)),0))</f>
        <v>#DIV/0!</v>
      </c>
      <c r="T13" s="297" t="str">
        <f>IF(P13="No","Data retention restriction",Y13/Z13)</f>
        <v>Data retention restriction</v>
      </c>
      <c r="U13" s="298" t="e">
        <f t="shared" ref="U13:U18" si="1">IF(IF(P13="No", MIN((Y13/Z13)/($K$4+$K$6+$K$8),G13),(Y13/Z13)/($K$4+$K$6+$K$8))&gt;50,"&gt;50 years",IF(P13="No", MIN((Y13/Z13)/($K$4+$K$6+$K$8),G13),(Y13/Z13)/($K$4+$K$6+$K$8)))</f>
        <v>#DIV/0!</v>
      </c>
      <c r="V13" s="270" t="e">
        <f>($K$4*$K$5+$K$6*$K$7+$K$8*$K$9)/($K$4+$K$6+$K$8)</f>
        <v>#DIV/0!</v>
      </c>
      <c r="W13" s="296">
        <f>IF(I13="byte",H13*L13,IF(I13="kilo byte",H13*L13*1000,IF(I13="mega byte",H13*L13*1000000)))</f>
        <v>0</v>
      </c>
      <c r="X13" s="296" t="e">
        <f>W13/O13</f>
        <v>#DIV/0!</v>
      </c>
      <c r="Y13" s="296" t="e">
        <f t="shared" ref="Y13:Y18" si="2">X13*F13</f>
        <v>#DIV/0!</v>
      </c>
      <c r="Z13" s="299" t="e">
        <f>IF(N13="by year",M13/365,1)*IF(N13="by day",M13,1)*IF(N13="by hour",V13*M13,1)*IF(N13="by minute",V13*60*M13,1)*IF(N13="by second",V13*60*60*M13,1)</f>
        <v>#DIV/0!</v>
      </c>
    </row>
    <row r="14" spans="1:26" ht="42.75" x14ac:dyDescent="0.3">
      <c r="A14" s="256" t="s">
        <v>161</v>
      </c>
      <c r="B14" s="488" t="s">
        <v>147</v>
      </c>
      <c r="C14" s="264" t="s">
        <v>210</v>
      </c>
      <c r="D14" s="265" t="s">
        <v>134</v>
      </c>
      <c r="E14" s="265" t="s">
        <v>211</v>
      </c>
      <c r="F14" s="291">
        <v>100000</v>
      </c>
      <c r="G14" s="307">
        <v>10</v>
      </c>
      <c r="H14" s="286"/>
      <c r="I14" s="300" t="s">
        <v>136</v>
      </c>
      <c r="J14" s="291"/>
      <c r="K14" s="300" t="str">
        <f t="shared" ref="K14:K18" si="3">IF(I14="Byte",IF(I14="Byte",CONCATENATE(ROUND(H14*J14/(1024*1024),0)," MByte or ",ROUND(H14*J14/(1024),0)," KByte or ",ROUND(H14*J14,0)," Byte",)),IF(I14="Kilo Byte",IF(I14="Kilo Byte",CONCATENATE(ROUND(H14*J14/(1024),0)," MByte or ",ROUND(H14*J14,0)," KByte",)),IF(I14="Mega Byte",IF(I14="Mega Byte",CONCATENATE(ROUND(H14*J14,0)," MByte",)))))</f>
        <v>0 MByte or 0 KByte or 0 Byte</v>
      </c>
      <c r="L14" s="265"/>
      <c r="M14" s="265"/>
      <c r="N14" s="265" t="s">
        <v>137</v>
      </c>
      <c r="O14" s="291"/>
      <c r="P14" s="265" t="s">
        <v>140</v>
      </c>
      <c r="Q14" s="265" t="s">
        <v>138</v>
      </c>
      <c r="R14" s="265" t="s">
        <v>139</v>
      </c>
      <c r="S14" s="265" t="e">
        <f t="shared" si="0"/>
        <v>#DIV/0!</v>
      </c>
      <c r="T14" s="292" t="str">
        <f t="shared" ref="T14:T18" si="4">IF(P14="No","Data retention restriction",Y14/Z14)</f>
        <v>Data retention restriction</v>
      </c>
      <c r="U14" s="293" t="e">
        <f t="shared" si="1"/>
        <v>#DIV/0!</v>
      </c>
      <c r="V14" s="265" t="e">
        <f t="shared" ref="V14:V18" si="5">($K$4*$K$5+$K$6*$K$7+$K$8*$K$9)/($K$4+$K$6+$K$8)</f>
        <v>#DIV/0!</v>
      </c>
      <c r="W14" s="291">
        <f t="shared" ref="W14:W18" si="6">IF(I14="byte",H14*L14,IF(I14="kilo byte",H14*L14*1000,IF(I14="mega byte",H14*L14*1000000)))</f>
        <v>0</v>
      </c>
      <c r="X14" s="291" t="e">
        <f t="shared" ref="X14:X18" si="7">W14/O14</f>
        <v>#DIV/0!</v>
      </c>
      <c r="Y14" s="291" t="e">
        <f t="shared" si="2"/>
        <v>#DIV/0!</v>
      </c>
      <c r="Z14" s="294" t="e">
        <f t="shared" ref="Z14:Z18" si="8">IF(N14="by year",M14/365,1)*IF(N14="by day",M14,1)*IF(N14="by hour",V14*M14,1)*IF(N14="by minute",V14*60*M14,1)*IF(N14="by second",V14*60*60*M14,1)</f>
        <v>#DIV/0!</v>
      </c>
    </row>
    <row r="15" spans="1:26" ht="42.75" x14ac:dyDescent="0.3">
      <c r="A15" s="256" t="s">
        <v>161</v>
      </c>
      <c r="B15" s="489"/>
      <c r="C15" s="264" t="s">
        <v>212</v>
      </c>
      <c r="D15" s="265" t="s">
        <v>134</v>
      </c>
      <c r="E15" s="265" t="s">
        <v>209</v>
      </c>
      <c r="F15" s="291">
        <v>1000000</v>
      </c>
      <c r="G15" s="307">
        <v>100</v>
      </c>
      <c r="H15" s="286"/>
      <c r="I15" s="300" t="s">
        <v>136</v>
      </c>
      <c r="J15" s="291"/>
      <c r="K15" s="300" t="str">
        <f t="shared" si="3"/>
        <v>0 MByte or 0 KByte or 0 Byte</v>
      </c>
      <c r="L15" s="265"/>
      <c r="M15" s="265"/>
      <c r="N15" s="265" t="s">
        <v>137</v>
      </c>
      <c r="O15" s="291"/>
      <c r="P15" s="265" t="s">
        <v>140</v>
      </c>
      <c r="Q15" s="265" t="s">
        <v>138</v>
      </c>
      <c r="R15" s="265" t="s">
        <v>139</v>
      </c>
      <c r="S15" s="265" t="e">
        <f t="shared" si="0"/>
        <v>#DIV/0!</v>
      </c>
      <c r="T15" s="292" t="str">
        <f t="shared" si="4"/>
        <v>Data retention restriction</v>
      </c>
      <c r="U15" s="293" t="e">
        <f t="shared" si="1"/>
        <v>#DIV/0!</v>
      </c>
      <c r="V15" s="265" t="e">
        <f t="shared" si="5"/>
        <v>#DIV/0!</v>
      </c>
      <c r="W15" s="291">
        <f t="shared" si="6"/>
        <v>0</v>
      </c>
      <c r="X15" s="291" t="e">
        <f t="shared" si="7"/>
        <v>#DIV/0!</v>
      </c>
      <c r="Y15" s="291" t="e">
        <f t="shared" si="2"/>
        <v>#DIV/0!</v>
      </c>
      <c r="Z15" s="294" t="e">
        <f t="shared" si="8"/>
        <v>#DIV/0!</v>
      </c>
    </row>
    <row r="16" spans="1:26" ht="43.5" thickBot="1" x14ac:dyDescent="0.35">
      <c r="A16" s="256" t="s">
        <v>161</v>
      </c>
      <c r="B16" s="490"/>
      <c r="C16" s="264" t="s">
        <v>213</v>
      </c>
      <c r="D16" s="265" t="s">
        <v>134</v>
      </c>
      <c r="E16" s="265" t="s">
        <v>214</v>
      </c>
      <c r="F16" s="291">
        <v>4000000</v>
      </c>
      <c r="G16" s="307">
        <v>200</v>
      </c>
      <c r="H16" s="286"/>
      <c r="I16" s="300" t="s">
        <v>136</v>
      </c>
      <c r="J16" s="291"/>
      <c r="K16" s="300" t="str">
        <f t="shared" si="3"/>
        <v>0 MByte or 0 KByte or 0 Byte</v>
      </c>
      <c r="L16" s="265"/>
      <c r="M16" s="265"/>
      <c r="N16" s="265" t="s">
        <v>137</v>
      </c>
      <c r="O16" s="291"/>
      <c r="P16" s="265" t="s">
        <v>140</v>
      </c>
      <c r="Q16" s="265" t="s">
        <v>138</v>
      </c>
      <c r="R16" s="265" t="s">
        <v>139</v>
      </c>
      <c r="S16" s="265" t="e">
        <f t="shared" si="0"/>
        <v>#DIV/0!</v>
      </c>
      <c r="T16" s="292" t="str">
        <f t="shared" si="4"/>
        <v>Data retention restriction</v>
      </c>
      <c r="U16" s="293" t="e">
        <f t="shared" si="1"/>
        <v>#DIV/0!</v>
      </c>
      <c r="V16" s="265" t="e">
        <f t="shared" si="5"/>
        <v>#DIV/0!</v>
      </c>
      <c r="W16" s="291">
        <f t="shared" si="6"/>
        <v>0</v>
      </c>
      <c r="X16" s="291" t="e">
        <f t="shared" si="7"/>
        <v>#DIV/0!</v>
      </c>
      <c r="Y16" s="291" t="e">
        <f t="shared" si="2"/>
        <v>#DIV/0!</v>
      </c>
      <c r="Z16" s="294" t="e">
        <f t="shared" si="8"/>
        <v>#DIV/0!</v>
      </c>
    </row>
    <row r="17" spans="1:26" ht="43.5" thickBot="1" x14ac:dyDescent="0.35">
      <c r="A17" s="256" t="s">
        <v>161</v>
      </c>
      <c r="B17" s="316" t="s">
        <v>146</v>
      </c>
      <c r="C17" s="264" t="s">
        <v>215</v>
      </c>
      <c r="D17" s="265" t="s">
        <v>134</v>
      </c>
      <c r="E17" s="265" t="s">
        <v>209</v>
      </c>
      <c r="F17" s="291">
        <v>1000000</v>
      </c>
      <c r="G17" s="307">
        <v>100</v>
      </c>
      <c r="H17" s="286"/>
      <c r="I17" s="300" t="s">
        <v>136</v>
      </c>
      <c r="J17" s="291"/>
      <c r="K17" s="300" t="str">
        <f t="shared" si="3"/>
        <v>0 MByte or 0 KByte or 0 Byte</v>
      </c>
      <c r="L17" s="265"/>
      <c r="M17" s="265"/>
      <c r="N17" s="265" t="s">
        <v>137</v>
      </c>
      <c r="O17" s="291"/>
      <c r="P17" s="265" t="s">
        <v>140</v>
      </c>
      <c r="Q17" s="265" t="s">
        <v>138</v>
      </c>
      <c r="R17" s="265" t="s">
        <v>139</v>
      </c>
      <c r="S17" s="265" t="e">
        <f t="shared" si="0"/>
        <v>#DIV/0!</v>
      </c>
      <c r="T17" s="292" t="str">
        <f t="shared" si="4"/>
        <v>Data retention restriction</v>
      </c>
      <c r="U17" s="293" t="e">
        <f t="shared" si="1"/>
        <v>#DIV/0!</v>
      </c>
      <c r="V17" s="265" t="e">
        <f t="shared" si="5"/>
        <v>#DIV/0!</v>
      </c>
      <c r="W17" s="291">
        <f t="shared" si="6"/>
        <v>0</v>
      </c>
      <c r="X17" s="291" t="e">
        <f t="shared" si="7"/>
        <v>#DIV/0!</v>
      </c>
      <c r="Y17" s="291" t="e">
        <f t="shared" si="2"/>
        <v>#DIV/0!</v>
      </c>
      <c r="Z17" s="294" t="e">
        <f t="shared" si="8"/>
        <v>#DIV/0!</v>
      </c>
    </row>
    <row r="18" spans="1:26" ht="43.5" thickBot="1" x14ac:dyDescent="0.35">
      <c r="A18" s="256" t="s">
        <v>161</v>
      </c>
      <c r="B18" s="317" t="s">
        <v>144</v>
      </c>
      <c r="C18" s="290" t="s">
        <v>215</v>
      </c>
      <c r="D18" s="279" t="s">
        <v>134</v>
      </c>
      <c r="E18" s="279" t="s">
        <v>209</v>
      </c>
      <c r="F18" s="304">
        <v>1000000</v>
      </c>
      <c r="G18" s="308">
        <v>100</v>
      </c>
      <c r="H18" s="287"/>
      <c r="I18" s="301" t="s">
        <v>136</v>
      </c>
      <c r="J18" s="304"/>
      <c r="K18" s="301" t="str">
        <f t="shared" si="3"/>
        <v>0 MByte or 0 KByte or 0 Byte</v>
      </c>
      <c r="L18" s="279"/>
      <c r="M18" s="279"/>
      <c r="N18" s="279" t="s">
        <v>137</v>
      </c>
      <c r="O18" s="304"/>
      <c r="P18" s="279" t="s">
        <v>140</v>
      </c>
      <c r="Q18" s="279" t="s">
        <v>138</v>
      </c>
      <c r="R18" s="279" t="s">
        <v>139</v>
      </c>
      <c r="S18" s="279" t="e">
        <f t="shared" si="0"/>
        <v>#DIV/0!</v>
      </c>
      <c r="T18" s="302" t="str">
        <f t="shared" si="4"/>
        <v>Data retention restriction</v>
      </c>
      <c r="U18" s="303" t="e">
        <f t="shared" si="1"/>
        <v>#DIV/0!</v>
      </c>
      <c r="V18" s="279" t="e">
        <f t="shared" si="5"/>
        <v>#DIV/0!</v>
      </c>
      <c r="W18" s="304">
        <f t="shared" si="6"/>
        <v>0</v>
      </c>
      <c r="X18" s="304" t="e">
        <f t="shared" si="7"/>
        <v>#DIV/0!</v>
      </c>
      <c r="Y18" s="304" t="e">
        <f t="shared" si="2"/>
        <v>#DIV/0!</v>
      </c>
      <c r="Z18" s="305" t="e">
        <f t="shared" si="8"/>
        <v>#DIV/0!</v>
      </c>
    </row>
  </sheetData>
  <protectedRanges>
    <protectedRange sqref="T12:U12" name="Capacitor"/>
    <protectedRange sqref="D13:E15 D17:E17 E18" name="Plage1_1_1_4"/>
  </protectedRanges>
  <mergeCells count="18">
    <mergeCell ref="B14:B16"/>
    <mergeCell ref="T11:U11"/>
    <mergeCell ref="L11:R11"/>
    <mergeCell ref="M12:N12"/>
    <mergeCell ref="F11:K11"/>
    <mergeCell ref="H12:I12"/>
    <mergeCell ref="G2:G9"/>
    <mergeCell ref="H4:H5"/>
    <mergeCell ref="I4:J4"/>
    <mergeCell ref="I5:J5"/>
    <mergeCell ref="H6:H7"/>
    <mergeCell ref="I6:J6"/>
    <mergeCell ref="I7:J7"/>
    <mergeCell ref="H8:H9"/>
    <mergeCell ref="H2:K2"/>
    <mergeCell ref="H3:J3"/>
    <mergeCell ref="I8:J8"/>
    <mergeCell ref="I9:J9"/>
  </mergeCells>
  <conditionalFormatting sqref="G13:G18">
    <cfRule type="cellIs" priority="2" stopIfTrue="1" operator="equal">
      <formula>""</formula>
    </cfRule>
  </conditionalFormatting>
  <conditionalFormatting sqref="S13:S18">
    <cfRule type="expression" dxfId="26" priority="1">
      <formula>NOT(EstUneFormule(S13))</formula>
    </cfRule>
  </conditionalFormatting>
  <dataValidations count="5">
    <dataValidation type="list" allowBlank="1" showInputMessage="1" showErrorMessage="1" sqref="I13:I18">
      <formula1>"Byte,Kilo Byte,Mega Byte"</formula1>
    </dataValidation>
    <dataValidation type="list" allowBlank="1" showInputMessage="1" showErrorMessage="1" sqref="R13:R18">
      <formula1>"Sequential,Random,By sector"</formula1>
    </dataValidation>
    <dataValidation type="list" allowBlank="1" showInputMessage="1" showErrorMessage="1" sqref="N13:N18">
      <formula1>"by second,by minute,by hour,by day,by year"</formula1>
    </dataValidation>
    <dataValidation type="list" allowBlank="1" showInputMessage="1" showErrorMessage="1" sqref="Q13:Q18">
      <formula1>"-,Program,Data recorder,Other"</formula1>
    </dataValidation>
    <dataValidation type="list" allowBlank="1" showInputMessage="1" showErrorMessage="1" sqref="P13:P18">
      <formula1>"Yes,No"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/>
  </sheetPr>
  <dimension ref="A1:Q23"/>
  <sheetViews>
    <sheetView zoomScale="40" zoomScaleNormal="40" workbookViewId="0">
      <pane ySplit="15" topLeftCell="A16" activePane="bottomLeft" state="frozen"/>
      <selection activeCell="A36" sqref="A36:A41"/>
      <selection pane="bottomLeft" activeCell="L50" sqref="L50"/>
    </sheetView>
  </sheetViews>
  <sheetFormatPr baseColWidth="10" defaultRowHeight="14.25" outlineLevelRow="1" outlineLevelCol="1" x14ac:dyDescent="0.3"/>
  <cols>
    <col min="1" max="3" width="11.5703125" style="103" customWidth="1"/>
    <col min="4" max="4" width="19.85546875" style="103" customWidth="1"/>
    <col min="5" max="5" width="20" style="58" customWidth="1"/>
    <col min="6" max="7" width="14.140625" style="103" customWidth="1" outlineLevel="1"/>
    <col min="8" max="9" width="20" style="103" customWidth="1" outlineLevel="1"/>
    <col min="10" max="10" width="20" style="133" customWidth="1" outlineLevel="1"/>
    <col min="11" max="11" width="14.28515625" style="134" customWidth="1"/>
    <col min="12" max="12" width="14.28515625" style="135" customWidth="1"/>
    <col min="13" max="13" width="12.7109375" style="134" customWidth="1" outlineLevel="1"/>
    <col min="14" max="14" width="8.5703125" style="136" customWidth="1" outlineLevel="1"/>
    <col min="15" max="17" width="8.5703125" style="103" customWidth="1" outlineLevel="1"/>
    <col min="18" max="16384" width="11.42578125" style="103"/>
  </cols>
  <sheetData>
    <row r="1" spans="1:17" ht="12.75" customHeight="1" outlineLevel="1" thickBot="1" x14ac:dyDescent="0.35">
      <c r="F1" s="108"/>
    </row>
    <row r="2" spans="1:17" ht="12.75" customHeight="1" outlineLevel="1" x14ac:dyDescent="0.3">
      <c r="E2" s="103"/>
      <c r="F2" s="518" t="s">
        <v>22</v>
      </c>
      <c r="G2" s="439" t="s">
        <v>12</v>
      </c>
      <c r="H2" s="421"/>
      <c r="I2" s="421"/>
      <c r="J2" s="422"/>
      <c r="K2" s="103"/>
      <c r="L2" s="103"/>
      <c r="M2" s="103"/>
      <c r="N2" s="103"/>
    </row>
    <row r="3" spans="1:17" outlineLevel="1" x14ac:dyDescent="0.3">
      <c r="E3" s="103"/>
      <c r="F3" s="519"/>
      <c r="G3" s="487" t="s">
        <v>5</v>
      </c>
      <c r="H3" s="423"/>
      <c r="I3" s="424"/>
      <c r="J3" s="62">
        <f>'Mission Profil &amp; Synthesis'!D9</f>
        <v>0</v>
      </c>
      <c r="K3" s="103"/>
      <c r="L3" s="103"/>
      <c r="M3" s="103"/>
      <c r="N3" s="103"/>
    </row>
    <row r="4" spans="1:17" outlineLevel="1" x14ac:dyDescent="0.3">
      <c r="E4" s="103"/>
      <c r="F4" s="519"/>
      <c r="G4" s="482" t="s">
        <v>1</v>
      </c>
      <c r="H4" s="414" t="s">
        <v>3</v>
      </c>
      <c r="I4" s="415"/>
      <c r="J4" s="63">
        <f>'Mission Profil &amp; Synthesis'!D15</f>
        <v>0</v>
      </c>
      <c r="K4" s="103"/>
      <c r="L4" s="103"/>
      <c r="M4" s="103"/>
      <c r="N4" s="103"/>
    </row>
    <row r="5" spans="1:17" outlineLevel="1" x14ac:dyDescent="0.3">
      <c r="E5" s="103"/>
      <c r="F5" s="519"/>
      <c r="G5" s="483"/>
      <c r="H5" s="414" t="s">
        <v>4</v>
      </c>
      <c r="I5" s="415"/>
      <c r="J5" s="64">
        <f>'Mission Profil &amp; Synthesis'!D16</f>
        <v>0</v>
      </c>
      <c r="K5" s="103"/>
      <c r="M5" s="103"/>
      <c r="N5" s="103"/>
    </row>
    <row r="6" spans="1:17" outlineLevel="1" x14ac:dyDescent="0.3">
      <c r="E6" s="103"/>
      <c r="F6" s="519"/>
      <c r="G6" s="484" t="s">
        <v>0</v>
      </c>
      <c r="H6" s="429" t="s">
        <v>3</v>
      </c>
      <c r="I6" s="430"/>
      <c r="J6" s="66">
        <f>'Mission Profil &amp; Synthesis'!D18</f>
        <v>0</v>
      </c>
      <c r="K6" s="103"/>
      <c r="L6" s="103"/>
      <c r="M6" s="103"/>
      <c r="N6" s="103"/>
    </row>
    <row r="7" spans="1:17" outlineLevel="1" x14ac:dyDescent="0.3">
      <c r="E7" s="103"/>
      <c r="F7" s="519"/>
      <c r="G7" s="485"/>
      <c r="H7" s="429" t="s">
        <v>4</v>
      </c>
      <c r="I7" s="430"/>
      <c r="J7" s="67">
        <f>'Mission Profil &amp; Synthesis'!D19</f>
        <v>0</v>
      </c>
      <c r="K7" s="103"/>
      <c r="L7" s="103"/>
      <c r="M7" s="103"/>
      <c r="N7" s="103"/>
    </row>
    <row r="8" spans="1:17" outlineLevel="1" x14ac:dyDescent="0.3">
      <c r="E8" s="103"/>
      <c r="F8" s="519"/>
      <c r="G8" s="482" t="s">
        <v>2</v>
      </c>
      <c r="H8" s="414" t="s">
        <v>3</v>
      </c>
      <c r="I8" s="415"/>
      <c r="J8" s="63">
        <f>'Mission Profil &amp; Synthesis'!D21</f>
        <v>0</v>
      </c>
      <c r="K8" s="103"/>
      <c r="L8" s="103"/>
      <c r="M8" s="103"/>
      <c r="N8" s="103"/>
    </row>
    <row r="9" spans="1:17" ht="15" outlineLevel="1" thickBot="1" x14ac:dyDescent="0.35">
      <c r="E9" s="103"/>
      <c r="F9" s="519"/>
      <c r="G9" s="486"/>
      <c r="H9" s="416" t="s">
        <v>4</v>
      </c>
      <c r="I9" s="417"/>
      <c r="J9" s="68">
        <f>'Mission Profil &amp; Synthesis'!D22</f>
        <v>0</v>
      </c>
      <c r="K9" s="103"/>
      <c r="L9" s="103"/>
      <c r="M9" s="103"/>
      <c r="N9" s="103"/>
    </row>
    <row r="10" spans="1:17" outlineLevel="1" x14ac:dyDescent="0.3">
      <c r="E10" s="103"/>
      <c r="F10" s="519"/>
      <c r="G10" s="440" t="s">
        <v>13</v>
      </c>
      <c r="H10" s="441"/>
      <c r="I10" s="441"/>
      <c r="J10" s="442"/>
      <c r="K10" s="103"/>
      <c r="L10" s="103"/>
      <c r="M10" s="103"/>
      <c r="N10" s="103"/>
    </row>
    <row r="11" spans="1:17" outlineLevel="1" x14ac:dyDescent="0.3">
      <c r="E11" s="103"/>
      <c r="F11" s="137">
        <v>0.85</v>
      </c>
      <c r="G11" s="508" t="s">
        <v>118</v>
      </c>
      <c r="H11" s="509"/>
      <c r="I11" s="510"/>
      <c r="J11" s="105">
        <f>'Mission Profil &amp; Synthesis'!D24</f>
        <v>0</v>
      </c>
      <c r="K11" s="103"/>
      <c r="L11" s="103"/>
      <c r="M11" s="103"/>
      <c r="N11" s="103"/>
    </row>
    <row r="12" spans="1:17" ht="15" outlineLevel="1" thickBot="1" x14ac:dyDescent="0.35">
      <c r="E12" s="103"/>
      <c r="F12" s="138">
        <v>1.3</v>
      </c>
      <c r="G12" s="511" t="s">
        <v>103</v>
      </c>
      <c r="H12" s="512"/>
      <c r="I12" s="417"/>
      <c r="J12" s="106">
        <f>'Mission Profil &amp; Synthesis'!D27</f>
        <v>0</v>
      </c>
      <c r="K12" s="139"/>
      <c r="L12" s="103"/>
      <c r="M12" s="103"/>
      <c r="N12" s="103"/>
    </row>
    <row r="13" spans="1:17" ht="15" thickBot="1" x14ac:dyDescent="0.35">
      <c r="A13" s="140"/>
      <c r="B13" s="141"/>
      <c r="C13" s="108"/>
      <c r="D13" s="108"/>
      <c r="E13" s="103"/>
      <c r="G13" s="108"/>
      <c r="H13" s="139"/>
      <c r="I13" s="140"/>
      <c r="J13" s="142"/>
      <c r="K13" s="108"/>
      <c r="L13" s="143"/>
      <c r="M13" s="140"/>
      <c r="N13" s="140"/>
      <c r="O13" s="140"/>
      <c r="P13" s="140"/>
      <c r="Q13" s="140"/>
    </row>
    <row r="14" spans="1:17" ht="15" thickBot="1" x14ac:dyDescent="0.35">
      <c r="A14" s="144"/>
      <c r="B14" s="145"/>
      <c r="C14" s="146"/>
      <c r="D14" s="146"/>
      <c r="E14" s="108"/>
      <c r="F14" s="520" t="s">
        <v>11</v>
      </c>
      <c r="G14" s="521"/>
      <c r="H14" s="505" t="s">
        <v>25</v>
      </c>
      <c r="I14" s="506"/>
      <c r="J14" s="507"/>
      <c r="K14" s="503" t="s">
        <v>10</v>
      </c>
      <c r="L14" s="504"/>
      <c r="M14" s="140"/>
      <c r="N14" s="144"/>
      <c r="O14" s="144"/>
      <c r="P14" s="144"/>
      <c r="Q14" s="140"/>
    </row>
    <row r="15" spans="1:17" s="117" customFormat="1" ht="57.75" thickBot="1" x14ac:dyDescent="0.25">
      <c r="A15" s="112" t="s">
        <v>8</v>
      </c>
      <c r="B15" s="113" t="s">
        <v>14</v>
      </c>
      <c r="C15" s="84" t="s">
        <v>117</v>
      </c>
      <c r="D15" s="114" t="s">
        <v>15</v>
      </c>
      <c r="E15" s="85" t="s">
        <v>28</v>
      </c>
      <c r="F15" s="86" t="s">
        <v>23</v>
      </c>
      <c r="G15" s="87" t="s">
        <v>27</v>
      </c>
      <c r="H15" s="115" t="s">
        <v>56</v>
      </c>
      <c r="I15" s="132" t="s">
        <v>26</v>
      </c>
      <c r="J15" s="116" t="s">
        <v>109</v>
      </c>
      <c r="K15" s="147" t="s">
        <v>39</v>
      </c>
      <c r="L15" s="223" t="s">
        <v>53</v>
      </c>
      <c r="M15" s="196" t="s">
        <v>104</v>
      </c>
      <c r="N15" s="196" t="s">
        <v>105</v>
      </c>
      <c r="O15" s="197" t="s">
        <v>106</v>
      </c>
      <c r="P15" s="196" t="s">
        <v>107</v>
      </c>
      <c r="Q15" s="196" t="s">
        <v>108</v>
      </c>
    </row>
    <row r="16" spans="1:17" ht="51" x14ac:dyDescent="0.3">
      <c r="A16" s="256" t="s">
        <v>161</v>
      </c>
      <c r="B16" s="313" t="s">
        <v>150</v>
      </c>
      <c r="C16" s="251" t="s">
        <v>197</v>
      </c>
      <c r="D16" s="246" t="s">
        <v>134</v>
      </c>
      <c r="E16" s="246" t="s">
        <v>198</v>
      </c>
      <c r="F16" s="251">
        <v>0.85</v>
      </c>
      <c r="G16" s="251">
        <v>100</v>
      </c>
      <c r="H16" s="314">
        <v>9.1</v>
      </c>
      <c r="I16" s="247">
        <v>0.5</v>
      </c>
      <c r="J16" s="248">
        <f t="shared" ref="J16:J23" si="0">$J$11+$J$12</f>
        <v>0</v>
      </c>
      <c r="K16" s="249">
        <f>IF(H16="","-",(M16*N16*O16*P16*Q16))</f>
        <v>142827026.31302461</v>
      </c>
      <c r="L16" s="259" t="e">
        <f>IF(H16="","-",IF(K16/($J$4*$J$5+$J$6*$J$7+$J$8*$J$9)&gt;50,"&gt;50 years",K16/($J$4*$J$5+$J$6*$J$7+$J$8*$J$9)))</f>
        <v>#DIV/0!</v>
      </c>
      <c r="M16" s="249">
        <f>IF(F16=0.85,2.3*10^5*EXP(7000*(1/(J16+273)-1/343)),IF(F16=1.3,8.7*10^6*EXP(7000*(1/(J16+273)-1/343)),"NOK"))</f>
        <v>43085495.349750258</v>
      </c>
      <c r="N16" s="260">
        <f t="shared" ref="N16:N23" si="1">G16/H16</f>
        <v>10.989010989010989</v>
      </c>
      <c r="O16" s="260">
        <f t="shared" ref="O16:O23" si="2">IF(I16&gt;0.5,POWER(7,(2*I16-1)/0.6),POWER(0.1,(1-2*I16)/0.6))</f>
        <v>1</v>
      </c>
      <c r="P16" s="260">
        <f t="shared" ref="P16:P23" si="3">POWER(10,0.5*LOG10(H16)-1)</f>
        <v>0.30166206257996703</v>
      </c>
      <c r="Q16" s="260">
        <f>1</f>
        <v>1</v>
      </c>
    </row>
    <row r="17" spans="1:17" ht="42.75" x14ac:dyDescent="0.3">
      <c r="A17" s="256" t="s">
        <v>161</v>
      </c>
      <c r="B17" s="513" t="s">
        <v>147</v>
      </c>
      <c r="C17" s="251" t="s">
        <v>199</v>
      </c>
      <c r="D17" s="246" t="s">
        <v>134</v>
      </c>
      <c r="E17" s="246" t="s">
        <v>200</v>
      </c>
      <c r="F17" s="251">
        <v>0.85</v>
      </c>
      <c r="G17" s="251">
        <v>20</v>
      </c>
      <c r="H17" s="258">
        <v>6.8</v>
      </c>
      <c r="I17" s="247">
        <v>0.5</v>
      </c>
      <c r="J17" s="248">
        <f t="shared" si="0"/>
        <v>0</v>
      </c>
      <c r="K17" s="249">
        <f t="shared" ref="K17:K23" si="4">IF(H17="","-",(M17*N17*O17*P17*Q17))</f>
        <v>33045066.460404627</v>
      </c>
      <c r="L17" s="259" t="e">
        <f t="shared" ref="L17:L23" si="5">IF(H17="","-",IF(K17/($J$4*$J$5+$J$6*$J$7+$J$8*$J$9)&gt;50,"&gt;50 years",K17/($J$4*$J$5+$J$6*$J$7+$J$8*$J$9)))</f>
        <v>#DIV/0!</v>
      </c>
      <c r="M17" s="249">
        <f t="shared" ref="M17:M23" si="6">IF(F17=0.85,2.3*10^5*EXP(7000*(1/(J17+273)-1/343)),IF(F17=1.3,8.7*10^6*EXP(7000*(1/(J17+273)-1/343)),"NOK"))</f>
        <v>43085495.349750258</v>
      </c>
      <c r="N17" s="260">
        <f t="shared" si="1"/>
        <v>2.9411764705882355</v>
      </c>
      <c r="O17" s="260">
        <f t="shared" si="2"/>
        <v>1</v>
      </c>
      <c r="P17" s="260">
        <f t="shared" si="3"/>
        <v>0.26076809620810587</v>
      </c>
      <c r="Q17" s="260">
        <f>1</f>
        <v>1</v>
      </c>
    </row>
    <row r="18" spans="1:17" ht="42.75" x14ac:dyDescent="0.3">
      <c r="A18" s="256" t="s">
        <v>161</v>
      </c>
      <c r="B18" s="513"/>
      <c r="C18" s="251" t="s">
        <v>201</v>
      </c>
      <c r="D18" s="246" t="s">
        <v>134</v>
      </c>
      <c r="E18" s="246" t="s">
        <v>200</v>
      </c>
      <c r="F18" s="251">
        <v>0.85</v>
      </c>
      <c r="G18" s="251">
        <v>20</v>
      </c>
      <c r="H18" s="258">
        <v>6.8</v>
      </c>
      <c r="I18" s="247">
        <v>0.5</v>
      </c>
      <c r="J18" s="248">
        <f t="shared" si="0"/>
        <v>0</v>
      </c>
      <c r="K18" s="249">
        <f t="shared" si="4"/>
        <v>33045066.460404627</v>
      </c>
      <c r="L18" s="259" t="e">
        <f t="shared" si="5"/>
        <v>#DIV/0!</v>
      </c>
      <c r="M18" s="249">
        <f t="shared" si="6"/>
        <v>43085495.349750258</v>
      </c>
      <c r="N18" s="260">
        <f t="shared" si="1"/>
        <v>2.9411764705882355</v>
      </c>
      <c r="O18" s="260">
        <f t="shared" si="2"/>
        <v>1</v>
      </c>
      <c r="P18" s="260">
        <f t="shared" si="3"/>
        <v>0.26076809620810587</v>
      </c>
      <c r="Q18" s="260">
        <f>1</f>
        <v>1</v>
      </c>
    </row>
    <row r="19" spans="1:17" ht="42.75" x14ac:dyDescent="0.3">
      <c r="A19" s="256" t="s">
        <v>161</v>
      </c>
      <c r="B19" s="513"/>
      <c r="C19" s="251" t="s">
        <v>202</v>
      </c>
      <c r="D19" s="246" t="s">
        <v>134</v>
      </c>
      <c r="E19" s="246" t="s">
        <v>200</v>
      </c>
      <c r="F19" s="251">
        <v>0.85</v>
      </c>
      <c r="G19" s="251">
        <v>20</v>
      </c>
      <c r="H19" s="258">
        <v>6.8</v>
      </c>
      <c r="I19" s="247">
        <v>0.5</v>
      </c>
      <c r="J19" s="248">
        <f t="shared" si="0"/>
        <v>0</v>
      </c>
      <c r="K19" s="249">
        <f t="shared" si="4"/>
        <v>33045066.460404627</v>
      </c>
      <c r="L19" s="259" t="e">
        <f t="shared" si="5"/>
        <v>#DIV/0!</v>
      </c>
      <c r="M19" s="249">
        <f t="shared" si="6"/>
        <v>43085495.349750258</v>
      </c>
      <c r="N19" s="260">
        <f t="shared" si="1"/>
        <v>2.9411764705882355</v>
      </c>
      <c r="O19" s="260">
        <f t="shared" si="2"/>
        <v>1</v>
      </c>
      <c r="P19" s="260">
        <f t="shared" si="3"/>
        <v>0.26076809620810587</v>
      </c>
      <c r="Q19" s="260">
        <f>1</f>
        <v>1</v>
      </c>
    </row>
    <row r="20" spans="1:17" ht="42.75" x14ac:dyDescent="0.3">
      <c r="A20" s="256" t="s">
        <v>161</v>
      </c>
      <c r="B20" s="310" t="s">
        <v>146</v>
      </c>
      <c r="C20" s="514" t="s">
        <v>135</v>
      </c>
      <c r="D20" s="514"/>
      <c r="E20" s="514"/>
      <c r="F20" s="251">
        <v>0.85</v>
      </c>
      <c r="G20" s="514"/>
      <c r="H20" s="514"/>
      <c r="I20" s="514"/>
      <c r="J20" s="248">
        <f t="shared" si="0"/>
        <v>0</v>
      </c>
      <c r="K20" s="249" t="str">
        <f t="shared" si="4"/>
        <v>-</v>
      </c>
      <c r="L20" s="259" t="str">
        <f t="shared" si="5"/>
        <v>-</v>
      </c>
      <c r="M20" s="249">
        <f t="shared" si="6"/>
        <v>43085495.349750258</v>
      </c>
      <c r="N20" s="260" t="e">
        <f t="shared" si="1"/>
        <v>#DIV/0!</v>
      </c>
      <c r="O20" s="260">
        <f t="shared" si="2"/>
        <v>2.1544346900318839E-2</v>
      </c>
      <c r="P20" s="260" t="e">
        <f t="shared" si="3"/>
        <v>#NUM!</v>
      </c>
      <c r="Q20" s="260">
        <f>1</f>
        <v>1</v>
      </c>
    </row>
    <row r="21" spans="1:17" ht="42.75" x14ac:dyDescent="0.3">
      <c r="A21" s="256" t="s">
        <v>161</v>
      </c>
      <c r="B21" s="515" t="s">
        <v>144</v>
      </c>
      <c r="C21" s="264" t="s">
        <v>203</v>
      </c>
      <c r="D21" s="246" t="s">
        <v>134</v>
      </c>
      <c r="E21" s="246" t="s">
        <v>204</v>
      </c>
      <c r="F21" s="251">
        <v>0.85</v>
      </c>
      <c r="G21" s="251">
        <v>25</v>
      </c>
      <c r="H21" s="250">
        <v>5</v>
      </c>
      <c r="I21" s="247">
        <v>0.5</v>
      </c>
      <c r="J21" s="248">
        <f t="shared" si="0"/>
        <v>0</v>
      </c>
      <c r="K21" s="249">
        <f t="shared" si="4"/>
        <v>48171048.223146312</v>
      </c>
      <c r="L21" s="259" t="e">
        <f t="shared" si="5"/>
        <v>#DIV/0!</v>
      </c>
      <c r="M21" s="249">
        <f t="shared" si="6"/>
        <v>43085495.349750258</v>
      </c>
      <c r="N21" s="260">
        <f t="shared" si="1"/>
        <v>5</v>
      </c>
      <c r="O21" s="260">
        <f t="shared" si="2"/>
        <v>1</v>
      </c>
      <c r="P21" s="260">
        <f t="shared" si="3"/>
        <v>0.22360679774997891</v>
      </c>
      <c r="Q21" s="260">
        <f>1</f>
        <v>1</v>
      </c>
    </row>
    <row r="22" spans="1:17" ht="42.75" x14ac:dyDescent="0.3">
      <c r="A22" s="256" t="s">
        <v>161</v>
      </c>
      <c r="B22" s="516"/>
      <c r="C22" s="264" t="s">
        <v>205</v>
      </c>
      <c r="D22" s="246" t="s">
        <v>134</v>
      </c>
      <c r="E22" s="246" t="s">
        <v>206</v>
      </c>
      <c r="F22" s="251">
        <v>0.85</v>
      </c>
      <c r="G22" s="251">
        <v>25</v>
      </c>
      <c r="H22" s="250">
        <v>5</v>
      </c>
      <c r="I22" s="247">
        <v>0.5</v>
      </c>
      <c r="J22" s="248">
        <f t="shared" si="0"/>
        <v>0</v>
      </c>
      <c r="K22" s="249">
        <f t="shared" si="4"/>
        <v>48171048.223146312</v>
      </c>
      <c r="L22" s="259" t="e">
        <f t="shared" si="5"/>
        <v>#DIV/0!</v>
      </c>
      <c r="M22" s="249">
        <f t="shared" si="6"/>
        <v>43085495.349750258</v>
      </c>
      <c r="N22" s="260">
        <f t="shared" si="1"/>
        <v>5</v>
      </c>
      <c r="O22" s="260">
        <f t="shared" si="2"/>
        <v>1</v>
      </c>
      <c r="P22" s="260">
        <f t="shared" si="3"/>
        <v>0.22360679774997891</v>
      </c>
      <c r="Q22" s="260">
        <f>1</f>
        <v>1</v>
      </c>
    </row>
    <row r="23" spans="1:17" ht="43.5" thickBot="1" x14ac:dyDescent="0.35">
      <c r="A23" s="256" t="s">
        <v>161</v>
      </c>
      <c r="B23" s="517"/>
      <c r="C23" s="264" t="s">
        <v>207</v>
      </c>
      <c r="D23" s="246" t="s">
        <v>134</v>
      </c>
      <c r="E23" s="246" t="s">
        <v>206</v>
      </c>
      <c r="F23" s="251">
        <v>0.85</v>
      </c>
      <c r="G23" s="251">
        <v>25</v>
      </c>
      <c r="H23" s="250">
        <v>5</v>
      </c>
      <c r="I23" s="247">
        <v>0.5</v>
      </c>
      <c r="J23" s="248">
        <f t="shared" si="0"/>
        <v>0</v>
      </c>
      <c r="K23" s="249">
        <f t="shared" si="4"/>
        <v>48171048.223146312</v>
      </c>
      <c r="L23" s="259" t="e">
        <f t="shared" si="5"/>
        <v>#DIV/0!</v>
      </c>
      <c r="M23" s="249">
        <f t="shared" si="6"/>
        <v>43085495.349750258</v>
      </c>
      <c r="N23" s="260">
        <f t="shared" si="1"/>
        <v>5</v>
      </c>
      <c r="O23" s="260">
        <f t="shared" si="2"/>
        <v>1</v>
      </c>
      <c r="P23" s="260">
        <f t="shared" si="3"/>
        <v>0.22360679774997891</v>
      </c>
      <c r="Q23" s="260">
        <f>1</f>
        <v>1</v>
      </c>
    </row>
  </sheetData>
  <protectedRanges>
    <protectedRange sqref="K15:L15" name="Capacitor"/>
    <protectedRange sqref="B16 B18:B19 B22:B23" name="Plage1_2_4"/>
    <protectedRange sqref="D16:D19" name="Plage1_1_1_4"/>
  </protectedRanges>
  <autoFilter ref="A15:P15"/>
  <customSheetViews>
    <customSheetView guid="{D9820A12-A1B3-4B5E-9269-F628D77B6202}" scale="85" showAutoFilter="1">
      <pane ySplit="14" topLeftCell="A15" activePane="bottomLeft" state="frozen"/>
      <selection pane="bottomLeft" activeCell="O32" sqref="O32"/>
      <pageMargins left="0.78740157499999996" right="0.78740157499999996" top="0.984251969" bottom="0.984251969" header="0.4921259845" footer="0.4921259845"/>
      <pageSetup paperSize="9" orientation="portrait" r:id="rId1"/>
      <headerFooter alignWithMargins="0"/>
      <autoFilter ref="A14:M62"/>
    </customSheetView>
  </customSheetViews>
  <mergeCells count="22">
    <mergeCell ref="B17:B19"/>
    <mergeCell ref="C20:E20"/>
    <mergeCell ref="G20:I20"/>
    <mergeCell ref="B21:B23"/>
    <mergeCell ref="F2:F10"/>
    <mergeCell ref="G2:J2"/>
    <mergeCell ref="G3:I3"/>
    <mergeCell ref="F14:G14"/>
    <mergeCell ref="H5:I5"/>
    <mergeCell ref="H4:I4"/>
    <mergeCell ref="H6:I6"/>
    <mergeCell ref="H7:I7"/>
    <mergeCell ref="H8:I8"/>
    <mergeCell ref="H9:I9"/>
    <mergeCell ref="G4:G5"/>
    <mergeCell ref="G6:G7"/>
    <mergeCell ref="G8:G9"/>
    <mergeCell ref="K14:L14"/>
    <mergeCell ref="H14:J14"/>
    <mergeCell ref="G10:J10"/>
    <mergeCell ref="G11:I11"/>
    <mergeCell ref="G12:I12"/>
  </mergeCells>
  <phoneticPr fontId="0" type="noConversion"/>
  <conditionalFormatting sqref="L16:L21 L23">
    <cfRule type="cellIs" priority="6" stopIfTrue="1" operator="equal">
      <formula>"-"</formula>
    </cfRule>
    <cfRule type="expression" dxfId="25" priority="7">
      <formula>IF($L16&lt;$J$3, "vrai", "faux")</formula>
    </cfRule>
    <cfRule type="expression" dxfId="24" priority="8">
      <formula>IF($L16&gt;=$J$3, "vrai", "faux")</formula>
    </cfRule>
  </conditionalFormatting>
  <conditionalFormatting sqref="K16:Q21 K23:Q23">
    <cfRule type="expression" dxfId="23" priority="5">
      <formula>NOT(EstUneFormule(K16))</formula>
    </cfRule>
  </conditionalFormatting>
  <conditionalFormatting sqref="L22">
    <cfRule type="cellIs" priority="2" stopIfTrue="1" operator="equal">
      <formula>"-"</formula>
    </cfRule>
    <cfRule type="expression" dxfId="22" priority="3">
      <formula>IF($L22&lt;$J$3, "vrai", "faux")</formula>
    </cfRule>
    <cfRule type="expression" dxfId="21" priority="4">
      <formula>IF($L22&gt;=$J$3, "vrai", "faux")</formula>
    </cfRule>
  </conditionalFormatting>
  <conditionalFormatting sqref="K22:Q22">
    <cfRule type="expression" dxfId="20" priority="1">
      <formula>NOT(EstUneFormule(K22))</formula>
    </cfRule>
  </conditionalFormatting>
  <dataValidations count="1">
    <dataValidation type="list" allowBlank="1" showInputMessage="1" showErrorMessage="1" sqref="F16:F23">
      <formula1>$F$11:$F$12</formula1>
    </dataValidation>
  </dataValidations>
  <pageMargins left="0.78740157499999996" right="0.78740157499999996" top="0.984251969" bottom="0.984251969" header="0.4921259845" footer="0.4921259845"/>
  <pageSetup paperSize="9" orientation="portrait" r:id="rId2"/>
  <headerFooter alignWithMargins="0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/>
  </sheetPr>
  <dimension ref="A1:R20"/>
  <sheetViews>
    <sheetView zoomScale="75" zoomScaleNormal="75" workbookViewId="0">
      <pane ySplit="15" topLeftCell="A16" activePane="bottomLeft" state="frozen"/>
      <selection activeCell="A36" sqref="A36:A41"/>
      <selection pane="bottomLeft" activeCell="A21" sqref="A21:G35"/>
    </sheetView>
  </sheetViews>
  <sheetFormatPr baseColWidth="10" defaultRowHeight="14.25" outlineLevelRow="1" outlineLevelCol="1" x14ac:dyDescent="0.3"/>
  <cols>
    <col min="1" max="2" width="11.42578125" style="103" customWidth="1"/>
    <col min="3" max="3" width="11.42578125" style="58" customWidth="1"/>
    <col min="4" max="5" width="19.85546875" style="59" customWidth="1"/>
    <col min="6" max="6" width="14.42578125" style="60" customWidth="1" outlineLevel="1"/>
    <col min="7" max="7" width="14.42578125" style="202" customWidth="1" outlineLevel="1"/>
    <col min="8" max="10" width="14.42578125" style="58" customWidth="1" outlineLevel="1"/>
    <col min="11" max="11" width="14.42578125" style="203" customWidth="1" outlineLevel="1"/>
    <col min="12" max="12" width="14.28515625" style="204" customWidth="1"/>
    <col min="13" max="13" width="14.28515625" style="61" customWidth="1"/>
    <col min="14" max="14" width="12.85546875" style="205" customWidth="1" outlineLevel="1"/>
    <col min="15" max="15" width="8.5703125" style="206" customWidth="1" outlineLevel="1"/>
    <col min="16" max="16" width="11" style="207" customWidth="1" outlineLevel="1"/>
    <col min="17" max="17" width="8.5703125" style="206" customWidth="1" outlineLevel="1"/>
    <col min="18" max="18" width="8.5703125" style="103" customWidth="1" outlineLevel="1"/>
    <col min="19" max="16384" width="11.42578125" style="103"/>
  </cols>
  <sheetData>
    <row r="1" spans="1:18" ht="15" outlineLevel="1" thickBot="1" x14ac:dyDescent="0.35"/>
    <row r="2" spans="1:18" outlineLevel="1" x14ac:dyDescent="0.3">
      <c r="F2" s="522" t="s">
        <v>22</v>
      </c>
      <c r="G2" s="439" t="s">
        <v>12</v>
      </c>
      <c r="H2" s="421"/>
      <c r="I2" s="421"/>
      <c r="J2" s="421"/>
      <c r="K2" s="422"/>
    </row>
    <row r="3" spans="1:18" ht="12.75" customHeight="1" outlineLevel="1" x14ac:dyDescent="0.3">
      <c r="F3" s="523"/>
      <c r="G3" s="487" t="s">
        <v>5</v>
      </c>
      <c r="H3" s="423"/>
      <c r="I3" s="423"/>
      <c r="J3" s="424"/>
      <c r="K3" s="62">
        <f>'Mission Profil &amp; Synthesis'!D9</f>
        <v>0</v>
      </c>
      <c r="L3" s="61"/>
      <c r="M3" s="205"/>
    </row>
    <row r="4" spans="1:18" outlineLevel="1" x14ac:dyDescent="0.3">
      <c r="F4" s="523"/>
      <c r="G4" s="208" t="s">
        <v>1</v>
      </c>
      <c r="H4" s="414" t="s">
        <v>3</v>
      </c>
      <c r="I4" s="525"/>
      <c r="J4" s="415"/>
      <c r="K4" s="63">
        <f>'Mission Profil &amp; Synthesis'!D15</f>
        <v>0</v>
      </c>
      <c r="L4" s="61"/>
      <c r="M4" s="205"/>
    </row>
    <row r="5" spans="1:18" outlineLevel="1" x14ac:dyDescent="0.3">
      <c r="F5" s="523"/>
      <c r="G5" s="209"/>
      <c r="H5" s="414" t="s">
        <v>4</v>
      </c>
      <c r="I5" s="525"/>
      <c r="J5" s="415"/>
      <c r="K5" s="64">
        <f>'Mission Profil &amp; Synthesis'!D16</f>
        <v>0</v>
      </c>
      <c r="L5" s="61"/>
      <c r="M5" s="205"/>
    </row>
    <row r="6" spans="1:18" outlineLevel="1" x14ac:dyDescent="0.3">
      <c r="F6" s="523"/>
      <c r="G6" s="210" t="s">
        <v>0</v>
      </c>
      <c r="H6" s="429" t="s">
        <v>3</v>
      </c>
      <c r="I6" s="526"/>
      <c r="J6" s="430"/>
      <c r="K6" s="66">
        <f>'Mission Profil &amp; Synthesis'!D18</f>
        <v>0</v>
      </c>
      <c r="L6" s="61"/>
      <c r="M6" s="205"/>
    </row>
    <row r="7" spans="1:18" outlineLevel="1" x14ac:dyDescent="0.3">
      <c r="F7" s="523"/>
      <c r="G7" s="211"/>
      <c r="H7" s="429" t="s">
        <v>4</v>
      </c>
      <c r="I7" s="526"/>
      <c r="J7" s="430"/>
      <c r="K7" s="67">
        <f>'Mission Profil &amp; Synthesis'!D19</f>
        <v>0</v>
      </c>
      <c r="L7" s="61"/>
    </row>
    <row r="8" spans="1:18" outlineLevel="1" x14ac:dyDescent="0.3">
      <c r="F8" s="523"/>
      <c r="G8" s="208" t="s">
        <v>2</v>
      </c>
      <c r="H8" s="414" t="s">
        <v>3</v>
      </c>
      <c r="I8" s="525"/>
      <c r="J8" s="415"/>
      <c r="K8" s="63">
        <f>'Mission Profil &amp; Synthesis'!D21</f>
        <v>0</v>
      </c>
      <c r="L8" s="61"/>
      <c r="M8" s="205"/>
    </row>
    <row r="9" spans="1:18" ht="15" outlineLevel="1" thickBot="1" x14ac:dyDescent="0.35">
      <c r="F9" s="523"/>
      <c r="G9" s="212"/>
      <c r="H9" s="416" t="s">
        <v>4</v>
      </c>
      <c r="I9" s="512"/>
      <c r="J9" s="417"/>
      <c r="K9" s="68">
        <f>'Mission Profil &amp; Synthesis'!D22</f>
        <v>0</v>
      </c>
      <c r="L9" s="61"/>
      <c r="M9" s="205"/>
    </row>
    <row r="10" spans="1:18" outlineLevel="1" x14ac:dyDescent="0.3">
      <c r="F10" s="523"/>
      <c r="G10" s="440" t="s">
        <v>13</v>
      </c>
      <c r="H10" s="441"/>
      <c r="I10" s="441"/>
      <c r="J10" s="441"/>
      <c r="K10" s="442"/>
      <c r="L10" s="61"/>
      <c r="M10" s="205"/>
    </row>
    <row r="11" spans="1:18" outlineLevel="1" x14ac:dyDescent="0.3">
      <c r="F11" s="523"/>
      <c r="G11" s="508" t="s">
        <v>118</v>
      </c>
      <c r="H11" s="509"/>
      <c r="I11" s="509"/>
      <c r="J11" s="510"/>
      <c r="K11" s="105">
        <f>'Mission Profil &amp; Synthesis'!D24</f>
        <v>0</v>
      </c>
      <c r="L11" s="61"/>
      <c r="M11" s="205"/>
    </row>
    <row r="12" spans="1:18" ht="15" outlineLevel="1" thickBot="1" x14ac:dyDescent="0.35">
      <c r="F12" s="524"/>
      <c r="G12" s="511" t="s">
        <v>110</v>
      </c>
      <c r="H12" s="512"/>
      <c r="I12" s="512"/>
      <c r="J12" s="417"/>
      <c r="K12" s="106">
        <f>'Mission Profil &amp; Synthesis'!D26</f>
        <v>0</v>
      </c>
      <c r="L12" s="61"/>
      <c r="M12" s="205"/>
    </row>
    <row r="13" spans="1:18" ht="15" thickBot="1" x14ac:dyDescent="0.35">
      <c r="L13" s="61"/>
      <c r="M13" s="205"/>
      <c r="N13" s="206"/>
      <c r="Q13" s="103"/>
    </row>
    <row r="14" spans="1:18" s="118" customFormat="1" ht="15" thickBot="1" x14ac:dyDescent="0.25">
      <c r="B14" s="97"/>
      <c r="C14" s="97"/>
      <c r="D14" s="97"/>
      <c r="E14" s="97"/>
      <c r="F14" s="531" t="s">
        <v>11</v>
      </c>
      <c r="G14" s="532"/>
      <c r="H14" s="533"/>
      <c r="I14" s="505" t="s">
        <v>9</v>
      </c>
      <c r="J14" s="506"/>
      <c r="K14" s="507"/>
      <c r="L14" s="491" t="s">
        <v>10</v>
      </c>
      <c r="M14" s="492"/>
      <c r="N14" s="119"/>
      <c r="O14" s="120"/>
      <c r="P14" s="121"/>
      <c r="Q14" s="120"/>
    </row>
    <row r="15" spans="1:18" s="117" customFormat="1" ht="90" customHeight="1" thickBot="1" x14ac:dyDescent="0.25">
      <c r="A15" s="112" t="s">
        <v>8</v>
      </c>
      <c r="B15" s="113" t="s">
        <v>14</v>
      </c>
      <c r="C15" s="84" t="s">
        <v>117</v>
      </c>
      <c r="D15" s="84" t="s">
        <v>15</v>
      </c>
      <c r="E15" s="114" t="s">
        <v>28</v>
      </c>
      <c r="F15" s="86" t="s">
        <v>93</v>
      </c>
      <c r="G15" s="87" t="s">
        <v>94</v>
      </c>
      <c r="H15" s="122" t="s">
        <v>95</v>
      </c>
      <c r="I15" s="123" t="s">
        <v>96</v>
      </c>
      <c r="J15" s="124" t="s">
        <v>30</v>
      </c>
      <c r="K15" s="116" t="s">
        <v>109</v>
      </c>
      <c r="L15" s="125" t="s">
        <v>39</v>
      </c>
      <c r="M15" s="126" t="s">
        <v>53</v>
      </c>
      <c r="N15" s="235" t="s">
        <v>104</v>
      </c>
      <c r="O15" s="196" t="s">
        <v>105</v>
      </c>
      <c r="P15" s="197" t="s">
        <v>106</v>
      </c>
      <c r="Q15" s="196" t="s">
        <v>107</v>
      </c>
      <c r="R15" s="236" t="s">
        <v>108</v>
      </c>
    </row>
    <row r="16" spans="1:18" ht="42.75" x14ac:dyDescent="0.3">
      <c r="A16" s="256" t="s">
        <v>161</v>
      </c>
      <c r="B16" s="527" t="s">
        <v>150</v>
      </c>
      <c r="C16" s="318" t="s">
        <v>216</v>
      </c>
      <c r="D16" s="319" t="s">
        <v>127</v>
      </c>
      <c r="E16" s="245" t="s">
        <v>217</v>
      </c>
      <c r="F16" s="265">
        <v>50</v>
      </c>
      <c r="G16" s="265">
        <v>5</v>
      </c>
      <c r="H16" s="320">
        <v>0.8</v>
      </c>
      <c r="I16" s="269">
        <v>5</v>
      </c>
      <c r="J16" s="321">
        <v>0.25</v>
      </c>
      <c r="K16" s="261">
        <f t="shared" ref="K16:K20" si="0">$K$11+$K$12</f>
        <v>0</v>
      </c>
      <c r="L16" s="249">
        <f t="shared" ref="L16:L20" si="1">IF(H16="","-",N16*O16*P16*Q16*R16)</f>
        <v>324834116.95333672</v>
      </c>
      <c r="M16" s="259" t="e">
        <f>IF(H16="","-",IF(L16/($K$4*$K$5+$K$6*$K$7+$K$8*$K$9)&gt;50,"&gt;50 years",L16/($K$4*$K$5+$K$6*$K$7+$K$8*$K$9)))</f>
        <v>#DIV/0!</v>
      </c>
      <c r="N16" s="249">
        <f t="shared" ref="N16:N20" si="2">0.4*EXP(4640/(K16+273))</f>
        <v>9626653.9704691879</v>
      </c>
      <c r="O16" s="260">
        <f t="shared" ref="O16:O20" si="3">F16/I16</f>
        <v>10</v>
      </c>
      <c r="P16" s="260">
        <f>IF(J16&gt;H16,0.02,IF(J16/H16&lt;0.5,POWER(7,(1-2*J16/H16)/0.6),POWER(0.1,(2*J16/H16-1)/0.6)))</f>
        <v>3.3743200695672746</v>
      </c>
      <c r="Q16" s="260">
        <f t="shared" ref="Q16:Q20" si="4">IF(I16&lt;=G16,1,EXP(((LN(7)-LN(1))/(LN(F16)-LN(G16)))*LN(I16)+LN(7)-(((LN(7)-LN(1))/(LN(F16)-LN(G16)))*LN(F16))))</f>
        <v>1</v>
      </c>
      <c r="R16" s="260">
        <f>1</f>
        <v>1</v>
      </c>
    </row>
    <row r="17" spans="1:18" ht="42.75" x14ac:dyDescent="0.3">
      <c r="A17" s="256" t="s">
        <v>161</v>
      </c>
      <c r="B17" s="527"/>
      <c r="C17" s="318" t="s">
        <v>218</v>
      </c>
      <c r="D17" s="319" t="s">
        <v>127</v>
      </c>
      <c r="E17" s="245" t="s">
        <v>217</v>
      </c>
      <c r="F17" s="265">
        <v>50</v>
      </c>
      <c r="G17" s="265">
        <v>5</v>
      </c>
      <c r="H17" s="320">
        <v>0.8</v>
      </c>
      <c r="I17" s="269">
        <v>5</v>
      </c>
      <c r="J17" s="321">
        <v>0.25</v>
      </c>
      <c r="K17" s="261">
        <f t="shared" si="0"/>
        <v>0</v>
      </c>
      <c r="L17" s="249">
        <f t="shared" si="1"/>
        <v>324834116.95333672</v>
      </c>
      <c r="M17" s="259" t="e">
        <f t="shared" ref="M17:M20" si="5">IF(H17="","-",IF(L17/($K$4*$K$5+$K$6*$K$7+$K$8*$K$9)&gt;50,"&gt;50 years",L17/($K$4*$K$5+$K$6*$K$7+$K$8*$K$9)))</f>
        <v>#DIV/0!</v>
      </c>
      <c r="N17" s="249">
        <f t="shared" si="2"/>
        <v>9626653.9704691879</v>
      </c>
      <c r="O17" s="260">
        <f t="shared" si="3"/>
        <v>10</v>
      </c>
      <c r="P17" s="260">
        <f t="shared" ref="P17:P20" si="6">IF(J17&gt;H17,0.02,IF(J17/H17&lt;0.5,POWER(7,(1-2*J17/H17)/0.6),POWER(0.1,(2*J17/H17-1)/0.6)))</f>
        <v>3.3743200695672746</v>
      </c>
      <c r="Q17" s="260">
        <f t="shared" si="4"/>
        <v>1</v>
      </c>
      <c r="R17" s="260">
        <f>1</f>
        <v>1</v>
      </c>
    </row>
    <row r="18" spans="1:18" ht="42.75" x14ac:dyDescent="0.3">
      <c r="A18" s="256" t="s">
        <v>161</v>
      </c>
      <c r="B18" s="322" t="s">
        <v>147</v>
      </c>
      <c r="C18" s="528" t="s">
        <v>141</v>
      </c>
      <c r="D18" s="529"/>
      <c r="E18" s="529"/>
      <c r="F18" s="529"/>
      <c r="G18" s="529"/>
      <c r="H18" s="529"/>
      <c r="I18" s="529"/>
      <c r="J18" s="530"/>
      <c r="K18" s="261">
        <f t="shared" si="0"/>
        <v>0</v>
      </c>
      <c r="L18" s="249" t="str">
        <f t="shared" si="1"/>
        <v>-</v>
      </c>
      <c r="M18" s="259" t="str">
        <f t="shared" si="5"/>
        <v>-</v>
      </c>
      <c r="N18" s="249">
        <f t="shared" si="2"/>
        <v>9626653.9704691879</v>
      </c>
      <c r="O18" s="260" t="e">
        <f t="shared" si="3"/>
        <v>#DIV/0!</v>
      </c>
      <c r="P18" s="260" t="e">
        <f t="shared" si="6"/>
        <v>#DIV/0!</v>
      </c>
      <c r="Q18" s="260">
        <f t="shared" si="4"/>
        <v>1</v>
      </c>
      <c r="R18" s="260">
        <f>1</f>
        <v>1</v>
      </c>
    </row>
    <row r="19" spans="1:18" ht="42.75" x14ac:dyDescent="0.3">
      <c r="A19" s="256" t="s">
        <v>161</v>
      </c>
      <c r="B19" s="323" t="s">
        <v>146</v>
      </c>
      <c r="C19" s="528" t="s">
        <v>141</v>
      </c>
      <c r="D19" s="529"/>
      <c r="E19" s="529"/>
      <c r="F19" s="529"/>
      <c r="G19" s="529"/>
      <c r="H19" s="529"/>
      <c r="I19" s="529"/>
      <c r="J19" s="530"/>
      <c r="K19" s="261">
        <f t="shared" si="0"/>
        <v>0</v>
      </c>
      <c r="L19" s="249" t="str">
        <f t="shared" si="1"/>
        <v>-</v>
      </c>
      <c r="M19" s="259" t="str">
        <f t="shared" si="5"/>
        <v>-</v>
      </c>
      <c r="N19" s="249">
        <f t="shared" si="2"/>
        <v>9626653.9704691879</v>
      </c>
      <c r="O19" s="260" t="e">
        <f t="shared" si="3"/>
        <v>#DIV/0!</v>
      </c>
      <c r="P19" s="260" t="e">
        <f t="shared" si="6"/>
        <v>#DIV/0!</v>
      </c>
      <c r="Q19" s="260">
        <f t="shared" si="4"/>
        <v>1</v>
      </c>
      <c r="R19" s="260">
        <f>1</f>
        <v>1</v>
      </c>
    </row>
    <row r="20" spans="1:18" ht="42.75" x14ac:dyDescent="0.3">
      <c r="A20" s="256" t="s">
        <v>161</v>
      </c>
      <c r="B20" s="324" t="s">
        <v>144</v>
      </c>
      <c r="C20" s="528" t="s">
        <v>141</v>
      </c>
      <c r="D20" s="529"/>
      <c r="E20" s="529"/>
      <c r="F20" s="529"/>
      <c r="G20" s="529"/>
      <c r="H20" s="529"/>
      <c r="I20" s="529"/>
      <c r="J20" s="530"/>
      <c r="K20" s="261">
        <f t="shared" si="0"/>
        <v>0</v>
      </c>
      <c r="L20" s="249" t="str">
        <f t="shared" si="1"/>
        <v>-</v>
      </c>
      <c r="M20" s="259" t="str">
        <f t="shared" si="5"/>
        <v>-</v>
      </c>
      <c r="N20" s="249">
        <f t="shared" si="2"/>
        <v>9626653.9704691879</v>
      </c>
      <c r="O20" s="260" t="e">
        <f t="shared" si="3"/>
        <v>#DIV/0!</v>
      </c>
      <c r="P20" s="260" t="e">
        <f t="shared" si="6"/>
        <v>#DIV/0!</v>
      </c>
      <c r="Q20" s="260">
        <f t="shared" si="4"/>
        <v>1</v>
      </c>
      <c r="R20" s="260">
        <f>1</f>
        <v>1</v>
      </c>
    </row>
  </sheetData>
  <sheetProtection formatCells="0" formatColumns="0" formatRows="0" insertColumns="0" insertRows="0" insertHyperlinks="0" deleteColumns="0" deleteRows="0" sort="0" autoFilter="0" pivotTables="0"/>
  <protectedRanges>
    <protectedRange sqref="L15:M15" name="Capacitor"/>
    <protectedRange sqref="C18:J20" name="Plage1_8"/>
    <protectedRange sqref="B16:B17" name="Plage1_1_7"/>
  </protectedRanges>
  <autoFilter ref="A15:Q15"/>
  <customSheetViews>
    <customSheetView guid="{D9820A12-A1B3-4B5E-9269-F628D77B6202}" showAutoFilter="1" topLeftCell="E1">
      <pane ySplit="15" topLeftCell="A16" activePane="bottomLeft" state="frozen"/>
      <selection pane="bottomLeft" activeCell="O14" sqref="O14:P15"/>
      <pageMargins left="0.78740157499999996" right="0.78740157499999996" top="0.984251969" bottom="0.984251969" header="0.4921259845" footer="0.4921259845"/>
      <pageSetup paperSize="9" orientation="portrait" r:id="rId1"/>
      <headerFooter alignWithMargins="0"/>
      <autoFilter ref="A15:N63"/>
    </customSheetView>
  </customSheetViews>
  <mergeCells count="19">
    <mergeCell ref="B16:B17"/>
    <mergeCell ref="C18:J18"/>
    <mergeCell ref="C19:J19"/>
    <mergeCell ref="C20:J20"/>
    <mergeCell ref="F14:H14"/>
    <mergeCell ref="I14:K14"/>
    <mergeCell ref="L14:M14"/>
    <mergeCell ref="F2:F12"/>
    <mergeCell ref="G2:K2"/>
    <mergeCell ref="G3:J3"/>
    <mergeCell ref="H4:J4"/>
    <mergeCell ref="H5:J5"/>
    <mergeCell ref="H6:J6"/>
    <mergeCell ref="H8:J8"/>
    <mergeCell ref="H9:J9"/>
    <mergeCell ref="G11:J11"/>
    <mergeCell ref="G10:K10"/>
    <mergeCell ref="G12:J12"/>
    <mergeCell ref="H7:J7"/>
  </mergeCells>
  <phoneticPr fontId="0" type="noConversion"/>
  <conditionalFormatting sqref="M16:M20">
    <cfRule type="cellIs" priority="2" stopIfTrue="1" operator="equal">
      <formula>"-"</formula>
    </cfRule>
    <cfRule type="expression" dxfId="19" priority="3">
      <formula>IF($M16&lt;$K$3, "vrai", "faux")</formula>
    </cfRule>
    <cfRule type="expression" dxfId="18" priority="4">
      <formula>IF($M16&gt;=$K$3,"vrai", "faux")</formula>
    </cfRule>
  </conditionalFormatting>
  <conditionalFormatting sqref="K16:R20">
    <cfRule type="expression" dxfId="17" priority="1">
      <formula>NOT(EstUneFormule(K16))</formula>
    </cfRule>
  </conditionalFormatting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6"/>
  </sheetPr>
  <dimension ref="A1:O19"/>
  <sheetViews>
    <sheetView zoomScale="75" zoomScaleNormal="75" workbookViewId="0">
      <pane ySplit="14" topLeftCell="A15" activePane="bottomLeft" state="frozen"/>
      <selection pane="bottomLeft" activeCell="F23" sqref="F23"/>
    </sheetView>
  </sheetViews>
  <sheetFormatPr baseColWidth="10" defaultRowHeight="14.25" outlineLevelRow="1" outlineLevelCol="1" x14ac:dyDescent="0.3"/>
  <cols>
    <col min="1" max="2" width="11.42578125" style="103" customWidth="1"/>
    <col min="3" max="3" width="11.5703125" style="58" customWidth="1"/>
    <col min="4" max="5" width="20" style="58" customWidth="1"/>
    <col min="6" max="6" width="14.28515625" style="58" customWidth="1" outlineLevel="1"/>
    <col min="7" max="7" width="17.28515625" style="58" customWidth="1" outlineLevel="1"/>
    <col min="8" max="8" width="14.28515625" style="58" customWidth="1" outlineLevel="1"/>
    <col min="9" max="9" width="21.42578125" style="58" customWidth="1"/>
    <col min="10" max="10" width="14.28515625" style="58" customWidth="1"/>
    <col min="11" max="11" width="14.28515625" style="104" customWidth="1"/>
    <col min="12" max="15" width="14.28515625" style="58" customWidth="1"/>
    <col min="16" max="16384" width="11.42578125" style="103"/>
  </cols>
  <sheetData>
    <row r="1" spans="1:15" ht="15" outlineLevel="1" thickBot="1" x14ac:dyDescent="0.35"/>
    <row r="2" spans="1:15" outlineLevel="1" x14ac:dyDescent="0.3">
      <c r="C2" s="103"/>
      <c r="D2" s="103"/>
      <c r="E2" s="103"/>
      <c r="F2" s="522" t="s">
        <v>22</v>
      </c>
      <c r="G2" s="551" t="s">
        <v>12</v>
      </c>
      <c r="H2" s="552"/>
      <c r="I2" s="552"/>
      <c r="J2" s="552"/>
      <c r="K2" s="553"/>
      <c r="L2" s="103"/>
    </row>
    <row r="3" spans="1:15" outlineLevel="1" x14ac:dyDescent="0.3">
      <c r="C3" s="103"/>
      <c r="D3" s="103"/>
      <c r="E3" s="103"/>
      <c r="F3" s="523"/>
      <c r="G3" s="554" t="s">
        <v>5</v>
      </c>
      <c r="H3" s="555"/>
      <c r="I3" s="555"/>
      <c r="J3" s="555"/>
      <c r="K3" s="62">
        <f>'Mission Profil &amp; Synthesis'!D9</f>
        <v>0</v>
      </c>
      <c r="L3" s="103"/>
    </row>
    <row r="4" spans="1:15" outlineLevel="1" x14ac:dyDescent="0.3">
      <c r="C4" s="103"/>
      <c r="D4" s="103"/>
      <c r="E4" s="103"/>
      <c r="F4" s="523"/>
      <c r="G4" s="535" t="s">
        <v>1</v>
      </c>
      <c r="H4" s="537" t="s">
        <v>3</v>
      </c>
      <c r="I4" s="537"/>
      <c r="J4" s="537"/>
      <c r="K4" s="63">
        <f>'Mission Profil &amp; Synthesis'!D15</f>
        <v>0</v>
      </c>
      <c r="L4" s="103"/>
    </row>
    <row r="5" spans="1:15" outlineLevel="1" x14ac:dyDescent="0.3">
      <c r="C5" s="103"/>
      <c r="D5" s="103"/>
      <c r="E5" s="103"/>
      <c r="F5" s="523"/>
      <c r="G5" s="535"/>
      <c r="H5" s="537" t="s">
        <v>4</v>
      </c>
      <c r="I5" s="537"/>
      <c r="J5" s="537"/>
      <c r="K5" s="64">
        <f>'Mission Profil &amp; Synthesis'!D16</f>
        <v>0</v>
      </c>
      <c r="L5" s="103"/>
    </row>
    <row r="6" spans="1:15" outlineLevel="1" x14ac:dyDescent="0.3">
      <c r="C6" s="103"/>
      <c r="D6" s="103"/>
      <c r="E6" s="103"/>
      <c r="F6" s="523"/>
      <c r="G6" s="556" t="s">
        <v>0</v>
      </c>
      <c r="H6" s="534" t="s">
        <v>3</v>
      </c>
      <c r="I6" s="534"/>
      <c r="J6" s="534"/>
      <c r="K6" s="66">
        <f>'Mission Profil &amp; Synthesis'!D18</f>
        <v>0</v>
      </c>
      <c r="L6" s="103"/>
    </row>
    <row r="7" spans="1:15" outlineLevel="1" x14ac:dyDescent="0.3">
      <c r="C7" s="103"/>
      <c r="D7" s="103"/>
      <c r="E7" s="103"/>
      <c r="F7" s="523"/>
      <c r="G7" s="556"/>
      <c r="H7" s="534" t="s">
        <v>4</v>
      </c>
      <c r="I7" s="534"/>
      <c r="J7" s="534"/>
      <c r="K7" s="67">
        <f>'Mission Profil &amp; Synthesis'!D19</f>
        <v>0</v>
      </c>
      <c r="L7" s="103"/>
    </row>
    <row r="8" spans="1:15" outlineLevel="1" x14ac:dyDescent="0.3">
      <c r="C8" s="103"/>
      <c r="D8" s="103"/>
      <c r="E8" s="103"/>
      <c r="F8" s="523"/>
      <c r="G8" s="535" t="s">
        <v>2</v>
      </c>
      <c r="H8" s="537" t="s">
        <v>3</v>
      </c>
      <c r="I8" s="537"/>
      <c r="J8" s="537"/>
      <c r="K8" s="63">
        <f>'Mission Profil &amp; Synthesis'!D21</f>
        <v>0</v>
      </c>
      <c r="L8" s="103"/>
    </row>
    <row r="9" spans="1:15" ht="15" outlineLevel="1" thickBot="1" x14ac:dyDescent="0.35">
      <c r="C9" s="103"/>
      <c r="D9" s="103"/>
      <c r="E9" s="103"/>
      <c r="F9" s="523"/>
      <c r="G9" s="536"/>
      <c r="H9" s="538" t="s">
        <v>4</v>
      </c>
      <c r="I9" s="538"/>
      <c r="J9" s="538"/>
      <c r="K9" s="68">
        <f>'Mission Profil &amp; Synthesis'!D22</f>
        <v>0</v>
      </c>
      <c r="L9" s="103"/>
    </row>
    <row r="10" spans="1:15" outlineLevel="1" x14ac:dyDescent="0.3">
      <c r="C10" s="103"/>
      <c r="D10" s="103"/>
      <c r="E10" s="103"/>
      <c r="F10" s="523"/>
      <c r="G10" s="539">
        <f>'Mission Profil &amp; Synthesis'!$C$23</f>
        <v>0</v>
      </c>
      <c r="H10" s="540"/>
      <c r="I10" s="540"/>
      <c r="J10" s="540"/>
      <c r="K10" s="541"/>
      <c r="L10" s="103"/>
    </row>
    <row r="11" spans="1:15" ht="15" outlineLevel="1" thickBot="1" x14ac:dyDescent="0.35">
      <c r="C11" s="103"/>
      <c r="D11" s="103"/>
      <c r="E11" s="103"/>
      <c r="F11" s="524"/>
      <c r="G11" s="542" t="s">
        <v>111</v>
      </c>
      <c r="H11" s="543"/>
      <c r="I11" s="543"/>
      <c r="J11" s="544"/>
      <c r="K11" s="106">
        <f>'Mission Profil &amp; Synthesis'!$D$28</f>
        <v>0</v>
      </c>
      <c r="L11" s="103"/>
    </row>
    <row r="12" spans="1:15" s="107" customFormat="1" ht="15" thickBot="1" x14ac:dyDescent="0.35">
      <c r="B12" s="97"/>
      <c r="C12" s="97"/>
      <c r="D12" s="108"/>
      <c r="E12" s="108"/>
      <c r="L12" s="108"/>
      <c r="M12" s="108"/>
      <c r="N12" s="108"/>
      <c r="O12" s="108"/>
    </row>
    <row r="13" spans="1:15" s="109" customFormat="1" ht="45" customHeight="1" thickBot="1" x14ac:dyDescent="0.35">
      <c r="B13" s="110"/>
      <c r="C13" s="110"/>
      <c r="D13" s="111"/>
      <c r="E13" s="111"/>
      <c r="F13" s="547" t="s">
        <v>9</v>
      </c>
      <c r="G13" s="548"/>
      <c r="H13" s="549" t="s">
        <v>33</v>
      </c>
      <c r="I13" s="81" t="s">
        <v>24</v>
      </c>
      <c r="J13" s="545" t="s">
        <v>51</v>
      </c>
      <c r="K13" s="546"/>
    </row>
    <row r="14" spans="1:15" s="117" customFormat="1" ht="72" thickBot="1" x14ac:dyDescent="0.25">
      <c r="A14" s="112" t="s">
        <v>8</v>
      </c>
      <c r="B14" s="113" t="s">
        <v>14</v>
      </c>
      <c r="C14" s="84" t="s">
        <v>117</v>
      </c>
      <c r="D14" s="84" t="s">
        <v>15</v>
      </c>
      <c r="E14" s="114" t="s">
        <v>28</v>
      </c>
      <c r="F14" s="115" t="s">
        <v>32</v>
      </c>
      <c r="G14" s="116" t="s">
        <v>54</v>
      </c>
      <c r="H14" s="550"/>
      <c r="I14" s="90" t="s">
        <v>55</v>
      </c>
      <c r="J14" s="91" t="s">
        <v>39</v>
      </c>
      <c r="K14" s="92" t="s">
        <v>53</v>
      </c>
    </row>
    <row r="15" spans="1:15" ht="42.75" x14ac:dyDescent="0.3">
      <c r="A15" s="256" t="s">
        <v>161</v>
      </c>
      <c r="B15" s="527" t="s">
        <v>150</v>
      </c>
      <c r="C15" s="251" t="s">
        <v>219</v>
      </c>
      <c r="D15" s="246" t="s">
        <v>220</v>
      </c>
      <c r="E15" s="246" t="s">
        <v>221</v>
      </c>
      <c r="F15" s="248">
        <f>$K$11</f>
        <v>0</v>
      </c>
      <c r="G15" s="246"/>
      <c r="H15" s="249">
        <f t="shared" ref="H15:H19" si="0">IF(F15="","-",10000000*EXP(-0.05*F15))</f>
        <v>10000000</v>
      </c>
      <c r="I15" s="246" t="e">
        <f>IF(F15="","-",TRUNC(H15/($K$3*($K$4*$K$5/24+$K$6*$K$7/24+$K$8*$K$9/24)),0))</f>
        <v>#DIV/0!</v>
      </c>
      <c r="J15" s="262" t="str">
        <f>IF(G15="","-",(H15/(G15/24)))</f>
        <v>-</v>
      </c>
      <c r="K15" s="259" t="str">
        <f>IF(G15="","-",IF(J15/($K$4*$K$5+$K$6*$K$7+$K$8*$K$9)&gt;50,"&gt;50 years",ROUND(J15/($K$4*$K$5+$K$6*$K$7+$K$8*$K$9),2)))</f>
        <v>-</v>
      </c>
    </row>
    <row r="16" spans="1:15" ht="42.75" x14ac:dyDescent="0.3">
      <c r="A16" s="256" t="s">
        <v>161</v>
      </c>
      <c r="B16" s="527"/>
      <c r="C16" s="251" t="s">
        <v>222</v>
      </c>
      <c r="D16" s="246" t="s">
        <v>220</v>
      </c>
      <c r="E16" s="246" t="s">
        <v>221</v>
      </c>
      <c r="F16" s="248">
        <f t="shared" ref="F16:F19" si="1">$K$11</f>
        <v>0</v>
      </c>
      <c r="G16" s="246"/>
      <c r="H16" s="249">
        <f t="shared" si="0"/>
        <v>10000000</v>
      </c>
      <c r="I16" s="246" t="e">
        <f t="shared" ref="I16:I19" si="2">IF(F16="","-",TRUNC(H16/($K$3*($K$4*$K$5/24+$K$6*$K$7/24+$K$8*$K$9/24)),0))</f>
        <v>#DIV/0!</v>
      </c>
      <c r="J16" s="262" t="str">
        <f t="shared" ref="J16:J19" si="3">IF(G16="","-",(H16/(G16/24)))</f>
        <v>-</v>
      </c>
      <c r="K16" s="263" t="str">
        <f t="shared" ref="K16:K19" si="4">IF(G16="","-",IF(J16/($K$4*$K$5+$K$6*$K$7+$K$8*$K$9)&gt;50,"&gt;50 years",ROUND(J16/($K$4*$K$5+$K$6*$K$7+$K$8*$K$9),2)))</f>
        <v>-</v>
      </c>
    </row>
    <row r="17" spans="1:11" ht="42.75" x14ac:dyDescent="0.3">
      <c r="A17" s="256" t="s">
        <v>161</v>
      </c>
      <c r="B17" s="322" t="s">
        <v>147</v>
      </c>
      <c r="C17" s="251" t="s">
        <v>223</v>
      </c>
      <c r="D17" s="246" t="s">
        <v>224</v>
      </c>
      <c r="E17" s="246" t="s">
        <v>225</v>
      </c>
      <c r="F17" s="248">
        <f t="shared" si="1"/>
        <v>0</v>
      </c>
      <c r="G17" s="246"/>
      <c r="H17" s="249">
        <f t="shared" si="0"/>
        <v>10000000</v>
      </c>
      <c r="I17" s="246" t="e">
        <f t="shared" si="2"/>
        <v>#DIV/0!</v>
      </c>
      <c r="J17" s="262" t="str">
        <f t="shared" si="3"/>
        <v>-</v>
      </c>
      <c r="K17" s="263" t="str">
        <f t="shared" si="4"/>
        <v>-</v>
      </c>
    </row>
    <row r="18" spans="1:11" ht="42.75" x14ac:dyDescent="0.3">
      <c r="A18" s="256" t="s">
        <v>161</v>
      </c>
      <c r="B18" s="323" t="s">
        <v>146</v>
      </c>
      <c r="C18" s="528" t="s">
        <v>226</v>
      </c>
      <c r="D18" s="529"/>
      <c r="E18" s="530"/>
      <c r="F18" s="248">
        <f t="shared" si="1"/>
        <v>0</v>
      </c>
      <c r="G18" s="246"/>
      <c r="H18" s="249">
        <f t="shared" si="0"/>
        <v>10000000</v>
      </c>
      <c r="I18" s="246" t="e">
        <f t="shared" si="2"/>
        <v>#DIV/0!</v>
      </c>
      <c r="J18" s="262" t="str">
        <f t="shared" si="3"/>
        <v>-</v>
      </c>
      <c r="K18" s="263" t="str">
        <f t="shared" si="4"/>
        <v>-</v>
      </c>
    </row>
    <row r="19" spans="1:11" ht="42.75" x14ac:dyDescent="0.3">
      <c r="A19" s="256" t="s">
        <v>161</v>
      </c>
      <c r="B19" s="324" t="s">
        <v>144</v>
      </c>
      <c r="C19" s="528" t="s">
        <v>226</v>
      </c>
      <c r="D19" s="529"/>
      <c r="E19" s="530"/>
      <c r="F19" s="248">
        <f t="shared" si="1"/>
        <v>0</v>
      </c>
      <c r="G19" s="246"/>
      <c r="H19" s="249">
        <f t="shared" si="0"/>
        <v>10000000</v>
      </c>
      <c r="I19" s="246" t="e">
        <f t="shared" si="2"/>
        <v>#DIV/0!</v>
      </c>
      <c r="J19" s="262" t="str">
        <f t="shared" si="3"/>
        <v>-</v>
      </c>
      <c r="K19" s="263" t="str">
        <f t="shared" si="4"/>
        <v>-</v>
      </c>
    </row>
  </sheetData>
  <protectedRanges>
    <protectedRange sqref="F14 H13" name="Capacitor"/>
    <protectedRange sqref="J14:K14" name="Capacitor_1"/>
    <protectedRange sqref="H15:H19 F15:F19" name="Capacitor_8"/>
  </protectedRanges>
  <mergeCells count="20">
    <mergeCell ref="C18:E18"/>
    <mergeCell ref="C19:E19"/>
    <mergeCell ref="H9:J9"/>
    <mergeCell ref="G10:K10"/>
    <mergeCell ref="G11:J11"/>
    <mergeCell ref="J13:K13"/>
    <mergeCell ref="F13:G13"/>
    <mergeCell ref="H13:H14"/>
    <mergeCell ref="F2:F11"/>
    <mergeCell ref="G2:K2"/>
    <mergeCell ref="G3:J3"/>
    <mergeCell ref="G4:G5"/>
    <mergeCell ref="H4:J4"/>
    <mergeCell ref="H5:J5"/>
    <mergeCell ref="G6:G7"/>
    <mergeCell ref="H6:J6"/>
    <mergeCell ref="H7:J7"/>
    <mergeCell ref="G8:G9"/>
    <mergeCell ref="H8:J8"/>
    <mergeCell ref="B15:B16"/>
  </mergeCells>
  <conditionalFormatting sqref="K16:K19">
    <cfRule type="cellIs" priority="5" stopIfTrue="1" operator="equal">
      <formula>"-"</formula>
    </cfRule>
    <cfRule type="expression" dxfId="16" priority="6">
      <formula>IF($J16&lt;#REF!, "vrai", "faux")</formula>
    </cfRule>
    <cfRule type="expression" dxfId="15" priority="7">
      <formula>IF($J16&gt;=#REF!, "vrai", "faux")</formula>
    </cfRule>
  </conditionalFormatting>
  <conditionalFormatting sqref="K15:K19">
    <cfRule type="cellIs" priority="2" stopIfTrue="1" operator="equal">
      <formula>"-"</formula>
    </cfRule>
    <cfRule type="expression" dxfId="14" priority="3">
      <formula>IF($K15&lt;$K$3, "vrai", "faux")</formula>
    </cfRule>
    <cfRule type="expression" dxfId="13" priority="4">
      <formula>IF($K15&gt;=$K$3,"vrai", "faux")</formula>
    </cfRule>
  </conditionalFormatting>
  <conditionalFormatting sqref="F15:F19 H15:K19">
    <cfRule type="expression" dxfId="12" priority="1">
      <formula>NOT(EstUneFormule(F15))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6"/>
  </sheetPr>
  <dimension ref="A1:AB17"/>
  <sheetViews>
    <sheetView zoomScale="75" zoomScaleNormal="75" workbookViewId="0">
      <pane ySplit="15" topLeftCell="A16" activePane="bottomLeft" state="frozen"/>
      <selection pane="bottomLeft" activeCell="C25" sqref="C25"/>
    </sheetView>
  </sheetViews>
  <sheetFormatPr baseColWidth="10" defaultRowHeight="14.25" outlineLevelRow="1" outlineLevelCol="1" x14ac:dyDescent="0.3"/>
  <cols>
    <col min="1" max="2" width="11.5703125" style="56" customWidth="1"/>
    <col min="3" max="3" width="11.5703125" style="58" customWidth="1"/>
    <col min="4" max="5" width="20.140625" style="96" customWidth="1"/>
    <col min="6" max="6" width="17.140625" style="58" customWidth="1"/>
    <col min="7" max="7" width="45.7109375" style="58" bestFit="1" customWidth="1"/>
    <col min="8" max="8" width="15.7109375" style="58" customWidth="1"/>
    <col min="9" max="9" width="15.7109375" style="59" customWidth="1"/>
    <col min="10" max="12" width="15.7109375" style="60" customWidth="1"/>
    <col min="13" max="19" width="18.85546875" style="61" customWidth="1" outlineLevel="1"/>
    <col min="20" max="20" width="18.85546875" style="56" customWidth="1" outlineLevel="1"/>
    <col min="21" max="21" width="11.42578125" style="56"/>
    <col min="22" max="22" width="15.140625" style="56" bestFit="1" customWidth="1"/>
    <col min="23" max="23" width="13.5703125" style="56" customWidth="1"/>
    <col min="24" max="24" width="12.140625" style="56" bestFit="1" customWidth="1"/>
    <col min="25" max="25" width="15.5703125" style="56" customWidth="1"/>
    <col min="26" max="26" width="11.42578125" style="56"/>
    <col min="27" max="27" width="45.28515625" style="56" bestFit="1" customWidth="1"/>
    <col min="28" max="16384" width="11.42578125" style="56"/>
  </cols>
  <sheetData>
    <row r="1" spans="1:28" ht="17.25" outlineLevel="1" thickBot="1" x14ac:dyDescent="0.35">
      <c r="C1" s="56"/>
      <c r="D1" s="56"/>
      <c r="K1" s="56"/>
      <c r="L1" s="57"/>
      <c r="M1" s="58"/>
      <c r="N1" s="58"/>
      <c r="O1" s="58"/>
      <c r="P1" s="59"/>
      <c r="Q1" s="56"/>
      <c r="R1" s="56"/>
      <c r="S1" s="56"/>
      <c r="Z1" s="154"/>
      <c r="AA1" s="241" t="s">
        <v>80</v>
      </c>
      <c r="AB1" s="154"/>
    </row>
    <row r="2" spans="1:28" ht="16.5" outlineLevel="1" x14ac:dyDescent="0.35">
      <c r="C2" s="56"/>
      <c r="D2" s="56"/>
      <c r="E2" s="418" t="s">
        <v>22</v>
      </c>
      <c r="F2" s="421" t="s">
        <v>12</v>
      </c>
      <c r="G2" s="421"/>
      <c r="H2" s="421"/>
      <c r="I2" s="422"/>
      <c r="Z2" s="154"/>
      <c r="AA2" s="242" t="s">
        <v>81</v>
      </c>
      <c r="AB2" s="154"/>
    </row>
    <row r="3" spans="1:28" ht="16.5" outlineLevel="1" x14ac:dyDescent="0.3">
      <c r="C3" s="56"/>
      <c r="D3" s="56"/>
      <c r="E3" s="419"/>
      <c r="F3" s="423" t="s">
        <v>5</v>
      </c>
      <c r="G3" s="423"/>
      <c r="H3" s="424"/>
      <c r="I3" s="62">
        <f>'Mission Profil &amp; Synthesis'!$D$9</f>
        <v>0</v>
      </c>
      <c r="Z3" s="154"/>
      <c r="AA3" s="241" t="s">
        <v>78</v>
      </c>
      <c r="AB3" s="154"/>
    </row>
    <row r="4" spans="1:28" ht="16.5" outlineLevel="1" x14ac:dyDescent="0.3">
      <c r="A4" s="58"/>
      <c r="B4" s="58"/>
      <c r="D4" s="58"/>
      <c r="E4" s="419"/>
      <c r="F4" s="425" t="s">
        <v>1</v>
      </c>
      <c r="G4" s="414" t="s">
        <v>3</v>
      </c>
      <c r="H4" s="415"/>
      <c r="I4" s="63">
        <f>'Mission Profil &amp; Synthesis'!$D$15</f>
        <v>0</v>
      </c>
      <c r="Z4" s="154"/>
      <c r="AA4" s="241" t="s">
        <v>79</v>
      </c>
      <c r="AB4" s="154"/>
    </row>
    <row r="5" spans="1:28" ht="16.5" outlineLevel="1" x14ac:dyDescent="0.3">
      <c r="A5" s="58"/>
      <c r="B5" s="58"/>
      <c r="D5" s="58"/>
      <c r="E5" s="419"/>
      <c r="F5" s="426"/>
      <c r="G5" s="414" t="s">
        <v>4</v>
      </c>
      <c r="H5" s="415"/>
      <c r="I5" s="64">
        <f>'Mission Profil &amp; Synthesis'!$D$16</f>
        <v>0</v>
      </c>
      <c r="Z5" s="154"/>
      <c r="AA5" s="241" t="s">
        <v>75</v>
      </c>
      <c r="AB5" s="154"/>
    </row>
    <row r="6" spans="1:28" ht="14.25" customHeight="1" outlineLevel="1" x14ac:dyDescent="0.3">
      <c r="A6" s="58"/>
      <c r="B6" s="58"/>
      <c r="D6" s="58"/>
      <c r="E6" s="419"/>
      <c r="F6" s="427" t="s">
        <v>0</v>
      </c>
      <c r="G6" s="429" t="s">
        <v>3</v>
      </c>
      <c r="H6" s="430"/>
      <c r="I6" s="66">
        <f>'Mission Profil &amp; Synthesis'!$D$18</f>
        <v>0</v>
      </c>
      <c r="Z6" s="154"/>
      <c r="AA6" s="241" t="s">
        <v>76</v>
      </c>
      <c r="AB6" s="154"/>
    </row>
    <row r="7" spans="1:28" ht="16.5" outlineLevel="1" x14ac:dyDescent="0.3">
      <c r="A7" s="58"/>
      <c r="B7" s="58"/>
      <c r="D7" s="58"/>
      <c r="E7" s="419"/>
      <c r="F7" s="428"/>
      <c r="G7" s="429" t="s">
        <v>4</v>
      </c>
      <c r="H7" s="430"/>
      <c r="I7" s="67">
        <f>'Mission Profil &amp; Synthesis'!$D$19</f>
        <v>0</v>
      </c>
      <c r="Z7" s="154"/>
      <c r="AA7" s="241" t="s">
        <v>77</v>
      </c>
      <c r="AB7" s="154"/>
    </row>
    <row r="8" spans="1:28" ht="16.5" outlineLevel="1" x14ac:dyDescent="0.3">
      <c r="A8" s="58"/>
      <c r="B8" s="58"/>
      <c r="D8" s="58"/>
      <c r="E8" s="419"/>
      <c r="F8" s="425" t="s">
        <v>2</v>
      </c>
      <c r="G8" s="414" t="s">
        <v>3</v>
      </c>
      <c r="H8" s="415"/>
      <c r="I8" s="63">
        <f>'Mission Profil &amp; Synthesis'!$D$21</f>
        <v>0</v>
      </c>
      <c r="Z8" s="154"/>
      <c r="AA8" s="241" t="s">
        <v>83</v>
      </c>
      <c r="AB8" s="154"/>
    </row>
    <row r="9" spans="1:28" ht="17.25" outlineLevel="1" thickBot="1" x14ac:dyDescent="0.35">
      <c r="A9" s="58"/>
      <c r="B9" s="58"/>
      <c r="D9" s="58"/>
      <c r="E9" s="419"/>
      <c r="F9" s="431"/>
      <c r="G9" s="416" t="s">
        <v>4</v>
      </c>
      <c r="H9" s="417"/>
      <c r="I9" s="68">
        <f>'Mission Profil &amp; Synthesis'!$D$22</f>
        <v>0</v>
      </c>
      <c r="Z9" s="154"/>
      <c r="AA9" s="241" t="s">
        <v>84</v>
      </c>
      <c r="AB9" s="154"/>
    </row>
    <row r="10" spans="1:28" ht="16.5" outlineLevel="1" x14ac:dyDescent="0.3">
      <c r="A10" s="58"/>
      <c r="B10" s="58"/>
      <c r="D10" s="58"/>
      <c r="E10" s="419"/>
      <c r="F10" s="69" t="s">
        <v>13</v>
      </c>
      <c r="G10" s="69"/>
      <c r="H10" s="69"/>
      <c r="I10" s="70"/>
      <c r="Z10" s="154"/>
      <c r="AA10" s="241" t="s">
        <v>85</v>
      </c>
      <c r="AB10" s="154"/>
    </row>
    <row r="11" spans="1:28" ht="17.25" outlineLevel="1" thickBot="1" x14ac:dyDescent="0.35">
      <c r="A11" s="58"/>
      <c r="B11" s="58"/>
      <c r="D11" s="58"/>
      <c r="E11" s="420"/>
      <c r="F11" s="71" t="s">
        <v>118</v>
      </c>
      <c r="G11" s="71"/>
      <c r="H11" s="72"/>
      <c r="I11" s="73">
        <f>'Mission Profil &amp; Synthesis'!D24</f>
        <v>0</v>
      </c>
      <c r="Z11" s="154"/>
      <c r="AA11" s="241" t="s">
        <v>86</v>
      </c>
      <c r="AB11" s="154"/>
    </row>
    <row r="12" spans="1:28" ht="16.5" x14ac:dyDescent="0.3">
      <c r="A12" s="58"/>
      <c r="B12" s="58"/>
      <c r="D12" s="65"/>
      <c r="E12" s="58"/>
      <c r="F12" s="57"/>
      <c r="G12" s="56"/>
      <c r="H12" s="56"/>
      <c r="I12" s="56"/>
      <c r="J12" s="56"/>
      <c r="K12" s="56"/>
      <c r="L12" s="56"/>
      <c r="Z12" s="154"/>
      <c r="AA12" s="241" t="s">
        <v>87</v>
      </c>
      <c r="AB12" s="154"/>
    </row>
    <row r="13" spans="1:28" s="79" customFormat="1" ht="21" thickBot="1" x14ac:dyDescent="0.35">
      <c r="A13" s="74"/>
      <c r="B13" s="74"/>
      <c r="C13" s="74"/>
      <c r="D13" s="74"/>
      <c r="E13" s="74"/>
      <c r="F13" s="75"/>
      <c r="G13" s="74"/>
      <c r="H13" s="74"/>
      <c r="I13" s="76"/>
      <c r="J13" s="77"/>
      <c r="K13" s="77"/>
      <c r="L13" s="77"/>
      <c r="M13" s="78"/>
      <c r="N13" s="78"/>
      <c r="O13" s="78"/>
      <c r="P13" s="78"/>
      <c r="Q13" s="78"/>
      <c r="R13" s="78"/>
      <c r="S13" s="78"/>
      <c r="Z13" s="239"/>
      <c r="AA13" s="241" t="s">
        <v>88</v>
      </c>
      <c r="AB13" s="239"/>
    </row>
    <row r="14" spans="1:28" s="82" customFormat="1" ht="40.5" customHeight="1" thickBot="1" x14ac:dyDescent="0.25">
      <c r="A14" s="80"/>
      <c r="B14" s="80"/>
      <c r="C14" s="80"/>
      <c r="D14" s="80"/>
      <c r="E14" s="80"/>
      <c r="F14" s="498" t="s">
        <v>11</v>
      </c>
      <c r="G14" s="499"/>
      <c r="H14" s="562" t="s">
        <v>9</v>
      </c>
      <c r="I14" s="563"/>
      <c r="J14" s="564"/>
      <c r="K14" s="559" t="s">
        <v>121</v>
      </c>
      <c r="L14" s="558"/>
      <c r="M14" s="545" t="s">
        <v>89</v>
      </c>
      <c r="N14" s="546"/>
      <c r="O14" s="557" t="s">
        <v>90</v>
      </c>
      <c r="P14" s="558"/>
      <c r="Q14" s="545" t="s">
        <v>91</v>
      </c>
      <c r="R14" s="546"/>
      <c r="S14" s="557" t="s">
        <v>92</v>
      </c>
      <c r="T14" s="558"/>
      <c r="Z14" s="240"/>
      <c r="AA14" s="240"/>
      <c r="AB14" s="240"/>
    </row>
    <row r="15" spans="1:28" s="95" customFormat="1" ht="48" thickBot="1" x14ac:dyDescent="0.25">
      <c r="A15" s="83" t="s">
        <v>8</v>
      </c>
      <c r="B15" s="84" t="s">
        <v>14</v>
      </c>
      <c r="C15" s="84" t="s">
        <v>117</v>
      </c>
      <c r="D15" s="84" t="s">
        <v>15</v>
      </c>
      <c r="E15" s="85" t="s">
        <v>28</v>
      </c>
      <c r="F15" s="86" t="s">
        <v>21</v>
      </c>
      <c r="G15" s="88" t="s">
        <v>82</v>
      </c>
      <c r="H15" s="214" t="s">
        <v>34</v>
      </c>
      <c r="I15" s="215" t="s">
        <v>35</v>
      </c>
      <c r="J15" s="216" t="s">
        <v>29</v>
      </c>
      <c r="K15" s="93" t="s">
        <v>120</v>
      </c>
      <c r="L15" s="94" t="s">
        <v>119</v>
      </c>
      <c r="M15" s="91" t="s">
        <v>39</v>
      </c>
      <c r="N15" s="92" t="s">
        <v>53</v>
      </c>
      <c r="O15" s="93" t="s">
        <v>39</v>
      </c>
      <c r="P15" s="94" t="s">
        <v>53</v>
      </c>
      <c r="Q15" s="91" t="s">
        <v>39</v>
      </c>
      <c r="R15" s="92" t="s">
        <v>53</v>
      </c>
      <c r="S15" s="93" t="s">
        <v>39</v>
      </c>
      <c r="T15" s="94" t="s">
        <v>53</v>
      </c>
      <c r="U15" s="243" t="s">
        <v>112</v>
      </c>
      <c r="V15" s="84" t="s">
        <v>113</v>
      </c>
      <c r="W15" s="84" t="s">
        <v>114</v>
      </c>
      <c r="X15" s="84" t="s">
        <v>115</v>
      </c>
      <c r="Y15" s="85" t="s">
        <v>116</v>
      </c>
    </row>
    <row r="16" spans="1:28" ht="42.75" x14ac:dyDescent="0.3">
      <c r="A16" s="256" t="s">
        <v>161</v>
      </c>
      <c r="B16" s="560"/>
      <c r="C16" s="470" t="s">
        <v>227</v>
      </c>
      <c r="D16" s="471"/>
      <c r="E16" s="471"/>
      <c r="F16" s="471"/>
      <c r="G16" s="296" t="e">
        <v>#DIV/0!</v>
      </c>
      <c r="H16" s="289" t="s">
        <v>134</v>
      </c>
      <c r="I16" s="296" t="s">
        <v>134</v>
      </c>
      <c r="J16" s="289" t="s">
        <v>134</v>
      </c>
      <c r="K16" s="296" t="s">
        <v>134</v>
      </c>
      <c r="L16" s="273" t="s">
        <v>134</v>
      </c>
      <c r="M16" s="296" t="s">
        <v>134</v>
      </c>
      <c r="N16" s="289" t="s">
        <v>134</v>
      </c>
      <c r="O16" s="296" t="s">
        <v>134</v>
      </c>
      <c r="P16" s="289" t="s">
        <v>134</v>
      </c>
      <c r="Q16" s="296" t="e">
        <f t="shared" ref="Q16:Q17" si="0">IF($J16="","-",X16*1/($U16*($J16)))</f>
        <v>#DIV/0!</v>
      </c>
      <c r="R16" s="289" t="e">
        <f t="shared" ref="R16:R17" si="1">IF($J16="","-",IF(Q16/($I$4*$I$5+$I$6*$I$7+$I$8*$I$9)&gt;50,"&gt;50 years",ROUND(Q16/($I$4*$I$5+$I$6*$I$7+$I$8*$I$9),1)))</f>
        <v>#DIV/0!</v>
      </c>
      <c r="S16" s="296" t="e">
        <f t="shared" ref="S16:S17" si="2">IF($J16="","-",Y16*1/($U16*($J16)))</f>
        <v>#DIV/0!</v>
      </c>
      <c r="T16" s="289" t="e">
        <f t="shared" ref="T16:T17" si="3">IF($J16="","-",IF(S16/($I$4*$I$5+$I$6*$I$7+$I$8*$I$9)&gt;50,"&gt;50 years",ROUND(S16/($I$4*$I$5+$I$6*$I$7+$I$8*$I$9),1)))</f>
        <v>#DIV/0!</v>
      </c>
      <c r="U16" s="270">
        <f t="shared" ref="U16:U17" si="4">EXP(1740*(1/303-1/(273+$I$11)))</f>
        <v>0.53203174721722979</v>
      </c>
      <c r="V16" s="270" t="e">
        <f t="shared" ref="V16:V17" si="5">IF(OR(G16=Relay_A,G16=Relay_B),(200000000)/(1+(POWER($H16*$I16/25,4))),1)*IF(OR(G16=Relay_C,G16=Relay_D),(180000000)/(1+$H16/2*(POWER($I16/0.2,4))),1)*IF(OR(G16=Relay_E,G16=Relay_F,G16=Relay_G),(100000000)/(1+2*$H16*(POWER($I16/0.5,4))),1)*IF(OR(G16=Relay_H_AC,G16=Relay_I_AC,G16=Relay_J_AC),(100000000)/(1+100*(POWER($H16/220,0.5))*$I16/3),1)*IF(OR(G16=Relay_H_DC,G16=Relay_I_DC,G16=Relay_J_DC),(100000000)/(1+100*(POWER($H16/50,1.5))*(POWER($I16/2,1.3))),1)</f>
        <v>#DIV/0!</v>
      </c>
      <c r="W16" s="270" t="e">
        <f t="shared" ref="W16:W17" si="6">IF(OR(G16=Relay_A,G16=Relay_B),(200000000)/(1+(POWER($H16*($I16*20)/25,4))),1)*IF(OR(G16=Relay_C,G16=Relay_D),(180000000)/(1+$H16/2*(POWER($I16*20/0.2,4))),1)*IF(OR(G16=Relay_E,G16=Relay_F,G16=Relay_G),(100000000)/(1+2*$H16*(POWER($I16*20/0.5,4))),1)*IF(OR(G16=Relay_H_AC,G16=Relay_I_AC,G16=Relay_J_AC),(100000000)/(1+100*(POWER($H16/220,0.5))*$I16*20/3),1)*IF(OR(G16=Relay_H_DC,G16=Relay_I_DC,G16=Relay_J_DC),(100000000)/(1+100*(POWER($H16/50,1.5))*(POWER($I16*20/2,1.3))),1)</f>
        <v>#DIV/0!</v>
      </c>
      <c r="X16" s="270" t="e">
        <f t="shared" ref="X16:X17" si="7">IF(OR(G16=Relay_A,G16=Relay_B),(200000000)/(1+(POWER(($H16*10)*$I16/25,4))),1)*IF(OR(G16=Relay_C,G16=Relay_D),(180000000)/(1+$H16*10/2*(POWER($I16/0.2,4))),1)*IF(OR(G16=Relay_E,G16=Relay_F,G16=Relay_G),(100000000)/(1+2*$H16*10*(POWER($I16/0.5,4))),1)*IF(OR(G16=Relay_H_AC,G16=Relay_I_AC,G16=Relay_J_AC),(100000000)/(1+100*(POWER($H16*10/220,0.5))*$I16/3),1)*IF(OR(G16=Relay_H_DC,G16=Relay_I_DC,G16=Relay_J_DC),(100000000)/(1+100*(POWER($H16*10/50,1.5))*(POWER($I16/2,1.3))),1)</f>
        <v>#DIV/0!</v>
      </c>
      <c r="Y16" s="270" t="e">
        <f>IF(OR(G16=Relay_A,G16=Relay_B),(200000000)/(1+(POWER(($H16*10)*($I16*20)/25,4))),1)*IF(OR(G16=Relay_C,G16=Relay_D),(180000000)/(1+$H16*10/2*(POWER($I16*20/0.2,4))),1)*IF(OR(G16=Relay_E,G16=Relay_F,G16=Relay_G),(100000000)/(1+2*$H16*10*(POWER($I16*20/0.5,4))),1)*IF(OR(G16=Relay_H_AC,G16=Relay_I_AC,G16=Relay_J_AC),(100000000)/(1+100*(POWER($H16*10/220,0.5))*$I16*20/3),1)*IF(OR(G16=Relay_H_DC,G16=Relay_I_DC,G16=Relay_J_DC),(100000000)/(1+100*(POWER($H16*10/50,1.5))*(POWER($I16*20/2,1.3))),1)</f>
        <v>#DIV/0!</v>
      </c>
    </row>
    <row r="17" spans="1:25" ht="42.75" x14ac:dyDescent="0.3">
      <c r="A17" s="256" t="s">
        <v>229</v>
      </c>
      <c r="B17" s="561"/>
      <c r="C17" s="264"/>
      <c r="D17" s="265"/>
      <c r="E17" s="265"/>
      <c r="F17" s="291"/>
      <c r="G17" s="291" t="e">
        <v>#DIV/0!</v>
      </c>
      <c r="H17" s="288" t="s">
        <v>134</v>
      </c>
      <c r="I17" s="291" t="s">
        <v>134</v>
      </c>
      <c r="J17" s="288" t="s">
        <v>134</v>
      </c>
      <c r="K17" s="291" t="s">
        <v>134</v>
      </c>
      <c r="L17" s="277" t="s">
        <v>134</v>
      </c>
      <c r="M17" s="291" t="s">
        <v>134</v>
      </c>
      <c r="N17" s="288" t="s">
        <v>134</v>
      </c>
      <c r="O17" s="291" t="s">
        <v>134</v>
      </c>
      <c r="P17" s="288" t="s">
        <v>134</v>
      </c>
      <c r="Q17" s="291" t="e">
        <f t="shared" si="0"/>
        <v>#DIV/0!</v>
      </c>
      <c r="R17" s="288" t="e">
        <f t="shared" si="1"/>
        <v>#DIV/0!</v>
      </c>
      <c r="S17" s="291" t="e">
        <f t="shared" si="2"/>
        <v>#DIV/0!</v>
      </c>
      <c r="T17" s="288" t="e">
        <f t="shared" si="3"/>
        <v>#DIV/0!</v>
      </c>
      <c r="U17" s="265">
        <f t="shared" si="4"/>
        <v>0.53203174721722979</v>
      </c>
      <c r="V17" s="265" t="e">
        <f t="shared" si="5"/>
        <v>#DIV/0!</v>
      </c>
      <c r="W17" s="265" t="e">
        <f t="shared" si="6"/>
        <v>#DIV/0!</v>
      </c>
      <c r="X17" s="265" t="e">
        <f t="shared" si="7"/>
        <v>#DIV/0!</v>
      </c>
      <c r="Y17" s="265" t="e">
        <f t="shared" ref="Y17" si="8">IF(OR(G17=Relay_A,G17=Relay_B),(200000000)/(1+(POWER(($H17*10)*($I17*20)/25,4))),1)*IF(OR(G17=Relay_C,G17=Relay_D),(180000000)/(1+$H17*10/2*(POWER($I17*20/0.2,4))),1)*IF(OR(G17=Relay_E,G17=Relay_F,G17=Relay_G),(100000000)/(1+2*$H17*10*(POWER($I17*20/0.5,4))),1)*IF(OR(G17=Relay_H_AC,G17=Relay_I_AC,G17=Relay_J_AC),(100000000)/(1+100*(POWER($H17*10/220,0.5))*$I17*20/3),1)*IF(OR(G17=Relay_H_DC,G17=Relay_I_DC,G17=Relay_J_DC),(100000000)/(1+100*(POWER($H17*10/50,1.5))*(POWER($I17*20/2,1.3))),1)</f>
        <v>#DIV/0!</v>
      </c>
    </row>
  </sheetData>
  <protectedRanges>
    <protectedRange sqref="K15:T15" name="Capacitor"/>
    <protectedRange sqref="D16:E17" name="Plage1_1"/>
  </protectedRanges>
  <mergeCells count="21">
    <mergeCell ref="B16:B17"/>
    <mergeCell ref="C16:F16"/>
    <mergeCell ref="F14:G14"/>
    <mergeCell ref="H14:J14"/>
    <mergeCell ref="E2:E11"/>
    <mergeCell ref="F6:F7"/>
    <mergeCell ref="G6:H6"/>
    <mergeCell ref="G7:H7"/>
    <mergeCell ref="F8:F9"/>
    <mergeCell ref="G8:H8"/>
    <mergeCell ref="G9:H9"/>
    <mergeCell ref="F2:I2"/>
    <mergeCell ref="F3:H3"/>
    <mergeCell ref="F4:F5"/>
    <mergeCell ref="G4:H4"/>
    <mergeCell ref="G5:H5"/>
    <mergeCell ref="S14:T14"/>
    <mergeCell ref="M14:N14"/>
    <mergeCell ref="O14:P14"/>
    <mergeCell ref="Q14:R14"/>
    <mergeCell ref="K14:L14"/>
  </mergeCells>
  <conditionalFormatting sqref="K16:U17">
    <cfRule type="expression" dxfId="11" priority="1">
      <formula>NOT(EstUneFormule(K16))</formula>
    </cfRule>
  </conditionalFormatting>
  <conditionalFormatting sqref="P16:P17">
    <cfRule type="cellIs" priority="2" stopIfTrue="1" operator="equal">
      <formula>"-"</formula>
    </cfRule>
    <cfRule type="expression" dxfId="10" priority="3">
      <formula>IF($P16&lt;$I$3, "vrai", "faux")</formula>
    </cfRule>
    <cfRule type="expression" dxfId="9" priority="4">
      <formula>IF($P16&gt;=$I$3, "vrai", "faux")</formula>
    </cfRule>
  </conditionalFormatting>
  <conditionalFormatting sqref="R16:R17">
    <cfRule type="cellIs" priority="5" stopIfTrue="1" operator="equal">
      <formula>"-"</formula>
    </cfRule>
    <cfRule type="expression" dxfId="8" priority="6">
      <formula>IF($R16&lt;$I$3, "vrai", "faux")</formula>
    </cfRule>
    <cfRule type="expression" dxfId="7" priority="7">
      <formula>IF($R16&gt;=$I$3, "vrai", "faux")</formula>
    </cfRule>
  </conditionalFormatting>
  <conditionalFormatting sqref="T16:T17">
    <cfRule type="cellIs" priority="8" stopIfTrue="1" operator="equal">
      <formula>"-"</formula>
    </cfRule>
    <cfRule type="expression" dxfId="6" priority="9">
      <formula>IF($T16&lt;$I$3, "vrai", "faux")</formula>
    </cfRule>
    <cfRule type="expression" dxfId="5" priority="10">
      <formula>IF($T16&gt;=$I$3, "vrai", "faux")</formula>
    </cfRule>
  </conditionalFormatting>
  <conditionalFormatting sqref="N16:N17 L16:L17">
    <cfRule type="cellIs" priority="11" stopIfTrue="1" operator="equal">
      <formula>"-"</formula>
    </cfRule>
    <cfRule type="expression" dxfId="4" priority="12">
      <formula>IF($N16&lt;$I$3, "vrai", "faux")</formula>
    </cfRule>
    <cfRule type="expression" dxfId="3" priority="13">
      <formula>IF($N16&gt;=$I$3, "vrai", "faux")</formula>
    </cfRule>
  </conditionalFormatting>
  <dataValidations count="1">
    <dataValidation type="list" allowBlank="1" showInputMessage="1" showErrorMessage="1" sqref="G17">
      <formula1>Listing_relay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6"/>
  </sheetPr>
  <dimension ref="A1:J13"/>
  <sheetViews>
    <sheetView zoomScale="75" zoomScaleNormal="75" workbookViewId="0">
      <pane ySplit="12" topLeftCell="A13" activePane="bottomLeft" state="frozen"/>
      <selection activeCell="A36" sqref="A36:A41"/>
      <selection pane="bottomLeft" activeCell="D41" sqref="D41"/>
    </sheetView>
  </sheetViews>
  <sheetFormatPr baseColWidth="10" defaultRowHeight="14.25" outlineLevelRow="1" outlineLevelCol="1" x14ac:dyDescent="0.3"/>
  <cols>
    <col min="1" max="2" width="11.5703125" style="56" customWidth="1"/>
    <col min="3" max="3" width="11.5703125" style="58" customWidth="1"/>
    <col min="4" max="5" width="20.140625" style="96" customWidth="1"/>
    <col min="6" max="6" width="17.140625" style="58" customWidth="1" outlineLevel="1"/>
    <col min="7" max="7" width="17.140625" style="59" customWidth="1" outlineLevel="1"/>
    <col min="8" max="8" width="17.140625" style="60" customWidth="1"/>
    <col min="9" max="9" width="17.140625" style="59" customWidth="1"/>
    <col min="10" max="10" width="17.140625" style="61" customWidth="1"/>
    <col min="11" max="16384" width="11.42578125" style="56"/>
  </cols>
  <sheetData>
    <row r="1" spans="1:10" ht="15.75" hidden="1" customHeight="1" outlineLevel="1" thickBot="1" x14ac:dyDescent="0.35">
      <c r="A1" s="58"/>
      <c r="B1" s="58"/>
      <c r="E1" s="57"/>
      <c r="F1" s="97"/>
      <c r="G1" s="97"/>
      <c r="H1" s="98"/>
    </row>
    <row r="2" spans="1:10" ht="15.75" hidden="1" customHeight="1" outlineLevel="1" x14ac:dyDescent="0.3">
      <c r="A2" s="58"/>
      <c r="B2" s="58"/>
      <c r="E2" s="418" t="s">
        <v>22</v>
      </c>
      <c r="F2" s="421" t="s">
        <v>12</v>
      </c>
      <c r="G2" s="421"/>
      <c r="H2" s="421"/>
      <c r="I2" s="422"/>
    </row>
    <row r="3" spans="1:10" ht="15.75" hidden="1" customHeight="1" outlineLevel="1" x14ac:dyDescent="0.3">
      <c r="A3" s="58"/>
      <c r="B3" s="58"/>
      <c r="E3" s="419"/>
      <c r="F3" s="423" t="s">
        <v>5</v>
      </c>
      <c r="G3" s="423"/>
      <c r="H3" s="424"/>
      <c r="I3" s="62">
        <f>'Mission Profil &amp; Synthesis'!$D$9</f>
        <v>0</v>
      </c>
    </row>
    <row r="4" spans="1:10" ht="15.75" hidden="1" customHeight="1" outlineLevel="1" x14ac:dyDescent="0.3">
      <c r="A4" s="58"/>
      <c r="B4" s="58"/>
      <c r="E4" s="419"/>
      <c r="F4" s="425" t="s">
        <v>1</v>
      </c>
      <c r="G4" s="414" t="s">
        <v>3</v>
      </c>
      <c r="H4" s="415"/>
      <c r="I4" s="63">
        <f>'Mission Profil &amp; Synthesis'!$D$15</f>
        <v>0</v>
      </c>
    </row>
    <row r="5" spans="1:10" ht="15.75" hidden="1" customHeight="1" outlineLevel="1" x14ac:dyDescent="0.3">
      <c r="A5" s="58"/>
      <c r="B5" s="58"/>
      <c r="E5" s="419"/>
      <c r="F5" s="426"/>
      <c r="G5" s="414" t="s">
        <v>4</v>
      </c>
      <c r="H5" s="415"/>
      <c r="I5" s="64">
        <f>'Mission Profil &amp; Synthesis'!$D$16</f>
        <v>0</v>
      </c>
    </row>
    <row r="6" spans="1:10" ht="15.75" hidden="1" customHeight="1" outlineLevel="1" x14ac:dyDescent="0.3">
      <c r="A6" s="58"/>
      <c r="B6" s="58"/>
      <c r="E6" s="419"/>
      <c r="F6" s="427" t="s">
        <v>0</v>
      </c>
      <c r="G6" s="429" t="s">
        <v>3</v>
      </c>
      <c r="H6" s="430"/>
      <c r="I6" s="66">
        <f>'Mission Profil &amp; Synthesis'!$D$18</f>
        <v>0</v>
      </c>
    </row>
    <row r="7" spans="1:10" ht="15.75" hidden="1" customHeight="1" outlineLevel="1" x14ac:dyDescent="0.3">
      <c r="A7" s="58"/>
      <c r="B7" s="58"/>
      <c r="E7" s="419"/>
      <c r="F7" s="428"/>
      <c r="G7" s="429" t="s">
        <v>4</v>
      </c>
      <c r="H7" s="430"/>
      <c r="I7" s="67">
        <f>'Mission Profil &amp; Synthesis'!$D$19</f>
        <v>0</v>
      </c>
    </row>
    <row r="8" spans="1:10" ht="15.75" hidden="1" customHeight="1" outlineLevel="1" x14ac:dyDescent="0.3">
      <c r="A8" s="58"/>
      <c r="B8" s="58"/>
      <c r="E8" s="419"/>
      <c r="F8" s="425" t="s">
        <v>2</v>
      </c>
      <c r="G8" s="414" t="s">
        <v>3</v>
      </c>
      <c r="H8" s="415"/>
      <c r="I8" s="63">
        <f>'Mission Profil &amp; Synthesis'!$D$21</f>
        <v>0</v>
      </c>
    </row>
    <row r="9" spans="1:10" ht="15.75" hidden="1" customHeight="1" outlineLevel="1" thickBot="1" x14ac:dyDescent="0.35">
      <c r="A9" s="58"/>
      <c r="B9" s="58"/>
      <c r="E9" s="420"/>
      <c r="F9" s="431"/>
      <c r="G9" s="416" t="s">
        <v>4</v>
      </c>
      <c r="H9" s="417"/>
      <c r="I9" s="68">
        <f>'Mission Profil &amp; Synthesis'!$D$22</f>
        <v>0</v>
      </c>
    </row>
    <row r="10" spans="1:10" ht="15" collapsed="1" thickBot="1" x14ac:dyDescent="0.35">
      <c r="A10" s="58"/>
      <c r="B10" s="58"/>
      <c r="D10" s="58"/>
      <c r="E10" s="58"/>
    </row>
    <row r="11" spans="1:10" s="82" customFormat="1" ht="35.25" customHeight="1" thickBot="1" x14ac:dyDescent="0.25">
      <c r="A11" s="80"/>
      <c r="B11" s="80"/>
      <c r="C11" s="80"/>
      <c r="D11" s="80"/>
      <c r="E11" s="80"/>
      <c r="F11" s="99" t="s">
        <v>11</v>
      </c>
      <c r="G11" s="100" t="s">
        <v>9</v>
      </c>
      <c r="H11" s="81" t="s">
        <v>24</v>
      </c>
      <c r="I11" s="545" t="s">
        <v>10</v>
      </c>
      <c r="J11" s="546"/>
    </row>
    <row r="12" spans="1:10" s="95" customFormat="1" ht="78" customHeight="1" thickBot="1" x14ac:dyDescent="0.25">
      <c r="A12" s="83" t="s">
        <v>8</v>
      </c>
      <c r="B12" s="84" t="s">
        <v>14</v>
      </c>
      <c r="C12" s="84" t="s">
        <v>117</v>
      </c>
      <c r="D12" s="84" t="s">
        <v>15</v>
      </c>
      <c r="E12" s="85" t="s">
        <v>28</v>
      </c>
      <c r="F12" s="101" t="s">
        <v>21</v>
      </c>
      <c r="G12" s="89" t="s">
        <v>19</v>
      </c>
      <c r="H12" s="102" t="s">
        <v>20</v>
      </c>
      <c r="I12" s="91" t="s">
        <v>39</v>
      </c>
      <c r="J12" s="92" t="s">
        <v>53</v>
      </c>
    </row>
    <row r="13" spans="1:10" ht="43.5" thickBot="1" x14ac:dyDescent="0.35">
      <c r="A13" s="256" t="s">
        <v>161</v>
      </c>
      <c r="B13" s="325"/>
      <c r="C13" s="565" t="s">
        <v>228</v>
      </c>
      <c r="D13" s="566"/>
      <c r="E13" s="566"/>
      <c r="F13" s="566"/>
      <c r="G13" s="567"/>
      <c r="H13" s="326" t="str">
        <f>IF(F13="","-",TRUNC($F13/($I$3*($I$4*$I$5/24+$I$6*$I$7/24+$I$8*$I$9/24)),0))</f>
        <v>-</v>
      </c>
      <c r="I13" s="327" t="str">
        <f>IF(G13="","-",(F13/(G13/24)))</f>
        <v>-</v>
      </c>
      <c r="J13" s="328" t="str">
        <f>IF(G13="","-",IF(I13/($I$4*$I$5+$I$6*$I$7+$I$8*$I$9)&gt;50,"&gt;50 years",(ROUND(I13/($I$4*$I$5+$I$6*$I$7+$I$8*$I$9),2))))</f>
        <v>-</v>
      </c>
    </row>
  </sheetData>
  <protectedRanges>
    <protectedRange sqref="I12:J12" name="Capacitor"/>
    <protectedRange sqref="D13:E13" name="Plage1_1_4"/>
  </protectedRanges>
  <autoFilter ref="A12:H12"/>
  <customSheetViews>
    <customSheetView guid="{D9820A12-A1B3-4B5E-9269-F628D77B6202}" scale="70" showAutoFilter="1">
      <pane ySplit="7" topLeftCell="A8" activePane="bottomLeft" state="frozen"/>
      <selection pane="bottomLeft" activeCell="K29" sqref="K29"/>
      <pageMargins left="0.78740157499999996" right="0.78740157499999996" top="0.984251969" bottom="0.984251969" header="0.4921259845" footer="0.4921259845"/>
      <pageSetup paperSize="9" orientation="portrait" r:id="rId1"/>
      <headerFooter alignWithMargins="0"/>
      <autoFilter ref="A7:G17"/>
    </customSheetView>
  </customSheetViews>
  <mergeCells count="14">
    <mergeCell ref="C13:G13"/>
    <mergeCell ref="E2:E9"/>
    <mergeCell ref="I11:J11"/>
    <mergeCell ref="F2:I2"/>
    <mergeCell ref="F3:H3"/>
    <mergeCell ref="F4:F5"/>
    <mergeCell ref="G4:H4"/>
    <mergeCell ref="G5:H5"/>
    <mergeCell ref="F6:F7"/>
    <mergeCell ref="G6:H6"/>
    <mergeCell ref="G7:H7"/>
    <mergeCell ref="F8:F9"/>
    <mergeCell ref="G8:H8"/>
    <mergeCell ref="G9:H9"/>
  </mergeCells>
  <conditionalFormatting sqref="J13">
    <cfRule type="cellIs" priority="2" stopIfTrue="1" operator="equal">
      <formula>"-"</formula>
    </cfRule>
    <cfRule type="expression" dxfId="2" priority="3">
      <formula>IF($J13&lt;$I$3, "vrai", "faux")</formula>
    </cfRule>
    <cfRule type="expression" dxfId="1" priority="4">
      <formula>IF($J13&gt;=$I$3, "vrai", "faux")</formula>
    </cfRule>
  </conditionalFormatting>
  <conditionalFormatting sqref="H13:J13">
    <cfRule type="expression" dxfId="0" priority="1">
      <formula>NOT(EstUneFormule(H13))</formula>
    </cfRule>
  </conditionalFormatting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0000"/>
  </sheetPr>
  <dimension ref="B11"/>
  <sheetViews>
    <sheetView zoomScale="75" zoomScaleNormal="75" workbookViewId="0">
      <selection activeCell="P34" sqref="P34"/>
    </sheetView>
  </sheetViews>
  <sheetFormatPr baseColWidth="10" defaultRowHeight="12.75" x14ac:dyDescent="0.2"/>
  <sheetData>
    <row r="11" spans="2:2" x14ac:dyDescent="0.2">
      <c r="B11" s="23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489" r:id="rId4" name="Button 1">
              <controlPr defaultSize="0" print="0" autoFill="0" autoPict="0" macro="[0]!Export_pour_Word.Export_pour_Word">
                <anchor moveWithCells="1">
                  <from>
                    <xdr:col>1</xdr:col>
                    <xdr:colOff>9525</xdr:colOff>
                    <xdr:row>15</xdr:row>
                    <xdr:rowOff>152400</xdr:rowOff>
                  </from>
                  <to>
                    <xdr:col>3</xdr:col>
                    <xdr:colOff>276225</xdr:colOff>
                    <xdr:row>20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14</vt:i4>
      </vt:variant>
    </vt:vector>
  </HeadingPairs>
  <TitlesOfParts>
    <vt:vector size="26" baseType="lpstr">
      <vt:lpstr>Revision</vt:lpstr>
      <vt:lpstr>Mission Profil &amp; Synthesis</vt:lpstr>
      <vt:lpstr>Capacitor</vt:lpstr>
      <vt:lpstr>Connector</vt:lpstr>
      <vt:lpstr>Fan</vt:lpstr>
      <vt:lpstr>Memory (FLASH and EEPROM) </vt:lpstr>
      <vt:lpstr>LED</vt:lpstr>
      <vt:lpstr>Optocoupler</vt:lpstr>
      <vt:lpstr>Power Transistor</vt:lpstr>
      <vt:lpstr>Relay</vt:lpstr>
      <vt:lpstr>Switch</vt:lpstr>
      <vt:lpstr>Creation Annexe Word</vt:lpstr>
      <vt:lpstr>Listing_relay</vt:lpstr>
      <vt:lpstr>Relay_A</vt:lpstr>
      <vt:lpstr>Relay_B</vt:lpstr>
      <vt:lpstr>Relay_C</vt:lpstr>
      <vt:lpstr>Relay_D</vt:lpstr>
      <vt:lpstr>Relay_E</vt:lpstr>
      <vt:lpstr>Relay_F</vt:lpstr>
      <vt:lpstr>Relay_G</vt:lpstr>
      <vt:lpstr>Relay_H_AC</vt:lpstr>
      <vt:lpstr>Relay_H_DC</vt:lpstr>
      <vt:lpstr>Relay_I_AC</vt:lpstr>
      <vt:lpstr>Relay_I_DC</vt:lpstr>
      <vt:lpstr>Relay_J_AC</vt:lpstr>
      <vt:lpstr>Relay_J_DC</vt:lpstr>
    </vt:vector>
  </TitlesOfParts>
  <Manager>Norro Franck</Manager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Life expectancy - Board Product Project</dc:title>
  <dc:subject>Fichier de calcul de durée de vie</dc:subject>
  <dc:creator>MATHE Florian - EXT</dc:creator>
  <dc:description>Revision C</dc:description>
  <cp:lastModifiedBy>MATHE Florian - EXT</cp:lastModifiedBy>
  <dcterms:created xsi:type="dcterms:W3CDTF">2010-12-13T07:56:25Z</dcterms:created>
  <dcterms:modified xsi:type="dcterms:W3CDTF">2017-04-13T10:08:06Z</dcterms:modified>
</cp:coreProperties>
</file>