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jean\Desktop\"/>
    </mc:Choice>
  </mc:AlternateContent>
  <bookViews>
    <workbookView xWindow="0" yWindow="0" windowWidth="24000" windowHeight="9510" activeTab="2"/>
  </bookViews>
  <sheets>
    <sheet name="DB" sheetId="3" r:id="rId1"/>
    <sheet name="TCD" sheetId="5" r:id="rId2"/>
    <sheet name="tableau dissocié" sheetId="2" r:id="rId3"/>
  </sheets>
  <externalReferences>
    <externalReference r:id="rId4"/>
  </externalReferences>
  <calcPr calcId="171027"/>
  <pivotCaches>
    <pivotCache cacheId="67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J12" i="2" s="1"/>
  <c r="Q12" i="2" s="1"/>
  <c r="C11" i="2"/>
  <c r="J11" i="2" s="1"/>
  <c r="Q11" i="2" s="1"/>
  <c r="C10" i="2"/>
  <c r="J10" i="2" s="1"/>
  <c r="Q10" i="2" s="1"/>
  <c r="C9" i="2"/>
  <c r="C8" i="2"/>
  <c r="J8" i="2" s="1"/>
  <c r="Q8" i="2" s="1"/>
  <c r="C7" i="2"/>
  <c r="J7" i="2" s="1"/>
  <c r="Q7" i="2" s="1"/>
  <c r="B10" i="2"/>
  <c r="I10" i="2" s="1"/>
  <c r="P10" i="2" s="1"/>
  <c r="B7" i="2"/>
  <c r="C6" i="2"/>
  <c r="J6" i="2" s="1"/>
  <c r="Q6" i="2" s="1"/>
  <c r="C5" i="2"/>
  <c r="J5" i="2" s="1"/>
  <c r="Q5" i="2" s="1"/>
  <c r="C4" i="2"/>
  <c r="J4" i="2" s="1"/>
  <c r="Q4" i="2" s="1"/>
  <c r="B4" i="2"/>
  <c r="A4" i="2"/>
  <c r="A19" i="2" s="1"/>
  <c r="B16" i="2"/>
  <c r="I16" i="2" s="1"/>
  <c r="P16" i="2" s="1"/>
  <c r="B13" i="2"/>
  <c r="I13" i="2" s="1"/>
  <c r="P13" i="2" s="1"/>
  <c r="I7" i="2"/>
  <c r="P7" i="2" s="1"/>
  <c r="O4" i="2"/>
  <c r="O19" i="2" s="1"/>
  <c r="H4" i="2"/>
  <c r="H19" i="2" s="1"/>
  <c r="P19" i="2"/>
  <c r="J19" i="2"/>
  <c r="Q19" i="2" s="1"/>
  <c r="I19" i="2"/>
  <c r="F19" i="2"/>
  <c r="C18" i="2"/>
  <c r="J18" i="2" s="1"/>
  <c r="Q18" i="2" s="1"/>
  <c r="T17" i="2"/>
  <c r="C17" i="2"/>
  <c r="J17" i="2" s="1"/>
  <c r="Q17" i="2" s="1"/>
  <c r="C16" i="2"/>
  <c r="J16" i="2" s="1"/>
  <c r="Q16" i="2" s="1"/>
  <c r="C15" i="2"/>
  <c r="J15" i="2" s="1"/>
  <c r="Q15" i="2" s="1"/>
  <c r="C14" i="2"/>
  <c r="J14" i="2" s="1"/>
  <c r="Q14" i="2" s="1"/>
  <c r="C13" i="2"/>
  <c r="J13" i="2" s="1"/>
  <c r="Q13" i="2" s="1"/>
  <c r="J9" i="2"/>
  <c r="Q9" i="2" s="1"/>
  <c r="P4" i="2"/>
  <c r="I4" i="2"/>
  <c r="F3" i="2"/>
  <c r="E3" i="2"/>
  <c r="D3" i="2"/>
  <c r="C3" i="2"/>
  <c r="B3" i="2"/>
  <c r="A3" i="2"/>
  <c r="E12" i="2"/>
  <c r="E11" i="2"/>
  <c r="E10" i="2"/>
  <c r="E9" i="2"/>
  <c r="E8" i="2"/>
  <c r="E7" i="2"/>
  <c r="E6" i="2"/>
  <c r="E5" i="2"/>
  <c r="E4" i="2"/>
  <c r="D12" i="2"/>
  <c r="D11" i="2"/>
  <c r="D10" i="2"/>
  <c r="D9" i="2"/>
  <c r="D8" i="2"/>
  <c r="D7" i="2"/>
  <c r="D6" i="2"/>
  <c r="D5" i="2"/>
  <c r="D4" i="2"/>
  <c r="R19" i="2"/>
  <c r="R18" i="2"/>
  <c r="K18" i="2"/>
  <c r="D18" i="2"/>
  <c r="D16" i="2"/>
  <c r="S15" i="2"/>
  <c r="L15" i="2"/>
  <c r="E15" i="2"/>
  <c r="R14" i="2"/>
  <c r="K14" i="2"/>
  <c r="D14" i="2"/>
  <c r="R13" i="2"/>
  <c r="L13" i="2"/>
  <c r="S9" i="2"/>
  <c r="L9" i="2"/>
  <c r="S8" i="2"/>
  <c r="L8" i="2"/>
  <c r="S7" i="2"/>
  <c r="R6" i="2"/>
  <c r="K6" i="2"/>
  <c r="R5" i="2"/>
  <c r="K5" i="2"/>
  <c r="R4" i="2"/>
  <c r="L19" i="2"/>
  <c r="L17" i="2"/>
  <c r="E17" i="2"/>
  <c r="S16" i="2"/>
  <c r="R15" i="2"/>
  <c r="K15" i="2"/>
  <c r="D15" i="2"/>
  <c r="K13" i="2"/>
  <c r="E13" i="2"/>
  <c r="L11" i="2"/>
  <c r="S10" i="2"/>
  <c r="R9" i="2"/>
  <c r="K9" i="2"/>
  <c r="R8" i="2"/>
  <c r="K8" i="2"/>
  <c r="R7" i="2"/>
  <c r="L7" i="2"/>
  <c r="L4" i="2"/>
  <c r="K19" i="2"/>
  <c r="K17" i="2"/>
  <c r="D17" i="2"/>
  <c r="R16" i="2"/>
  <c r="L16" i="2"/>
  <c r="S19" i="2"/>
  <c r="S18" i="2"/>
  <c r="L12" i="2"/>
  <c r="S5" i="2"/>
  <c r="L18" i="2"/>
  <c r="K16" i="2"/>
  <c r="K12" i="2"/>
  <c r="R11" i="2"/>
  <c r="L10" i="2"/>
  <c r="S6" i="2"/>
  <c r="E18" i="2"/>
  <c r="E16" i="2"/>
  <c r="L14" i="2"/>
  <c r="S13" i="2"/>
  <c r="S12" i="2"/>
  <c r="K10" i="2"/>
  <c r="K7" i="2"/>
  <c r="L5" i="2"/>
  <c r="K4" i="2"/>
  <c r="E14" i="2"/>
  <c r="D13" i="2"/>
  <c r="R12" i="2"/>
  <c r="K11" i="2"/>
  <c r="R10" i="2"/>
  <c r="L6" i="2"/>
  <c r="S4" i="2"/>
  <c r="F4" i="2" l="1"/>
  <c r="T4" i="2"/>
  <c r="M6" i="2"/>
  <c r="F14" i="2"/>
  <c r="M5" i="2"/>
  <c r="F12" i="2"/>
  <c r="T12" i="2"/>
  <c r="T13" i="2"/>
  <c r="M14" i="2"/>
  <c r="F16" i="2"/>
  <c r="F18" i="2"/>
  <c r="F6" i="2"/>
  <c r="T6" i="2"/>
  <c r="M10" i="2"/>
  <c r="T11" i="2"/>
  <c r="M18" i="2"/>
  <c r="F5" i="2"/>
  <c r="T5" i="2"/>
  <c r="F7" i="2"/>
  <c r="F10" i="2"/>
  <c r="M12" i="2"/>
  <c r="T18" i="2"/>
  <c r="T19" i="2"/>
  <c r="M16" i="2"/>
  <c r="M4" i="2"/>
  <c r="M7" i="2"/>
  <c r="T10" i="2"/>
  <c r="F11" i="2"/>
  <c r="M11" i="2"/>
  <c r="F13" i="2"/>
  <c r="T16" i="2"/>
  <c r="F17" i="2"/>
  <c r="M17" i="2"/>
  <c r="M19" i="2"/>
  <c r="T7" i="2"/>
  <c r="F8" i="2"/>
  <c r="M8" i="2"/>
  <c r="T8" i="2"/>
  <c r="F9" i="2"/>
  <c r="M9" i="2"/>
  <c r="T9" i="2"/>
  <c r="M13" i="2"/>
  <c r="T14" i="2"/>
  <c r="F15" i="2"/>
  <c r="M15" i="2"/>
  <c r="T15" i="2"/>
</calcChain>
</file>

<file path=xl/sharedStrings.xml><?xml version="1.0" encoding="utf-8"?>
<sst xmlns="http://schemas.openxmlformats.org/spreadsheetml/2006/main" count="134" uniqueCount="29">
  <si>
    <t>SEMAINE 20</t>
  </si>
  <si>
    <t>DESI_MACH</t>
  </si>
  <si>
    <t>DATE_CALE</t>
  </si>
  <si>
    <t>CODE_EQUI</t>
  </si>
  <si>
    <t>AM</t>
  </si>
  <si>
    <t>NU</t>
  </si>
  <si>
    <t>MA</t>
  </si>
  <si>
    <t>Total général</t>
  </si>
  <si>
    <t>QBONP</t>
  </si>
  <si>
    <t>PERTE P</t>
  </si>
  <si>
    <t>TX PERTE</t>
  </si>
  <si>
    <t>semaine</t>
  </si>
  <si>
    <t>toutes équipes</t>
  </si>
  <si>
    <t>Machine 1</t>
  </si>
  <si>
    <t>Machine 2</t>
  </si>
  <si>
    <t>Machine 3</t>
  </si>
  <si>
    <t>Machine</t>
  </si>
  <si>
    <t>Qté bonne</t>
  </si>
  <si>
    <t>Qté perte</t>
  </si>
  <si>
    <t>date</t>
  </si>
  <si>
    <t>Somme de Qté bonne</t>
  </si>
  <si>
    <t>Somme de Qté perte</t>
  </si>
  <si>
    <t>Total 06/06/2016</t>
  </si>
  <si>
    <t>Total 09/06/2016</t>
  </si>
  <si>
    <t>Total 12/06/2016</t>
  </si>
  <si>
    <t>Total Machine 1</t>
  </si>
  <si>
    <t>Total Machine 2</t>
  </si>
  <si>
    <t>Total Machine 3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</si>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</sst>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17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0" fontId="0" fillId="0" borderId="0" xfId="0" applyNumberFormat="1"/>
    <xf numFmtId="0" fontId="0" fillId="3" borderId="1" xfId="0" applyFill="1" applyBorder="1"/>
    <xf numFmtId="10" fontId="0" fillId="3" borderId="1" xfId="0" applyNumberFormat="1" applyFill="1" applyBorder="1"/>
    <xf numFmtId="0" fontId="0" fillId="3" borderId="1" xfId="0" applyFill="1" applyBorder="1" applyAlignment="1">
      <alignment horizontal="center" vertical="top"/>
    </xf>
    <xf numFmtId="14" fontId="0" fillId="3" borderId="1" xfId="0" applyNumberFormat="1" applyFill="1" applyBorder="1" applyAlignment="1">
      <alignment horizontal="center" vertical="top"/>
    </xf>
    <xf numFmtId="0" fontId="0" fillId="4" borderId="1" xfId="0" applyFill="1" applyBorder="1"/>
    <xf numFmtId="10" fontId="0" fillId="4" borderId="1" xfId="1" applyNumberFormat="1" applyFont="1" applyFill="1" applyBorder="1"/>
    <xf numFmtId="0" fontId="0" fillId="5" borderId="1" xfId="0" applyFill="1" applyBorder="1"/>
    <xf numFmtId="10" fontId="0" fillId="5" borderId="1" xfId="1" applyNumberFormat="1" applyFont="1" applyFill="1" applyBorder="1"/>
    <xf numFmtId="0" fontId="0" fillId="6" borderId="1" xfId="0" applyFill="1" applyBorder="1"/>
    <xf numFmtId="10" fontId="0" fillId="6" borderId="1" xfId="1" applyNumberFormat="1" applyFont="1" applyFill="1" applyBorder="1"/>
    <xf numFmtId="10" fontId="0" fillId="3" borderId="1" xfId="1" applyNumberFormat="1" applyFont="1" applyFill="1" applyBorder="1"/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2">
    <cellStyle name="Normal" xfId="0" builtinId="0"/>
    <cellStyle name="Pourcentage" xfId="1" builtinId="5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&#226;che/DMAICR%20G&amp;F/2-Measure/G&#226;ch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vsqlp01 OPTIMA"/>
      <sheetName val="Para"/>
      <sheetName val="tableau à développer"/>
      <sheetName val="TALBEAU equipe"/>
      <sheetName val="TCD_Matr"/>
      <sheetName val="Chiffre Jour"/>
      <sheetName val="Feuil2"/>
      <sheetName val="Perte"/>
      <sheetName val="perte dissoci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8">
          <cell r="O8" t="str">
            <v>DESI_MACH</v>
          </cell>
          <cell r="P8" t="str">
            <v>DATE_CALE</v>
          </cell>
          <cell r="Q8" t="str">
            <v>CODE_EQUI</v>
          </cell>
          <cell r="R8" t="str">
            <v xml:space="preserve"> QBONP</v>
          </cell>
          <cell r="S8" t="str">
            <v xml:space="preserve"> Perte P</v>
          </cell>
          <cell r="T8" t="str">
            <v xml:space="preserve"> Tx Perte </v>
          </cell>
        </row>
        <row r="18">
          <cell r="Q18" t="str">
            <v>MA</v>
          </cell>
        </row>
        <row r="19">
          <cell r="Q19" t="str">
            <v>NU</v>
          </cell>
        </row>
        <row r="21">
          <cell r="Q21" t="str">
            <v>AM</v>
          </cell>
        </row>
        <row r="22">
          <cell r="Q22" t="str">
            <v>MA</v>
          </cell>
        </row>
        <row r="23">
          <cell r="Q23" t="str">
            <v>NU</v>
          </cell>
        </row>
        <row r="25">
          <cell r="P25">
            <v>42527</v>
          </cell>
        </row>
      </sheetData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Jean" refreshedDate="42536.395370949074" createdVersion="6" refreshedVersion="6" minRefreshableVersion="3" recordCount="36">
  <cacheSource type="worksheet">
    <worksheetSource ref="A1:E37" sheet="DB"/>
  </cacheSource>
  <cacheFields count="5">
    <cacheField name="date" numFmtId="14">
      <sharedItems containsSemiMixedTypes="0" containsNonDate="0" containsDate="1" containsString="0" minDate="2016-06-06T00:00:00" maxDate="2016-06-18T00:00:00" count="8">
        <d v="2016-06-06T00:00:00"/>
        <d v="2016-06-09T00:00:00"/>
        <d v="2016-06-12T00:00:00"/>
        <d v="2016-06-13T00:00:00"/>
        <d v="2016-06-14T00:00:00"/>
        <d v="2016-06-15T00:00:00"/>
        <d v="2016-06-16T00:00:00"/>
        <d v="2016-06-17T00:00:00"/>
      </sharedItems>
    </cacheField>
    <cacheField name="Machine" numFmtId="0">
      <sharedItems count="3">
        <s v="Machine 1"/>
        <s v="Machine 2"/>
        <s v="Machine 3"/>
      </sharedItems>
    </cacheField>
    <cacheField name="Equipe" numFmtId="0">
      <sharedItems count="3">
        <s v="AM"/>
        <s v="MA"/>
        <s v="NU"/>
      </sharedItems>
    </cacheField>
    <cacheField name="Qté bonne" numFmtId="0">
      <sharedItems containsSemiMixedTypes="0" containsString="0" containsNumber="1" containsInteger="1" minValue="10000" maxValue="13000"/>
    </cacheField>
    <cacheField name="Qté perte" numFmtId="0">
      <sharedItems containsSemiMixedTypes="0" containsString="0" containsNumber="1" containsInteger="1" minValue="1000" maxValue="3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x v="0"/>
    <n v="10000"/>
    <n v="2000"/>
  </r>
  <r>
    <x v="0"/>
    <x v="0"/>
    <x v="1"/>
    <n v="11000"/>
    <n v="1000"/>
  </r>
  <r>
    <x v="0"/>
    <x v="0"/>
    <x v="2"/>
    <n v="12000"/>
    <n v="3000"/>
  </r>
  <r>
    <x v="1"/>
    <x v="0"/>
    <x v="0"/>
    <n v="13000"/>
    <n v="3500"/>
  </r>
  <r>
    <x v="1"/>
    <x v="0"/>
    <x v="1"/>
    <n v="10000"/>
    <n v="2000"/>
  </r>
  <r>
    <x v="1"/>
    <x v="0"/>
    <x v="2"/>
    <n v="11000"/>
    <n v="1000"/>
  </r>
  <r>
    <x v="0"/>
    <x v="1"/>
    <x v="0"/>
    <n v="13000"/>
    <n v="3500"/>
  </r>
  <r>
    <x v="0"/>
    <x v="1"/>
    <x v="1"/>
    <n v="10000"/>
    <n v="2000"/>
  </r>
  <r>
    <x v="0"/>
    <x v="1"/>
    <x v="2"/>
    <n v="11000"/>
    <n v="1000"/>
  </r>
  <r>
    <x v="1"/>
    <x v="1"/>
    <x v="0"/>
    <n v="12000"/>
    <n v="3000"/>
  </r>
  <r>
    <x v="1"/>
    <x v="1"/>
    <x v="1"/>
    <n v="13000"/>
    <n v="3500"/>
  </r>
  <r>
    <x v="1"/>
    <x v="1"/>
    <x v="2"/>
    <n v="10000"/>
    <n v="2000"/>
  </r>
  <r>
    <x v="0"/>
    <x v="2"/>
    <x v="0"/>
    <n v="12000"/>
    <n v="3000"/>
  </r>
  <r>
    <x v="0"/>
    <x v="2"/>
    <x v="1"/>
    <n v="13000"/>
    <n v="3500"/>
  </r>
  <r>
    <x v="0"/>
    <x v="2"/>
    <x v="2"/>
    <n v="10000"/>
    <n v="2000"/>
  </r>
  <r>
    <x v="1"/>
    <x v="2"/>
    <x v="0"/>
    <n v="11000"/>
    <n v="1000"/>
  </r>
  <r>
    <x v="1"/>
    <x v="2"/>
    <x v="1"/>
    <n v="12000"/>
    <n v="3000"/>
  </r>
  <r>
    <x v="1"/>
    <x v="2"/>
    <x v="2"/>
    <n v="13000"/>
    <n v="3500"/>
  </r>
  <r>
    <x v="2"/>
    <x v="0"/>
    <x v="0"/>
    <n v="10000"/>
    <n v="2000"/>
  </r>
  <r>
    <x v="2"/>
    <x v="0"/>
    <x v="1"/>
    <n v="11000"/>
    <n v="1000"/>
  </r>
  <r>
    <x v="2"/>
    <x v="0"/>
    <x v="2"/>
    <n v="12000"/>
    <n v="3000"/>
  </r>
  <r>
    <x v="3"/>
    <x v="1"/>
    <x v="0"/>
    <n v="13000"/>
    <n v="3500"/>
  </r>
  <r>
    <x v="3"/>
    <x v="1"/>
    <x v="1"/>
    <n v="10000"/>
    <n v="2000"/>
  </r>
  <r>
    <x v="3"/>
    <x v="1"/>
    <x v="2"/>
    <n v="11000"/>
    <n v="1000"/>
  </r>
  <r>
    <x v="4"/>
    <x v="2"/>
    <x v="0"/>
    <n v="13000"/>
    <n v="3500"/>
  </r>
  <r>
    <x v="4"/>
    <x v="2"/>
    <x v="1"/>
    <n v="10000"/>
    <n v="2000"/>
  </r>
  <r>
    <x v="4"/>
    <x v="2"/>
    <x v="2"/>
    <n v="11000"/>
    <n v="1000"/>
  </r>
  <r>
    <x v="5"/>
    <x v="0"/>
    <x v="2"/>
    <n v="12000"/>
    <n v="3000"/>
  </r>
  <r>
    <x v="5"/>
    <x v="0"/>
    <x v="0"/>
    <n v="13000"/>
    <n v="3500"/>
  </r>
  <r>
    <x v="5"/>
    <x v="0"/>
    <x v="1"/>
    <n v="10000"/>
    <n v="2000"/>
  </r>
  <r>
    <x v="6"/>
    <x v="1"/>
    <x v="2"/>
    <n v="12000"/>
    <n v="3000"/>
  </r>
  <r>
    <x v="6"/>
    <x v="1"/>
    <x v="0"/>
    <n v="13000"/>
    <n v="3500"/>
  </r>
  <r>
    <x v="6"/>
    <x v="1"/>
    <x v="1"/>
    <n v="10000"/>
    <n v="2000"/>
  </r>
  <r>
    <x v="7"/>
    <x v="2"/>
    <x v="2"/>
    <n v="11000"/>
    <n v="1000"/>
  </r>
  <r>
    <x v="7"/>
    <x v="2"/>
    <x v="2"/>
    <n v="12000"/>
    <n v="3000"/>
  </r>
  <r>
    <x v="7"/>
    <x v="2"/>
    <x v="0"/>
    <n v="13000"/>
    <n v="3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rowHeaderCaption="Machine">
  <location ref="A3:E35" firstHeaderRow="0" firstDataRow="1" firstDataCol="3"/>
  <pivotFields count="5">
    <pivotField axis="axisRow" numFmtId="14" outline="0" multipleItemSelectionAllowed="1" showAll="0">
      <items count="9">
        <item x="0"/>
        <item x="1"/>
        <item x="2"/>
        <item h="1" x="3"/>
        <item h="1" x="4"/>
        <item h="1" x="5"/>
        <item h="1" x="6"/>
        <item h="1" x="7"/>
        <item t="default"/>
      </items>
    </pivotField>
    <pivotField axis="axisRow" outline="0" showAll="0">
      <items count="4">
        <item x="0"/>
        <item x="1"/>
        <item x="2"/>
        <item t="default"/>
      </items>
    </pivotField>
    <pivotField axis="axisRow" outline="0" showAll="0">
      <items count="4">
        <item x="0"/>
        <item x="1"/>
        <item x="2"/>
        <item t="default"/>
      </items>
    </pivotField>
    <pivotField dataField="1" showAll="0"/>
    <pivotField dataField="1" showAll="0"/>
  </pivotFields>
  <rowFields count="3">
    <field x="1"/>
    <field x="0"/>
    <field x="2"/>
  </rowFields>
  <rowItems count="32">
    <i>
      <x/>
      <x/>
      <x/>
    </i>
    <i r="2">
      <x v="1"/>
    </i>
    <i r="2">
      <x v="2"/>
    </i>
    <i t="default" r="1">
      <x/>
    </i>
    <i r="1">
      <x v="1"/>
      <x/>
    </i>
    <i r="2">
      <x v="1"/>
    </i>
    <i r="2">
      <x v="2"/>
    </i>
    <i t="default" r="1">
      <x v="1"/>
    </i>
    <i r="1">
      <x v="2"/>
      <x/>
    </i>
    <i r="2">
      <x v="1"/>
    </i>
    <i r="2">
      <x v="2"/>
    </i>
    <i t="default" r="1">
      <x v="2"/>
    </i>
    <i t="default">
      <x/>
    </i>
    <i>
      <x v="1"/>
      <x/>
      <x/>
    </i>
    <i r="2">
      <x v="1"/>
    </i>
    <i r="2">
      <x v="2"/>
    </i>
    <i t="default" r="1">
      <x/>
    </i>
    <i r="1">
      <x v="1"/>
      <x/>
    </i>
    <i r="2">
      <x v="1"/>
    </i>
    <i r="2">
      <x v="2"/>
    </i>
    <i t="default" r="1">
      <x v="1"/>
    </i>
    <i t="default">
      <x v="1"/>
    </i>
    <i>
      <x v="2"/>
      <x/>
      <x/>
    </i>
    <i r="2">
      <x v="1"/>
    </i>
    <i r="2">
      <x v="2"/>
    </i>
    <i t="default" r="1">
      <x/>
    </i>
    <i r="1">
      <x v="1"/>
      <x/>
    </i>
    <i r="2">
      <x v="1"/>
    </i>
    <i r="2">
      <x v="2"/>
    </i>
    <i t="default" r="1">
      <x v="1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 bonne" fld="3" baseField="0" baseItem="0"/>
    <dataField name="Somme de Qté pert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37" totalsRowShown="0">
  <autoFilter ref="A1:E37"/>
  <tableColumns count="5">
    <tableColumn id="1" name="date" dataDxfId="0"/>
    <tableColumn id="2" name="Machine"/>
    <tableColumn id="3" name="Equipe"/>
    <tableColumn id="4" name="Qté bonne"/>
    <tableColumn id="5" name="Qté per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opLeftCell="A13" workbookViewId="0">
      <selection activeCell="G25" sqref="G25"/>
    </sheetView>
  </sheetViews>
  <sheetFormatPr baseColWidth="10" defaultRowHeight="15" x14ac:dyDescent="0.25"/>
  <cols>
    <col min="1" max="1" width="11.140625" customWidth="1"/>
    <col min="4" max="4" width="12.5703125" customWidth="1"/>
    <col min="5" max="5" width="11.7109375" customWidth="1"/>
  </cols>
  <sheetData>
    <row r="1" spans="1:5" x14ac:dyDescent="0.25">
      <c r="A1" t="s">
        <v>19</v>
      </c>
      <c r="B1" t="s">
        <v>16</v>
      </c>
      <c r="C1" t="s">
        <v>28</v>
      </c>
      <c r="D1" t="s">
        <v>17</v>
      </c>
      <c r="E1" t="s">
        <v>18</v>
      </c>
    </row>
    <row r="2" spans="1:5" x14ac:dyDescent="0.25">
      <c r="A2" s="16">
        <v>42527</v>
      </c>
      <c r="B2" t="s">
        <v>13</v>
      </c>
      <c r="C2" t="s">
        <v>4</v>
      </c>
      <c r="D2">
        <v>10000</v>
      </c>
      <c r="E2">
        <v>2000</v>
      </c>
    </row>
    <row r="3" spans="1:5" x14ac:dyDescent="0.25">
      <c r="A3" s="16">
        <v>42527</v>
      </c>
      <c r="B3" t="s">
        <v>13</v>
      </c>
      <c r="C3" t="s">
        <v>6</v>
      </c>
      <c r="D3">
        <v>11000</v>
      </c>
      <c r="E3">
        <v>1000</v>
      </c>
    </row>
    <row r="4" spans="1:5" x14ac:dyDescent="0.25">
      <c r="A4" s="16">
        <v>42527</v>
      </c>
      <c r="B4" t="s">
        <v>13</v>
      </c>
      <c r="C4" t="s">
        <v>5</v>
      </c>
      <c r="D4">
        <v>12000</v>
      </c>
      <c r="E4">
        <v>3000</v>
      </c>
    </row>
    <row r="5" spans="1:5" x14ac:dyDescent="0.25">
      <c r="A5" s="16">
        <v>42530</v>
      </c>
      <c r="B5" t="s">
        <v>13</v>
      </c>
      <c r="C5" t="s">
        <v>4</v>
      </c>
      <c r="D5">
        <v>13000</v>
      </c>
      <c r="E5">
        <v>3500</v>
      </c>
    </row>
    <row r="6" spans="1:5" x14ac:dyDescent="0.25">
      <c r="A6" s="16">
        <v>42530</v>
      </c>
      <c r="B6" t="s">
        <v>13</v>
      </c>
      <c r="C6" t="s">
        <v>6</v>
      </c>
      <c r="D6">
        <v>10000</v>
      </c>
      <c r="E6">
        <v>2000</v>
      </c>
    </row>
    <row r="7" spans="1:5" x14ac:dyDescent="0.25">
      <c r="A7" s="16">
        <v>42530</v>
      </c>
      <c r="B7" t="s">
        <v>13</v>
      </c>
      <c r="C7" t="s">
        <v>5</v>
      </c>
      <c r="D7">
        <v>11000</v>
      </c>
      <c r="E7">
        <v>1000</v>
      </c>
    </row>
    <row r="8" spans="1:5" x14ac:dyDescent="0.25">
      <c r="A8" s="16">
        <v>42527</v>
      </c>
      <c r="B8" t="s">
        <v>14</v>
      </c>
      <c r="C8" t="s">
        <v>4</v>
      </c>
      <c r="D8">
        <v>13000</v>
      </c>
      <c r="E8">
        <v>3500</v>
      </c>
    </row>
    <row r="9" spans="1:5" x14ac:dyDescent="0.25">
      <c r="A9" s="16">
        <v>42527</v>
      </c>
      <c r="B9" t="s">
        <v>14</v>
      </c>
      <c r="C9" t="s">
        <v>6</v>
      </c>
      <c r="D9">
        <v>10000</v>
      </c>
      <c r="E9">
        <v>2000</v>
      </c>
    </row>
    <row r="10" spans="1:5" x14ac:dyDescent="0.25">
      <c r="A10" s="16">
        <v>42527</v>
      </c>
      <c r="B10" t="s">
        <v>14</v>
      </c>
      <c r="C10" t="s">
        <v>5</v>
      </c>
      <c r="D10">
        <v>11000</v>
      </c>
      <c r="E10">
        <v>1000</v>
      </c>
    </row>
    <row r="11" spans="1:5" x14ac:dyDescent="0.25">
      <c r="A11" s="16">
        <v>42530</v>
      </c>
      <c r="B11" t="s">
        <v>14</v>
      </c>
      <c r="C11" t="s">
        <v>4</v>
      </c>
      <c r="D11">
        <v>12000</v>
      </c>
      <c r="E11">
        <v>3000</v>
      </c>
    </row>
    <row r="12" spans="1:5" x14ac:dyDescent="0.25">
      <c r="A12" s="16">
        <v>42530</v>
      </c>
      <c r="B12" t="s">
        <v>14</v>
      </c>
      <c r="C12" t="s">
        <v>6</v>
      </c>
      <c r="D12">
        <v>13000</v>
      </c>
      <c r="E12">
        <v>3500</v>
      </c>
    </row>
    <row r="13" spans="1:5" x14ac:dyDescent="0.25">
      <c r="A13" s="16">
        <v>42530</v>
      </c>
      <c r="B13" t="s">
        <v>14</v>
      </c>
      <c r="C13" t="s">
        <v>5</v>
      </c>
      <c r="D13">
        <v>10000</v>
      </c>
      <c r="E13">
        <v>2000</v>
      </c>
    </row>
    <row r="14" spans="1:5" x14ac:dyDescent="0.25">
      <c r="A14" s="16">
        <v>42527</v>
      </c>
      <c r="B14" t="s">
        <v>15</v>
      </c>
      <c r="C14" t="s">
        <v>4</v>
      </c>
      <c r="D14">
        <v>12000</v>
      </c>
      <c r="E14">
        <v>3000</v>
      </c>
    </row>
    <row r="15" spans="1:5" x14ac:dyDescent="0.25">
      <c r="A15" s="16">
        <v>42527</v>
      </c>
      <c r="B15" t="s">
        <v>15</v>
      </c>
      <c r="C15" t="s">
        <v>6</v>
      </c>
      <c r="D15">
        <v>13000</v>
      </c>
      <c r="E15">
        <v>3500</v>
      </c>
    </row>
    <row r="16" spans="1:5" x14ac:dyDescent="0.25">
      <c r="A16" s="16">
        <v>42527</v>
      </c>
      <c r="B16" t="s">
        <v>15</v>
      </c>
      <c r="C16" t="s">
        <v>5</v>
      </c>
      <c r="D16">
        <v>10000</v>
      </c>
      <c r="E16">
        <v>2000</v>
      </c>
    </row>
    <row r="17" spans="1:5" x14ac:dyDescent="0.25">
      <c r="A17" s="16">
        <v>42530</v>
      </c>
      <c r="B17" t="s">
        <v>15</v>
      </c>
      <c r="C17" t="s">
        <v>4</v>
      </c>
      <c r="D17">
        <v>11000</v>
      </c>
      <c r="E17">
        <v>1000</v>
      </c>
    </row>
    <row r="18" spans="1:5" x14ac:dyDescent="0.25">
      <c r="A18" s="16">
        <v>42530</v>
      </c>
      <c r="B18" t="s">
        <v>15</v>
      </c>
      <c r="C18" t="s">
        <v>6</v>
      </c>
      <c r="D18">
        <v>12000</v>
      </c>
      <c r="E18">
        <v>3000</v>
      </c>
    </row>
    <row r="19" spans="1:5" x14ac:dyDescent="0.25">
      <c r="A19" s="16">
        <v>42530</v>
      </c>
      <c r="B19" t="s">
        <v>15</v>
      </c>
      <c r="C19" t="s">
        <v>5</v>
      </c>
      <c r="D19">
        <v>13000</v>
      </c>
      <c r="E19">
        <v>3500</v>
      </c>
    </row>
    <row r="20" spans="1:5" x14ac:dyDescent="0.25">
      <c r="A20" s="16">
        <v>42533</v>
      </c>
      <c r="B20" t="s">
        <v>13</v>
      </c>
      <c r="C20" t="s">
        <v>4</v>
      </c>
      <c r="D20">
        <v>10000</v>
      </c>
      <c r="E20">
        <v>2000</v>
      </c>
    </row>
    <row r="21" spans="1:5" x14ac:dyDescent="0.25">
      <c r="A21" s="16">
        <v>42533</v>
      </c>
      <c r="B21" t="s">
        <v>13</v>
      </c>
      <c r="C21" t="s">
        <v>6</v>
      </c>
      <c r="D21">
        <v>11000</v>
      </c>
      <c r="E21">
        <v>1000</v>
      </c>
    </row>
    <row r="22" spans="1:5" x14ac:dyDescent="0.25">
      <c r="A22" s="16">
        <v>42533</v>
      </c>
      <c r="B22" t="s">
        <v>13</v>
      </c>
      <c r="C22" t="s">
        <v>5</v>
      </c>
      <c r="D22">
        <v>12000</v>
      </c>
      <c r="E22">
        <v>3000</v>
      </c>
    </row>
    <row r="23" spans="1:5" x14ac:dyDescent="0.25">
      <c r="A23" s="16">
        <v>42534</v>
      </c>
      <c r="B23" t="s">
        <v>14</v>
      </c>
      <c r="C23" t="s">
        <v>4</v>
      </c>
      <c r="D23">
        <v>13000</v>
      </c>
      <c r="E23">
        <v>3500</v>
      </c>
    </row>
    <row r="24" spans="1:5" x14ac:dyDescent="0.25">
      <c r="A24" s="16">
        <v>42534</v>
      </c>
      <c r="B24" t="s">
        <v>14</v>
      </c>
      <c r="C24" t="s">
        <v>6</v>
      </c>
      <c r="D24">
        <v>10000</v>
      </c>
      <c r="E24">
        <v>2000</v>
      </c>
    </row>
    <row r="25" spans="1:5" x14ac:dyDescent="0.25">
      <c r="A25" s="16">
        <v>42534</v>
      </c>
      <c r="B25" t="s">
        <v>14</v>
      </c>
      <c r="C25" t="s">
        <v>5</v>
      </c>
      <c r="D25">
        <v>11000</v>
      </c>
      <c r="E25">
        <v>1000</v>
      </c>
    </row>
    <row r="26" spans="1:5" x14ac:dyDescent="0.25">
      <c r="A26" s="16">
        <v>42535</v>
      </c>
      <c r="B26" t="s">
        <v>15</v>
      </c>
      <c r="C26" t="s">
        <v>4</v>
      </c>
      <c r="D26">
        <v>13000</v>
      </c>
      <c r="E26">
        <v>3500</v>
      </c>
    </row>
    <row r="27" spans="1:5" x14ac:dyDescent="0.25">
      <c r="A27" s="16">
        <v>42535</v>
      </c>
      <c r="B27" t="s">
        <v>15</v>
      </c>
      <c r="C27" t="s">
        <v>6</v>
      </c>
      <c r="D27">
        <v>10000</v>
      </c>
      <c r="E27">
        <v>2000</v>
      </c>
    </row>
    <row r="28" spans="1:5" x14ac:dyDescent="0.25">
      <c r="A28" s="16">
        <v>42535</v>
      </c>
      <c r="B28" t="s">
        <v>15</v>
      </c>
      <c r="C28" t="s">
        <v>5</v>
      </c>
      <c r="D28">
        <v>11000</v>
      </c>
      <c r="E28">
        <v>1000</v>
      </c>
    </row>
    <row r="29" spans="1:5" x14ac:dyDescent="0.25">
      <c r="A29" s="16">
        <v>42536</v>
      </c>
      <c r="B29" t="s">
        <v>13</v>
      </c>
      <c r="C29" t="s">
        <v>5</v>
      </c>
      <c r="D29">
        <v>12000</v>
      </c>
      <c r="E29">
        <v>3000</v>
      </c>
    </row>
    <row r="30" spans="1:5" x14ac:dyDescent="0.25">
      <c r="A30" s="16">
        <v>42536</v>
      </c>
      <c r="B30" t="s">
        <v>13</v>
      </c>
      <c r="C30" t="s">
        <v>4</v>
      </c>
      <c r="D30">
        <v>13000</v>
      </c>
      <c r="E30">
        <v>3500</v>
      </c>
    </row>
    <row r="31" spans="1:5" x14ac:dyDescent="0.25">
      <c r="A31" s="16">
        <v>42536</v>
      </c>
      <c r="B31" t="s">
        <v>13</v>
      </c>
      <c r="C31" t="s">
        <v>6</v>
      </c>
      <c r="D31">
        <v>10000</v>
      </c>
      <c r="E31">
        <v>2000</v>
      </c>
    </row>
    <row r="32" spans="1:5" x14ac:dyDescent="0.25">
      <c r="A32" s="16">
        <v>42537</v>
      </c>
      <c r="B32" t="s">
        <v>14</v>
      </c>
      <c r="C32" t="s">
        <v>5</v>
      </c>
      <c r="D32">
        <v>12000</v>
      </c>
      <c r="E32">
        <v>3000</v>
      </c>
    </row>
    <row r="33" spans="1:5" x14ac:dyDescent="0.25">
      <c r="A33" s="16">
        <v>42537</v>
      </c>
      <c r="B33" t="s">
        <v>14</v>
      </c>
      <c r="C33" t="s">
        <v>4</v>
      </c>
      <c r="D33">
        <v>13000</v>
      </c>
      <c r="E33">
        <v>3500</v>
      </c>
    </row>
    <row r="34" spans="1:5" x14ac:dyDescent="0.25">
      <c r="A34" s="16">
        <v>42537</v>
      </c>
      <c r="B34" t="s">
        <v>14</v>
      </c>
      <c r="C34" t="s">
        <v>6</v>
      </c>
      <c r="D34">
        <v>10000</v>
      </c>
      <c r="E34">
        <v>2000</v>
      </c>
    </row>
    <row r="35" spans="1:5" x14ac:dyDescent="0.25">
      <c r="A35" s="16">
        <v>42538</v>
      </c>
      <c r="B35" t="s">
        <v>15</v>
      </c>
      <c r="C35" t="s">
        <v>5</v>
      </c>
      <c r="D35">
        <v>11000</v>
      </c>
      <c r="E35">
        <v>1000</v>
      </c>
    </row>
    <row r="36" spans="1:5" x14ac:dyDescent="0.25">
      <c r="A36" s="16">
        <v>42538</v>
      </c>
      <c r="B36" t="s">
        <v>15</v>
      </c>
      <c r="C36" t="s">
        <v>5</v>
      </c>
      <c r="D36">
        <v>12000</v>
      </c>
      <c r="E36">
        <v>3000</v>
      </c>
    </row>
    <row r="37" spans="1:5" x14ac:dyDescent="0.25">
      <c r="A37" s="16">
        <v>42538</v>
      </c>
      <c r="B37" t="s">
        <v>15</v>
      </c>
      <c r="C37" t="s">
        <v>4</v>
      </c>
      <c r="D37">
        <v>13000</v>
      </c>
      <c r="E37">
        <v>3500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5"/>
  <sheetViews>
    <sheetView workbookViewId="0">
      <selection activeCell="B3" sqref="B3"/>
    </sheetView>
  </sheetViews>
  <sheetFormatPr baseColWidth="10" defaultRowHeight="15" x14ac:dyDescent="0.25"/>
  <cols>
    <col min="1" max="1" width="15" customWidth="1"/>
    <col min="2" max="2" width="15.5703125" customWidth="1"/>
    <col min="3" max="3" width="9.42578125" customWidth="1"/>
    <col min="4" max="4" width="20.42578125" customWidth="1"/>
    <col min="5" max="5" width="19.5703125" bestFit="1" customWidth="1"/>
  </cols>
  <sheetData>
    <row r="3" spans="1:5" x14ac:dyDescent="0.25">
      <c r="A3" s="15" t="s">
        <v>16</v>
      </c>
      <c r="B3" s="15" t="s">
        <v>19</v>
      </c>
      <c r="C3" s="15" t="s">
        <v>28</v>
      </c>
      <c r="D3" t="s">
        <v>20</v>
      </c>
      <c r="E3" t="s">
        <v>21</v>
      </c>
    </row>
    <row r="4" spans="1:5" x14ac:dyDescent="0.25">
      <c r="A4" t="s">
        <v>13</v>
      </c>
      <c r="B4" s="16">
        <v>42527</v>
      </c>
      <c r="C4" t="s">
        <v>4</v>
      </c>
      <c r="D4" s="17">
        <v>10000</v>
      </c>
      <c r="E4" s="17">
        <v>2000</v>
      </c>
    </row>
    <row r="5" spans="1:5" x14ac:dyDescent="0.25">
      <c r="C5" t="s">
        <v>6</v>
      </c>
      <c r="D5" s="17">
        <v>11000</v>
      </c>
      <c r="E5" s="17">
        <v>1000</v>
      </c>
    </row>
    <row r="6" spans="1:5" x14ac:dyDescent="0.25">
      <c r="C6" t="s">
        <v>5</v>
      </c>
      <c r="D6" s="17">
        <v>12000</v>
      </c>
      <c r="E6" s="17">
        <v>3000</v>
      </c>
    </row>
    <row r="7" spans="1:5" x14ac:dyDescent="0.25">
      <c r="B7" s="16" t="s">
        <v>22</v>
      </c>
      <c r="D7" s="17">
        <v>33000</v>
      </c>
      <c r="E7" s="17">
        <v>6000</v>
      </c>
    </row>
    <row r="8" spans="1:5" x14ac:dyDescent="0.25">
      <c r="B8" s="16">
        <v>42530</v>
      </c>
      <c r="C8" t="s">
        <v>4</v>
      </c>
      <c r="D8" s="17">
        <v>13000</v>
      </c>
      <c r="E8" s="17">
        <v>3500</v>
      </c>
    </row>
    <row r="9" spans="1:5" x14ac:dyDescent="0.25">
      <c r="C9" t="s">
        <v>6</v>
      </c>
      <c r="D9" s="17">
        <v>10000</v>
      </c>
      <c r="E9" s="17">
        <v>2000</v>
      </c>
    </row>
    <row r="10" spans="1:5" x14ac:dyDescent="0.25">
      <c r="C10" t="s">
        <v>5</v>
      </c>
      <c r="D10" s="17">
        <v>11000</v>
      </c>
      <c r="E10" s="17">
        <v>1000</v>
      </c>
    </row>
    <row r="11" spans="1:5" x14ac:dyDescent="0.25">
      <c r="B11" s="16" t="s">
        <v>23</v>
      </c>
      <c r="D11" s="17">
        <v>34000</v>
      </c>
      <c r="E11" s="17">
        <v>6500</v>
      </c>
    </row>
    <row r="12" spans="1:5" x14ac:dyDescent="0.25">
      <c r="B12" s="16">
        <v>42533</v>
      </c>
      <c r="C12" t="s">
        <v>4</v>
      </c>
      <c r="D12" s="17">
        <v>10000</v>
      </c>
      <c r="E12" s="17">
        <v>2000</v>
      </c>
    </row>
    <row r="13" spans="1:5" x14ac:dyDescent="0.25">
      <c r="C13" t="s">
        <v>6</v>
      </c>
      <c r="D13" s="17">
        <v>11000</v>
      </c>
      <c r="E13" s="17">
        <v>1000</v>
      </c>
    </row>
    <row r="14" spans="1:5" x14ac:dyDescent="0.25">
      <c r="C14" t="s">
        <v>5</v>
      </c>
      <c r="D14" s="17">
        <v>12000</v>
      </c>
      <c r="E14" s="17">
        <v>3000</v>
      </c>
    </row>
    <row r="15" spans="1:5" x14ac:dyDescent="0.25">
      <c r="B15" s="16" t="s">
        <v>24</v>
      </c>
      <c r="D15" s="17">
        <v>33000</v>
      </c>
      <c r="E15" s="17">
        <v>6000</v>
      </c>
    </row>
    <row r="16" spans="1:5" x14ac:dyDescent="0.25">
      <c r="A16" t="s">
        <v>25</v>
      </c>
      <c r="D16" s="17">
        <v>100000</v>
      </c>
      <c r="E16" s="17">
        <v>18500</v>
      </c>
    </row>
    <row r="17" spans="1:5" x14ac:dyDescent="0.25">
      <c r="A17" t="s">
        <v>14</v>
      </c>
      <c r="B17" s="16">
        <v>42527</v>
      </c>
      <c r="C17" t="s">
        <v>4</v>
      </c>
      <c r="D17" s="17">
        <v>13000</v>
      </c>
      <c r="E17" s="17">
        <v>3500</v>
      </c>
    </row>
    <row r="18" spans="1:5" x14ac:dyDescent="0.25">
      <c r="C18" t="s">
        <v>6</v>
      </c>
      <c r="D18" s="17">
        <v>10000</v>
      </c>
      <c r="E18" s="17">
        <v>2000</v>
      </c>
    </row>
    <row r="19" spans="1:5" x14ac:dyDescent="0.25">
      <c r="C19" t="s">
        <v>5</v>
      </c>
      <c r="D19" s="17">
        <v>11000</v>
      </c>
      <c r="E19" s="17">
        <v>1000</v>
      </c>
    </row>
    <row r="20" spans="1:5" x14ac:dyDescent="0.25">
      <c r="B20" s="16" t="s">
        <v>22</v>
      </c>
      <c r="D20" s="17">
        <v>34000</v>
      </c>
      <c r="E20" s="17">
        <v>6500</v>
      </c>
    </row>
    <row r="21" spans="1:5" x14ac:dyDescent="0.25">
      <c r="B21" s="16">
        <v>42530</v>
      </c>
      <c r="C21" t="s">
        <v>4</v>
      </c>
      <c r="D21" s="17">
        <v>12000</v>
      </c>
      <c r="E21" s="17">
        <v>3000</v>
      </c>
    </row>
    <row r="22" spans="1:5" x14ac:dyDescent="0.25">
      <c r="C22" t="s">
        <v>6</v>
      </c>
      <c r="D22" s="17">
        <v>13000</v>
      </c>
      <c r="E22" s="17">
        <v>3500</v>
      </c>
    </row>
    <row r="23" spans="1:5" x14ac:dyDescent="0.25">
      <c r="C23" t="s">
        <v>5</v>
      </c>
      <c r="D23" s="17">
        <v>10000</v>
      </c>
      <c r="E23" s="17">
        <v>2000</v>
      </c>
    </row>
    <row r="24" spans="1:5" x14ac:dyDescent="0.25">
      <c r="B24" s="16" t="s">
        <v>23</v>
      </c>
      <c r="D24" s="17">
        <v>35000</v>
      </c>
      <c r="E24" s="17">
        <v>8500</v>
      </c>
    </row>
    <row r="25" spans="1:5" x14ac:dyDescent="0.25">
      <c r="A25" t="s">
        <v>26</v>
      </c>
      <c r="D25" s="17">
        <v>69000</v>
      </c>
      <c r="E25" s="17">
        <v>15000</v>
      </c>
    </row>
    <row r="26" spans="1:5" x14ac:dyDescent="0.25">
      <c r="A26" t="s">
        <v>15</v>
      </c>
      <c r="B26" s="16">
        <v>42527</v>
      </c>
      <c r="C26" t="s">
        <v>4</v>
      </c>
      <c r="D26" s="17">
        <v>12000</v>
      </c>
      <c r="E26" s="17">
        <v>3000</v>
      </c>
    </row>
    <row r="27" spans="1:5" x14ac:dyDescent="0.25">
      <c r="C27" t="s">
        <v>6</v>
      </c>
      <c r="D27" s="17">
        <v>13000</v>
      </c>
      <c r="E27" s="17">
        <v>3500</v>
      </c>
    </row>
    <row r="28" spans="1:5" x14ac:dyDescent="0.25">
      <c r="C28" t="s">
        <v>5</v>
      </c>
      <c r="D28" s="17">
        <v>10000</v>
      </c>
      <c r="E28" s="17">
        <v>2000</v>
      </c>
    </row>
    <row r="29" spans="1:5" x14ac:dyDescent="0.25">
      <c r="B29" s="16" t="s">
        <v>22</v>
      </c>
      <c r="D29" s="17">
        <v>35000</v>
      </c>
      <c r="E29" s="17">
        <v>8500</v>
      </c>
    </row>
    <row r="30" spans="1:5" x14ac:dyDescent="0.25">
      <c r="B30" s="16">
        <v>42530</v>
      </c>
      <c r="C30" t="s">
        <v>4</v>
      </c>
      <c r="D30" s="17">
        <v>11000</v>
      </c>
      <c r="E30" s="17">
        <v>1000</v>
      </c>
    </row>
    <row r="31" spans="1:5" x14ac:dyDescent="0.25">
      <c r="C31" t="s">
        <v>6</v>
      </c>
      <c r="D31" s="17">
        <v>12000</v>
      </c>
      <c r="E31" s="17">
        <v>3000</v>
      </c>
    </row>
    <row r="32" spans="1:5" x14ac:dyDescent="0.25">
      <c r="C32" t="s">
        <v>5</v>
      </c>
      <c r="D32" s="17">
        <v>13000</v>
      </c>
      <c r="E32" s="17">
        <v>3500</v>
      </c>
    </row>
    <row r="33" spans="1:5" x14ac:dyDescent="0.25">
      <c r="B33" s="16" t="s">
        <v>23</v>
      </c>
      <c r="D33" s="17">
        <v>36000</v>
      </c>
      <c r="E33" s="17">
        <v>7500</v>
      </c>
    </row>
    <row r="34" spans="1:5" x14ac:dyDescent="0.25">
      <c r="A34" t="s">
        <v>27</v>
      </c>
      <c r="D34" s="17">
        <v>71000</v>
      </c>
      <c r="E34" s="17">
        <v>16000</v>
      </c>
    </row>
    <row r="35" spans="1:5" x14ac:dyDescent="0.25">
      <c r="A35" t="s">
        <v>7</v>
      </c>
      <c r="D35" s="17">
        <v>240000</v>
      </c>
      <c r="E35" s="17">
        <v>49500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E13" sqref="E13"/>
    </sheetView>
  </sheetViews>
  <sheetFormatPr baseColWidth="10" defaultRowHeight="15" x14ac:dyDescent="0.25"/>
  <cols>
    <col min="3" max="3" width="14.28515625" bestFit="1" customWidth="1"/>
  </cols>
  <sheetData>
    <row r="1" spans="1:20" ht="18.75" x14ac:dyDescent="0.3">
      <c r="A1" s="1" t="s">
        <v>0</v>
      </c>
      <c r="B1" s="2"/>
      <c r="C1" s="2"/>
      <c r="D1" s="2"/>
      <c r="E1" s="2"/>
      <c r="F1" s="3"/>
      <c r="H1" s="1" t="s">
        <v>0</v>
      </c>
      <c r="I1" s="2"/>
      <c r="J1" s="2"/>
      <c r="K1" s="2"/>
      <c r="L1" s="2"/>
      <c r="M1" s="3"/>
      <c r="O1" s="1" t="s">
        <v>0</v>
      </c>
      <c r="P1" s="2"/>
      <c r="Q1" s="2"/>
      <c r="R1" s="2"/>
      <c r="S1" s="2"/>
      <c r="T1" s="3"/>
    </row>
    <row r="2" spans="1:20" x14ac:dyDescent="0.25">
      <c r="F2" s="3"/>
      <c r="M2" s="3"/>
      <c r="T2" s="3"/>
    </row>
    <row r="3" spans="1:20" x14ac:dyDescent="0.25">
      <c r="A3" s="4" t="str">
        <f>[1]Perte!O8</f>
        <v>DESI_MACH</v>
      </c>
      <c r="B3" s="4" t="str">
        <f>[1]Perte!P8</f>
        <v>DATE_CALE</v>
      </c>
      <c r="C3" s="4" t="str">
        <f>[1]Perte!Q8</f>
        <v>CODE_EQUI</v>
      </c>
      <c r="D3" s="4" t="str">
        <f>[1]Perte!R8</f>
        <v xml:space="preserve"> QBONP</v>
      </c>
      <c r="E3" s="4" t="str">
        <f>[1]Perte!S8</f>
        <v xml:space="preserve"> Perte P</v>
      </c>
      <c r="F3" s="5" t="str">
        <f>[1]Perte!T8</f>
        <v xml:space="preserve"> Tx Perte </v>
      </c>
      <c r="H3" s="4" t="s">
        <v>1</v>
      </c>
      <c r="I3" s="4" t="s">
        <v>2</v>
      </c>
      <c r="J3" s="4" t="s">
        <v>3</v>
      </c>
      <c r="K3" s="4" t="s">
        <v>8</v>
      </c>
      <c r="L3" s="4" t="s">
        <v>9</v>
      </c>
      <c r="M3" s="5" t="s">
        <v>10</v>
      </c>
      <c r="O3" s="4" t="s">
        <v>1</v>
      </c>
      <c r="P3" s="4" t="s">
        <v>2</v>
      </c>
      <c r="Q3" s="4" t="s">
        <v>3</v>
      </c>
      <c r="R3" s="4" t="s">
        <v>8</v>
      </c>
      <c r="S3" s="4" t="s">
        <v>9</v>
      </c>
      <c r="T3" s="5" t="s">
        <v>10</v>
      </c>
    </row>
    <row r="4" spans="1:20" x14ac:dyDescent="0.25">
      <c r="A4" s="6" t="str">
        <f>TCD!A4</f>
        <v>Machine 1</v>
      </c>
      <c r="B4" s="7">
        <f>TCD!B4</f>
        <v>42527</v>
      </c>
      <c r="C4" s="8" t="str">
        <f>TCD!C4</f>
        <v>AM</v>
      </c>
      <c r="D4" s="8">
        <f>GETPIVOTDATA("Somme de Qté bonne",TCD!$A$3,"date",DATE(2016,6,6),"Machine","Machine 1","Equipe","AM")</f>
        <v>10000</v>
      </c>
      <c r="E4" s="8">
        <f>GETPIVOTDATA("Somme de Qté perte",TCD!$A$3,"date",DATE(2016,6,6),"Machine","Machine 1","Equipe","AM")</f>
        <v>2000</v>
      </c>
      <c r="F4" s="9">
        <f t="shared" ref="F4:F18" si="0">E4/D4</f>
        <v>0.2</v>
      </c>
      <c r="H4" s="6" t="e">
        <f>#REF!</f>
        <v>#REF!</v>
      </c>
      <c r="I4" s="7">
        <f>[1]Perte!P25</f>
        <v>42527</v>
      </c>
      <c r="J4" s="8" t="str">
        <f>C4</f>
        <v>AM</v>
      </c>
      <c r="K4" s="8" t="e">
        <f>GETPIVOTDATA(" QBONP",[1]Perte!$N$7,"DESI_MACH","Roto16","Colonne2","Sacs Croissants","DATE_CALE",DATE(2016,5,23),"CODE_EQUI","AM")</f>
        <v>#REF!</v>
      </c>
      <c r="L4" s="8" t="e">
        <f>GETPIVOTDATA(" PERTE P",[1]Perte!$N$7,"DESI_MACH","Roto16","Colonne2","Sacs Croissants","DATE_CALE",DATE(2016,5,23),"CODE_EQUI","AM")</f>
        <v>#REF!</v>
      </c>
      <c r="M4" s="9" t="e">
        <f t="shared" ref="M4:M18" si="1">L4/K4</f>
        <v>#REF!</v>
      </c>
      <c r="O4" s="6" t="e">
        <f>#REF!</f>
        <v>#REF!</v>
      </c>
      <c r="P4" s="7">
        <f>I4</f>
        <v>42527</v>
      </c>
      <c r="Q4" s="8" t="str">
        <f>J4</f>
        <v>AM</v>
      </c>
      <c r="R4" s="8" t="e">
        <f>GETPIVOTDATA(" QBONP",[1]Perte!$N$7,"DESI_MACH","Roto17","Colonne2","Sacs Croissants","DATE_CALE",DATE(2016,5,23),"CODE_EQUI","AM")</f>
        <v>#REF!</v>
      </c>
      <c r="S4" s="8" t="e">
        <f>GETPIVOTDATA(" Perte P",[1]Perte!$N$7,"DESI_MACH","Roto17","Colonne2","Sacs Croissants","DATE_CALE",DATE(2016,5,23),"CODE_EQUI","AM")</f>
        <v>#REF!</v>
      </c>
      <c r="T4" s="9" t="e">
        <f t="shared" ref="T4:T18" si="2">S4/R4</f>
        <v>#REF!</v>
      </c>
    </row>
    <row r="5" spans="1:20" x14ac:dyDescent="0.25">
      <c r="A5" s="6"/>
      <c r="B5" s="7"/>
      <c r="C5" s="10" t="str">
        <f>TCD!C5</f>
        <v>MA</v>
      </c>
      <c r="D5" s="10">
        <f>GETPIVOTDATA("Somme de Qté bonne",TCD!$A$3,"date",DATE(2016,6,6),"Machine","Machine 1","Equipe","MA")</f>
        <v>11000</v>
      </c>
      <c r="E5" s="10">
        <f>GETPIVOTDATA("Somme de Qté perte",TCD!$A$3,"date",DATE(2016,6,6),"Machine","Machine 1","Equipe","MA")</f>
        <v>1000</v>
      </c>
      <c r="F5" s="11">
        <f t="shared" si="0"/>
        <v>9.0909090909090912E-2</v>
      </c>
      <c r="H5" s="6"/>
      <c r="I5" s="7"/>
      <c r="J5" s="10" t="str">
        <f t="shared" ref="J5:J19" si="3">C5</f>
        <v>MA</v>
      </c>
      <c r="K5" s="10" t="e">
        <f>GETPIVOTDATA(" QBONP",[1]Perte!$N$7,"DESI_MACH","Roto16","Colonne2","Sacs Croissants","DATE_CALE",DATE(2016,5,23),"CODE_EQUI","MA")</f>
        <v>#REF!</v>
      </c>
      <c r="L5" s="10" t="e">
        <f>GETPIVOTDATA(" PERTE P",[1]Perte!$N$7,"DESI_MACH","Roto16","Colonne2","Sacs Croissants","DATE_CALE",DATE(2016,5,23),"CODE_EQUI","MA")</f>
        <v>#REF!</v>
      </c>
      <c r="M5" s="11" t="e">
        <f t="shared" si="1"/>
        <v>#REF!</v>
      </c>
      <c r="O5" s="6"/>
      <c r="P5" s="7"/>
      <c r="Q5" s="10" t="str">
        <f t="shared" ref="Q5:Q19" si="4">J5</f>
        <v>MA</v>
      </c>
      <c r="R5" s="10" t="e">
        <f>GETPIVOTDATA(" QBONP",[1]Perte!$N$7,"DESI_MACH","Roto17","Colonne2","Sacs Croissants","DATE_CALE",DATE(2016,5,23),"CODE_EQUI","MA")</f>
        <v>#REF!</v>
      </c>
      <c r="S5" s="10" t="e">
        <f>GETPIVOTDATA(" Perte P",[1]Perte!$N$7,"DESI_MACH","Roto17","Colonne2","Sacs Croissants","DATE_CALE",DATE(2016,5,23),"CODE_EQUI","MA")</f>
        <v>#REF!</v>
      </c>
      <c r="T5" s="11" t="e">
        <f t="shared" si="2"/>
        <v>#REF!</v>
      </c>
    </row>
    <row r="6" spans="1:20" x14ac:dyDescent="0.25">
      <c r="A6" s="6"/>
      <c r="B6" s="7"/>
      <c r="C6" s="12" t="str">
        <f>TCD!C6</f>
        <v>NU</v>
      </c>
      <c r="D6" s="12">
        <f>GETPIVOTDATA("Somme de Qté bonne",TCD!$A$3,"date",DATE(2016,6,6),"Machine","Machine 1","Equipe","NU")</f>
        <v>12000</v>
      </c>
      <c r="E6" s="12">
        <f>GETPIVOTDATA("Somme de Qté perte",TCD!$A$3,"date",DATE(2016,6,6),"Machine","Machine 1","Equipe","NU")</f>
        <v>3000</v>
      </c>
      <c r="F6" s="13">
        <f t="shared" si="0"/>
        <v>0.25</v>
      </c>
      <c r="H6" s="6"/>
      <c r="I6" s="7"/>
      <c r="J6" s="12" t="str">
        <f t="shared" si="3"/>
        <v>NU</v>
      </c>
      <c r="K6" s="12" t="e">
        <f>GETPIVOTDATA(" QBONP",[1]Perte!$N$7,"DESI_MACH","Roto16","Colonne2","Sacs Croissants","DATE_CALE",DATE(2016,5,23),"CODE_EQUI","NU")</f>
        <v>#REF!</v>
      </c>
      <c r="L6" s="12" t="e">
        <f>GETPIVOTDATA(" PERTE P",[1]Perte!$N$7,"DESI_MACH","Roto16","Colonne2","Sacs Croissants","DATE_CALE",DATE(2016,5,23),"CODE_EQUI","NU")</f>
        <v>#REF!</v>
      </c>
      <c r="M6" s="13" t="e">
        <f t="shared" si="1"/>
        <v>#REF!</v>
      </c>
      <c r="O6" s="6"/>
      <c r="P6" s="7"/>
      <c r="Q6" s="12" t="str">
        <f t="shared" si="4"/>
        <v>NU</v>
      </c>
      <c r="R6" s="12" t="e">
        <f>GETPIVOTDATA(" QBONP",[1]Perte!$N$7,"DESI_MACH","Roto17","Colonne2","Sacs Croissants","DATE_CALE",DATE(2016,5,23),"CODE_EQUI","NU")</f>
        <v>#REF!</v>
      </c>
      <c r="S6" s="12" t="e">
        <f>GETPIVOTDATA(" Perte P",[1]Perte!$N$7,"DESI_MACH","Roto17","Colonne2","Sacs Croissants","DATE_CALE",DATE(2016,5,23),"CODE_EQUI","NU")</f>
        <v>#REF!</v>
      </c>
      <c r="T6" s="13" t="e">
        <f t="shared" si="2"/>
        <v>#REF!</v>
      </c>
    </row>
    <row r="7" spans="1:20" x14ac:dyDescent="0.25">
      <c r="A7" s="6"/>
      <c r="B7" s="7">
        <f>TCD!B8</f>
        <v>42530</v>
      </c>
      <c r="C7" s="8" t="str">
        <f>TCD!C8</f>
        <v>AM</v>
      </c>
      <c r="D7" s="8">
        <f>GETPIVOTDATA("Somme de Qté bonne",TCD!$A$3,"date",DATE(2016,6,9),"Machine","Machine 1","Equipe","AM")</f>
        <v>13000</v>
      </c>
      <c r="E7" s="8">
        <f>GETPIVOTDATA("Somme de Qté perte",TCD!$A$3,"date",DATE(2016,6,9),"Machine","Machine 1","Equipe","AM")</f>
        <v>3500</v>
      </c>
      <c r="F7" s="9">
        <f t="shared" si="0"/>
        <v>0.26923076923076922</v>
      </c>
      <c r="H7" s="6"/>
      <c r="I7" s="7">
        <f>B7</f>
        <v>42530</v>
      </c>
      <c r="J7" s="8" t="str">
        <f t="shared" si="3"/>
        <v>AM</v>
      </c>
      <c r="K7" s="8" t="e">
        <f>GETPIVOTDATA(" QBONP",[1]Perte!$N$7,"DESI_MACH","Roto16","Colonne2","Sacs Croissants","DATE_CALE",DATE(2016,5,24),"CODE_EQUI","AM")</f>
        <v>#REF!</v>
      </c>
      <c r="L7" s="8" t="e">
        <f>GETPIVOTDATA(" PERTE P",[1]Perte!$N$7,"DESI_MACH","Roto16","Colonne2","Sacs Croissants","DATE_CALE",DATE(2016,5,24),"CODE_EQUI","AM")</f>
        <v>#REF!</v>
      </c>
      <c r="M7" s="9" t="e">
        <f t="shared" si="1"/>
        <v>#REF!</v>
      </c>
      <c r="O7" s="6"/>
      <c r="P7" s="7">
        <f>I7</f>
        <v>42530</v>
      </c>
      <c r="Q7" s="8" t="str">
        <f t="shared" si="4"/>
        <v>AM</v>
      </c>
      <c r="R7" s="8" t="e">
        <f>GETPIVOTDATA(" QBONP",[1]Perte!$N$7,"DESI_MACH","Roto17","Colonne2","Sacs Croissants","DATE_CALE",DATE(2016,5,24),"CODE_EQUI","AM")</f>
        <v>#REF!</v>
      </c>
      <c r="S7" s="8" t="e">
        <f>GETPIVOTDATA(" Perte P",[1]Perte!$N$7,"DESI_MACH","Roto17","Colonne2","Sacs Croissants","DATE_CALE",DATE(2016,5,24),"CODE_EQUI","AM")</f>
        <v>#REF!</v>
      </c>
      <c r="T7" s="9" t="e">
        <f t="shared" si="2"/>
        <v>#REF!</v>
      </c>
    </row>
    <row r="8" spans="1:20" x14ac:dyDescent="0.25">
      <c r="A8" s="6"/>
      <c r="B8" s="7"/>
      <c r="C8" s="10" t="str">
        <f>TCD!C9</f>
        <v>MA</v>
      </c>
      <c r="D8" s="10">
        <f>GETPIVOTDATA("Somme de Qté bonne",TCD!$A$3,"date",DATE(2016,6,9),"Machine","Machine 1","Equipe","MA")</f>
        <v>10000</v>
      </c>
      <c r="E8" s="10">
        <f>GETPIVOTDATA("Somme de Qté perte",TCD!$A$3,"date",DATE(2016,6,9),"Machine","Machine 1","Equipe","MA")</f>
        <v>2000</v>
      </c>
      <c r="F8" s="11">
        <f t="shared" si="0"/>
        <v>0.2</v>
      </c>
      <c r="H8" s="6"/>
      <c r="I8" s="7"/>
      <c r="J8" s="10" t="str">
        <f t="shared" si="3"/>
        <v>MA</v>
      </c>
      <c r="K8" s="10" t="e">
        <f>GETPIVOTDATA(" QBONP",[1]Perte!$N$7,"DESI_MACH","Roto16","Colonne2","Sacs Croissants","DATE_CALE",DATE(2016,5,24),"CODE_EQUI","MA")</f>
        <v>#REF!</v>
      </c>
      <c r="L8" s="10" t="e">
        <f>GETPIVOTDATA(" PERTE P",[1]Perte!$N$7,"DESI_MACH","Roto16","Colonne2","Sacs Croissants","DATE_CALE",DATE(2016,5,24),"CODE_EQUI","MA")</f>
        <v>#REF!</v>
      </c>
      <c r="M8" s="11" t="e">
        <f t="shared" si="1"/>
        <v>#REF!</v>
      </c>
      <c r="O8" s="6"/>
      <c r="P8" s="7"/>
      <c r="Q8" s="10" t="str">
        <f t="shared" si="4"/>
        <v>MA</v>
      </c>
      <c r="R8" s="10" t="e">
        <f>GETPIVOTDATA(" QBONP",[1]Perte!$N$7,"DESI_MACH","Roto16","Colonne2","Sacs Croissants","DATE_CALE",DATE(2016,5,24),"CODE_EQUI","MA")</f>
        <v>#REF!</v>
      </c>
      <c r="S8" s="10" t="e">
        <f>GETPIVOTDATA(" PERTE P",[1]Perte!$N$7,"DESI_MACH","Roto16","Colonne2","Sacs Croissants","DATE_CALE",DATE(2016,5,24),"CODE_EQUI","MA")</f>
        <v>#REF!</v>
      </c>
      <c r="T8" s="11" t="e">
        <f t="shared" si="2"/>
        <v>#REF!</v>
      </c>
    </row>
    <row r="9" spans="1:20" x14ac:dyDescent="0.25">
      <c r="A9" s="6"/>
      <c r="B9" s="7"/>
      <c r="C9" s="12" t="str">
        <f>TCD!C10</f>
        <v>NU</v>
      </c>
      <c r="D9" s="12">
        <f>GETPIVOTDATA("Somme de Qté bonne",TCD!$A$3,"date",DATE(2016,6,9),"Machine","Machine 1","Equipe","NU")</f>
        <v>11000</v>
      </c>
      <c r="E9" s="12">
        <f>GETPIVOTDATA("Somme de Qté perte",TCD!$A$3,"date",DATE(2016,6,9),"Machine","Machine 1","Equipe","NU")</f>
        <v>1000</v>
      </c>
      <c r="F9" s="13">
        <f t="shared" si="0"/>
        <v>9.0909090909090912E-2</v>
      </c>
      <c r="H9" s="6"/>
      <c r="I9" s="7"/>
      <c r="J9" s="12" t="str">
        <f t="shared" si="3"/>
        <v>NU</v>
      </c>
      <c r="K9" s="12" t="e">
        <f>GETPIVOTDATA(" QBONP",[1]Perte!$N$7,"DESI_MACH","Roto16","Colonne2","Sacs Croissants","DATE_CALE",DATE(2016,5,24),"CODE_EQUI","NU")</f>
        <v>#REF!</v>
      </c>
      <c r="L9" s="12" t="e">
        <f>GETPIVOTDATA(" PERTE P",[1]Perte!$N$7,"DESI_MACH","Roto16","Colonne2","Sacs Croissants","DATE_CALE",DATE(2016,5,24),"CODE_EQUI","NU")</f>
        <v>#REF!</v>
      </c>
      <c r="M9" s="13" t="e">
        <f t="shared" si="1"/>
        <v>#REF!</v>
      </c>
      <c r="O9" s="6"/>
      <c r="P9" s="7"/>
      <c r="Q9" s="12" t="str">
        <f t="shared" si="4"/>
        <v>NU</v>
      </c>
      <c r="R9" s="12" t="e">
        <f>GETPIVOTDATA(" QBONP",[1]Perte!$N$7,"DESI_MACH","Roto17","Colonne2","Sacs Croissants","DATE_CALE",DATE(2016,5,24),"CODE_EQUI","NU")</f>
        <v>#REF!</v>
      </c>
      <c r="S9" s="12" t="e">
        <f>GETPIVOTDATA(" Perte P",[1]Perte!$N$7,"DESI_MACH","Roto17","Colonne2","Sacs Croissants","DATE_CALE",DATE(2016,5,24),"CODE_EQUI","NU")</f>
        <v>#REF!</v>
      </c>
      <c r="T9" s="13" t="e">
        <f t="shared" si="2"/>
        <v>#REF!</v>
      </c>
    </row>
    <row r="10" spans="1:20" x14ac:dyDescent="0.25">
      <c r="A10" s="6"/>
      <c r="B10" s="7">
        <f>TCD!B12</f>
        <v>42533</v>
      </c>
      <c r="C10" s="8" t="str">
        <f>TCD!C12</f>
        <v>AM</v>
      </c>
      <c r="D10" s="8">
        <f>GETPIVOTDATA("Somme de Qté bonne",TCD!$A$3,"date",DATE(2016,6,12),"Machine","Machine 1","Equipe","AM")</f>
        <v>10000</v>
      </c>
      <c r="E10" s="8">
        <f>GETPIVOTDATA("Somme de Qté perte",TCD!$A$3,"date",DATE(2016,6,12),"Machine","Machine 1","Equipe","AM")</f>
        <v>2000</v>
      </c>
      <c r="F10" s="9">
        <f t="shared" si="0"/>
        <v>0.2</v>
      </c>
      <c r="H10" s="6"/>
      <c r="I10" s="7">
        <f>B10</f>
        <v>42533</v>
      </c>
      <c r="J10" s="8" t="str">
        <f t="shared" si="3"/>
        <v>AM</v>
      </c>
      <c r="K10" s="8" t="e">
        <f>GETPIVOTDATA(" QBONP",[1]Perte!$N$7,"DESI_MACH","Roto16","Colonne2","Sacs Croissants","DATE_CALE",DATE(2016,5,25),"CODE_EQUI","AM")</f>
        <v>#REF!</v>
      </c>
      <c r="L10" s="8" t="e">
        <f>GETPIVOTDATA(" PERTE P",[1]Perte!$N$7,"DESI_MACH","Roto16","Colonne2","Sacs Croissants","DATE_CALE",DATE(2016,5,25),"CODE_EQUI","AM")</f>
        <v>#REF!</v>
      </c>
      <c r="M10" s="9" t="e">
        <f t="shared" si="1"/>
        <v>#REF!</v>
      </c>
      <c r="O10" s="6"/>
      <c r="P10" s="7">
        <f>I10</f>
        <v>42533</v>
      </c>
      <c r="Q10" s="8" t="str">
        <f t="shared" si="4"/>
        <v>AM</v>
      </c>
      <c r="R10" s="8" t="e">
        <f>GETPIVOTDATA(" QBONP",[1]Perte!$N$7,"DESI_MACH","Roto17","Colonne2","Sacs Croissants","DATE_CALE",DATE(2016,5,25),"CODE_EQUI","AM")</f>
        <v>#REF!</v>
      </c>
      <c r="S10" s="8" t="e">
        <f>GETPIVOTDATA(" Perte P",[1]Perte!$N$7,"DESI_MACH","Roto17","Colonne2","Sacs Croissants","DATE_CALE",DATE(2016,5,25),"CODE_EQUI","AM")</f>
        <v>#REF!</v>
      </c>
      <c r="T10" s="9" t="e">
        <f t="shared" si="2"/>
        <v>#REF!</v>
      </c>
    </row>
    <row r="11" spans="1:20" x14ac:dyDescent="0.25">
      <c r="A11" s="6"/>
      <c r="B11" s="7"/>
      <c r="C11" s="10" t="str">
        <f>TCD!C13</f>
        <v>MA</v>
      </c>
      <c r="D11" s="10">
        <f>GETPIVOTDATA("Somme de Qté bonne",TCD!$A$3,"date",DATE(2016,6,12),"Machine","Machine 1","Equipe","MA")</f>
        <v>11000</v>
      </c>
      <c r="E11" s="10">
        <f>GETPIVOTDATA("Somme de Qté perte",TCD!$A$3,"date",DATE(2016,6,12),"Machine","Machine 1","Equipe","MA")</f>
        <v>1000</v>
      </c>
      <c r="F11" s="11">
        <f t="shared" si="0"/>
        <v>9.0909090909090912E-2</v>
      </c>
      <c r="H11" s="6"/>
      <c r="I11" s="7"/>
      <c r="J11" s="10" t="str">
        <f t="shared" si="3"/>
        <v>MA</v>
      </c>
      <c r="K11" s="10" t="e">
        <f>GETPIVOTDATA(" QBONP",[1]Perte!$N$7,"DESI_MACH","Roto16","Colonne2","Sacs Croissants","DATE_CALE",DATE(2016,5,25),"CODE_EQUI","MA")</f>
        <v>#REF!</v>
      </c>
      <c r="L11" s="10" t="e">
        <f>GETPIVOTDATA(" PERTE P",[1]Perte!$N$7,"DESI_MACH","Roto16","Colonne2","Sacs Croissants","DATE_CALE",DATE(2016,5,25),"CODE_EQUI","MA")</f>
        <v>#REF!</v>
      </c>
      <c r="M11" s="11" t="e">
        <f t="shared" si="1"/>
        <v>#REF!</v>
      </c>
      <c r="O11" s="6"/>
      <c r="P11" s="7"/>
      <c r="Q11" s="10" t="str">
        <f t="shared" si="4"/>
        <v>MA</v>
      </c>
      <c r="R11" s="10" t="e">
        <f>GETPIVOTDATA(" QBONP",[1]Perte!$N$7,"DESI_MACH","Roto16","Colonne2","Sacs Croissants","DATE_CALE",DATE(2016,5,25),"CODE_EQUI","MA")</f>
        <v>#REF!</v>
      </c>
      <c r="S11" s="10">
        <v>0</v>
      </c>
      <c r="T11" s="11" t="e">
        <f t="shared" si="2"/>
        <v>#REF!</v>
      </c>
    </row>
    <row r="12" spans="1:20" x14ac:dyDescent="0.25">
      <c r="A12" s="6"/>
      <c r="B12" s="7"/>
      <c r="C12" s="12" t="str">
        <f>TCD!C14</f>
        <v>NU</v>
      </c>
      <c r="D12" s="12">
        <f>GETPIVOTDATA("Somme de Qté bonne",TCD!$A$3,"date",DATE(2016,6,12),"Machine","Machine 1","Equipe","NU")</f>
        <v>12000</v>
      </c>
      <c r="E12" s="12">
        <f>GETPIVOTDATA("Somme de Qté perte",TCD!$A$3,"date",DATE(2016,6,12),"Machine","Machine 1","Equipe","NU")</f>
        <v>3000</v>
      </c>
      <c r="F12" s="13">
        <f t="shared" si="0"/>
        <v>0.25</v>
      </c>
      <c r="H12" s="6"/>
      <c r="I12" s="7"/>
      <c r="J12" s="12" t="str">
        <f t="shared" si="3"/>
        <v>NU</v>
      </c>
      <c r="K12" s="12" t="e">
        <f>GETPIVOTDATA(" QBONP",[1]Perte!$N$7,"DESI_MACH","Roto16","Colonne2","Sacs Croissants","DATE_CALE",DATE(2016,5,25),"CODE_EQUI","NU")</f>
        <v>#REF!</v>
      </c>
      <c r="L12" s="12" t="e">
        <f>GETPIVOTDATA(" PERTE P",[1]Perte!$N$7,"DESI_MACH","Roto16","Colonne2","Sacs Croissants","DATE_CALE",DATE(2016,5,25),"CODE_EQUI","NU")</f>
        <v>#REF!</v>
      </c>
      <c r="M12" s="13" t="e">
        <f t="shared" si="1"/>
        <v>#REF!</v>
      </c>
      <c r="O12" s="6"/>
      <c r="P12" s="7"/>
      <c r="Q12" s="12" t="str">
        <f t="shared" si="4"/>
        <v>NU</v>
      </c>
      <c r="R12" s="12" t="e">
        <f>GETPIVOTDATA(" QBONP",[1]Perte!$N$7,"DESI_MACH","Roto17","Colonne2","Sacs Croissants","DATE_CALE",DATE(2016,5,25),"CODE_EQUI","NU")</f>
        <v>#REF!</v>
      </c>
      <c r="S12" s="12" t="e">
        <f>GETPIVOTDATA(" Perte P",[1]Perte!$N$7,"DESI_MACH","Roto17","Colonne2","Sacs Croissants","DATE_CALE",DATE(2016,5,25),"CODE_EQUI","NU")</f>
        <v>#REF!</v>
      </c>
      <c r="T12" s="13" t="e">
        <f t="shared" si="2"/>
        <v>#REF!</v>
      </c>
    </row>
    <row r="13" spans="1:20" x14ac:dyDescent="0.25">
      <c r="A13" s="6"/>
      <c r="B13" s="7" t="e">
        <f>#REF!</f>
        <v>#REF!</v>
      </c>
      <c r="C13" s="8" t="str">
        <f>[1]Perte!Q18</f>
        <v>MA</v>
      </c>
      <c r="D13" s="8" t="e">
        <f>GETPIVOTDATA(" QBONP",[1]Perte!$N$7,"DESI_MACH","Roto13","Colonne2","Sacs Croissants","DATE_CALE",DATE(2016,5,26),"CODE_EQUI","AM")</f>
        <v>#REF!</v>
      </c>
      <c r="E13" s="8" t="e">
        <f>GETPIVOTDATA(" Perte P",[1]Perte!$N$7,"DESI_MACH","Roto13","Colonne2","Sacs Croissants","DATE_CALE",DATE(2016,5,26),"CODE_EQUI","AM")</f>
        <v>#REF!</v>
      </c>
      <c r="F13" s="9" t="e">
        <f t="shared" si="0"/>
        <v>#REF!</v>
      </c>
      <c r="H13" s="6"/>
      <c r="I13" s="7" t="e">
        <f>B13</f>
        <v>#REF!</v>
      </c>
      <c r="J13" s="8" t="str">
        <f t="shared" si="3"/>
        <v>MA</v>
      </c>
      <c r="K13" s="8" t="e">
        <f>GETPIVOTDATA(" QBONP",[1]Perte!$N$7,"DESI_MACH","Roto16","Colonne2","Sacs Croissants","DATE_CALE",DATE(2016,5,26),"CODE_EQUI","AM")</f>
        <v>#REF!</v>
      </c>
      <c r="L13" s="8" t="e">
        <f>GETPIVOTDATA(" PERTE P",[1]Perte!$N$7,"DESI_MACH","Roto16","Colonne2","Sacs Croissants","DATE_CALE",DATE(2016,5,26),"CODE_EQUI","AM")</f>
        <v>#REF!</v>
      </c>
      <c r="M13" s="9" t="e">
        <f t="shared" si="1"/>
        <v>#REF!</v>
      </c>
      <c r="O13" s="6"/>
      <c r="P13" s="7" t="e">
        <f>I13</f>
        <v>#REF!</v>
      </c>
      <c r="Q13" s="8" t="str">
        <f t="shared" si="4"/>
        <v>MA</v>
      </c>
      <c r="R13" s="8" t="e">
        <f>GETPIVOTDATA(" QBONP",[1]Perte!$N$7,"DESI_MACH","Roto17","Colonne2","Sacs Croissants","DATE_CALE",DATE(2016,5,26),"CODE_EQUI","AM")</f>
        <v>#REF!</v>
      </c>
      <c r="S13" s="8" t="e">
        <f>GETPIVOTDATA(" Perte P",[1]Perte!$N$7,"DESI_MACH","Roto17","Colonne2","Sacs Croissants","DATE_CALE",DATE(2016,5,26),"CODE_EQUI","AM")</f>
        <v>#REF!</v>
      </c>
      <c r="T13" s="9" t="e">
        <f t="shared" si="2"/>
        <v>#REF!</v>
      </c>
    </row>
    <row r="14" spans="1:20" x14ac:dyDescent="0.25">
      <c r="A14" s="6"/>
      <c r="B14" s="7"/>
      <c r="C14" s="10" t="str">
        <f>[1]Perte!Q19</f>
        <v>NU</v>
      </c>
      <c r="D14" s="10" t="e">
        <f>GETPIVOTDATA(" QBONP",[1]Perte!$N$7,"DESI_MACH","Roto13","Colonne2","Sacs Croissants","DATE_CALE",DATE(2016,5,26),"CODE_EQUI","MA")</f>
        <v>#REF!</v>
      </c>
      <c r="E14" s="10" t="e">
        <f>GETPIVOTDATA(" Perte P",[1]Perte!$N$7,"DESI_MACH","Roto13","Colonne2","Sacs Croissants","DATE_CALE",DATE(2016,5,26),"CODE_EQUI","MA")</f>
        <v>#REF!</v>
      </c>
      <c r="F14" s="11" t="e">
        <f t="shared" si="0"/>
        <v>#REF!</v>
      </c>
      <c r="H14" s="6"/>
      <c r="I14" s="7"/>
      <c r="J14" s="10" t="str">
        <f t="shared" si="3"/>
        <v>NU</v>
      </c>
      <c r="K14" s="10" t="e">
        <f>GETPIVOTDATA(" QBONP",[1]Perte!$N$7,"DESI_MACH","Roto16","Colonne2","Sacs Croissants","DATE_CALE",DATE(2016,5,26),"CODE_EQUI","MA")</f>
        <v>#REF!</v>
      </c>
      <c r="L14" s="10" t="e">
        <f>GETPIVOTDATA(" PERTE P",[1]Perte!$N$7,"DESI_MACH","Roto16","Colonne2","Sacs Croissants","DATE_CALE",DATE(2016,5,26),"CODE_EQUI","MA")</f>
        <v>#REF!</v>
      </c>
      <c r="M14" s="11" t="e">
        <f t="shared" si="1"/>
        <v>#REF!</v>
      </c>
      <c r="O14" s="6"/>
      <c r="P14" s="7"/>
      <c r="Q14" s="10" t="str">
        <f t="shared" si="4"/>
        <v>NU</v>
      </c>
      <c r="R14" s="10" t="e">
        <f>GETPIVOTDATA(" QBONP",[1]Perte!$N$7,"DESI_MACH","Roto16","Colonne2","Sacs Croissants","DATE_CALE",DATE(2016,5,26),"CODE_EQUI","MA")</f>
        <v>#REF!</v>
      </c>
      <c r="S14" s="10">
        <v>0</v>
      </c>
      <c r="T14" s="11" t="e">
        <f t="shared" si="2"/>
        <v>#REF!</v>
      </c>
    </row>
    <row r="15" spans="1:20" x14ac:dyDescent="0.25">
      <c r="A15" s="6"/>
      <c r="B15" s="7"/>
      <c r="C15" s="12">
        <f>[1]Perte!Q20</f>
        <v>0</v>
      </c>
      <c r="D15" s="12" t="e">
        <f>GETPIVOTDATA(" QBONP",[1]Perte!$N$7,"DESI_MACH","Roto13","Colonne2","Sacs Croissants","DATE_CALE",DATE(2016,5,26),"CODE_EQUI","NU")</f>
        <v>#REF!</v>
      </c>
      <c r="E15" s="12" t="e">
        <f>GETPIVOTDATA(" Perte P",[1]Perte!$N$7,"DESI_MACH","Roto13","Colonne2","Sacs Croissants","DATE_CALE",DATE(2016,5,26),"CODE_EQUI","NU")</f>
        <v>#REF!</v>
      </c>
      <c r="F15" s="13" t="e">
        <f t="shared" si="0"/>
        <v>#REF!</v>
      </c>
      <c r="H15" s="6"/>
      <c r="I15" s="7"/>
      <c r="J15" s="12">
        <f t="shared" si="3"/>
        <v>0</v>
      </c>
      <c r="K15" s="12" t="e">
        <f>GETPIVOTDATA(" QBONP",[1]Perte!$N$7,"DESI_MACH","Roto16","Colonne2","Sacs Croissants","DATE_CALE",DATE(2016,5,26),"CODE_EQUI","NU")</f>
        <v>#REF!</v>
      </c>
      <c r="L15" s="12" t="e">
        <f>GETPIVOTDATA(" PERTE P",[1]Perte!$N$7,"DESI_MACH","Roto16","Colonne2","Sacs Croissants","DATE_CALE",DATE(2016,5,26),"CODE_EQUI","NU")</f>
        <v>#REF!</v>
      </c>
      <c r="M15" s="13" t="e">
        <f t="shared" si="1"/>
        <v>#REF!</v>
      </c>
      <c r="O15" s="6"/>
      <c r="P15" s="7"/>
      <c r="Q15" s="12">
        <f t="shared" si="4"/>
        <v>0</v>
      </c>
      <c r="R15" s="12" t="e">
        <f>GETPIVOTDATA(" QBONP",[1]Perte!$N$7,"DESI_MACH","Roto17","Colonne2","Sacs Croissants","DATE_CALE",DATE(2016,5,26),"CODE_EQUI","NU")</f>
        <v>#REF!</v>
      </c>
      <c r="S15" s="12" t="e">
        <f>GETPIVOTDATA(" Perte P",[1]Perte!$N$7,"DESI_MACH","Roto17","Colonne2","Sacs Croissants","DATE_CALE",DATE(2016,5,26),"CODE_EQUI","NU")</f>
        <v>#REF!</v>
      </c>
      <c r="T15" s="13" t="e">
        <f t="shared" si="2"/>
        <v>#REF!</v>
      </c>
    </row>
    <row r="16" spans="1:20" x14ac:dyDescent="0.25">
      <c r="A16" s="6"/>
      <c r="B16" s="7" t="e">
        <f>#REF!</f>
        <v>#REF!</v>
      </c>
      <c r="C16" s="8" t="str">
        <f>[1]Perte!Q21</f>
        <v>AM</v>
      </c>
      <c r="D16" s="8" t="e">
        <f>GETPIVOTDATA(" QBONP",[1]Perte!$N$7,"DESI_MACH","Roto13","Colonne2","Sacs Croissants","DATE_CALE",DATE(2016,5,27),"CODE_EQUI","AM")</f>
        <v>#REF!</v>
      </c>
      <c r="E16" s="8" t="e">
        <f>GETPIVOTDATA(" Perte P",[1]Perte!$N$7,"DESI_MACH","Roto13","Colonne2","Sacs Croissants","DATE_CALE",DATE(2016,5,27),"CODE_EQUI","AM")</f>
        <v>#REF!</v>
      </c>
      <c r="F16" s="9" t="e">
        <f t="shared" si="0"/>
        <v>#REF!</v>
      </c>
      <c r="H16" s="6"/>
      <c r="I16" s="7" t="e">
        <f>B16</f>
        <v>#REF!</v>
      </c>
      <c r="J16" s="8" t="str">
        <f t="shared" si="3"/>
        <v>AM</v>
      </c>
      <c r="K16" s="8" t="e">
        <f>GETPIVOTDATA(" QBONP",[1]Perte!$N$7,"DESI_MACH","Roto16","Colonne2","Sacs Croissants","DATE_CALE",DATE(2016,5,27),"CODE_EQUI","AM")</f>
        <v>#REF!</v>
      </c>
      <c r="L16" s="8" t="e">
        <f>GETPIVOTDATA(" PERTE P",[1]Perte!$N$7,"DESI_MACH","Roto16","Colonne2","Sacs Croissants","DATE_CALE",DATE(2016,5,27),"CODE_EQUI","AM")</f>
        <v>#REF!</v>
      </c>
      <c r="M16" s="9" t="e">
        <f t="shared" si="1"/>
        <v>#REF!</v>
      </c>
      <c r="O16" s="6"/>
      <c r="P16" s="7" t="e">
        <f>I16</f>
        <v>#REF!</v>
      </c>
      <c r="Q16" s="8" t="str">
        <f t="shared" si="4"/>
        <v>AM</v>
      </c>
      <c r="R16" s="8" t="e">
        <f>GETPIVOTDATA(" QBONP",[1]Perte!$N$7,"DESI_MACH","Roto17","Colonne2","Sacs Croissants","DATE_CALE",DATE(2016,5,27),"CODE_EQUI","AM")</f>
        <v>#REF!</v>
      </c>
      <c r="S16" s="8" t="e">
        <f>GETPIVOTDATA(" Perte P",[1]Perte!$N$7,"DESI_MACH","Roto17","Colonne2","Sacs Croissants","DATE_CALE",DATE(2016,5,27),"CODE_EQUI","AM")</f>
        <v>#REF!</v>
      </c>
      <c r="T16" s="9" t="e">
        <f t="shared" si="2"/>
        <v>#REF!</v>
      </c>
    </row>
    <row r="17" spans="1:20" x14ac:dyDescent="0.25">
      <c r="A17" s="6"/>
      <c r="B17" s="7"/>
      <c r="C17" s="10" t="str">
        <f>[1]Perte!Q22</f>
        <v>MA</v>
      </c>
      <c r="D17" s="10" t="e">
        <f>GETPIVOTDATA(" QBONP",[1]Perte!$N$7,"DESI_MACH","Roto13","Colonne2","Sacs Croissants","DATE_CALE",DATE(2016,5,27),"CODE_EQUI","MA")</f>
        <v>#REF!</v>
      </c>
      <c r="E17" s="10" t="e">
        <f>GETPIVOTDATA(" Perte P",[1]Perte!$N$7,"DESI_MACH","Roto13","Colonne2","Sacs Croissants","DATE_CALE",DATE(2016,5,27),"CODE_EQUI","MA")</f>
        <v>#REF!</v>
      </c>
      <c r="F17" s="11" t="e">
        <f t="shared" si="0"/>
        <v>#REF!</v>
      </c>
      <c r="H17" s="6"/>
      <c r="I17" s="7"/>
      <c r="J17" s="10" t="str">
        <f t="shared" si="3"/>
        <v>MA</v>
      </c>
      <c r="K17" s="10" t="e">
        <f>GETPIVOTDATA(" QBONP",[1]Perte!$N$7,"DESI_MACH","Roto16","Colonne2","Sacs Croissants","DATE_CALE",DATE(2016,5,27),"CODE_EQUI","MA")</f>
        <v>#REF!</v>
      </c>
      <c r="L17" s="10" t="e">
        <f>GETPIVOTDATA(" PERTE P",[1]Perte!$N$7,"DESI_MACH","Roto16","Colonne2","Sacs Croissants","DATE_CALE",DATE(2016,5,27),"CODE_EQUI","MA")</f>
        <v>#REF!</v>
      </c>
      <c r="M17" s="11" t="e">
        <f t="shared" si="1"/>
        <v>#REF!</v>
      </c>
      <c r="O17" s="6"/>
      <c r="P17" s="7"/>
      <c r="Q17" s="10" t="str">
        <f t="shared" si="4"/>
        <v>MA</v>
      </c>
      <c r="R17" s="10">
        <v>0</v>
      </c>
      <c r="S17" s="10">
        <v>0</v>
      </c>
      <c r="T17" s="11" t="e">
        <f t="shared" si="2"/>
        <v>#DIV/0!</v>
      </c>
    </row>
    <row r="18" spans="1:20" x14ac:dyDescent="0.25">
      <c r="A18" s="6"/>
      <c r="B18" s="7"/>
      <c r="C18" s="12" t="str">
        <f>[1]Perte!Q23</f>
        <v>NU</v>
      </c>
      <c r="D18" s="12" t="e">
        <f>GETPIVOTDATA(" QBONP",[1]Perte!$N$7,"DESI_MACH","Roto13","Colonne2","Sacs Croissants","DATE_CALE",DATE(2016,5,27),"CODE_EQUI","NU")</f>
        <v>#REF!</v>
      </c>
      <c r="E18" s="12" t="e">
        <f>GETPIVOTDATA(" Perte P",[1]Perte!$N$7,"DESI_MACH","Roto13","Colonne2","Sacs Croissants","DATE_CALE",DATE(2016,5,27),"CODE_EQUI","NU")</f>
        <v>#REF!</v>
      </c>
      <c r="F18" s="13" t="e">
        <f t="shared" si="0"/>
        <v>#REF!</v>
      </c>
      <c r="H18" s="6"/>
      <c r="I18" s="7"/>
      <c r="J18" s="12" t="str">
        <f t="shared" si="3"/>
        <v>NU</v>
      </c>
      <c r="K18" s="12" t="e">
        <f>GETPIVOTDATA(" QBONP",[1]Perte!$N$7,"DESI_MACH","Roto16","Colonne2","Sacs Croissants","DATE_CALE",DATE(2016,5,27),"CODE_EQUI","NU")</f>
        <v>#REF!</v>
      </c>
      <c r="L18" s="12" t="e">
        <f>GETPIVOTDATA(" PERTE P",[1]Perte!$N$7,"DESI_MACH","Roto16","Colonne2","Sacs Croissants","DATE_CALE",DATE(2016,5,27),"CODE_EQUI","NU")</f>
        <v>#REF!</v>
      </c>
      <c r="M18" s="13" t="e">
        <f t="shared" si="1"/>
        <v>#REF!</v>
      </c>
      <c r="O18" s="6"/>
      <c r="P18" s="7"/>
      <c r="Q18" s="12" t="str">
        <f t="shared" si="4"/>
        <v>NU</v>
      </c>
      <c r="R18" s="12" t="e">
        <f>GETPIVOTDATA(" QBONP",[1]Perte!$N$7,"DESI_MACH","Roto17","Colonne2","Sacs Croissants","DATE_CALE",DATE(2016,5,27),"CODE_EQUI","NU")</f>
        <v>#REF!</v>
      </c>
      <c r="S18" s="12" t="e">
        <f>GETPIVOTDATA(" Perte P",[1]Perte!$N$7,"DESI_MACH","Roto17","Colonne2","Sacs Croissants","DATE_CALE",DATE(2016,5,27),"CODE_EQUI","NU")</f>
        <v>#REF!</v>
      </c>
      <c r="T18" s="13" t="e">
        <f t="shared" si="2"/>
        <v>#REF!</v>
      </c>
    </row>
    <row r="19" spans="1:20" x14ac:dyDescent="0.25">
      <c r="A19" s="4" t="str">
        <f>"total "&amp;A4</f>
        <v>total Machine 1</v>
      </c>
      <c r="B19" s="4" t="s">
        <v>11</v>
      </c>
      <c r="C19" s="4" t="s">
        <v>12</v>
      </c>
      <c r="D19" s="4"/>
      <c r="E19" s="4"/>
      <c r="F19" s="14" t="e">
        <f>E19/D19</f>
        <v>#DIV/0!</v>
      </c>
      <c r="H19" s="4" t="e">
        <f>"Total "&amp;H4</f>
        <v>#REF!</v>
      </c>
      <c r="I19" s="4" t="str">
        <f>B19</f>
        <v>semaine</v>
      </c>
      <c r="J19" s="4" t="str">
        <f t="shared" si="3"/>
        <v>toutes équipes</v>
      </c>
      <c r="K19" s="4">
        <f>GETPIVOTDATA(" QBONP",[1]Perte!$N$7,"DESI_MACH","Roto16","Colonne2","Sacs Croissants")</f>
        <v>848000</v>
      </c>
      <c r="L19" s="4">
        <f>GETPIVOTDATA(" PERTE P",[1]Perte!$N$7,"DESI_MACH","Roto16","Colonne2","Sacs Croissants")</f>
        <v>41900</v>
      </c>
      <c r="M19" s="14">
        <f>L19/K19</f>
        <v>4.9410377358490569E-2</v>
      </c>
      <c r="O19" s="4" t="e">
        <f>"Total "&amp;O4</f>
        <v>#REF!</v>
      </c>
      <c r="P19" s="4" t="str">
        <f>I19</f>
        <v>semaine</v>
      </c>
      <c r="Q19" s="4" t="str">
        <f t="shared" si="4"/>
        <v>toutes équipes</v>
      </c>
      <c r="R19" s="4">
        <f>GETPIVOTDATA(" QBONP",[1]Perte!$N$7,"DESI_MACH","Roto17","Colonne2","Sacs Croissants")</f>
        <v>984000</v>
      </c>
      <c r="S19" s="4">
        <f>GETPIVOTDATA(" Perte P",[1]Perte!$N$7,"DESI_MACH","Roto17","Colonne2","Sacs Croissants")</f>
        <v>34300</v>
      </c>
      <c r="T19" s="14">
        <f>S19/R19</f>
        <v>3.4857723577235773E-2</v>
      </c>
    </row>
  </sheetData>
  <mergeCells count="21">
    <mergeCell ref="B16:B18"/>
    <mergeCell ref="I16:I18"/>
    <mergeCell ref="P16:P18"/>
    <mergeCell ref="I7:I9"/>
    <mergeCell ref="P7:P9"/>
    <mergeCell ref="B10:B12"/>
    <mergeCell ref="I10:I12"/>
    <mergeCell ref="P10:P12"/>
    <mergeCell ref="B13:B15"/>
    <mergeCell ref="I13:I15"/>
    <mergeCell ref="P13:P15"/>
    <mergeCell ref="A1:E1"/>
    <mergeCell ref="H1:L1"/>
    <mergeCell ref="O1:S1"/>
    <mergeCell ref="A4:A18"/>
    <mergeCell ref="B4:B6"/>
    <mergeCell ref="H4:H18"/>
    <mergeCell ref="I4:I6"/>
    <mergeCell ref="O4:O18"/>
    <mergeCell ref="P4:P6"/>
    <mergeCell ref="B7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DB</vt:lpstr>
      <vt:lpstr>TCD</vt:lpstr>
      <vt:lpstr>tableau dissocié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Jean</dc:creator>
  <cp:lastModifiedBy>Benjamin Jean</cp:lastModifiedBy>
  <dcterms:created xsi:type="dcterms:W3CDTF">2016-06-14T13:27:24Z</dcterms:created>
  <dcterms:modified xsi:type="dcterms:W3CDTF">2016-06-15T07:44:52Z</dcterms:modified>
</cp:coreProperties>
</file>